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ewanog/Documents/work/code/repos/palika-profile/core/resources/data/"/>
    </mc:Choice>
  </mc:AlternateContent>
  <xr:revisionPtr revIDLastSave="0" documentId="13_ncr:1_{F53A426A-980E-BC49-814D-76CB364D82DC}" xr6:coauthVersionLast="40" xr6:coauthVersionMax="40" xr10:uidLastSave="{00000000-0000-0000-0000-000000000000}"/>
  <bookViews>
    <workbookView xWindow="0" yWindow="460" windowWidth="28800" windowHeight="17540" tabRatio="500" activeTab="4" xr2:uid="{00000000-000D-0000-FFFF-FFFF00000000}"/>
  </bookViews>
  <sheets>
    <sheet name="changelog" sheetId="9" r:id="rId1"/>
    <sheet name="Profile Data_old" sheetId="2" r:id="rId2"/>
    <sheet name="Profile Data" sheetId="7" r:id="rId3"/>
    <sheet name="Map Data" sheetId="3" r:id="rId4"/>
    <sheet name="titles" sheetId="6" r:id="rId5"/>
    <sheet name="FAQs" sheetId="5" r:id="rId6"/>
    <sheet name="data_types" sheetId="8" r:id="rId7"/>
  </sheets>
  <externalReferences>
    <externalReference r:id="rId8"/>
  </externalReferences>
  <definedNames>
    <definedName name="_xlnm._FilterDatabase" localSheetId="6" hidden="1">data_types!$A$1:$B$173</definedName>
    <definedName name="_xlnm._FilterDatabase" localSheetId="2" hidden="1">'Profile Data'!$C$4:$FQ$4</definedName>
    <definedName name="_xlnm._FilterDatabase" localSheetId="4" hidden="1">titles!$A$1:$I$127</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42" i="6" l="1"/>
  <c r="B42" i="6"/>
  <c r="C43" i="6"/>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42" i="6"/>
  <c r="BC5" i="7" l="1"/>
  <c r="BD5" i="7" s="1"/>
  <c r="BG5" i="7"/>
  <c r="BH5" i="7" s="1"/>
  <c r="BO5" i="7"/>
  <c r="BP5" i="7" s="1"/>
  <c r="BS5" i="7"/>
  <c r="BT5" i="7"/>
  <c r="BW5" i="7"/>
  <c r="BX5" i="7"/>
  <c r="CA5" i="7"/>
  <c r="CB5" i="7" s="1"/>
  <c r="CE5" i="7"/>
  <c r="CF5" i="7" s="1"/>
  <c r="CI5" i="7"/>
  <c r="CJ5" i="7" s="1"/>
  <c r="A20" i="6"/>
  <c r="B20" i="6"/>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A128" i="6" l="1"/>
  <c r="B128" i="6"/>
  <c r="A130" i="6"/>
  <c r="B130" i="6"/>
  <c r="A129" i="6"/>
  <c r="B129" i="6"/>
  <c r="FQ286" i="7" l="1"/>
  <c r="FO286" i="7"/>
  <c r="FM286" i="7"/>
  <c r="FL286" i="7"/>
  <c r="FJ286" i="7"/>
  <c r="FH286" i="7"/>
  <c r="FG286" i="7"/>
  <c r="FE286" i="7"/>
  <c r="FC286" i="7"/>
  <c r="EZ286" i="7"/>
  <c r="EY286" i="7"/>
  <c r="EX286" i="7"/>
  <c r="EW286" i="7"/>
  <c r="EV286" i="7"/>
  <c r="EU286" i="7"/>
  <c r="ET286" i="7"/>
  <c r="ES286" i="7"/>
  <c r="ER286" i="7"/>
  <c r="EQ286" i="7"/>
  <c r="EP286" i="7"/>
  <c r="EO286" i="7"/>
  <c r="EN286" i="7"/>
  <c r="EM286" i="7"/>
  <c r="EI286" i="7"/>
  <c r="EG286" i="7"/>
  <c r="EE286" i="7"/>
  <c r="EC286" i="7"/>
  <c r="EA286" i="7"/>
  <c r="DY286" i="7"/>
  <c r="DW286" i="7"/>
  <c r="DU286" i="7"/>
  <c r="DS286" i="7"/>
  <c r="DR286" i="7"/>
  <c r="DP286" i="7"/>
  <c r="DN286" i="7"/>
  <c r="DM286" i="7"/>
  <c r="DK286" i="7"/>
  <c r="DI286" i="7"/>
  <c r="DH286" i="7"/>
  <c r="DF286" i="7"/>
  <c r="DD286" i="7"/>
  <c r="DC286" i="7"/>
  <c r="DA286" i="7"/>
  <c r="CY286" i="7"/>
  <c r="CX286" i="7"/>
  <c r="CV286" i="7"/>
  <c r="CT286" i="7"/>
  <c r="CS286" i="7"/>
  <c r="CR286" i="7"/>
  <c r="CQ286" i="7"/>
  <c r="CP286" i="7"/>
  <c r="CO286" i="7"/>
  <c r="CN286" i="7"/>
  <c r="CM286" i="7"/>
  <c r="CL286" i="7"/>
  <c r="CK286" i="7"/>
  <c r="CI286" i="7"/>
  <c r="CJ286" i="7" s="1"/>
  <c r="CH286" i="7"/>
  <c r="CG286" i="7"/>
  <c r="CE286" i="7"/>
  <c r="CF286" i="7" s="1"/>
  <c r="CD286" i="7"/>
  <c r="CC286" i="7"/>
  <c r="CA286" i="7"/>
  <c r="CB286" i="7" s="1"/>
  <c r="BZ286" i="7"/>
  <c r="BY286" i="7"/>
  <c r="BW286" i="7"/>
  <c r="BX286" i="7" s="1"/>
  <c r="BV286" i="7"/>
  <c r="BU286" i="7"/>
  <c r="BS286" i="7"/>
  <c r="BT286" i="7" s="1"/>
  <c r="BR286" i="7"/>
  <c r="BQ286" i="7"/>
  <c r="BO286" i="7"/>
  <c r="BP286" i="7" s="1"/>
  <c r="BN286" i="7"/>
  <c r="BM286" i="7"/>
  <c r="BK286" i="7"/>
  <c r="BL286" i="7" s="1"/>
  <c r="BJ286" i="7"/>
  <c r="BI286" i="7"/>
  <c r="BG286" i="7"/>
  <c r="BH286" i="7" s="1"/>
  <c r="BF286" i="7"/>
  <c r="BE286" i="7"/>
  <c r="BC286" i="7"/>
  <c r="BD286" i="7" s="1"/>
  <c r="BB286" i="7"/>
  <c r="AZ286" i="7"/>
  <c r="AX286" i="7"/>
  <c r="AW286" i="7"/>
  <c r="AV286" i="7"/>
  <c r="AU286" i="7"/>
  <c r="AT286" i="7"/>
  <c r="AS286" i="7"/>
  <c r="AR286" i="7"/>
  <c r="AQ286" i="7"/>
  <c r="AP286" i="7"/>
  <c r="AO286" i="7"/>
  <c r="AN286" i="7"/>
  <c r="AM286" i="7"/>
  <c r="AL286" i="7"/>
  <c r="AK286" i="7"/>
  <c r="AJ286" i="7"/>
  <c r="AI286" i="7"/>
  <c r="AH286" i="7"/>
  <c r="AG286" i="7"/>
  <c r="AF286" i="7"/>
  <c r="AE286" i="7"/>
  <c r="AD286" i="7"/>
  <c r="AC286" i="7"/>
  <c r="AB286" i="7"/>
  <c r="AA286" i="7"/>
  <c r="Z286" i="7"/>
  <c r="Y286" i="7"/>
  <c r="X286" i="7"/>
  <c r="W286" i="7"/>
  <c r="V286" i="7"/>
  <c r="U286" i="7"/>
  <c r="T286" i="7"/>
  <c r="S286" i="7"/>
  <c r="R286" i="7"/>
  <c r="Q286" i="7"/>
  <c r="P286" i="7"/>
  <c r="O286" i="7"/>
  <c r="N286" i="7"/>
  <c r="M286" i="7"/>
  <c r="L286" i="7"/>
  <c r="K286" i="7"/>
  <c r="J286" i="7"/>
  <c r="I286" i="7"/>
  <c r="H286" i="7"/>
  <c r="G286" i="7"/>
  <c r="F286" i="7"/>
  <c r="D286" i="7"/>
  <c r="C286" i="7"/>
  <c r="B286" i="7"/>
  <c r="FQ285" i="7"/>
  <c r="FO285" i="7"/>
  <c r="FM285" i="7"/>
  <c r="FL285" i="7"/>
  <c r="FJ285" i="7"/>
  <c r="FH285" i="7"/>
  <c r="FG285" i="7"/>
  <c r="FE285" i="7"/>
  <c r="FC285" i="7"/>
  <c r="EZ285" i="7"/>
  <c r="EY285" i="7"/>
  <c r="EX285" i="7"/>
  <c r="EW285" i="7"/>
  <c r="EV285" i="7"/>
  <c r="EU285" i="7"/>
  <c r="ET285" i="7"/>
  <c r="ES285" i="7"/>
  <c r="ER285" i="7"/>
  <c r="EQ285" i="7"/>
  <c r="EP285" i="7"/>
  <c r="EO285" i="7"/>
  <c r="EN285" i="7"/>
  <c r="EM285" i="7"/>
  <c r="EI285" i="7"/>
  <c r="EG285" i="7"/>
  <c r="EE285" i="7"/>
  <c r="EC285" i="7"/>
  <c r="EA285" i="7"/>
  <c r="DY285" i="7"/>
  <c r="DW285" i="7"/>
  <c r="DU285" i="7"/>
  <c r="DS285" i="7"/>
  <c r="DR285" i="7"/>
  <c r="DP285" i="7"/>
  <c r="DN285" i="7"/>
  <c r="DM285" i="7"/>
  <c r="DK285" i="7"/>
  <c r="DI285" i="7"/>
  <c r="DH285" i="7"/>
  <c r="DF285" i="7"/>
  <c r="DD285" i="7"/>
  <c r="DC285" i="7"/>
  <c r="DA285" i="7"/>
  <c r="CY285" i="7"/>
  <c r="CX285" i="7"/>
  <c r="CV285" i="7"/>
  <c r="CT285" i="7"/>
  <c r="CS285" i="7"/>
  <c r="CR285" i="7"/>
  <c r="CQ285" i="7"/>
  <c r="CP285" i="7"/>
  <c r="CO285" i="7"/>
  <c r="CN285" i="7"/>
  <c r="CM285" i="7"/>
  <c r="CL285" i="7"/>
  <c r="CK285" i="7"/>
  <c r="CI285" i="7"/>
  <c r="CJ285" i="7" s="1"/>
  <c r="CH285" i="7"/>
  <c r="CG285" i="7"/>
  <c r="CE285" i="7"/>
  <c r="CF285" i="7" s="1"/>
  <c r="CD285" i="7"/>
  <c r="CC285" i="7"/>
  <c r="CA285" i="7"/>
  <c r="CB285" i="7" s="1"/>
  <c r="BZ285" i="7"/>
  <c r="BY285" i="7"/>
  <c r="BW285" i="7"/>
  <c r="BX285" i="7" s="1"/>
  <c r="BV285" i="7"/>
  <c r="BU285" i="7"/>
  <c r="BS285" i="7"/>
  <c r="BT285" i="7" s="1"/>
  <c r="BR285" i="7"/>
  <c r="BQ285" i="7"/>
  <c r="BO285" i="7"/>
  <c r="BP285" i="7" s="1"/>
  <c r="BN285" i="7"/>
  <c r="BM285" i="7"/>
  <c r="BK285" i="7"/>
  <c r="BL285" i="7" s="1"/>
  <c r="BJ285" i="7"/>
  <c r="BI285" i="7"/>
  <c r="BG285" i="7"/>
  <c r="BH285" i="7" s="1"/>
  <c r="BF285" i="7"/>
  <c r="BE285" i="7"/>
  <c r="BC285" i="7"/>
  <c r="BD285" i="7" s="1"/>
  <c r="BB285" i="7"/>
  <c r="AZ285" i="7"/>
  <c r="AX285" i="7"/>
  <c r="AW285" i="7"/>
  <c r="AV285" i="7"/>
  <c r="AU285" i="7"/>
  <c r="AT285" i="7"/>
  <c r="AS285" i="7"/>
  <c r="AR285" i="7"/>
  <c r="AQ285" i="7"/>
  <c r="AP285" i="7"/>
  <c r="AO285" i="7"/>
  <c r="AN285" i="7"/>
  <c r="AM285" i="7"/>
  <c r="AL285" i="7"/>
  <c r="AK285" i="7"/>
  <c r="AJ285" i="7"/>
  <c r="AI285" i="7"/>
  <c r="AH285" i="7"/>
  <c r="AG285" i="7"/>
  <c r="AF285" i="7"/>
  <c r="AE285" i="7"/>
  <c r="AD285" i="7"/>
  <c r="AC285" i="7"/>
  <c r="AB285" i="7"/>
  <c r="AA285" i="7"/>
  <c r="Z285" i="7"/>
  <c r="Y285" i="7"/>
  <c r="X285" i="7"/>
  <c r="W285" i="7"/>
  <c r="V285" i="7"/>
  <c r="U285" i="7"/>
  <c r="T285" i="7"/>
  <c r="S285" i="7"/>
  <c r="R285" i="7"/>
  <c r="Q285" i="7"/>
  <c r="P285" i="7"/>
  <c r="O285" i="7"/>
  <c r="N285" i="7"/>
  <c r="M285" i="7"/>
  <c r="L285" i="7"/>
  <c r="K285" i="7"/>
  <c r="J285" i="7"/>
  <c r="I285" i="7"/>
  <c r="H285" i="7"/>
  <c r="G285" i="7"/>
  <c r="F285" i="7"/>
  <c r="D285" i="7"/>
  <c r="C285" i="7"/>
  <c r="B285" i="7"/>
  <c r="FQ284" i="7"/>
  <c r="FO284" i="7"/>
  <c r="FM284" i="7"/>
  <c r="FL284" i="7"/>
  <c r="FJ284" i="7"/>
  <c r="FH284" i="7"/>
  <c r="FG284" i="7"/>
  <c r="FE284" i="7"/>
  <c r="FC284" i="7"/>
  <c r="EZ284" i="7"/>
  <c r="EY284" i="7"/>
  <c r="EX284" i="7"/>
  <c r="EW284" i="7"/>
  <c r="EV284" i="7"/>
  <c r="EU284" i="7"/>
  <c r="ET284" i="7"/>
  <c r="ES284" i="7"/>
  <c r="ER284" i="7"/>
  <c r="EQ284" i="7"/>
  <c r="EP284" i="7"/>
  <c r="EO284" i="7"/>
  <c r="EN284" i="7"/>
  <c r="EM284" i="7"/>
  <c r="EI284" i="7"/>
  <c r="EG284" i="7"/>
  <c r="EE284" i="7"/>
  <c r="EC284" i="7"/>
  <c r="EA284" i="7"/>
  <c r="DY284" i="7"/>
  <c r="DW284" i="7"/>
  <c r="DU284" i="7"/>
  <c r="DS284" i="7"/>
  <c r="DR284" i="7"/>
  <c r="DP284" i="7"/>
  <c r="DN284" i="7"/>
  <c r="DM284" i="7"/>
  <c r="DK284" i="7"/>
  <c r="DI284" i="7"/>
  <c r="DH284" i="7"/>
  <c r="DF284" i="7"/>
  <c r="DD284" i="7"/>
  <c r="DC284" i="7"/>
  <c r="DA284" i="7"/>
  <c r="CY284" i="7"/>
  <c r="CX284" i="7"/>
  <c r="CV284" i="7"/>
  <c r="CT284" i="7"/>
  <c r="CS284" i="7"/>
  <c r="CR284" i="7"/>
  <c r="CQ284" i="7"/>
  <c r="CP284" i="7"/>
  <c r="CO284" i="7"/>
  <c r="CN284" i="7"/>
  <c r="CM284" i="7"/>
  <c r="CL284" i="7"/>
  <c r="CK284" i="7"/>
  <c r="CI284" i="7"/>
  <c r="CJ284" i="7" s="1"/>
  <c r="CH284" i="7"/>
  <c r="CG284" i="7"/>
  <c r="CE284" i="7"/>
  <c r="CF284" i="7" s="1"/>
  <c r="CD284" i="7"/>
  <c r="CC284" i="7"/>
  <c r="CA284" i="7"/>
  <c r="CB284" i="7" s="1"/>
  <c r="BZ284" i="7"/>
  <c r="BY284" i="7"/>
  <c r="BW284" i="7"/>
  <c r="BX284" i="7" s="1"/>
  <c r="BV284" i="7"/>
  <c r="BU284" i="7"/>
  <c r="BS284" i="7"/>
  <c r="BT284" i="7" s="1"/>
  <c r="BR284" i="7"/>
  <c r="BQ284" i="7"/>
  <c r="BO284" i="7"/>
  <c r="BP284" i="7" s="1"/>
  <c r="BN284" i="7"/>
  <c r="BM284" i="7"/>
  <c r="BK284" i="7"/>
  <c r="BL284" i="7" s="1"/>
  <c r="BJ284" i="7"/>
  <c r="BI284" i="7"/>
  <c r="BG284" i="7"/>
  <c r="BH284" i="7" s="1"/>
  <c r="BF284" i="7"/>
  <c r="BE284" i="7"/>
  <c r="BC284" i="7"/>
  <c r="BD284" i="7" s="1"/>
  <c r="BB284" i="7"/>
  <c r="AZ284" i="7"/>
  <c r="AX284" i="7"/>
  <c r="AW284" i="7"/>
  <c r="AV284" i="7"/>
  <c r="AU284" i="7"/>
  <c r="AT284" i="7"/>
  <c r="AS284" i="7"/>
  <c r="AR284" i="7"/>
  <c r="AQ284" i="7"/>
  <c r="AP284" i="7"/>
  <c r="AO284" i="7"/>
  <c r="AN284" i="7"/>
  <c r="AM284" i="7"/>
  <c r="AL284" i="7"/>
  <c r="AK284" i="7"/>
  <c r="AJ284" i="7"/>
  <c r="AI284" i="7"/>
  <c r="AH284" i="7"/>
  <c r="AG284" i="7"/>
  <c r="AF284" i="7"/>
  <c r="AE284" i="7"/>
  <c r="AD284" i="7"/>
  <c r="AC284" i="7"/>
  <c r="AB284" i="7"/>
  <c r="AA284" i="7"/>
  <c r="Z284" i="7"/>
  <c r="Y284" i="7"/>
  <c r="X284" i="7"/>
  <c r="W284" i="7"/>
  <c r="V284" i="7"/>
  <c r="U284" i="7"/>
  <c r="T284" i="7"/>
  <c r="S284" i="7"/>
  <c r="R284" i="7"/>
  <c r="Q284" i="7"/>
  <c r="P284" i="7"/>
  <c r="O284" i="7"/>
  <c r="N284" i="7"/>
  <c r="M284" i="7"/>
  <c r="L284" i="7"/>
  <c r="K284" i="7"/>
  <c r="J284" i="7"/>
  <c r="I284" i="7"/>
  <c r="H284" i="7"/>
  <c r="G284" i="7"/>
  <c r="F284" i="7"/>
  <c r="D284" i="7"/>
  <c r="C284" i="7"/>
  <c r="B284" i="7"/>
  <c r="FQ283" i="7"/>
  <c r="FO283" i="7"/>
  <c r="FM283" i="7"/>
  <c r="FL283" i="7"/>
  <c r="FJ283" i="7"/>
  <c r="FH283" i="7"/>
  <c r="FG283" i="7"/>
  <c r="FE283" i="7"/>
  <c r="FC283" i="7"/>
  <c r="EZ283" i="7"/>
  <c r="EY283" i="7"/>
  <c r="EX283" i="7"/>
  <c r="EW283" i="7"/>
  <c r="EV283" i="7"/>
  <c r="EU283" i="7"/>
  <c r="ET283" i="7"/>
  <c r="ES283" i="7"/>
  <c r="ER283" i="7"/>
  <c r="EQ283" i="7"/>
  <c r="EP283" i="7"/>
  <c r="EO283" i="7"/>
  <c r="EN283" i="7"/>
  <c r="EM283" i="7"/>
  <c r="EI283" i="7"/>
  <c r="EG283" i="7"/>
  <c r="EE283" i="7"/>
  <c r="EC283" i="7"/>
  <c r="EA283" i="7"/>
  <c r="DY283" i="7"/>
  <c r="DW283" i="7"/>
  <c r="DU283" i="7"/>
  <c r="DS283" i="7"/>
  <c r="DR283" i="7"/>
  <c r="DP283" i="7"/>
  <c r="DN283" i="7"/>
  <c r="DM283" i="7"/>
  <c r="DK283" i="7"/>
  <c r="DI283" i="7"/>
  <c r="DH283" i="7"/>
  <c r="DF283" i="7"/>
  <c r="DD283" i="7"/>
  <c r="DC283" i="7"/>
  <c r="DA283" i="7"/>
  <c r="CY283" i="7"/>
  <c r="CX283" i="7"/>
  <c r="CV283" i="7"/>
  <c r="CT283" i="7"/>
  <c r="CS283" i="7"/>
  <c r="CR283" i="7"/>
  <c r="CQ283" i="7"/>
  <c r="CP283" i="7"/>
  <c r="CO283" i="7"/>
  <c r="CN283" i="7"/>
  <c r="CM283" i="7"/>
  <c r="CL283" i="7"/>
  <c r="CK283" i="7"/>
  <c r="CI283" i="7"/>
  <c r="CJ283" i="7" s="1"/>
  <c r="CH283" i="7"/>
  <c r="CG283" i="7"/>
  <c r="CE283" i="7"/>
  <c r="CF283" i="7" s="1"/>
  <c r="CD283" i="7"/>
  <c r="CC283" i="7"/>
  <c r="CA283" i="7"/>
  <c r="CB283" i="7" s="1"/>
  <c r="BZ283" i="7"/>
  <c r="BY283" i="7"/>
  <c r="BW283" i="7"/>
  <c r="BX283" i="7" s="1"/>
  <c r="BV283" i="7"/>
  <c r="BU283" i="7"/>
  <c r="BS283" i="7"/>
  <c r="BT283" i="7" s="1"/>
  <c r="BR283" i="7"/>
  <c r="BQ283" i="7"/>
  <c r="BO283" i="7"/>
  <c r="BP283" i="7" s="1"/>
  <c r="BN283" i="7"/>
  <c r="BM283" i="7"/>
  <c r="BK283" i="7"/>
  <c r="BL283" i="7" s="1"/>
  <c r="BJ283" i="7"/>
  <c r="BI283" i="7"/>
  <c r="BG283" i="7"/>
  <c r="BH283" i="7" s="1"/>
  <c r="BF283" i="7"/>
  <c r="BE283" i="7"/>
  <c r="BC283" i="7"/>
  <c r="BD283" i="7" s="1"/>
  <c r="BB283" i="7"/>
  <c r="AZ283" i="7"/>
  <c r="AX283" i="7"/>
  <c r="AW283" i="7"/>
  <c r="AV283" i="7"/>
  <c r="AU283" i="7"/>
  <c r="AT283" i="7"/>
  <c r="AS283" i="7"/>
  <c r="AR283" i="7"/>
  <c r="AQ283" i="7"/>
  <c r="AP283" i="7"/>
  <c r="AO283" i="7"/>
  <c r="AN283" i="7"/>
  <c r="AM283" i="7"/>
  <c r="AL283" i="7"/>
  <c r="AK283" i="7"/>
  <c r="AJ283" i="7"/>
  <c r="AI283" i="7"/>
  <c r="AH283" i="7"/>
  <c r="AG283" i="7"/>
  <c r="AF283" i="7"/>
  <c r="AE283" i="7"/>
  <c r="AD283" i="7"/>
  <c r="AC283" i="7"/>
  <c r="AB283" i="7"/>
  <c r="AA283" i="7"/>
  <c r="Z283" i="7"/>
  <c r="Y283" i="7"/>
  <c r="X283" i="7"/>
  <c r="W283" i="7"/>
  <c r="V283" i="7"/>
  <c r="U283" i="7"/>
  <c r="T283" i="7"/>
  <c r="S283" i="7"/>
  <c r="R283" i="7"/>
  <c r="Q283" i="7"/>
  <c r="P283" i="7"/>
  <c r="O283" i="7"/>
  <c r="N283" i="7"/>
  <c r="M283" i="7"/>
  <c r="L283" i="7"/>
  <c r="K283" i="7"/>
  <c r="J283" i="7"/>
  <c r="I283" i="7"/>
  <c r="H283" i="7"/>
  <c r="G283" i="7"/>
  <c r="F283" i="7"/>
  <c r="D283" i="7"/>
  <c r="C283" i="7"/>
  <c r="B283" i="7"/>
  <c r="FQ282" i="7"/>
  <c r="FO282" i="7"/>
  <c r="FM282" i="7"/>
  <c r="FL282" i="7"/>
  <c r="FJ282" i="7"/>
  <c r="FH282" i="7"/>
  <c r="FG282" i="7"/>
  <c r="FE282" i="7"/>
  <c r="FC282" i="7"/>
  <c r="EZ282" i="7"/>
  <c r="EY282" i="7"/>
  <c r="EX282" i="7"/>
  <c r="EW282" i="7"/>
  <c r="EV282" i="7"/>
  <c r="EU282" i="7"/>
  <c r="ET282" i="7"/>
  <c r="ES282" i="7"/>
  <c r="ER282" i="7"/>
  <c r="EQ282" i="7"/>
  <c r="EP282" i="7"/>
  <c r="EO282" i="7"/>
  <c r="EN282" i="7"/>
  <c r="EM282" i="7"/>
  <c r="EI282" i="7"/>
  <c r="EG282" i="7"/>
  <c r="EE282" i="7"/>
  <c r="EC282" i="7"/>
  <c r="EA282" i="7"/>
  <c r="DY282" i="7"/>
  <c r="DW282" i="7"/>
  <c r="DU282" i="7"/>
  <c r="DS282" i="7"/>
  <c r="DR282" i="7"/>
  <c r="DP282" i="7"/>
  <c r="DN282" i="7"/>
  <c r="DM282" i="7"/>
  <c r="DK282" i="7"/>
  <c r="DI282" i="7"/>
  <c r="DH282" i="7"/>
  <c r="DF282" i="7"/>
  <c r="DD282" i="7"/>
  <c r="DC282" i="7"/>
  <c r="DA282" i="7"/>
  <c r="CY282" i="7"/>
  <c r="CX282" i="7"/>
  <c r="CV282" i="7"/>
  <c r="CT282" i="7"/>
  <c r="CS282" i="7"/>
  <c r="CR282" i="7"/>
  <c r="CQ282" i="7"/>
  <c r="CP282" i="7"/>
  <c r="CO282" i="7"/>
  <c r="CN282" i="7"/>
  <c r="CM282" i="7"/>
  <c r="CL282" i="7"/>
  <c r="CK282" i="7"/>
  <c r="CI282" i="7"/>
  <c r="CJ282" i="7" s="1"/>
  <c r="CH282" i="7"/>
  <c r="CG282" i="7"/>
  <c r="CE282" i="7"/>
  <c r="CF282" i="7" s="1"/>
  <c r="CD282" i="7"/>
  <c r="CC282" i="7"/>
  <c r="CA282" i="7"/>
  <c r="CB282" i="7" s="1"/>
  <c r="BZ282" i="7"/>
  <c r="BY282" i="7"/>
  <c r="BW282" i="7"/>
  <c r="BX282" i="7" s="1"/>
  <c r="BV282" i="7"/>
  <c r="BU282" i="7"/>
  <c r="BS282" i="7"/>
  <c r="BT282" i="7" s="1"/>
  <c r="BR282" i="7"/>
  <c r="BQ282" i="7"/>
  <c r="BO282" i="7"/>
  <c r="BP282" i="7" s="1"/>
  <c r="BN282" i="7"/>
  <c r="BM282" i="7"/>
  <c r="BK282" i="7"/>
  <c r="BL282" i="7" s="1"/>
  <c r="BJ282" i="7"/>
  <c r="BI282" i="7"/>
  <c r="BG282" i="7"/>
  <c r="BH282" i="7" s="1"/>
  <c r="BF282" i="7"/>
  <c r="BE282" i="7"/>
  <c r="BC282" i="7"/>
  <c r="BD282" i="7" s="1"/>
  <c r="BB282" i="7"/>
  <c r="AZ282" i="7"/>
  <c r="AX282" i="7"/>
  <c r="AW282" i="7"/>
  <c r="AV282" i="7"/>
  <c r="AU282" i="7"/>
  <c r="AT282" i="7"/>
  <c r="AS282" i="7"/>
  <c r="AR282" i="7"/>
  <c r="AQ282" i="7"/>
  <c r="AP282" i="7"/>
  <c r="AO282" i="7"/>
  <c r="AN282" i="7"/>
  <c r="AM282" i="7"/>
  <c r="AL282" i="7"/>
  <c r="AK282" i="7"/>
  <c r="AJ282" i="7"/>
  <c r="AI282" i="7"/>
  <c r="AH282" i="7"/>
  <c r="AG282" i="7"/>
  <c r="AF282" i="7"/>
  <c r="AE282" i="7"/>
  <c r="AD282" i="7"/>
  <c r="AC282" i="7"/>
  <c r="AB282" i="7"/>
  <c r="AA282" i="7"/>
  <c r="Z282" i="7"/>
  <c r="Y282" i="7"/>
  <c r="X282" i="7"/>
  <c r="W282" i="7"/>
  <c r="V282" i="7"/>
  <c r="U282" i="7"/>
  <c r="T282" i="7"/>
  <c r="S282" i="7"/>
  <c r="R282" i="7"/>
  <c r="Q282" i="7"/>
  <c r="P282" i="7"/>
  <c r="O282" i="7"/>
  <c r="N282" i="7"/>
  <c r="M282" i="7"/>
  <c r="L282" i="7"/>
  <c r="K282" i="7"/>
  <c r="J282" i="7"/>
  <c r="I282" i="7"/>
  <c r="H282" i="7"/>
  <c r="G282" i="7"/>
  <c r="F282" i="7"/>
  <c r="D282" i="7"/>
  <c r="C282" i="7"/>
  <c r="B282" i="7"/>
  <c r="FQ281" i="7"/>
  <c r="FO281" i="7"/>
  <c r="FM281" i="7"/>
  <c r="FL281" i="7"/>
  <c r="FJ281" i="7"/>
  <c r="FH281" i="7"/>
  <c r="FG281" i="7"/>
  <c r="FE281" i="7"/>
  <c r="FC281" i="7"/>
  <c r="EZ281" i="7"/>
  <c r="EY281" i="7"/>
  <c r="EX281" i="7"/>
  <c r="EW281" i="7"/>
  <c r="EV281" i="7"/>
  <c r="EU281" i="7"/>
  <c r="ET281" i="7"/>
  <c r="ES281" i="7"/>
  <c r="ER281" i="7"/>
  <c r="EQ281" i="7"/>
  <c r="EP281" i="7"/>
  <c r="EO281" i="7"/>
  <c r="EN281" i="7"/>
  <c r="EM281" i="7"/>
  <c r="EI281" i="7"/>
  <c r="EG281" i="7"/>
  <c r="EE281" i="7"/>
  <c r="EC281" i="7"/>
  <c r="EA281" i="7"/>
  <c r="DY281" i="7"/>
  <c r="DW281" i="7"/>
  <c r="DU281" i="7"/>
  <c r="DS281" i="7"/>
  <c r="DR281" i="7"/>
  <c r="DP281" i="7"/>
  <c r="DN281" i="7"/>
  <c r="DM281" i="7"/>
  <c r="DK281" i="7"/>
  <c r="DI281" i="7"/>
  <c r="DH281" i="7"/>
  <c r="DF281" i="7"/>
  <c r="DD281" i="7"/>
  <c r="DC281" i="7"/>
  <c r="DA281" i="7"/>
  <c r="CY281" i="7"/>
  <c r="CX281" i="7"/>
  <c r="CV281" i="7"/>
  <c r="CT281" i="7"/>
  <c r="CS281" i="7"/>
  <c r="CR281" i="7"/>
  <c r="CQ281" i="7"/>
  <c r="CP281" i="7"/>
  <c r="CO281" i="7"/>
  <c r="CN281" i="7"/>
  <c r="CM281" i="7"/>
  <c r="CL281" i="7"/>
  <c r="CK281" i="7"/>
  <c r="CI281" i="7"/>
  <c r="CJ281" i="7" s="1"/>
  <c r="CH281" i="7"/>
  <c r="CG281" i="7"/>
  <c r="CE281" i="7"/>
  <c r="CF281" i="7" s="1"/>
  <c r="CD281" i="7"/>
  <c r="CC281" i="7"/>
  <c r="CA281" i="7"/>
  <c r="CB281" i="7" s="1"/>
  <c r="BZ281" i="7"/>
  <c r="BY281" i="7"/>
  <c r="BW281" i="7"/>
  <c r="BX281" i="7" s="1"/>
  <c r="BV281" i="7"/>
  <c r="BU281" i="7"/>
  <c r="BS281" i="7"/>
  <c r="BT281" i="7" s="1"/>
  <c r="BR281" i="7"/>
  <c r="BQ281" i="7"/>
  <c r="BO281" i="7"/>
  <c r="BP281" i="7" s="1"/>
  <c r="BN281" i="7"/>
  <c r="BM281" i="7"/>
  <c r="BK281" i="7"/>
  <c r="BL281" i="7" s="1"/>
  <c r="BJ281" i="7"/>
  <c r="BI281" i="7"/>
  <c r="BG281" i="7"/>
  <c r="BH281" i="7" s="1"/>
  <c r="BF281" i="7"/>
  <c r="BE281" i="7"/>
  <c r="BC281" i="7"/>
  <c r="BD281" i="7" s="1"/>
  <c r="BB281" i="7"/>
  <c r="AZ281" i="7"/>
  <c r="AX281" i="7"/>
  <c r="AW281" i="7"/>
  <c r="AV281" i="7"/>
  <c r="AU281" i="7"/>
  <c r="AT281" i="7"/>
  <c r="AS281" i="7"/>
  <c r="AR281" i="7"/>
  <c r="AQ281" i="7"/>
  <c r="AP281" i="7"/>
  <c r="AO281" i="7"/>
  <c r="AN281" i="7"/>
  <c r="AM281" i="7"/>
  <c r="AL281" i="7"/>
  <c r="AK281" i="7"/>
  <c r="AJ281" i="7"/>
  <c r="AI281" i="7"/>
  <c r="AH281" i="7"/>
  <c r="AG281" i="7"/>
  <c r="AF281" i="7"/>
  <c r="AE281" i="7"/>
  <c r="AD281" i="7"/>
  <c r="AC281" i="7"/>
  <c r="AB281" i="7"/>
  <c r="AA281" i="7"/>
  <c r="Z281" i="7"/>
  <c r="Y281" i="7"/>
  <c r="X281" i="7"/>
  <c r="W281" i="7"/>
  <c r="V281" i="7"/>
  <c r="U281" i="7"/>
  <c r="T281" i="7"/>
  <c r="S281" i="7"/>
  <c r="R281" i="7"/>
  <c r="Q281" i="7"/>
  <c r="P281" i="7"/>
  <c r="O281" i="7"/>
  <c r="N281" i="7"/>
  <c r="M281" i="7"/>
  <c r="L281" i="7"/>
  <c r="K281" i="7"/>
  <c r="J281" i="7"/>
  <c r="I281" i="7"/>
  <c r="H281" i="7"/>
  <c r="G281" i="7"/>
  <c r="F281" i="7"/>
  <c r="D281" i="7"/>
  <c r="C281" i="7"/>
  <c r="B281" i="7"/>
  <c r="FQ280" i="7"/>
  <c r="FO280" i="7"/>
  <c r="FM280" i="7"/>
  <c r="FL280" i="7"/>
  <c r="FJ280" i="7"/>
  <c r="FH280" i="7"/>
  <c r="FG280" i="7"/>
  <c r="FE280" i="7"/>
  <c r="FC280" i="7"/>
  <c r="EZ280" i="7"/>
  <c r="EY280" i="7"/>
  <c r="EX280" i="7"/>
  <c r="EW280" i="7"/>
  <c r="EV280" i="7"/>
  <c r="EU280" i="7"/>
  <c r="ET280" i="7"/>
  <c r="ES280" i="7"/>
  <c r="ER280" i="7"/>
  <c r="EQ280" i="7"/>
  <c r="EP280" i="7"/>
  <c r="EO280" i="7"/>
  <c r="EN280" i="7"/>
  <c r="EM280" i="7"/>
  <c r="EI280" i="7"/>
  <c r="EG280" i="7"/>
  <c r="EE280" i="7"/>
  <c r="EC280" i="7"/>
  <c r="EA280" i="7"/>
  <c r="DY280" i="7"/>
  <c r="DW280" i="7"/>
  <c r="DU280" i="7"/>
  <c r="DS280" i="7"/>
  <c r="DR280" i="7"/>
  <c r="DP280" i="7"/>
  <c r="DN280" i="7"/>
  <c r="DM280" i="7"/>
  <c r="DK280" i="7"/>
  <c r="DI280" i="7"/>
  <c r="DH280" i="7"/>
  <c r="DF280" i="7"/>
  <c r="DD280" i="7"/>
  <c r="DC280" i="7"/>
  <c r="DA280" i="7"/>
  <c r="CY280" i="7"/>
  <c r="CX280" i="7"/>
  <c r="CV280" i="7"/>
  <c r="CT280" i="7"/>
  <c r="CS280" i="7"/>
  <c r="CR280" i="7"/>
  <c r="CQ280" i="7"/>
  <c r="CP280" i="7"/>
  <c r="CO280" i="7"/>
  <c r="CN280" i="7"/>
  <c r="CM280" i="7"/>
  <c r="CL280" i="7"/>
  <c r="CK280" i="7"/>
  <c r="CI280" i="7"/>
  <c r="CJ280" i="7" s="1"/>
  <c r="CH280" i="7"/>
  <c r="CG280" i="7"/>
  <c r="CE280" i="7"/>
  <c r="CF280" i="7" s="1"/>
  <c r="CD280" i="7"/>
  <c r="CC280" i="7"/>
  <c r="CA280" i="7"/>
  <c r="CB280" i="7" s="1"/>
  <c r="BZ280" i="7"/>
  <c r="BY280" i="7"/>
  <c r="BW280" i="7"/>
  <c r="BX280" i="7" s="1"/>
  <c r="BV280" i="7"/>
  <c r="BU280" i="7"/>
  <c r="BS280" i="7"/>
  <c r="BT280" i="7" s="1"/>
  <c r="BR280" i="7"/>
  <c r="BQ280" i="7"/>
  <c r="BO280" i="7"/>
  <c r="BP280" i="7" s="1"/>
  <c r="BN280" i="7"/>
  <c r="BM280" i="7"/>
  <c r="BK280" i="7"/>
  <c r="BL280" i="7" s="1"/>
  <c r="BJ280" i="7"/>
  <c r="BI280" i="7"/>
  <c r="BG280" i="7"/>
  <c r="BH280" i="7" s="1"/>
  <c r="BF280" i="7"/>
  <c r="BE280" i="7"/>
  <c r="BC280" i="7"/>
  <c r="BD280" i="7" s="1"/>
  <c r="BB280" i="7"/>
  <c r="AZ280" i="7"/>
  <c r="AX280" i="7"/>
  <c r="AW280" i="7"/>
  <c r="AV280" i="7"/>
  <c r="AU280" i="7"/>
  <c r="AT280" i="7"/>
  <c r="AS280" i="7"/>
  <c r="AR280" i="7"/>
  <c r="AQ280" i="7"/>
  <c r="AP280" i="7"/>
  <c r="AO280" i="7"/>
  <c r="AN280" i="7"/>
  <c r="AM280" i="7"/>
  <c r="AL280" i="7"/>
  <c r="AK280" i="7"/>
  <c r="AJ280" i="7"/>
  <c r="AI280" i="7"/>
  <c r="AH280" i="7"/>
  <c r="AG280" i="7"/>
  <c r="AF280" i="7"/>
  <c r="AE280" i="7"/>
  <c r="AD280" i="7"/>
  <c r="AC280" i="7"/>
  <c r="AB280" i="7"/>
  <c r="AA280" i="7"/>
  <c r="Z280" i="7"/>
  <c r="Y280" i="7"/>
  <c r="X280" i="7"/>
  <c r="W280" i="7"/>
  <c r="V280" i="7"/>
  <c r="U280" i="7"/>
  <c r="T280" i="7"/>
  <c r="S280" i="7"/>
  <c r="R280" i="7"/>
  <c r="Q280" i="7"/>
  <c r="P280" i="7"/>
  <c r="O280" i="7"/>
  <c r="N280" i="7"/>
  <c r="M280" i="7"/>
  <c r="L280" i="7"/>
  <c r="K280" i="7"/>
  <c r="J280" i="7"/>
  <c r="I280" i="7"/>
  <c r="H280" i="7"/>
  <c r="G280" i="7"/>
  <c r="F280" i="7"/>
  <c r="D280" i="7"/>
  <c r="C280" i="7"/>
  <c r="B280" i="7"/>
  <c r="FQ279" i="7"/>
  <c r="FO279" i="7"/>
  <c r="FM279" i="7"/>
  <c r="FL279" i="7"/>
  <c r="FJ279" i="7"/>
  <c r="FH279" i="7"/>
  <c r="FG279" i="7"/>
  <c r="FE279" i="7"/>
  <c r="FC279" i="7"/>
  <c r="EZ279" i="7"/>
  <c r="EY279" i="7"/>
  <c r="EX279" i="7"/>
  <c r="EW279" i="7"/>
  <c r="EV279" i="7"/>
  <c r="EU279" i="7"/>
  <c r="ET279" i="7"/>
  <c r="ES279" i="7"/>
  <c r="ER279" i="7"/>
  <c r="EQ279" i="7"/>
  <c r="EP279" i="7"/>
  <c r="EO279" i="7"/>
  <c r="EN279" i="7"/>
  <c r="EM279" i="7"/>
  <c r="EI279" i="7"/>
  <c r="EG279" i="7"/>
  <c r="EE279" i="7"/>
  <c r="EC279" i="7"/>
  <c r="EA279" i="7"/>
  <c r="DY279" i="7"/>
  <c r="DW279" i="7"/>
  <c r="DU279" i="7"/>
  <c r="DS279" i="7"/>
  <c r="DR279" i="7"/>
  <c r="DP279" i="7"/>
  <c r="DN279" i="7"/>
  <c r="DM279" i="7"/>
  <c r="DK279" i="7"/>
  <c r="DI279" i="7"/>
  <c r="DH279" i="7"/>
  <c r="DF279" i="7"/>
  <c r="DD279" i="7"/>
  <c r="DC279" i="7"/>
  <c r="DA279" i="7"/>
  <c r="CY279" i="7"/>
  <c r="CX279" i="7"/>
  <c r="CV279" i="7"/>
  <c r="CT279" i="7"/>
  <c r="CS279" i="7"/>
  <c r="CR279" i="7"/>
  <c r="CQ279" i="7"/>
  <c r="CP279" i="7"/>
  <c r="CO279" i="7"/>
  <c r="CN279" i="7"/>
  <c r="CM279" i="7"/>
  <c r="CL279" i="7"/>
  <c r="CK279" i="7"/>
  <c r="CI279" i="7"/>
  <c r="CJ279" i="7" s="1"/>
  <c r="CH279" i="7"/>
  <c r="CG279" i="7"/>
  <c r="CE279" i="7"/>
  <c r="CF279" i="7" s="1"/>
  <c r="CD279" i="7"/>
  <c r="CC279" i="7"/>
  <c r="CA279" i="7"/>
  <c r="CB279" i="7" s="1"/>
  <c r="BZ279" i="7"/>
  <c r="BY279" i="7"/>
  <c r="BW279" i="7"/>
  <c r="BX279" i="7" s="1"/>
  <c r="BV279" i="7"/>
  <c r="BU279" i="7"/>
  <c r="BS279" i="7"/>
  <c r="BT279" i="7" s="1"/>
  <c r="BR279" i="7"/>
  <c r="BQ279" i="7"/>
  <c r="BO279" i="7"/>
  <c r="BP279" i="7" s="1"/>
  <c r="BN279" i="7"/>
  <c r="BM279" i="7"/>
  <c r="BK279" i="7"/>
  <c r="BL279" i="7" s="1"/>
  <c r="BJ279" i="7"/>
  <c r="BI279" i="7"/>
  <c r="BG279" i="7"/>
  <c r="BH279" i="7" s="1"/>
  <c r="BF279" i="7"/>
  <c r="BE279" i="7"/>
  <c r="BC279" i="7"/>
  <c r="BD279" i="7" s="1"/>
  <c r="BB279" i="7"/>
  <c r="AZ279" i="7"/>
  <c r="AX279" i="7"/>
  <c r="AW279" i="7"/>
  <c r="AV279" i="7"/>
  <c r="AU279" i="7"/>
  <c r="AT279" i="7"/>
  <c r="AS279" i="7"/>
  <c r="AR279" i="7"/>
  <c r="AQ279" i="7"/>
  <c r="AP279" i="7"/>
  <c r="AO279" i="7"/>
  <c r="AN279" i="7"/>
  <c r="AM279" i="7"/>
  <c r="AL279" i="7"/>
  <c r="AK279" i="7"/>
  <c r="AJ279" i="7"/>
  <c r="AI279" i="7"/>
  <c r="AH279" i="7"/>
  <c r="AG279" i="7"/>
  <c r="AF279" i="7"/>
  <c r="AE279" i="7"/>
  <c r="AD279" i="7"/>
  <c r="AC279" i="7"/>
  <c r="AB279" i="7"/>
  <c r="AA279" i="7"/>
  <c r="Z279" i="7"/>
  <c r="Y279" i="7"/>
  <c r="X279" i="7"/>
  <c r="W279" i="7"/>
  <c r="V279" i="7"/>
  <c r="U279" i="7"/>
  <c r="T279" i="7"/>
  <c r="S279" i="7"/>
  <c r="R279" i="7"/>
  <c r="Q279" i="7"/>
  <c r="P279" i="7"/>
  <c r="O279" i="7"/>
  <c r="N279" i="7"/>
  <c r="M279" i="7"/>
  <c r="L279" i="7"/>
  <c r="K279" i="7"/>
  <c r="J279" i="7"/>
  <c r="I279" i="7"/>
  <c r="H279" i="7"/>
  <c r="G279" i="7"/>
  <c r="F279" i="7"/>
  <c r="D279" i="7"/>
  <c r="C279" i="7"/>
  <c r="B279" i="7"/>
  <c r="FQ278" i="7"/>
  <c r="FO278" i="7"/>
  <c r="FM278" i="7"/>
  <c r="FL278" i="7"/>
  <c r="FJ278" i="7"/>
  <c r="FH278" i="7"/>
  <c r="FG278" i="7"/>
  <c r="FE278" i="7"/>
  <c r="FC278" i="7"/>
  <c r="EZ278" i="7"/>
  <c r="EY278" i="7"/>
  <c r="EX278" i="7"/>
  <c r="EW278" i="7"/>
  <c r="EV278" i="7"/>
  <c r="EU278" i="7"/>
  <c r="ET278" i="7"/>
  <c r="ES278" i="7"/>
  <c r="ER278" i="7"/>
  <c r="EQ278" i="7"/>
  <c r="EP278" i="7"/>
  <c r="EO278" i="7"/>
  <c r="EN278" i="7"/>
  <c r="EM278" i="7"/>
  <c r="EI278" i="7"/>
  <c r="EG278" i="7"/>
  <c r="EE278" i="7"/>
  <c r="EC278" i="7"/>
  <c r="EA278" i="7"/>
  <c r="DY278" i="7"/>
  <c r="DW278" i="7"/>
  <c r="DU278" i="7"/>
  <c r="DS278" i="7"/>
  <c r="DR278" i="7"/>
  <c r="DP278" i="7"/>
  <c r="DN278" i="7"/>
  <c r="DM278" i="7"/>
  <c r="DK278" i="7"/>
  <c r="DI278" i="7"/>
  <c r="DH278" i="7"/>
  <c r="DF278" i="7"/>
  <c r="DD278" i="7"/>
  <c r="DC278" i="7"/>
  <c r="DA278" i="7"/>
  <c r="CY278" i="7"/>
  <c r="CX278" i="7"/>
  <c r="CV278" i="7"/>
  <c r="CT278" i="7"/>
  <c r="CS278" i="7"/>
  <c r="CR278" i="7"/>
  <c r="CQ278" i="7"/>
  <c r="CP278" i="7"/>
  <c r="CO278" i="7"/>
  <c r="CN278" i="7"/>
  <c r="CM278" i="7"/>
  <c r="CL278" i="7"/>
  <c r="CK278" i="7"/>
  <c r="CI278" i="7"/>
  <c r="CJ278" i="7" s="1"/>
  <c r="CH278" i="7"/>
  <c r="CG278" i="7"/>
  <c r="CE278" i="7"/>
  <c r="CF278" i="7" s="1"/>
  <c r="CD278" i="7"/>
  <c r="CC278" i="7"/>
  <c r="CA278" i="7"/>
  <c r="CB278" i="7" s="1"/>
  <c r="BZ278" i="7"/>
  <c r="BY278" i="7"/>
  <c r="BW278" i="7"/>
  <c r="BX278" i="7" s="1"/>
  <c r="BV278" i="7"/>
  <c r="BU278" i="7"/>
  <c r="BS278" i="7"/>
  <c r="BT278" i="7" s="1"/>
  <c r="BR278" i="7"/>
  <c r="BQ278" i="7"/>
  <c r="BO278" i="7"/>
  <c r="BP278" i="7" s="1"/>
  <c r="BN278" i="7"/>
  <c r="BM278" i="7"/>
  <c r="BK278" i="7"/>
  <c r="BL278" i="7" s="1"/>
  <c r="BJ278" i="7"/>
  <c r="BI278" i="7"/>
  <c r="BG278" i="7"/>
  <c r="BH278" i="7" s="1"/>
  <c r="BF278" i="7"/>
  <c r="BE278" i="7"/>
  <c r="BC278" i="7"/>
  <c r="BD278" i="7" s="1"/>
  <c r="BB278" i="7"/>
  <c r="AZ278" i="7"/>
  <c r="AX278" i="7"/>
  <c r="AW278" i="7"/>
  <c r="AV278" i="7"/>
  <c r="AU278" i="7"/>
  <c r="AT278" i="7"/>
  <c r="AS278" i="7"/>
  <c r="AR278" i="7"/>
  <c r="AQ278" i="7"/>
  <c r="AP278" i="7"/>
  <c r="AO278" i="7"/>
  <c r="AN278" i="7"/>
  <c r="AM278" i="7"/>
  <c r="AL278" i="7"/>
  <c r="AK278" i="7"/>
  <c r="AJ278" i="7"/>
  <c r="AI278" i="7"/>
  <c r="AH278" i="7"/>
  <c r="AG278" i="7"/>
  <c r="AF278" i="7"/>
  <c r="AE278" i="7"/>
  <c r="AD278" i="7"/>
  <c r="AC278" i="7"/>
  <c r="AB278" i="7"/>
  <c r="AA278" i="7"/>
  <c r="Z278" i="7"/>
  <c r="Y278" i="7"/>
  <c r="X278" i="7"/>
  <c r="W278" i="7"/>
  <c r="V278" i="7"/>
  <c r="U278" i="7"/>
  <c r="T278" i="7"/>
  <c r="S278" i="7"/>
  <c r="R278" i="7"/>
  <c r="Q278" i="7"/>
  <c r="P278" i="7"/>
  <c r="O278" i="7"/>
  <c r="N278" i="7"/>
  <c r="M278" i="7"/>
  <c r="L278" i="7"/>
  <c r="K278" i="7"/>
  <c r="J278" i="7"/>
  <c r="I278" i="7"/>
  <c r="H278" i="7"/>
  <c r="G278" i="7"/>
  <c r="F278" i="7"/>
  <c r="D278" i="7"/>
  <c r="C278" i="7"/>
  <c r="B278" i="7"/>
  <c r="FQ277" i="7"/>
  <c r="FO277" i="7"/>
  <c r="FM277" i="7"/>
  <c r="FL277" i="7"/>
  <c r="FJ277" i="7"/>
  <c r="FH277" i="7"/>
  <c r="FG277" i="7"/>
  <c r="FE277" i="7"/>
  <c r="FC277" i="7"/>
  <c r="EZ277" i="7"/>
  <c r="EY277" i="7"/>
  <c r="EX277" i="7"/>
  <c r="EW277" i="7"/>
  <c r="EV277" i="7"/>
  <c r="EU277" i="7"/>
  <c r="ET277" i="7"/>
  <c r="ES277" i="7"/>
  <c r="ER277" i="7"/>
  <c r="EQ277" i="7"/>
  <c r="EP277" i="7"/>
  <c r="EO277" i="7"/>
  <c r="EN277" i="7"/>
  <c r="EM277" i="7"/>
  <c r="EI277" i="7"/>
  <c r="EG277" i="7"/>
  <c r="EE277" i="7"/>
  <c r="EC277" i="7"/>
  <c r="EA277" i="7"/>
  <c r="DY277" i="7"/>
  <c r="DW277" i="7"/>
  <c r="DU277" i="7"/>
  <c r="DS277" i="7"/>
  <c r="DR277" i="7"/>
  <c r="DP277" i="7"/>
  <c r="DN277" i="7"/>
  <c r="DM277" i="7"/>
  <c r="DK277" i="7"/>
  <c r="DI277" i="7"/>
  <c r="DH277" i="7"/>
  <c r="DF277" i="7"/>
  <c r="DD277" i="7"/>
  <c r="DC277" i="7"/>
  <c r="DA277" i="7"/>
  <c r="CY277" i="7"/>
  <c r="CX277" i="7"/>
  <c r="CV277" i="7"/>
  <c r="CT277" i="7"/>
  <c r="CS277" i="7"/>
  <c r="CR277" i="7"/>
  <c r="CQ277" i="7"/>
  <c r="CP277" i="7"/>
  <c r="CO277" i="7"/>
  <c r="CN277" i="7"/>
  <c r="CM277" i="7"/>
  <c r="CL277" i="7"/>
  <c r="CK277" i="7"/>
  <c r="CI277" i="7"/>
  <c r="CJ277" i="7" s="1"/>
  <c r="CH277" i="7"/>
  <c r="CG277" i="7"/>
  <c r="CE277" i="7"/>
  <c r="CF277" i="7" s="1"/>
  <c r="CD277" i="7"/>
  <c r="CC277" i="7"/>
  <c r="CA277" i="7"/>
  <c r="CB277" i="7" s="1"/>
  <c r="BZ277" i="7"/>
  <c r="BY277" i="7"/>
  <c r="BW277" i="7"/>
  <c r="BX277" i="7" s="1"/>
  <c r="BV277" i="7"/>
  <c r="BU277" i="7"/>
  <c r="BS277" i="7"/>
  <c r="BT277" i="7" s="1"/>
  <c r="BR277" i="7"/>
  <c r="BQ277" i="7"/>
  <c r="BO277" i="7"/>
  <c r="BP277" i="7" s="1"/>
  <c r="BN277" i="7"/>
  <c r="BM277" i="7"/>
  <c r="BK277" i="7"/>
  <c r="BL277" i="7" s="1"/>
  <c r="BJ277" i="7"/>
  <c r="BI277" i="7"/>
  <c r="BG277" i="7"/>
  <c r="BH277" i="7" s="1"/>
  <c r="BF277" i="7"/>
  <c r="BE277" i="7"/>
  <c r="BC277" i="7"/>
  <c r="BD277" i="7" s="1"/>
  <c r="BB277" i="7"/>
  <c r="AZ277" i="7"/>
  <c r="AX277" i="7"/>
  <c r="AW277" i="7"/>
  <c r="AV277" i="7"/>
  <c r="AU277" i="7"/>
  <c r="AT277" i="7"/>
  <c r="AS277" i="7"/>
  <c r="AR277" i="7"/>
  <c r="AQ277" i="7"/>
  <c r="AP277" i="7"/>
  <c r="AO277" i="7"/>
  <c r="AN277" i="7"/>
  <c r="AM277" i="7"/>
  <c r="AL277" i="7"/>
  <c r="AK277" i="7"/>
  <c r="AJ277" i="7"/>
  <c r="AI277" i="7"/>
  <c r="AH277" i="7"/>
  <c r="AG277" i="7"/>
  <c r="AF277" i="7"/>
  <c r="AE277" i="7"/>
  <c r="AD277" i="7"/>
  <c r="AC277" i="7"/>
  <c r="AB277" i="7"/>
  <c r="AA277" i="7"/>
  <c r="Z277" i="7"/>
  <c r="Y277" i="7"/>
  <c r="X277" i="7"/>
  <c r="W277" i="7"/>
  <c r="V277" i="7"/>
  <c r="U277" i="7"/>
  <c r="T277" i="7"/>
  <c r="S277" i="7"/>
  <c r="R277" i="7"/>
  <c r="Q277" i="7"/>
  <c r="P277" i="7"/>
  <c r="O277" i="7"/>
  <c r="N277" i="7"/>
  <c r="M277" i="7"/>
  <c r="L277" i="7"/>
  <c r="K277" i="7"/>
  <c r="J277" i="7"/>
  <c r="I277" i="7"/>
  <c r="H277" i="7"/>
  <c r="G277" i="7"/>
  <c r="F277" i="7"/>
  <c r="D277" i="7"/>
  <c r="C277" i="7"/>
  <c r="B277" i="7"/>
  <c r="FQ276" i="7"/>
  <c r="FO276" i="7"/>
  <c r="FM276" i="7"/>
  <c r="FL276" i="7"/>
  <c r="FJ276" i="7"/>
  <c r="FH276" i="7"/>
  <c r="FG276" i="7"/>
  <c r="FE276" i="7"/>
  <c r="FC276" i="7"/>
  <c r="EZ276" i="7"/>
  <c r="EY276" i="7"/>
  <c r="EX276" i="7"/>
  <c r="EW276" i="7"/>
  <c r="EV276" i="7"/>
  <c r="EU276" i="7"/>
  <c r="ET276" i="7"/>
  <c r="ES276" i="7"/>
  <c r="ER276" i="7"/>
  <c r="EQ276" i="7"/>
  <c r="EP276" i="7"/>
  <c r="EO276" i="7"/>
  <c r="EN276" i="7"/>
  <c r="EM276" i="7"/>
  <c r="EI276" i="7"/>
  <c r="EG276" i="7"/>
  <c r="EE276" i="7"/>
  <c r="EC276" i="7"/>
  <c r="EA276" i="7"/>
  <c r="DY276" i="7"/>
  <c r="DW276" i="7"/>
  <c r="DU276" i="7"/>
  <c r="DS276" i="7"/>
  <c r="DR276" i="7"/>
  <c r="DP276" i="7"/>
  <c r="DN276" i="7"/>
  <c r="DM276" i="7"/>
  <c r="DK276" i="7"/>
  <c r="DI276" i="7"/>
  <c r="DH276" i="7"/>
  <c r="DF276" i="7"/>
  <c r="DD276" i="7"/>
  <c r="DC276" i="7"/>
  <c r="DA276" i="7"/>
  <c r="CY276" i="7"/>
  <c r="CX276" i="7"/>
  <c r="CV276" i="7"/>
  <c r="CT276" i="7"/>
  <c r="CS276" i="7"/>
  <c r="CR276" i="7"/>
  <c r="CQ276" i="7"/>
  <c r="CP276" i="7"/>
  <c r="CO276" i="7"/>
  <c r="CN276" i="7"/>
  <c r="CM276" i="7"/>
  <c r="CL276" i="7"/>
  <c r="CK276" i="7"/>
  <c r="CI276" i="7"/>
  <c r="CJ276" i="7" s="1"/>
  <c r="CH276" i="7"/>
  <c r="CG276" i="7"/>
  <c r="CE276" i="7"/>
  <c r="CF276" i="7" s="1"/>
  <c r="CD276" i="7"/>
  <c r="CC276" i="7"/>
  <c r="CA276" i="7"/>
  <c r="CB276" i="7" s="1"/>
  <c r="BZ276" i="7"/>
  <c r="BY276" i="7"/>
  <c r="BW276" i="7"/>
  <c r="BX276" i="7" s="1"/>
  <c r="BV276" i="7"/>
  <c r="BU276" i="7"/>
  <c r="BS276" i="7"/>
  <c r="BT276" i="7" s="1"/>
  <c r="BR276" i="7"/>
  <c r="BQ276" i="7"/>
  <c r="BO276" i="7"/>
  <c r="BP276" i="7" s="1"/>
  <c r="BN276" i="7"/>
  <c r="BM276" i="7"/>
  <c r="BK276" i="7"/>
  <c r="BL276" i="7" s="1"/>
  <c r="BJ276" i="7"/>
  <c r="BI276" i="7"/>
  <c r="BG276" i="7"/>
  <c r="BH276" i="7" s="1"/>
  <c r="BF276" i="7"/>
  <c r="BE276" i="7"/>
  <c r="BC276" i="7"/>
  <c r="BD276" i="7" s="1"/>
  <c r="BB276" i="7"/>
  <c r="AZ276" i="7"/>
  <c r="AX276" i="7"/>
  <c r="AW276" i="7"/>
  <c r="AV276" i="7"/>
  <c r="AU276" i="7"/>
  <c r="AT276" i="7"/>
  <c r="AS276" i="7"/>
  <c r="AR276" i="7"/>
  <c r="AQ276" i="7"/>
  <c r="AP276" i="7"/>
  <c r="AO276" i="7"/>
  <c r="AN276" i="7"/>
  <c r="AM276" i="7"/>
  <c r="AL276" i="7"/>
  <c r="AK276" i="7"/>
  <c r="AJ276" i="7"/>
  <c r="AI276" i="7"/>
  <c r="AH276" i="7"/>
  <c r="AG276" i="7"/>
  <c r="AF276" i="7"/>
  <c r="AE276" i="7"/>
  <c r="AD276" i="7"/>
  <c r="AC276" i="7"/>
  <c r="AB276" i="7"/>
  <c r="AA276" i="7"/>
  <c r="Z276" i="7"/>
  <c r="Y276" i="7"/>
  <c r="X276" i="7"/>
  <c r="W276" i="7"/>
  <c r="V276" i="7"/>
  <c r="U276" i="7"/>
  <c r="T276" i="7"/>
  <c r="S276" i="7"/>
  <c r="R276" i="7"/>
  <c r="Q276" i="7"/>
  <c r="P276" i="7"/>
  <c r="O276" i="7"/>
  <c r="N276" i="7"/>
  <c r="M276" i="7"/>
  <c r="L276" i="7"/>
  <c r="K276" i="7"/>
  <c r="J276" i="7"/>
  <c r="I276" i="7"/>
  <c r="H276" i="7"/>
  <c r="G276" i="7"/>
  <c r="F276" i="7"/>
  <c r="D276" i="7"/>
  <c r="C276" i="7"/>
  <c r="B276" i="7"/>
  <c r="FQ275" i="7"/>
  <c r="FO275" i="7"/>
  <c r="FM275" i="7"/>
  <c r="FL275" i="7"/>
  <c r="FJ275" i="7"/>
  <c r="FH275" i="7"/>
  <c r="FG275" i="7"/>
  <c r="FE275" i="7"/>
  <c r="FC275" i="7"/>
  <c r="EZ275" i="7"/>
  <c r="EY275" i="7"/>
  <c r="EX275" i="7"/>
  <c r="EW275" i="7"/>
  <c r="EV275" i="7"/>
  <c r="EU275" i="7"/>
  <c r="ET275" i="7"/>
  <c r="ES275" i="7"/>
  <c r="ER275" i="7"/>
  <c r="EQ275" i="7"/>
  <c r="EP275" i="7"/>
  <c r="EO275" i="7"/>
  <c r="EN275" i="7"/>
  <c r="EM275" i="7"/>
  <c r="EI275" i="7"/>
  <c r="EG275" i="7"/>
  <c r="EE275" i="7"/>
  <c r="EC275" i="7"/>
  <c r="EA275" i="7"/>
  <c r="DY275" i="7"/>
  <c r="DW275" i="7"/>
  <c r="DU275" i="7"/>
  <c r="DS275" i="7"/>
  <c r="DR275" i="7"/>
  <c r="DP275" i="7"/>
  <c r="DN275" i="7"/>
  <c r="DM275" i="7"/>
  <c r="DK275" i="7"/>
  <c r="DI275" i="7"/>
  <c r="DH275" i="7"/>
  <c r="DF275" i="7"/>
  <c r="DD275" i="7"/>
  <c r="DC275" i="7"/>
  <c r="DA275" i="7"/>
  <c r="CY275" i="7"/>
  <c r="CX275" i="7"/>
  <c r="CV275" i="7"/>
  <c r="CT275" i="7"/>
  <c r="CS275" i="7"/>
  <c r="CR275" i="7"/>
  <c r="CQ275" i="7"/>
  <c r="CP275" i="7"/>
  <c r="CO275" i="7"/>
  <c r="CN275" i="7"/>
  <c r="CM275" i="7"/>
  <c r="CL275" i="7"/>
  <c r="CK275" i="7"/>
  <c r="CI275" i="7"/>
  <c r="CJ275" i="7" s="1"/>
  <c r="CH275" i="7"/>
  <c r="CG275" i="7"/>
  <c r="CE275" i="7"/>
  <c r="CF275" i="7" s="1"/>
  <c r="CD275" i="7"/>
  <c r="CC275" i="7"/>
  <c r="CA275" i="7"/>
  <c r="CB275" i="7" s="1"/>
  <c r="BZ275" i="7"/>
  <c r="BY275" i="7"/>
  <c r="BW275" i="7"/>
  <c r="BX275" i="7" s="1"/>
  <c r="BV275" i="7"/>
  <c r="BU275" i="7"/>
  <c r="BS275" i="7"/>
  <c r="BT275" i="7" s="1"/>
  <c r="BR275" i="7"/>
  <c r="BQ275" i="7"/>
  <c r="BO275" i="7"/>
  <c r="BP275" i="7" s="1"/>
  <c r="BN275" i="7"/>
  <c r="BM275" i="7"/>
  <c r="BK275" i="7"/>
  <c r="BL275" i="7" s="1"/>
  <c r="BJ275" i="7"/>
  <c r="BI275" i="7"/>
  <c r="BG275" i="7"/>
  <c r="BH275" i="7" s="1"/>
  <c r="BF275" i="7"/>
  <c r="BE275" i="7"/>
  <c r="BC275" i="7"/>
  <c r="BD275" i="7" s="1"/>
  <c r="BB275" i="7"/>
  <c r="AZ275" i="7"/>
  <c r="AX275" i="7"/>
  <c r="AW275" i="7"/>
  <c r="AV275" i="7"/>
  <c r="AU275" i="7"/>
  <c r="AT275" i="7"/>
  <c r="AS275" i="7"/>
  <c r="AR275" i="7"/>
  <c r="AQ275" i="7"/>
  <c r="AP275" i="7"/>
  <c r="AO275" i="7"/>
  <c r="AN275" i="7"/>
  <c r="AM275" i="7"/>
  <c r="AL275" i="7"/>
  <c r="AK275" i="7"/>
  <c r="AJ275" i="7"/>
  <c r="AI275" i="7"/>
  <c r="AH275" i="7"/>
  <c r="AG275" i="7"/>
  <c r="AF275" i="7"/>
  <c r="AE275" i="7"/>
  <c r="AD275" i="7"/>
  <c r="AC275" i="7"/>
  <c r="AB275" i="7"/>
  <c r="AA275" i="7"/>
  <c r="Z275" i="7"/>
  <c r="Y275" i="7"/>
  <c r="X275" i="7"/>
  <c r="W275" i="7"/>
  <c r="V275" i="7"/>
  <c r="U275" i="7"/>
  <c r="T275" i="7"/>
  <c r="S275" i="7"/>
  <c r="R275" i="7"/>
  <c r="Q275" i="7"/>
  <c r="P275" i="7"/>
  <c r="O275" i="7"/>
  <c r="N275" i="7"/>
  <c r="M275" i="7"/>
  <c r="L275" i="7"/>
  <c r="K275" i="7"/>
  <c r="J275" i="7"/>
  <c r="I275" i="7"/>
  <c r="H275" i="7"/>
  <c r="G275" i="7"/>
  <c r="F275" i="7"/>
  <c r="D275" i="7"/>
  <c r="C275" i="7"/>
  <c r="B275" i="7"/>
  <c r="FQ274" i="7"/>
  <c r="FO274" i="7"/>
  <c r="FM274" i="7"/>
  <c r="FL274" i="7"/>
  <c r="FJ274" i="7"/>
  <c r="FH274" i="7"/>
  <c r="FG274" i="7"/>
  <c r="FE274" i="7"/>
  <c r="FC274" i="7"/>
  <c r="EZ274" i="7"/>
  <c r="EY274" i="7"/>
  <c r="EX274" i="7"/>
  <c r="EW274" i="7"/>
  <c r="EV274" i="7"/>
  <c r="EU274" i="7"/>
  <c r="ET274" i="7"/>
  <c r="ES274" i="7"/>
  <c r="ER274" i="7"/>
  <c r="EQ274" i="7"/>
  <c r="EP274" i="7"/>
  <c r="EO274" i="7"/>
  <c r="EN274" i="7"/>
  <c r="EM274" i="7"/>
  <c r="EI274" i="7"/>
  <c r="EG274" i="7"/>
  <c r="EE274" i="7"/>
  <c r="EC274" i="7"/>
  <c r="EA274" i="7"/>
  <c r="DY274" i="7"/>
  <c r="DW274" i="7"/>
  <c r="DU274" i="7"/>
  <c r="DS274" i="7"/>
  <c r="DR274" i="7"/>
  <c r="DP274" i="7"/>
  <c r="DN274" i="7"/>
  <c r="DM274" i="7"/>
  <c r="DK274" i="7"/>
  <c r="DI274" i="7"/>
  <c r="DH274" i="7"/>
  <c r="DF274" i="7"/>
  <c r="DD274" i="7"/>
  <c r="DC274" i="7"/>
  <c r="DA274" i="7"/>
  <c r="CY274" i="7"/>
  <c r="CX274" i="7"/>
  <c r="CV274" i="7"/>
  <c r="CT274" i="7"/>
  <c r="CS274" i="7"/>
  <c r="CR274" i="7"/>
  <c r="CQ274" i="7"/>
  <c r="CP274" i="7"/>
  <c r="CO274" i="7"/>
  <c r="CN274" i="7"/>
  <c r="CM274" i="7"/>
  <c r="CL274" i="7"/>
  <c r="CK274" i="7"/>
  <c r="CI274" i="7"/>
  <c r="CJ274" i="7" s="1"/>
  <c r="CH274" i="7"/>
  <c r="CG274" i="7"/>
  <c r="CE274" i="7"/>
  <c r="CF274" i="7" s="1"/>
  <c r="CD274" i="7"/>
  <c r="CC274" i="7"/>
  <c r="CA274" i="7"/>
  <c r="CB274" i="7" s="1"/>
  <c r="BZ274" i="7"/>
  <c r="BY274" i="7"/>
  <c r="BW274" i="7"/>
  <c r="BX274" i="7" s="1"/>
  <c r="BV274" i="7"/>
  <c r="BU274" i="7"/>
  <c r="BS274" i="7"/>
  <c r="BT274" i="7" s="1"/>
  <c r="BR274" i="7"/>
  <c r="BQ274" i="7"/>
  <c r="BO274" i="7"/>
  <c r="BP274" i="7" s="1"/>
  <c r="BN274" i="7"/>
  <c r="BM274" i="7"/>
  <c r="BK274" i="7"/>
  <c r="BL274" i="7" s="1"/>
  <c r="BJ274" i="7"/>
  <c r="BI274" i="7"/>
  <c r="BG274" i="7"/>
  <c r="BH274" i="7" s="1"/>
  <c r="BF274" i="7"/>
  <c r="BE274" i="7"/>
  <c r="BC274" i="7"/>
  <c r="BD274" i="7" s="1"/>
  <c r="BB274" i="7"/>
  <c r="AZ274" i="7"/>
  <c r="AX274" i="7"/>
  <c r="AW274" i="7"/>
  <c r="AV274" i="7"/>
  <c r="AU274" i="7"/>
  <c r="AT274" i="7"/>
  <c r="AS274" i="7"/>
  <c r="AR274" i="7"/>
  <c r="AQ274" i="7"/>
  <c r="AP274" i="7"/>
  <c r="AO274" i="7"/>
  <c r="AN274" i="7"/>
  <c r="AM274" i="7"/>
  <c r="AL274" i="7"/>
  <c r="AK274" i="7"/>
  <c r="AJ274" i="7"/>
  <c r="AI274" i="7"/>
  <c r="AH274" i="7"/>
  <c r="AG274" i="7"/>
  <c r="AF274" i="7"/>
  <c r="AE274" i="7"/>
  <c r="AD274" i="7"/>
  <c r="AC274" i="7"/>
  <c r="AB274" i="7"/>
  <c r="AA274" i="7"/>
  <c r="Z274" i="7"/>
  <c r="Y274" i="7"/>
  <c r="X274" i="7"/>
  <c r="W274" i="7"/>
  <c r="V274" i="7"/>
  <c r="U274" i="7"/>
  <c r="T274" i="7"/>
  <c r="S274" i="7"/>
  <c r="R274" i="7"/>
  <c r="Q274" i="7"/>
  <c r="P274" i="7"/>
  <c r="O274" i="7"/>
  <c r="N274" i="7"/>
  <c r="M274" i="7"/>
  <c r="L274" i="7"/>
  <c r="K274" i="7"/>
  <c r="J274" i="7"/>
  <c r="I274" i="7"/>
  <c r="H274" i="7"/>
  <c r="G274" i="7"/>
  <c r="F274" i="7"/>
  <c r="D274" i="7"/>
  <c r="C274" i="7"/>
  <c r="B274" i="7"/>
  <c r="FQ273" i="7"/>
  <c r="FO273" i="7"/>
  <c r="FM273" i="7"/>
  <c r="FL273" i="7"/>
  <c r="FJ273" i="7"/>
  <c r="FH273" i="7"/>
  <c r="FG273" i="7"/>
  <c r="FE273" i="7"/>
  <c r="FC273" i="7"/>
  <c r="EZ273" i="7"/>
  <c r="EY273" i="7"/>
  <c r="EX273" i="7"/>
  <c r="EW273" i="7"/>
  <c r="EV273" i="7"/>
  <c r="EU273" i="7"/>
  <c r="ET273" i="7"/>
  <c r="ES273" i="7"/>
  <c r="ER273" i="7"/>
  <c r="EQ273" i="7"/>
  <c r="EP273" i="7"/>
  <c r="EO273" i="7"/>
  <c r="EN273" i="7"/>
  <c r="EM273" i="7"/>
  <c r="EI273" i="7"/>
  <c r="EG273" i="7"/>
  <c r="EE273" i="7"/>
  <c r="EC273" i="7"/>
  <c r="EA273" i="7"/>
  <c r="DY273" i="7"/>
  <c r="DW273" i="7"/>
  <c r="DU273" i="7"/>
  <c r="DS273" i="7"/>
  <c r="DR273" i="7"/>
  <c r="DP273" i="7"/>
  <c r="DN273" i="7"/>
  <c r="DM273" i="7"/>
  <c r="DK273" i="7"/>
  <c r="DI273" i="7"/>
  <c r="DH273" i="7"/>
  <c r="DF273" i="7"/>
  <c r="DD273" i="7"/>
  <c r="DC273" i="7"/>
  <c r="DA273" i="7"/>
  <c r="CY273" i="7"/>
  <c r="CX273" i="7"/>
  <c r="CV273" i="7"/>
  <c r="CT273" i="7"/>
  <c r="CS273" i="7"/>
  <c r="CR273" i="7"/>
  <c r="CQ273" i="7"/>
  <c r="CP273" i="7"/>
  <c r="CO273" i="7"/>
  <c r="CN273" i="7"/>
  <c r="CM273" i="7"/>
  <c r="CL273" i="7"/>
  <c r="CK273" i="7"/>
  <c r="CI273" i="7"/>
  <c r="CJ273" i="7" s="1"/>
  <c r="CH273" i="7"/>
  <c r="CG273" i="7"/>
  <c r="CE273" i="7"/>
  <c r="CF273" i="7" s="1"/>
  <c r="CD273" i="7"/>
  <c r="CC273" i="7"/>
  <c r="CA273" i="7"/>
  <c r="CB273" i="7" s="1"/>
  <c r="BZ273" i="7"/>
  <c r="BY273" i="7"/>
  <c r="BW273" i="7"/>
  <c r="BX273" i="7" s="1"/>
  <c r="BV273" i="7"/>
  <c r="BU273" i="7"/>
  <c r="BS273" i="7"/>
  <c r="BT273" i="7" s="1"/>
  <c r="BR273" i="7"/>
  <c r="BQ273" i="7"/>
  <c r="BO273" i="7"/>
  <c r="BP273" i="7" s="1"/>
  <c r="BN273" i="7"/>
  <c r="BM273" i="7"/>
  <c r="BK273" i="7"/>
  <c r="BL273" i="7" s="1"/>
  <c r="BJ273" i="7"/>
  <c r="BI273" i="7"/>
  <c r="BG273" i="7"/>
  <c r="BH273" i="7" s="1"/>
  <c r="BF273" i="7"/>
  <c r="BE273" i="7"/>
  <c r="BC273" i="7"/>
  <c r="BD273" i="7" s="1"/>
  <c r="BB273" i="7"/>
  <c r="AZ273" i="7"/>
  <c r="AX273" i="7"/>
  <c r="AW273" i="7"/>
  <c r="AV273" i="7"/>
  <c r="AU273" i="7"/>
  <c r="AT273" i="7"/>
  <c r="AS273" i="7"/>
  <c r="AR273" i="7"/>
  <c r="AQ273" i="7"/>
  <c r="AP273" i="7"/>
  <c r="AO273" i="7"/>
  <c r="AN273" i="7"/>
  <c r="AM273" i="7"/>
  <c r="AL273" i="7"/>
  <c r="AK273" i="7"/>
  <c r="AJ273" i="7"/>
  <c r="AI273" i="7"/>
  <c r="AH273" i="7"/>
  <c r="AG273" i="7"/>
  <c r="AF273" i="7"/>
  <c r="AE273" i="7"/>
  <c r="AD273" i="7"/>
  <c r="AC273" i="7"/>
  <c r="AB273" i="7"/>
  <c r="AA273" i="7"/>
  <c r="Z273" i="7"/>
  <c r="Y273" i="7"/>
  <c r="X273" i="7"/>
  <c r="W273" i="7"/>
  <c r="V273" i="7"/>
  <c r="U273" i="7"/>
  <c r="T273" i="7"/>
  <c r="S273" i="7"/>
  <c r="R273" i="7"/>
  <c r="Q273" i="7"/>
  <c r="P273" i="7"/>
  <c r="O273" i="7"/>
  <c r="N273" i="7"/>
  <c r="M273" i="7"/>
  <c r="L273" i="7"/>
  <c r="K273" i="7"/>
  <c r="J273" i="7"/>
  <c r="I273" i="7"/>
  <c r="H273" i="7"/>
  <c r="G273" i="7"/>
  <c r="F273" i="7"/>
  <c r="D273" i="7"/>
  <c r="C273" i="7"/>
  <c r="B273" i="7"/>
  <c r="FQ272" i="7"/>
  <c r="FO272" i="7"/>
  <c r="FM272" i="7"/>
  <c r="FL272" i="7"/>
  <c r="FJ272" i="7"/>
  <c r="FH272" i="7"/>
  <c r="FG272" i="7"/>
  <c r="FE272" i="7"/>
  <c r="FC272" i="7"/>
  <c r="EZ272" i="7"/>
  <c r="EY272" i="7"/>
  <c r="EX272" i="7"/>
  <c r="EW272" i="7"/>
  <c r="EV272" i="7"/>
  <c r="EU272" i="7"/>
  <c r="ET272" i="7"/>
  <c r="ES272" i="7"/>
  <c r="ER272" i="7"/>
  <c r="EQ272" i="7"/>
  <c r="EP272" i="7"/>
  <c r="EO272" i="7"/>
  <c r="EN272" i="7"/>
  <c r="EM272" i="7"/>
  <c r="EI272" i="7"/>
  <c r="EG272" i="7"/>
  <c r="EE272" i="7"/>
  <c r="EC272" i="7"/>
  <c r="EA272" i="7"/>
  <c r="DY272" i="7"/>
  <c r="DW272" i="7"/>
  <c r="DU272" i="7"/>
  <c r="DS272" i="7"/>
  <c r="DR272" i="7"/>
  <c r="DP272" i="7"/>
  <c r="DN272" i="7"/>
  <c r="DM272" i="7"/>
  <c r="DK272" i="7"/>
  <c r="DI272" i="7"/>
  <c r="DH272" i="7"/>
  <c r="DF272" i="7"/>
  <c r="DD272" i="7"/>
  <c r="DC272" i="7"/>
  <c r="DA272" i="7"/>
  <c r="CY272" i="7"/>
  <c r="CX272" i="7"/>
  <c r="CV272" i="7"/>
  <c r="CT272" i="7"/>
  <c r="CS272" i="7"/>
  <c r="CR272" i="7"/>
  <c r="CQ272" i="7"/>
  <c r="CP272" i="7"/>
  <c r="CO272" i="7"/>
  <c r="CN272" i="7"/>
  <c r="CM272" i="7"/>
  <c r="CL272" i="7"/>
  <c r="CK272" i="7"/>
  <c r="CI272" i="7"/>
  <c r="CJ272" i="7" s="1"/>
  <c r="CH272" i="7"/>
  <c r="CG272" i="7"/>
  <c r="CE272" i="7"/>
  <c r="CF272" i="7" s="1"/>
  <c r="CD272" i="7"/>
  <c r="CC272" i="7"/>
  <c r="CA272" i="7"/>
  <c r="CB272" i="7" s="1"/>
  <c r="BZ272" i="7"/>
  <c r="BY272" i="7"/>
  <c r="BW272" i="7"/>
  <c r="BX272" i="7" s="1"/>
  <c r="BV272" i="7"/>
  <c r="BU272" i="7"/>
  <c r="BS272" i="7"/>
  <c r="BT272" i="7" s="1"/>
  <c r="BR272" i="7"/>
  <c r="BQ272" i="7"/>
  <c r="BO272" i="7"/>
  <c r="BP272" i="7" s="1"/>
  <c r="BN272" i="7"/>
  <c r="BM272" i="7"/>
  <c r="BK272" i="7"/>
  <c r="BL272" i="7" s="1"/>
  <c r="BJ272" i="7"/>
  <c r="BI272" i="7"/>
  <c r="BG272" i="7"/>
  <c r="BH272" i="7" s="1"/>
  <c r="BF272" i="7"/>
  <c r="BE272" i="7"/>
  <c r="BC272" i="7"/>
  <c r="BD272" i="7" s="1"/>
  <c r="BB272" i="7"/>
  <c r="AZ272" i="7"/>
  <c r="AX272" i="7"/>
  <c r="AW272" i="7"/>
  <c r="AV272" i="7"/>
  <c r="AU272" i="7"/>
  <c r="AT272" i="7"/>
  <c r="AS272" i="7"/>
  <c r="AR272" i="7"/>
  <c r="AQ272" i="7"/>
  <c r="AP272" i="7"/>
  <c r="AO272" i="7"/>
  <c r="AN272" i="7"/>
  <c r="AM272" i="7"/>
  <c r="AL272" i="7"/>
  <c r="AK272" i="7"/>
  <c r="AJ272" i="7"/>
  <c r="AI272" i="7"/>
  <c r="AH272" i="7"/>
  <c r="AG272" i="7"/>
  <c r="AF272" i="7"/>
  <c r="AE272" i="7"/>
  <c r="AD272" i="7"/>
  <c r="AC272" i="7"/>
  <c r="AB272" i="7"/>
  <c r="AA272" i="7"/>
  <c r="Z272" i="7"/>
  <c r="Y272" i="7"/>
  <c r="X272" i="7"/>
  <c r="W272" i="7"/>
  <c r="V272" i="7"/>
  <c r="U272" i="7"/>
  <c r="T272" i="7"/>
  <c r="S272" i="7"/>
  <c r="R272" i="7"/>
  <c r="Q272" i="7"/>
  <c r="P272" i="7"/>
  <c r="O272" i="7"/>
  <c r="N272" i="7"/>
  <c r="M272" i="7"/>
  <c r="L272" i="7"/>
  <c r="K272" i="7"/>
  <c r="J272" i="7"/>
  <c r="I272" i="7"/>
  <c r="H272" i="7"/>
  <c r="G272" i="7"/>
  <c r="F272" i="7"/>
  <c r="D272" i="7"/>
  <c r="C272" i="7"/>
  <c r="B272" i="7"/>
  <c r="FQ271" i="7"/>
  <c r="FO271" i="7"/>
  <c r="FM271" i="7"/>
  <c r="FL271" i="7"/>
  <c r="FJ271" i="7"/>
  <c r="FH271" i="7"/>
  <c r="FG271" i="7"/>
  <c r="FE271" i="7"/>
  <c r="FC271" i="7"/>
  <c r="EZ271" i="7"/>
  <c r="EY271" i="7"/>
  <c r="EX271" i="7"/>
  <c r="EW271" i="7"/>
  <c r="EV271" i="7"/>
  <c r="EU271" i="7"/>
  <c r="ET271" i="7"/>
  <c r="ES271" i="7"/>
  <c r="ER271" i="7"/>
  <c r="EQ271" i="7"/>
  <c r="EP271" i="7"/>
  <c r="EO271" i="7"/>
  <c r="EN271" i="7"/>
  <c r="EM271" i="7"/>
  <c r="EI271" i="7"/>
  <c r="EG271" i="7"/>
  <c r="EE271" i="7"/>
  <c r="EC271" i="7"/>
  <c r="EA271" i="7"/>
  <c r="DY271" i="7"/>
  <c r="DW271" i="7"/>
  <c r="DU271" i="7"/>
  <c r="DS271" i="7"/>
  <c r="DR271" i="7"/>
  <c r="DP271" i="7"/>
  <c r="DN271" i="7"/>
  <c r="DM271" i="7"/>
  <c r="DK271" i="7"/>
  <c r="DI271" i="7"/>
  <c r="DH271" i="7"/>
  <c r="DF271" i="7"/>
  <c r="DD271" i="7"/>
  <c r="DC271" i="7"/>
  <c r="DA271" i="7"/>
  <c r="CY271" i="7"/>
  <c r="CX271" i="7"/>
  <c r="CV271" i="7"/>
  <c r="CT271" i="7"/>
  <c r="CS271" i="7"/>
  <c r="CR271" i="7"/>
  <c r="CQ271" i="7"/>
  <c r="CP271" i="7"/>
  <c r="CO271" i="7"/>
  <c r="CN271" i="7"/>
  <c r="CM271" i="7"/>
  <c r="CL271" i="7"/>
  <c r="CK271" i="7"/>
  <c r="CI271" i="7"/>
  <c r="CJ271" i="7" s="1"/>
  <c r="CH271" i="7"/>
  <c r="CG271" i="7"/>
  <c r="CE271" i="7"/>
  <c r="CF271" i="7" s="1"/>
  <c r="CD271" i="7"/>
  <c r="CC271" i="7"/>
  <c r="CA271" i="7"/>
  <c r="CB271" i="7" s="1"/>
  <c r="BZ271" i="7"/>
  <c r="BY271" i="7"/>
  <c r="BW271" i="7"/>
  <c r="BX271" i="7" s="1"/>
  <c r="BV271" i="7"/>
  <c r="BU271" i="7"/>
  <c r="BS271" i="7"/>
  <c r="BT271" i="7" s="1"/>
  <c r="BR271" i="7"/>
  <c r="BQ271" i="7"/>
  <c r="BO271" i="7"/>
  <c r="BP271" i="7" s="1"/>
  <c r="BN271" i="7"/>
  <c r="BM271" i="7"/>
  <c r="BK271" i="7"/>
  <c r="BL271" i="7" s="1"/>
  <c r="BJ271" i="7"/>
  <c r="BI271" i="7"/>
  <c r="BG271" i="7"/>
  <c r="BH271" i="7" s="1"/>
  <c r="BF271" i="7"/>
  <c r="BE271" i="7"/>
  <c r="BC271" i="7"/>
  <c r="BD271" i="7" s="1"/>
  <c r="BB271" i="7"/>
  <c r="AZ271" i="7"/>
  <c r="AX271" i="7"/>
  <c r="AW271" i="7"/>
  <c r="AV271" i="7"/>
  <c r="AU271" i="7"/>
  <c r="AT271" i="7"/>
  <c r="AS271" i="7"/>
  <c r="AR271" i="7"/>
  <c r="AQ271" i="7"/>
  <c r="AP271" i="7"/>
  <c r="AO271" i="7"/>
  <c r="AN271" i="7"/>
  <c r="AM271" i="7"/>
  <c r="AL271" i="7"/>
  <c r="AK271" i="7"/>
  <c r="AJ271" i="7"/>
  <c r="AI271" i="7"/>
  <c r="AH271" i="7"/>
  <c r="AG271" i="7"/>
  <c r="AF271" i="7"/>
  <c r="AE271" i="7"/>
  <c r="AD271" i="7"/>
  <c r="AC271" i="7"/>
  <c r="AB271" i="7"/>
  <c r="AA271" i="7"/>
  <c r="Z271" i="7"/>
  <c r="Y271" i="7"/>
  <c r="X271" i="7"/>
  <c r="W271" i="7"/>
  <c r="V271" i="7"/>
  <c r="U271" i="7"/>
  <c r="T271" i="7"/>
  <c r="S271" i="7"/>
  <c r="R271" i="7"/>
  <c r="Q271" i="7"/>
  <c r="P271" i="7"/>
  <c r="O271" i="7"/>
  <c r="N271" i="7"/>
  <c r="M271" i="7"/>
  <c r="L271" i="7"/>
  <c r="K271" i="7"/>
  <c r="J271" i="7"/>
  <c r="I271" i="7"/>
  <c r="H271" i="7"/>
  <c r="G271" i="7"/>
  <c r="F271" i="7"/>
  <c r="D271" i="7"/>
  <c r="C271" i="7"/>
  <c r="B271" i="7"/>
  <c r="FQ270" i="7"/>
  <c r="FO270" i="7"/>
  <c r="FM270" i="7"/>
  <c r="FL270" i="7"/>
  <c r="FJ270" i="7"/>
  <c r="FH270" i="7"/>
  <c r="FG270" i="7"/>
  <c r="FE270" i="7"/>
  <c r="FC270" i="7"/>
  <c r="EZ270" i="7"/>
  <c r="EY270" i="7"/>
  <c r="EX270" i="7"/>
  <c r="EW270" i="7"/>
  <c r="EV270" i="7"/>
  <c r="EU270" i="7"/>
  <c r="ET270" i="7"/>
  <c r="ES270" i="7"/>
  <c r="ER270" i="7"/>
  <c r="EQ270" i="7"/>
  <c r="EP270" i="7"/>
  <c r="EO270" i="7"/>
  <c r="EN270" i="7"/>
  <c r="EM270" i="7"/>
  <c r="EI270" i="7"/>
  <c r="EG270" i="7"/>
  <c r="EE270" i="7"/>
  <c r="EC270" i="7"/>
  <c r="EA270" i="7"/>
  <c r="DY270" i="7"/>
  <c r="DW270" i="7"/>
  <c r="DU270" i="7"/>
  <c r="DS270" i="7"/>
  <c r="DR270" i="7"/>
  <c r="DP270" i="7"/>
  <c r="DN270" i="7"/>
  <c r="DM270" i="7"/>
  <c r="DK270" i="7"/>
  <c r="DI270" i="7"/>
  <c r="DH270" i="7"/>
  <c r="DF270" i="7"/>
  <c r="DD270" i="7"/>
  <c r="DC270" i="7"/>
  <c r="DA270" i="7"/>
  <c r="CY270" i="7"/>
  <c r="CX270" i="7"/>
  <c r="CV270" i="7"/>
  <c r="CT270" i="7"/>
  <c r="CS270" i="7"/>
  <c r="CR270" i="7"/>
  <c r="CQ270" i="7"/>
  <c r="CP270" i="7"/>
  <c r="CO270" i="7"/>
  <c r="CN270" i="7"/>
  <c r="CM270" i="7"/>
  <c r="CL270" i="7"/>
  <c r="CK270" i="7"/>
  <c r="CI270" i="7"/>
  <c r="CJ270" i="7" s="1"/>
  <c r="CH270" i="7"/>
  <c r="CG270" i="7"/>
  <c r="CE270" i="7"/>
  <c r="CF270" i="7" s="1"/>
  <c r="CD270" i="7"/>
  <c r="CC270" i="7"/>
  <c r="CA270" i="7"/>
  <c r="CB270" i="7" s="1"/>
  <c r="BZ270" i="7"/>
  <c r="BY270" i="7"/>
  <c r="BW270" i="7"/>
  <c r="BX270" i="7" s="1"/>
  <c r="BV270" i="7"/>
  <c r="BU270" i="7"/>
  <c r="BS270" i="7"/>
  <c r="BT270" i="7" s="1"/>
  <c r="BR270" i="7"/>
  <c r="BQ270" i="7"/>
  <c r="BO270" i="7"/>
  <c r="BP270" i="7" s="1"/>
  <c r="BN270" i="7"/>
  <c r="BM270" i="7"/>
  <c r="BK270" i="7"/>
  <c r="BL270" i="7" s="1"/>
  <c r="BJ270" i="7"/>
  <c r="BI270" i="7"/>
  <c r="BG270" i="7"/>
  <c r="BH270" i="7" s="1"/>
  <c r="BF270" i="7"/>
  <c r="BE270" i="7"/>
  <c r="BC270" i="7"/>
  <c r="BD270" i="7" s="1"/>
  <c r="BB270" i="7"/>
  <c r="AZ270" i="7"/>
  <c r="AX270" i="7"/>
  <c r="AW270" i="7"/>
  <c r="AV270" i="7"/>
  <c r="AU270" i="7"/>
  <c r="AT270" i="7"/>
  <c r="AS270" i="7"/>
  <c r="AR270" i="7"/>
  <c r="AQ270" i="7"/>
  <c r="AP270" i="7"/>
  <c r="AO270" i="7"/>
  <c r="AN270" i="7"/>
  <c r="AM270" i="7"/>
  <c r="AL270" i="7"/>
  <c r="AK270" i="7"/>
  <c r="AJ270" i="7"/>
  <c r="AI270" i="7"/>
  <c r="AH270" i="7"/>
  <c r="AG270" i="7"/>
  <c r="AF270" i="7"/>
  <c r="AE270" i="7"/>
  <c r="AD270" i="7"/>
  <c r="AC270" i="7"/>
  <c r="AB270" i="7"/>
  <c r="AA270" i="7"/>
  <c r="Z270" i="7"/>
  <c r="Y270" i="7"/>
  <c r="X270" i="7"/>
  <c r="W270" i="7"/>
  <c r="V270" i="7"/>
  <c r="U270" i="7"/>
  <c r="T270" i="7"/>
  <c r="S270" i="7"/>
  <c r="R270" i="7"/>
  <c r="Q270" i="7"/>
  <c r="P270" i="7"/>
  <c r="O270" i="7"/>
  <c r="N270" i="7"/>
  <c r="M270" i="7"/>
  <c r="L270" i="7"/>
  <c r="K270" i="7"/>
  <c r="J270" i="7"/>
  <c r="I270" i="7"/>
  <c r="H270" i="7"/>
  <c r="G270" i="7"/>
  <c r="F270" i="7"/>
  <c r="D270" i="7"/>
  <c r="C270" i="7"/>
  <c r="B270" i="7"/>
  <c r="FQ269" i="7"/>
  <c r="FO269" i="7"/>
  <c r="FM269" i="7"/>
  <c r="FL269" i="7"/>
  <c r="FJ269" i="7"/>
  <c r="FH269" i="7"/>
  <c r="FG269" i="7"/>
  <c r="FE269" i="7"/>
  <c r="FC269" i="7"/>
  <c r="EZ269" i="7"/>
  <c r="EY269" i="7"/>
  <c r="EX269" i="7"/>
  <c r="EW269" i="7"/>
  <c r="EV269" i="7"/>
  <c r="EU269" i="7"/>
  <c r="ET269" i="7"/>
  <c r="ES269" i="7"/>
  <c r="ER269" i="7"/>
  <c r="EQ269" i="7"/>
  <c r="EP269" i="7"/>
  <c r="EO269" i="7"/>
  <c r="EN269" i="7"/>
  <c r="EM269" i="7"/>
  <c r="EI269" i="7"/>
  <c r="EG269" i="7"/>
  <c r="EE269" i="7"/>
  <c r="EC269" i="7"/>
  <c r="EA269" i="7"/>
  <c r="DY269" i="7"/>
  <c r="DW269" i="7"/>
  <c r="DU269" i="7"/>
  <c r="DS269" i="7"/>
  <c r="DR269" i="7"/>
  <c r="DP269" i="7"/>
  <c r="DN269" i="7"/>
  <c r="DM269" i="7"/>
  <c r="DK269" i="7"/>
  <c r="DI269" i="7"/>
  <c r="DH269" i="7"/>
  <c r="DF269" i="7"/>
  <c r="DD269" i="7"/>
  <c r="DC269" i="7"/>
  <c r="DA269" i="7"/>
  <c r="CY269" i="7"/>
  <c r="CX269" i="7"/>
  <c r="CV269" i="7"/>
  <c r="CT269" i="7"/>
  <c r="CS269" i="7"/>
  <c r="CR269" i="7"/>
  <c r="CQ269" i="7"/>
  <c r="CP269" i="7"/>
  <c r="CO269" i="7"/>
  <c r="CN269" i="7"/>
  <c r="CM269" i="7"/>
  <c r="CL269" i="7"/>
  <c r="CK269" i="7"/>
  <c r="CI269" i="7"/>
  <c r="CJ269" i="7" s="1"/>
  <c r="CH269" i="7"/>
  <c r="CG269" i="7"/>
  <c r="CE269" i="7"/>
  <c r="CF269" i="7" s="1"/>
  <c r="CD269" i="7"/>
  <c r="CC269" i="7"/>
  <c r="CA269" i="7"/>
  <c r="CB269" i="7" s="1"/>
  <c r="BZ269" i="7"/>
  <c r="BY269" i="7"/>
  <c r="BW269" i="7"/>
  <c r="BX269" i="7" s="1"/>
  <c r="BV269" i="7"/>
  <c r="BU269" i="7"/>
  <c r="BS269" i="7"/>
  <c r="BT269" i="7" s="1"/>
  <c r="BR269" i="7"/>
  <c r="BQ269" i="7"/>
  <c r="BO269" i="7"/>
  <c r="BP269" i="7" s="1"/>
  <c r="BN269" i="7"/>
  <c r="BM269" i="7"/>
  <c r="BK269" i="7"/>
  <c r="BL269" i="7" s="1"/>
  <c r="BJ269" i="7"/>
  <c r="BI269" i="7"/>
  <c r="BG269" i="7"/>
  <c r="BH269" i="7" s="1"/>
  <c r="BF269" i="7"/>
  <c r="BE269" i="7"/>
  <c r="BC269" i="7"/>
  <c r="BD269" i="7" s="1"/>
  <c r="BB269" i="7"/>
  <c r="AZ269" i="7"/>
  <c r="AX269" i="7"/>
  <c r="AW269" i="7"/>
  <c r="AV269" i="7"/>
  <c r="AU269" i="7"/>
  <c r="AT269" i="7"/>
  <c r="AS269" i="7"/>
  <c r="AR269" i="7"/>
  <c r="AQ269" i="7"/>
  <c r="AP269" i="7"/>
  <c r="AO269" i="7"/>
  <c r="AN269" i="7"/>
  <c r="AM269" i="7"/>
  <c r="AL269" i="7"/>
  <c r="AK269" i="7"/>
  <c r="AJ269" i="7"/>
  <c r="AI269" i="7"/>
  <c r="AH269" i="7"/>
  <c r="AG269" i="7"/>
  <c r="AF269" i="7"/>
  <c r="AE269" i="7"/>
  <c r="AD269" i="7"/>
  <c r="AC269" i="7"/>
  <c r="AB269" i="7"/>
  <c r="AA269" i="7"/>
  <c r="Z269" i="7"/>
  <c r="Y269" i="7"/>
  <c r="X269" i="7"/>
  <c r="W269" i="7"/>
  <c r="V269" i="7"/>
  <c r="U269" i="7"/>
  <c r="T269" i="7"/>
  <c r="S269" i="7"/>
  <c r="R269" i="7"/>
  <c r="Q269" i="7"/>
  <c r="P269" i="7"/>
  <c r="O269" i="7"/>
  <c r="N269" i="7"/>
  <c r="M269" i="7"/>
  <c r="L269" i="7"/>
  <c r="K269" i="7"/>
  <c r="J269" i="7"/>
  <c r="I269" i="7"/>
  <c r="H269" i="7"/>
  <c r="G269" i="7"/>
  <c r="F269" i="7"/>
  <c r="D269" i="7"/>
  <c r="C269" i="7"/>
  <c r="B269" i="7"/>
  <c r="FQ268" i="7"/>
  <c r="FO268" i="7"/>
  <c r="FM268" i="7"/>
  <c r="FL268" i="7"/>
  <c r="FJ268" i="7"/>
  <c r="FH268" i="7"/>
  <c r="FG268" i="7"/>
  <c r="FE268" i="7"/>
  <c r="FC268" i="7"/>
  <c r="EZ268" i="7"/>
  <c r="EY268" i="7"/>
  <c r="EX268" i="7"/>
  <c r="EW268" i="7"/>
  <c r="EV268" i="7"/>
  <c r="EU268" i="7"/>
  <c r="ET268" i="7"/>
  <c r="ES268" i="7"/>
  <c r="ER268" i="7"/>
  <c r="EQ268" i="7"/>
  <c r="EP268" i="7"/>
  <c r="EO268" i="7"/>
  <c r="EN268" i="7"/>
  <c r="EM268" i="7"/>
  <c r="EI268" i="7"/>
  <c r="EG268" i="7"/>
  <c r="EE268" i="7"/>
  <c r="EC268" i="7"/>
  <c r="EA268" i="7"/>
  <c r="DY268" i="7"/>
  <c r="DW268" i="7"/>
  <c r="DU268" i="7"/>
  <c r="DS268" i="7"/>
  <c r="DR268" i="7"/>
  <c r="DP268" i="7"/>
  <c r="DN268" i="7"/>
  <c r="DM268" i="7"/>
  <c r="DK268" i="7"/>
  <c r="DI268" i="7"/>
  <c r="DH268" i="7"/>
  <c r="DF268" i="7"/>
  <c r="DD268" i="7"/>
  <c r="DC268" i="7"/>
  <c r="DA268" i="7"/>
  <c r="CY268" i="7"/>
  <c r="CX268" i="7"/>
  <c r="CV268" i="7"/>
  <c r="CT268" i="7"/>
  <c r="CS268" i="7"/>
  <c r="CR268" i="7"/>
  <c r="CQ268" i="7"/>
  <c r="CP268" i="7"/>
  <c r="CO268" i="7"/>
  <c r="CN268" i="7"/>
  <c r="CM268" i="7"/>
  <c r="CL268" i="7"/>
  <c r="CK268" i="7"/>
  <c r="CI268" i="7"/>
  <c r="CJ268" i="7" s="1"/>
  <c r="CH268" i="7"/>
  <c r="CG268" i="7"/>
  <c r="CE268" i="7"/>
  <c r="CF268" i="7" s="1"/>
  <c r="CD268" i="7"/>
  <c r="CC268" i="7"/>
  <c r="CA268" i="7"/>
  <c r="CB268" i="7" s="1"/>
  <c r="BZ268" i="7"/>
  <c r="BY268" i="7"/>
  <c r="BW268" i="7"/>
  <c r="BX268" i="7" s="1"/>
  <c r="BV268" i="7"/>
  <c r="BU268" i="7"/>
  <c r="BS268" i="7"/>
  <c r="BT268" i="7" s="1"/>
  <c r="BR268" i="7"/>
  <c r="BQ268" i="7"/>
  <c r="BO268" i="7"/>
  <c r="BP268" i="7" s="1"/>
  <c r="BN268" i="7"/>
  <c r="BM268" i="7"/>
  <c r="BK268" i="7"/>
  <c r="BL268" i="7" s="1"/>
  <c r="BJ268" i="7"/>
  <c r="BI268" i="7"/>
  <c r="BG268" i="7"/>
  <c r="BH268" i="7" s="1"/>
  <c r="BF268" i="7"/>
  <c r="BE268" i="7"/>
  <c r="BC268" i="7"/>
  <c r="BD268" i="7" s="1"/>
  <c r="BB268" i="7"/>
  <c r="AZ268" i="7"/>
  <c r="AX268" i="7"/>
  <c r="AW268" i="7"/>
  <c r="AV268" i="7"/>
  <c r="AU268" i="7"/>
  <c r="AT268" i="7"/>
  <c r="AS268" i="7"/>
  <c r="AR268" i="7"/>
  <c r="AQ268" i="7"/>
  <c r="AP268" i="7"/>
  <c r="AO268" i="7"/>
  <c r="AN268" i="7"/>
  <c r="AM268" i="7"/>
  <c r="AL268" i="7"/>
  <c r="AK268" i="7"/>
  <c r="AJ268" i="7"/>
  <c r="AI268" i="7"/>
  <c r="AH268" i="7"/>
  <c r="AG268" i="7"/>
  <c r="AF268" i="7"/>
  <c r="AE268" i="7"/>
  <c r="AD268" i="7"/>
  <c r="AC268" i="7"/>
  <c r="AB268" i="7"/>
  <c r="AA268" i="7"/>
  <c r="Z268" i="7"/>
  <c r="Y268" i="7"/>
  <c r="X268" i="7"/>
  <c r="W268" i="7"/>
  <c r="V268" i="7"/>
  <c r="U268" i="7"/>
  <c r="T268" i="7"/>
  <c r="S268" i="7"/>
  <c r="R268" i="7"/>
  <c r="Q268" i="7"/>
  <c r="P268" i="7"/>
  <c r="O268" i="7"/>
  <c r="N268" i="7"/>
  <c r="M268" i="7"/>
  <c r="L268" i="7"/>
  <c r="K268" i="7"/>
  <c r="J268" i="7"/>
  <c r="I268" i="7"/>
  <c r="H268" i="7"/>
  <c r="G268" i="7"/>
  <c r="F268" i="7"/>
  <c r="D268" i="7"/>
  <c r="C268" i="7"/>
  <c r="B268" i="7"/>
  <c r="FQ267" i="7"/>
  <c r="FO267" i="7"/>
  <c r="FM267" i="7"/>
  <c r="FL267" i="7"/>
  <c r="FJ267" i="7"/>
  <c r="FH267" i="7"/>
  <c r="FG267" i="7"/>
  <c r="FE267" i="7"/>
  <c r="FC267" i="7"/>
  <c r="EZ267" i="7"/>
  <c r="EY267" i="7"/>
  <c r="EX267" i="7"/>
  <c r="EW267" i="7"/>
  <c r="EV267" i="7"/>
  <c r="EU267" i="7"/>
  <c r="ET267" i="7"/>
  <c r="ES267" i="7"/>
  <c r="ER267" i="7"/>
  <c r="EQ267" i="7"/>
  <c r="EP267" i="7"/>
  <c r="EO267" i="7"/>
  <c r="EN267" i="7"/>
  <c r="EM267" i="7"/>
  <c r="EI267" i="7"/>
  <c r="EG267" i="7"/>
  <c r="EE267" i="7"/>
  <c r="EC267" i="7"/>
  <c r="EA267" i="7"/>
  <c r="DY267" i="7"/>
  <c r="DW267" i="7"/>
  <c r="DU267" i="7"/>
  <c r="DS267" i="7"/>
  <c r="DR267" i="7"/>
  <c r="DP267" i="7"/>
  <c r="DN267" i="7"/>
  <c r="DM267" i="7"/>
  <c r="DK267" i="7"/>
  <c r="DI267" i="7"/>
  <c r="DH267" i="7"/>
  <c r="DF267" i="7"/>
  <c r="DD267" i="7"/>
  <c r="DC267" i="7"/>
  <c r="DA267" i="7"/>
  <c r="CY267" i="7"/>
  <c r="CX267" i="7"/>
  <c r="CV267" i="7"/>
  <c r="CT267" i="7"/>
  <c r="CS267" i="7"/>
  <c r="CR267" i="7"/>
  <c r="CQ267" i="7"/>
  <c r="CP267" i="7"/>
  <c r="CO267" i="7"/>
  <c r="CN267" i="7"/>
  <c r="CM267" i="7"/>
  <c r="CL267" i="7"/>
  <c r="CK267" i="7"/>
  <c r="CI267" i="7"/>
  <c r="CJ267" i="7" s="1"/>
  <c r="CH267" i="7"/>
  <c r="CG267" i="7"/>
  <c r="CE267" i="7"/>
  <c r="CF267" i="7" s="1"/>
  <c r="CD267" i="7"/>
  <c r="CC267" i="7"/>
  <c r="CA267" i="7"/>
  <c r="CB267" i="7" s="1"/>
  <c r="BZ267" i="7"/>
  <c r="BY267" i="7"/>
  <c r="BW267" i="7"/>
  <c r="BX267" i="7" s="1"/>
  <c r="BV267" i="7"/>
  <c r="BU267" i="7"/>
  <c r="BS267" i="7"/>
  <c r="BT267" i="7" s="1"/>
  <c r="BR267" i="7"/>
  <c r="BQ267" i="7"/>
  <c r="BO267" i="7"/>
  <c r="BP267" i="7" s="1"/>
  <c r="BN267" i="7"/>
  <c r="BM267" i="7"/>
  <c r="BK267" i="7"/>
  <c r="BL267" i="7" s="1"/>
  <c r="BJ267" i="7"/>
  <c r="BI267" i="7"/>
  <c r="BG267" i="7"/>
  <c r="BH267" i="7" s="1"/>
  <c r="BF267" i="7"/>
  <c r="BE267" i="7"/>
  <c r="BC267" i="7"/>
  <c r="BD267" i="7" s="1"/>
  <c r="BB267" i="7"/>
  <c r="AZ267" i="7"/>
  <c r="AX267" i="7"/>
  <c r="AW267" i="7"/>
  <c r="AV267" i="7"/>
  <c r="AU267" i="7"/>
  <c r="AT267" i="7"/>
  <c r="AS267" i="7"/>
  <c r="AR267" i="7"/>
  <c r="AQ267" i="7"/>
  <c r="AP267" i="7"/>
  <c r="AO267" i="7"/>
  <c r="AN267" i="7"/>
  <c r="AM267" i="7"/>
  <c r="AL267" i="7"/>
  <c r="AK267" i="7"/>
  <c r="AJ267" i="7"/>
  <c r="AI267" i="7"/>
  <c r="AH267" i="7"/>
  <c r="AG267" i="7"/>
  <c r="AF267" i="7"/>
  <c r="AE267" i="7"/>
  <c r="AD267" i="7"/>
  <c r="AC267" i="7"/>
  <c r="AB267" i="7"/>
  <c r="AA267" i="7"/>
  <c r="Z267" i="7"/>
  <c r="Y267" i="7"/>
  <c r="X267" i="7"/>
  <c r="W267" i="7"/>
  <c r="V267" i="7"/>
  <c r="U267" i="7"/>
  <c r="T267" i="7"/>
  <c r="S267" i="7"/>
  <c r="R267" i="7"/>
  <c r="Q267" i="7"/>
  <c r="P267" i="7"/>
  <c r="O267" i="7"/>
  <c r="N267" i="7"/>
  <c r="M267" i="7"/>
  <c r="L267" i="7"/>
  <c r="K267" i="7"/>
  <c r="J267" i="7"/>
  <c r="I267" i="7"/>
  <c r="H267" i="7"/>
  <c r="G267" i="7"/>
  <c r="F267" i="7"/>
  <c r="D267" i="7"/>
  <c r="C267" i="7"/>
  <c r="B267" i="7"/>
  <c r="FQ266" i="7"/>
  <c r="FO266" i="7"/>
  <c r="FM266" i="7"/>
  <c r="FL266" i="7"/>
  <c r="FJ266" i="7"/>
  <c r="FH266" i="7"/>
  <c r="FG266" i="7"/>
  <c r="FE266" i="7"/>
  <c r="FC266" i="7"/>
  <c r="EZ266" i="7"/>
  <c r="EY266" i="7"/>
  <c r="EX266" i="7"/>
  <c r="EW266" i="7"/>
  <c r="EV266" i="7"/>
  <c r="EU266" i="7"/>
  <c r="ET266" i="7"/>
  <c r="ES266" i="7"/>
  <c r="ER266" i="7"/>
  <c r="EQ266" i="7"/>
  <c r="EP266" i="7"/>
  <c r="EO266" i="7"/>
  <c r="EN266" i="7"/>
  <c r="EM266" i="7"/>
  <c r="EI266" i="7"/>
  <c r="EG266" i="7"/>
  <c r="EE266" i="7"/>
  <c r="EC266" i="7"/>
  <c r="EA266" i="7"/>
  <c r="DY266" i="7"/>
  <c r="DW266" i="7"/>
  <c r="DU266" i="7"/>
  <c r="DS266" i="7"/>
  <c r="DR266" i="7"/>
  <c r="DP266" i="7"/>
  <c r="DN266" i="7"/>
  <c r="DM266" i="7"/>
  <c r="DK266" i="7"/>
  <c r="DI266" i="7"/>
  <c r="DH266" i="7"/>
  <c r="DF266" i="7"/>
  <c r="DD266" i="7"/>
  <c r="DC266" i="7"/>
  <c r="DA266" i="7"/>
  <c r="CY266" i="7"/>
  <c r="CX266" i="7"/>
  <c r="CV266" i="7"/>
  <c r="CT266" i="7"/>
  <c r="CS266" i="7"/>
  <c r="CR266" i="7"/>
  <c r="CQ266" i="7"/>
  <c r="CP266" i="7"/>
  <c r="CO266" i="7"/>
  <c r="CN266" i="7"/>
  <c r="CM266" i="7"/>
  <c r="CL266" i="7"/>
  <c r="CK266" i="7"/>
  <c r="CI266" i="7"/>
  <c r="CJ266" i="7" s="1"/>
  <c r="CH266" i="7"/>
  <c r="CG266" i="7"/>
  <c r="CE266" i="7"/>
  <c r="CF266" i="7" s="1"/>
  <c r="CD266" i="7"/>
  <c r="CC266" i="7"/>
  <c r="CA266" i="7"/>
  <c r="CB266" i="7" s="1"/>
  <c r="BZ266" i="7"/>
  <c r="BY266" i="7"/>
  <c r="BW266" i="7"/>
  <c r="BX266" i="7" s="1"/>
  <c r="BV266" i="7"/>
  <c r="BU266" i="7"/>
  <c r="BS266" i="7"/>
  <c r="BT266" i="7" s="1"/>
  <c r="BR266" i="7"/>
  <c r="BQ266" i="7"/>
  <c r="BO266" i="7"/>
  <c r="BP266" i="7" s="1"/>
  <c r="BN266" i="7"/>
  <c r="BM266" i="7"/>
  <c r="BK266" i="7"/>
  <c r="BL266" i="7" s="1"/>
  <c r="BJ266" i="7"/>
  <c r="BI266" i="7"/>
  <c r="BG266" i="7"/>
  <c r="BH266" i="7" s="1"/>
  <c r="BF266" i="7"/>
  <c r="BE266" i="7"/>
  <c r="BC266" i="7"/>
  <c r="BD266" i="7" s="1"/>
  <c r="BB266" i="7"/>
  <c r="AZ266" i="7"/>
  <c r="AX266" i="7"/>
  <c r="AW266" i="7"/>
  <c r="AV266" i="7"/>
  <c r="AU266" i="7"/>
  <c r="AT266" i="7"/>
  <c r="AS266" i="7"/>
  <c r="AR266" i="7"/>
  <c r="AQ266" i="7"/>
  <c r="AP266" i="7"/>
  <c r="AO266" i="7"/>
  <c r="AN266" i="7"/>
  <c r="AM266" i="7"/>
  <c r="AL266" i="7"/>
  <c r="AK266" i="7"/>
  <c r="AJ266" i="7"/>
  <c r="AI266" i="7"/>
  <c r="AH266" i="7"/>
  <c r="AG266" i="7"/>
  <c r="AF266" i="7"/>
  <c r="AE266" i="7"/>
  <c r="AD266" i="7"/>
  <c r="AC266" i="7"/>
  <c r="AB266" i="7"/>
  <c r="AA266" i="7"/>
  <c r="Z266" i="7"/>
  <c r="Y266" i="7"/>
  <c r="X266" i="7"/>
  <c r="W266" i="7"/>
  <c r="V266" i="7"/>
  <c r="U266" i="7"/>
  <c r="T266" i="7"/>
  <c r="S266" i="7"/>
  <c r="R266" i="7"/>
  <c r="Q266" i="7"/>
  <c r="P266" i="7"/>
  <c r="O266" i="7"/>
  <c r="N266" i="7"/>
  <c r="M266" i="7"/>
  <c r="L266" i="7"/>
  <c r="K266" i="7"/>
  <c r="J266" i="7"/>
  <c r="I266" i="7"/>
  <c r="H266" i="7"/>
  <c r="G266" i="7"/>
  <c r="F266" i="7"/>
  <c r="D266" i="7"/>
  <c r="C266" i="7"/>
  <c r="B266" i="7"/>
  <c r="FQ265" i="7"/>
  <c r="FO265" i="7"/>
  <c r="FM265" i="7"/>
  <c r="FL265" i="7"/>
  <c r="FJ265" i="7"/>
  <c r="FH265" i="7"/>
  <c r="FG265" i="7"/>
  <c r="FE265" i="7"/>
  <c r="FC265" i="7"/>
  <c r="EZ265" i="7"/>
  <c r="EY265" i="7"/>
  <c r="EX265" i="7"/>
  <c r="EW265" i="7"/>
  <c r="EV265" i="7"/>
  <c r="EU265" i="7"/>
  <c r="ET265" i="7"/>
  <c r="ES265" i="7"/>
  <c r="ER265" i="7"/>
  <c r="EQ265" i="7"/>
  <c r="EP265" i="7"/>
  <c r="EO265" i="7"/>
  <c r="EN265" i="7"/>
  <c r="EM265" i="7"/>
  <c r="EI265" i="7"/>
  <c r="EG265" i="7"/>
  <c r="EE265" i="7"/>
  <c r="EC265" i="7"/>
  <c r="EA265" i="7"/>
  <c r="DY265" i="7"/>
  <c r="DW265" i="7"/>
  <c r="DU265" i="7"/>
  <c r="DS265" i="7"/>
  <c r="DR265" i="7"/>
  <c r="DP265" i="7"/>
  <c r="DN265" i="7"/>
  <c r="DM265" i="7"/>
  <c r="DK265" i="7"/>
  <c r="DI265" i="7"/>
  <c r="DH265" i="7"/>
  <c r="DF265" i="7"/>
  <c r="DD265" i="7"/>
  <c r="DC265" i="7"/>
  <c r="DA265" i="7"/>
  <c r="CY265" i="7"/>
  <c r="CX265" i="7"/>
  <c r="CV265" i="7"/>
  <c r="CT265" i="7"/>
  <c r="CS265" i="7"/>
  <c r="CR265" i="7"/>
  <c r="CQ265" i="7"/>
  <c r="CP265" i="7"/>
  <c r="CO265" i="7"/>
  <c r="CN265" i="7"/>
  <c r="CM265" i="7"/>
  <c r="CL265" i="7"/>
  <c r="CK265" i="7"/>
  <c r="CI265" i="7"/>
  <c r="CJ265" i="7" s="1"/>
  <c r="CH265" i="7"/>
  <c r="CG265" i="7"/>
  <c r="CE265" i="7"/>
  <c r="CF265" i="7" s="1"/>
  <c r="CD265" i="7"/>
  <c r="CC265" i="7"/>
  <c r="CA265" i="7"/>
  <c r="CB265" i="7" s="1"/>
  <c r="BZ265" i="7"/>
  <c r="BY265" i="7"/>
  <c r="BW265" i="7"/>
  <c r="BX265" i="7" s="1"/>
  <c r="BV265" i="7"/>
  <c r="BU265" i="7"/>
  <c r="BS265" i="7"/>
  <c r="BT265" i="7" s="1"/>
  <c r="BR265" i="7"/>
  <c r="BQ265" i="7"/>
  <c r="BO265" i="7"/>
  <c r="BP265" i="7" s="1"/>
  <c r="BN265" i="7"/>
  <c r="BM265" i="7"/>
  <c r="BK265" i="7"/>
  <c r="BL265" i="7" s="1"/>
  <c r="BJ265" i="7"/>
  <c r="BI265" i="7"/>
  <c r="BG265" i="7"/>
  <c r="BH265" i="7" s="1"/>
  <c r="BF265" i="7"/>
  <c r="BE265" i="7"/>
  <c r="BC265" i="7"/>
  <c r="BD265" i="7" s="1"/>
  <c r="BB265" i="7"/>
  <c r="AZ265" i="7"/>
  <c r="AX265" i="7"/>
  <c r="AW265" i="7"/>
  <c r="AV265" i="7"/>
  <c r="AU265" i="7"/>
  <c r="AT265" i="7"/>
  <c r="AS265" i="7"/>
  <c r="AR265" i="7"/>
  <c r="AQ265" i="7"/>
  <c r="AP265" i="7"/>
  <c r="AO265" i="7"/>
  <c r="AN265" i="7"/>
  <c r="AM265" i="7"/>
  <c r="AL265" i="7"/>
  <c r="AK265" i="7"/>
  <c r="AJ265" i="7"/>
  <c r="AI265" i="7"/>
  <c r="AH265" i="7"/>
  <c r="AG265" i="7"/>
  <c r="AF265" i="7"/>
  <c r="AE265" i="7"/>
  <c r="AD265" i="7"/>
  <c r="AC265" i="7"/>
  <c r="AB265" i="7"/>
  <c r="AA265" i="7"/>
  <c r="Z265" i="7"/>
  <c r="Y265" i="7"/>
  <c r="X265" i="7"/>
  <c r="W265" i="7"/>
  <c r="V265" i="7"/>
  <c r="U265" i="7"/>
  <c r="T265" i="7"/>
  <c r="S265" i="7"/>
  <c r="R265" i="7"/>
  <c r="Q265" i="7"/>
  <c r="P265" i="7"/>
  <c r="O265" i="7"/>
  <c r="N265" i="7"/>
  <c r="M265" i="7"/>
  <c r="L265" i="7"/>
  <c r="K265" i="7"/>
  <c r="J265" i="7"/>
  <c r="I265" i="7"/>
  <c r="H265" i="7"/>
  <c r="G265" i="7"/>
  <c r="F265" i="7"/>
  <c r="D265" i="7"/>
  <c r="C265" i="7"/>
  <c r="B265" i="7"/>
  <c r="FQ264" i="7"/>
  <c r="FO264" i="7"/>
  <c r="FM264" i="7"/>
  <c r="FL264" i="7"/>
  <c r="FJ264" i="7"/>
  <c r="FH264" i="7"/>
  <c r="FG264" i="7"/>
  <c r="FE264" i="7"/>
  <c r="FC264" i="7"/>
  <c r="EZ264" i="7"/>
  <c r="EY264" i="7"/>
  <c r="EX264" i="7"/>
  <c r="EW264" i="7"/>
  <c r="EV264" i="7"/>
  <c r="EU264" i="7"/>
  <c r="ET264" i="7"/>
  <c r="ES264" i="7"/>
  <c r="ER264" i="7"/>
  <c r="EQ264" i="7"/>
  <c r="EP264" i="7"/>
  <c r="EO264" i="7"/>
  <c r="EN264" i="7"/>
  <c r="EM264" i="7"/>
  <c r="EI264" i="7"/>
  <c r="EG264" i="7"/>
  <c r="EE264" i="7"/>
  <c r="EC264" i="7"/>
  <c r="EA264" i="7"/>
  <c r="DY264" i="7"/>
  <c r="DW264" i="7"/>
  <c r="DU264" i="7"/>
  <c r="DS264" i="7"/>
  <c r="DR264" i="7"/>
  <c r="DP264" i="7"/>
  <c r="DN264" i="7"/>
  <c r="DM264" i="7"/>
  <c r="DK264" i="7"/>
  <c r="DI264" i="7"/>
  <c r="DH264" i="7"/>
  <c r="DF264" i="7"/>
  <c r="DD264" i="7"/>
  <c r="DC264" i="7"/>
  <c r="DA264" i="7"/>
  <c r="CY264" i="7"/>
  <c r="CX264" i="7"/>
  <c r="CV264" i="7"/>
  <c r="CT264" i="7"/>
  <c r="CS264" i="7"/>
  <c r="CR264" i="7"/>
  <c r="CQ264" i="7"/>
  <c r="CP264" i="7"/>
  <c r="CO264" i="7"/>
  <c r="CN264" i="7"/>
  <c r="CM264" i="7"/>
  <c r="CL264" i="7"/>
  <c r="CK264" i="7"/>
  <c r="CI264" i="7"/>
  <c r="CJ264" i="7" s="1"/>
  <c r="CH264" i="7"/>
  <c r="CG264" i="7"/>
  <c r="CE264" i="7"/>
  <c r="CF264" i="7" s="1"/>
  <c r="CD264" i="7"/>
  <c r="CC264" i="7"/>
  <c r="CA264" i="7"/>
  <c r="CB264" i="7" s="1"/>
  <c r="BZ264" i="7"/>
  <c r="BY264" i="7"/>
  <c r="BW264" i="7"/>
  <c r="BX264" i="7" s="1"/>
  <c r="BV264" i="7"/>
  <c r="BU264" i="7"/>
  <c r="BS264" i="7"/>
  <c r="BT264" i="7" s="1"/>
  <c r="BR264" i="7"/>
  <c r="BQ264" i="7"/>
  <c r="BO264" i="7"/>
  <c r="BP264" i="7" s="1"/>
  <c r="BN264" i="7"/>
  <c r="BM264" i="7"/>
  <c r="BK264" i="7"/>
  <c r="BL264" i="7" s="1"/>
  <c r="BJ264" i="7"/>
  <c r="BI264" i="7"/>
  <c r="BG264" i="7"/>
  <c r="BH264" i="7" s="1"/>
  <c r="BF264" i="7"/>
  <c r="BE264" i="7"/>
  <c r="BC264" i="7"/>
  <c r="BD264" i="7" s="1"/>
  <c r="BB264" i="7"/>
  <c r="AZ264" i="7"/>
  <c r="AX264" i="7"/>
  <c r="AW264" i="7"/>
  <c r="AV264" i="7"/>
  <c r="AU264" i="7"/>
  <c r="AT264" i="7"/>
  <c r="AS264" i="7"/>
  <c r="AR264" i="7"/>
  <c r="AQ264" i="7"/>
  <c r="AP264" i="7"/>
  <c r="AO264" i="7"/>
  <c r="AN264" i="7"/>
  <c r="AM264" i="7"/>
  <c r="AL264" i="7"/>
  <c r="AK264" i="7"/>
  <c r="AJ264" i="7"/>
  <c r="AI264" i="7"/>
  <c r="AH264" i="7"/>
  <c r="AG264" i="7"/>
  <c r="AF264" i="7"/>
  <c r="AE264" i="7"/>
  <c r="AD264" i="7"/>
  <c r="AC264" i="7"/>
  <c r="AB264" i="7"/>
  <c r="AA264" i="7"/>
  <c r="Z264" i="7"/>
  <c r="Y264" i="7"/>
  <c r="X264" i="7"/>
  <c r="W264" i="7"/>
  <c r="V264" i="7"/>
  <c r="U264" i="7"/>
  <c r="T264" i="7"/>
  <c r="S264" i="7"/>
  <c r="R264" i="7"/>
  <c r="Q264" i="7"/>
  <c r="P264" i="7"/>
  <c r="O264" i="7"/>
  <c r="N264" i="7"/>
  <c r="M264" i="7"/>
  <c r="L264" i="7"/>
  <c r="K264" i="7"/>
  <c r="J264" i="7"/>
  <c r="I264" i="7"/>
  <c r="H264" i="7"/>
  <c r="G264" i="7"/>
  <c r="F264" i="7"/>
  <c r="D264" i="7"/>
  <c r="C264" i="7"/>
  <c r="B264" i="7"/>
  <c r="FQ263" i="7"/>
  <c r="FO263" i="7"/>
  <c r="FM263" i="7"/>
  <c r="FL263" i="7"/>
  <c r="FJ263" i="7"/>
  <c r="FH263" i="7"/>
  <c r="FG263" i="7"/>
  <c r="FE263" i="7"/>
  <c r="FC263" i="7"/>
  <c r="EZ263" i="7"/>
  <c r="EY263" i="7"/>
  <c r="EX263" i="7"/>
  <c r="EW263" i="7"/>
  <c r="EV263" i="7"/>
  <c r="EU263" i="7"/>
  <c r="ET263" i="7"/>
  <c r="ES263" i="7"/>
  <c r="ER263" i="7"/>
  <c r="EQ263" i="7"/>
  <c r="EP263" i="7"/>
  <c r="EO263" i="7"/>
  <c r="EN263" i="7"/>
  <c r="EM263" i="7"/>
  <c r="EI263" i="7"/>
  <c r="EG263" i="7"/>
  <c r="EE263" i="7"/>
  <c r="EC263" i="7"/>
  <c r="EA263" i="7"/>
  <c r="DY263" i="7"/>
  <c r="DW263" i="7"/>
  <c r="DU263" i="7"/>
  <c r="DS263" i="7"/>
  <c r="DR263" i="7"/>
  <c r="DP263" i="7"/>
  <c r="DN263" i="7"/>
  <c r="DM263" i="7"/>
  <c r="DK263" i="7"/>
  <c r="DI263" i="7"/>
  <c r="DH263" i="7"/>
  <c r="DF263" i="7"/>
  <c r="DD263" i="7"/>
  <c r="DC263" i="7"/>
  <c r="DA263" i="7"/>
  <c r="CY263" i="7"/>
  <c r="CX263" i="7"/>
  <c r="CV263" i="7"/>
  <c r="CT263" i="7"/>
  <c r="CS263" i="7"/>
  <c r="CR263" i="7"/>
  <c r="CQ263" i="7"/>
  <c r="CP263" i="7"/>
  <c r="CO263" i="7"/>
  <c r="CN263" i="7"/>
  <c r="CM263" i="7"/>
  <c r="CL263" i="7"/>
  <c r="CK263" i="7"/>
  <c r="CI263" i="7"/>
  <c r="CJ263" i="7" s="1"/>
  <c r="CH263" i="7"/>
  <c r="CG263" i="7"/>
  <c r="CE263" i="7"/>
  <c r="CF263" i="7" s="1"/>
  <c r="CD263" i="7"/>
  <c r="CC263" i="7"/>
  <c r="CA263" i="7"/>
  <c r="CB263" i="7" s="1"/>
  <c r="BZ263" i="7"/>
  <c r="BY263" i="7"/>
  <c r="BW263" i="7"/>
  <c r="BX263" i="7" s="1"/>
  <c r="BV263" i="7"/>
  <c r="BU263" i="7"/>
  <c r="BS263" i="7"/>
  <c r="BT263" i="7" s="1"/>
  <c r="BR263" i="7"/>
  <c r="BQ263" i="7"/>
  <c r="BO263" i="7"/>
  <c r="BP263" i="7" s="1"/>
  <c r="BN263" i="7"/>
  <c r="BM263" i="7"/>
  <c r="BK263" i="7"/>
  <c r="BL263" i="7" s="1"/>
  <c r="BJ263" i="7"/>
  <c r="BI263" i="7"/>
  <c r="BG263" i="7"/>
  <c r="BH263" i="7" s="1"/>
  <c r="BF263" i="7"/>
  <c r="BE263" i="7"/>
  <c r="BC263" i="7"/>
  <c r="BD263" i="7" s="1"/>
  <c r="BB263" i="7"/>
  <c r="AZ263" i="7"/>
  <c r="AX263" i="7"/>
  <c r="AW263" i="7"/>
  <c r="AV263" i="7"/>
  <c r="AU263" i="7"/>
  <c r="AT263" i="7"/>
  <c r="AS263" i="7"/>
  <c r="AR263" i="7"/>
  <c r="AQ263" i="7"/>
  <c r="AP263" i="7"/>
  <c r="AO263" i="7"/>
  <c r="AN263" i="7"/>
  <c r="AM263" i="7"/>
  <c r="AL263" i="7"/>
  <c r="AK263" i="7"/>
  <c r="AJ263" i="7"/>
  <c r="AI263" i="7"/>
  <c r="AH263" i="7"/>
  <c r="AG263" i="7"/>
  <c r="AF263" i="7"/>
  <c r="AE263" i="7"/>
  <c r="AD263" i="7"/>
  <c r="AC263" i="7"/>
  <c r="AB263" i="7"/>
  <c r="AA263" i="7"/>
  <c r="Z263" i="7"/>
  <c r="Y263" i="7"/>
  <c r="X263" i="7"/>
  <c r="W263" i="7"/>
  <c r="V263" i="7"/>
  <c r="U263" i="7"/>
  <c r="T263" i="7"/>
  <c r="S263" i="7"/>
  <c r="R263" i="7"/>
  <c r="Q263" i="7"/>
  <c r="P263" i="7"/>
  <c r="O263" i="7"/>
  <c r="N263" i="7"/>
  <c r="M263" i="7"/>
  <c r="L263" i="7"/>
  <c r="K263" i="7"/>
  <c r="J263" i="7"/>
  <c r="I263" i="7"/>
  <c r="H263" i="7"/>
  <c r="G263" i="7"/>
  <c r="F263" i="7"/>
  <c r="D263" i="7"/>
  <c r="C263" i="7"/>
  <c r="B263" i="7"/>
  <c r="FQ262" i="7"/>
  <c r="FO262" i="7"/>
  <c r="FM262" i="7"/>
  <c r="FL262" i="7"/>
  <c r="FJ262" i="7"/>
  <c r="FH262" i="7"/>
  <c r="FG262" i="7"/>
  <c r="FE262" i="7"/>
  <c r="FC262" i="7"/>
  <c r="EZ262" i="7"/>
  <c r="EY262" i="7"/>
  <c r="EX262" i="7"/>
  <c r="EW262" i="7"/>
  <c r="EV262" i="7"/>
  <c r="EU262" i="7"/>
  <c r="ET262" i="7"/>
  <c r="ES262" i="7"/>
  <c r="ER262" i="7"/>
  <c r="EQ262" i="7"/>
  <c r="EP262" i="7"/>
  <c r="EO262" i="7"/>
  <c r="EN262" i="7"/>
  <c r="EM262" i="7"/>
  <c r="EI262" i="7"/>
  <c r="EG262" i="7"/>
  <c r="EE262" i="7"/>
  <c r="EC262" i="7"/>
  <c r="EA262" i="7"/>
  <c r="DY262" i="7"/>
  <c r="DW262" i="7"/>
  <c r="DU262" i="7"/>
  <c r="DS262" i="7"/>
  <c r="DR262" i="7"/>
  <c r="DP262" i="7"/>
  <c r="DN262" i="7"/>
  <c r="DM262" i="7"/>
  <c r="DK262" i="7"/>
  <c r="DI262" i="7"/>
  <c r="DH262" i="7"/>
  <c r="DF262" i="7"/>
  <c r="DD262" i="7"/>
  <c r="DC262" i="7"/>
  <c r="DA262" i="7"/>
  <c r="CY262" i="7"/>
  <c r="CX262" i="7"/>
  <c r="CV262" i="7"/>
  <c r="CT262" i="7"/>
  <c r="CS262" i="7"/>
  <c r="CR262" i="7"/>
  <c r="CQ262" i="7"/>
  <c r="CP262" i="7"/>
  <c r="CO262" i="7"/>
  <c r="CN262" i="7"/>
  <c r="CM262" i="7"/>
  <c r="CL262" i="7"/>
  <c r="CK262" i="7"/>
  <c r="CI262" i="7"/>
  <c r="CJ262" i="7" s="1"/>
  <c r="CH262" i="7"/>
  <c r="CG262" i="7"/>
  <c r="CE262" i="7"/>
  <c r="CF262" i="7" s="1"/>
  <c r="CD262" i="7"/>
  <c r="CC262" i="7"/>
  <c r="CA262" i="7"/>
  <c r="CB262" i="7" s="1"/>
  <c r="BZ262" i="7"/>
  <c r="BY262" i="7"/>
  <c r="BW262" i="7"/>
  <c r="BX262" i="7" s="1"/>
  <c r="BV262" i="7"/>
  <c r="BU262" i="7"/>
  <c r="BS262" i="7"/>
  <c r="BT262" i="7" s="1"/>
  <c r="BR262" i="7"/>
  <c r="BQ262" i="7"/>
  <c r="BO262" i="7"/>
  <c r="BP262" i="7" s="1"/>
  <c r="BN262" i="7"/>
  <c r="BM262" i="7"/>
  <c r="BK262" i="7"/>
  <c r="BL262" i="7" s="1"/>
  <c r="BJ262" i="7"/>
  <c r="BI262" i="7"/>
  <c r="BG262" i="7"/>
  <c r="BH262" i="7" s="1"/>
  <c r="BF262" i="7"/>
  <c r="BE262" i="7"/>
  <c r="BC262" i="7"/>
  <c r="BD262" i="7" s="1"/>
  <c r="BB262" i="7"/>
  <c r="AZ262" i="7"/>
  <c r="AX262" i="7"/>
  <c r="AW262" i="7"/>
  <c r="AV262" i="7"/>
  <c r="AU262" i="7"/>
  <c r="AT262" i="7"/>
  <c r="AS262" i="7"/>
  <c r="AR262" i="7"/>
  <c r="AQ262" i="7"/>
  <c r="AP262" i="7"/>
  <c r="AO262" i="7"/>
  <c r="AN262" i="7"/>
  <c r="AM262" i="7"/>
  <c r="AL262" i="7"/>
  <c r="AK262" i="7"/>
  <c r="AJ262" i="7"/>
  <c r="AI262" i="7"/>
  <c r="AH262" i="7"/>
  <c r="AG262" i="7"/>
  <c r="AF262" i="7"/>
  <c r="AE262" i="7"/>
  <c r="AD262" i="7"/>
  <c r="AC262" i="7"/>
  <c r="AB262" i="7"/>
  <c r="AA262" i="7"/>
  <c r="Z262" i="7"/>
  <c r="Y262" i="7"/>
  <c r="X262" i="7"/>
  <c r="W262" i="7"/>
  <c r="V262" i="7"/>
  <c r="U262" i="7"/>
  <c r="T262" i="7"/>
  <c r="S262" i="7"/>
  <c r="R262" i="7"/>
  <c r="Q262" i="7"/>
  <c r="P262" i="7"/>
  <c r="O262" i="7"/>
  <c r="N262" i="7"/>
  <c r="M262" i="7"/>
  <c r="L262" i="7"/>
  <c r="K262" i="7"/>
  <c r="J262" i="7"/>
  <c r="I262" i="7"/>
  <c r="H262" i="7"/>
  <c r="G262" i="7"/>
  <c r="F262" i="7"/>
  <c r="D262" i="7"/>
  <c r="C262" i="7"/>
  <c r="B262" i="7"/>
  <c r="FQ261" i="7"/>
  <c r="FO261" i="7"/>
  <c r="FM261" i="7"/>
  <c r="FL261" i="7"/>
  <c r="FJ261" i="7"/>
  <c r="FH261" i="7"/>
  <c r="FG261" i="7"/>
  <c r="FE261" i="7"/>
  <c r="FC261" i="7"/>
  <c r="EZ261" i="7"/>
  <c r="EY261" i="7"/>
  <c r="EX261" i="7"/>
  <c r="EW261" i="7"/>
  <c r="EV261" i="7"/>
  <c r="EU261" i="7"/>
  <c r="ET261" i="7"/>
  <c r="ES261" i="7"/>
  <c r="ER261" i="7"/>
  <c r="EQ261" i="7"/>
  <c r="EP261" i="7"/>
  <c r="EO261" i="7"/>
  <c r="EN261" i="7"/>
  <c r="EM261" i="7"/>
  <c r="EI261" i="7"/>
  <c r="EG261" i="7"/>
  <c r="EE261" i="7"/>
  <c r="EC261" i="7"/>
  <c r="EA261" i="7"/>
  <c r="DY261" i="7"/>
  <c r="DW261" i="7"/>
  <c r="DU261" i="7"/>
  <c r="DS261" i="7"/>
  <c r="DR261" i="7"/>
  <c r="DP261" i="7"/>
  <c r="DN261" i="7"/>
  <c r="DM261" i="7"/>
  <c r="DK261" i="7"/>
  <c r="DI261" i="7"/>
  <c r="DH261" i="7"/>
  <c r="DF261" i="7"/>
  <c r="DD261" i="7"/>
  <c r="DC261" i="7"/>
  <c r="DA261" i="7"/>
  <c r="CY261" i="7"/>
  <c r="CX261" i="7"/>
  <c r="CV261" i="7"/>
  <c r="CT261" i="7"/>
  <c r="CS261" i="7"/>
  <c r="CR261" i="7"/>
  <c r="CQ261" i="7"/>
  <c r="CP261" i="7"/>
  <c r="CO261" i="7"/>
  <c r="CN261" i="7"/>
  <c r="CM261" i="7"/>
  <c r="CL261" i="7"/>
  <c r="CK261" i="7"/>
  <c r="CI261" i="7"/>
  <c r="CJ261" i="7" s="1"/>
  <c r="CH261" i="7"/>
  <c r="CG261" i="7"/>
  <c r="CE261" i="7"/>
  <c r="CF261" i="7" s="1"/>
  <c r="CD261" i="7"/>
  <c r="CC261" i="7"/>
  <c r="CA261" i="7"/>
  <c r="CB261" i="7" s="1"/>
  <c r="BZ261" i="7"/>
  <c r="BY261" i="7"/>
  <c r="BW261" i="7"/>
  <c r="BX261" i="7" s="1"/>
  <c r="BV261" i="7"/>
  <c r="BU261" i="7"/>
  <c r="BS261" i="7"/>
  <c r="BT261" i="7" s="1"/>
  <c r="BR261" i="7"/>
  <c r="BQ261" i="7"/>
  <c r="BO261" i="7"/>
  <c r="BP261" i="7" s="1"/>
  <c r="BN261" i="7"/>
  <c r="BM261" i="7"/>
  <c r="BK261" i="7"/>
  <c r="BL261" i="7" s="1"/>
  <c r="BJ261" i="7"/>
  <c r="BI261" i="7"/>
  <c r="BG261" i="7"/>
  <c r="BH261" i="7" s="1"/>
  <c r="BF261" i="7"/>
  <c r="BE261" i="7"/>
  <c r="BC261" i="7"/>
  <c r="BD261" i="7" s="1"/>
  <c r="BB261" i="7"/>
  <c r="AZ261" i="7"/>
  <c r="AX261" i="7"/>
  <c r="AW261" i="7"/>
  <c r="AV261" i="7"/>
  <c r="AU261" i="7"/>
  <c r="AT261" i="7"/>
  <c r="AS261" i="7"/>
  <c r="AR261" i="7"/>
  <c r="AQ261" i="7"/>
  <c r="AP261" i="7"/>
  <c r="AO261" i="7"/>
  <c r="AN261" i="7"/>
  <c r="AM261" i="7"/>
  <c r="AL261" i="7"/>
  <c r="AK261" i="7"/>
  <c r="AJ261" i="7"/>
  <c r="AI261" i="7"/>
  <c r="AH261" i="7"/>
  <c r="AG261" i="7"/>
  <c r="AF261" i="7"/>
  <c r="AE261" i="7"/>
  <c r="AD261" i="7"/>
  <c r="AC261" i="7"/>
  <c r="AB261" i="7"/>
  <c r="AA261" i="7"/>
  <c r="Z261" i="7"/>
  <c r="Y261" i="7"/>
  <c r="X261" i="7"/>
  <c r="W261" i="7"/>
  <c r="V261" i="7"/>
  <c r="U261" i="7"/>
  <c r="T261" i="7"/>
  <c r="S261" i="7"/>
  <c r="R261" i="7"/>
  <c r="Q261" i="7"/>
  <c r="P261" i="7"/>
  <c r="O261" i="7"/>
  <c r="N261" i="7"/>
  <c r="M261" i="7"/>
  <c r="L261" i="7"/>
  <c r="K261" i="7"/>
  <c r="J261" i="7"/>
  <c r="I261" i="7"/>
  <c r="H261" i="7"/>
  <c r="G261" i="7"/>
  <c r="F261" i="7"/>
  <c r="D261" i="7"/>
  <c r="C261" i="7"/>
  <c r="B261" i="7"/>
  <c r="FQ260" i="7"/>
  <c r="FO260" i="7"/>
  <c r="FM260" i="7"/>
  <c r="FL260" i="7"/>
  <c r="FJ260" i="7"/>
  <c r="FH260" i="7"/>
  <c r="FG260" i="7"/>
  <c r="FE260" i="7"/>
  <c r="FC260" i="7"/>
  <c r="EZ260" i="7"/>
  <c r="EY260" i="7"/>
  <c r="EX260" i="7"/>
  <c r="EW260" i="7"/>
  <c r="EV260" i="7"/>
  <c r="EU260" i="7"/>
  <c r="ET260" i="7"/>
  <c r="ES260" i="7"/>
  <c r="ER260" i="7"/>
  <c r="EQ260" i="7"/>
  <c r="EP260" i="7"/>
  <c r="EO260" i="7"/>
  <c r="EN260" i="7"/>
  <c r="EM260" i="7"/>
  <c r="EI260" i="7"/>
  <c r="EG260" i="7"/>
  <c r="EE260" i="7"/>
  <c r="EC260" i="7"/>
  <c r="EA260" i="7"/>
  <c r="DY260" i="7"/>
  <c r="DW260" i="7"/>
  <c r="DU260" i="7"/>
  <c r="DS260" i="7"/>
  <c r="DR260" i="7"/>
  <c r="DP260" i="7"/>
  <c r="DN260" i="7"/>
  <c r="DM260" i="7"/>
  <c r="DK260" i="7"/>
  <c r="DI260" i="7"/>
  <c r="DH260" i="7"/>
  <c r="DF260" i="7"/>
  <c r="DD260" i="7"/>
  <c r="DC260" i="7"/>
  <c r="DA260" i="7"/>
  <c r="CY260" i="7"/>
  <c r="CX260" i="7"/>
  <c r="CV260" i="7"/>
  <c r="CT260" i="7"/>
  <c r="CS260" i="7"/>
  <c r="CR260" i="7"/>
  <c r="CQ260" i="7"/>
  <c r="CP260" i="7"/>
  <c r="CO260" i="7"/>
  <c r="CN260" i="7"/>
  <c r="CM260" i="7"/>
  <c r="CL260" i="7"/>
  <c r="CK260" i="7"/>
  <c r="CI260" i="7"/>
  <c r="CJ260" i="7" s="1"/>
  <c r="CH260" i="7"/>
  <c r="CG260" i="7"/>
  <c r="CE260" i="7"/>
  <c r="CF260" i="7" s="1"/>
  <c r="CD260" i="7"/>
  <c r="CC260" i="7"/>
  <c r="CA260" i="7"/>
  <c r="CB260" i="7" s="1"/>
  <c r="BZ260" i="7"/>
  <c r="BY260" i="7"/>
  <c r="BW260" i="7"/>
  <c r="BX260" i="7" s="1"/>
  <c r="BV260" i="7"/>
  <c r="BU260" i="7"/>
  <c r="BS260" i="7"/>
  <c r="BT260" i="7" s="1"/>
  <c r="BR260" i="7"/>
  <c r="BQ260" i="7"/>
  <c r="BO260" i="7"/>
  <c r="BP260" i="7" s="1"/>
  <c r="BN260" i="7"/>
  <c r="BM260" i="7"/>
  <c r="BK260" i="7"/>
  <c r="BL260" i="7" s="1"/>
  <c r="BJ260" i="7"/>
  <c r="BI260" i="7"/>
  <c r="BG260" i="7"/>
  <c r="BH260" i="7" s="1"/>
  <c r="BF260" i="7"/>
  <c r="BE260" i="7"/>
  <c r="BC260" i="7"/>
  <c r="BD260" i="7" s="1"/>
  <c r="BB260" i="7"/>
  <c r="AZ260" i="7"/>
  <c r="AX260" i="7"/>
  <c r="AW260" i="7"/>
  <c r="AV260" i="7"/>
  <c r="AU260" i="7"/>
  <c r="AT260" i="7"/>
  <c r="AS260" i="7"/>
  <c r="AR260" i="7"/>
  <c r="AQ260" i="7"/>
  <c r="AP260" i="7"/>
  <c r="AO260" i="7"/>
  <c r="AN260" i="7"/>
  <c r="AM260" i="7"/>
  <c r="AL260" i="7"/>
  <c r="AK260" i="7"/>
  <c r="AJ260" i="7"/>
  <c r="AI260" i="7"/>
  <c r="AH260" i="7"/>
  <c r="AG260" i="7"/>
  <c r="AF260" i="7"/>
  <c r="AE260" i="7"/>
  <c r="AD260" i="7"/>
  <c r="AC260" i="7"/>
  <c r="AB260" i="7"/>
  <c r="AA260" i="7"/>
  <c r="Z260" i="7"/>
  <c r="Y260" i="7"/>
  <c r="X260" i="7"/>
  <c r="W260" i="7"/>
  <c r="V260" i="7"/>
  <c r="U260" i="7"/>
  <c r="T260" i="7"/>
  <c r="S260" i="7"/>
  <c r="R260" i="7"/>
  <c r="Q260" i="7"/>
  <c r="P260" i="7"/>
  <c r="O260" i="7"/>
  <c r="N260" i="7"/>
  <c r="M260" i="7"/>
  <c r="L260" i="7"/>
  <c r="K260" i="7"/>
  <c r="J260" i="7"/>
  <c r="I260" i="7"/>
  <c r="H260" i="7"/>
  <c r="G260" i="7"/>
  <c r="F260" i="7"/>
  <c r="D260" i="7"/>
  <c r="C260" i="7"/>
  <c r="B260" i="7"/>
  <c r="FQ259" i="7"/>
  <c r="FO259" i="7"/>
  <c r="FM259" i="7"/>
  <c r="FL259" i="7"/>
  <c r="FJ259" i="7"/>
  <c r="FH259" i="7"/>
  <c r="FG259" i="7"/>
  <c r="FE259" i="7"/>
  <c r="FC259" i="7"/>
  <c r="EZ259" i="7"/>
  <c r="EY259" i="7"/>
  <c r="EX259" i="7"/>
  <c r="EW259" i="7"/>
  <c r="EV259" i="7"/>
  <c r="EU259" i="7"/>
  <c r="ET259" i="7"/>
  <c r="ES259" i="7"/>
  <c r="ER259" i="7"/>
  <c r="EQ259" i="7"/>
  <c r="EP259" i="7"/>
  <c r="EO259" i="7"/>
  <c r="EN259" i="7"/>
  <c r="EM259" i="7"/>
  <c r="EI259" i="7"/>
  <c r="EG259" i="7"/>
  <c r="EE259" i="7"/>
  <c r="EC259" i="7"/>
  <c r="EA259" i="7"/>
  <c r="DY259" i="7"/>
  <c r="DW259" i="7"/>
  <c r="DU259" i="7"/>
  <c r="DS259" i="7"/>
  <c r="DR259" i="7"/>
  <c r="DP259" i="7"/>
  <c r="DN259" i="7"/>
  <c r="DM259" i="7"/>
  <c r="DK259" i="7"/>
  <c r="DI259" i="7"/>
  <c r="DH259" i="7"/>
  <c r="DF259" i="7"/>
  <c r="DD259" i="7"/>
  <c r="DC259" i="7"/>
  <c r="DA259" i="7"/>
  <c r="CY259" i="7"/>
  <c r="CX259" i="7"/>
  <c r="CV259" i="7"/>
  <c r="CT259" i="7"/>
  <c r="CS259" i="7"/>
  <c r="CR259" i="7"/>
  <c r="CQ259" i="7"/>
  <c r="CP259" i="7"/>
  <c r="CO259" i="7"/>
  <c r="CN259" i="7"/>
  <c r="CM259" i="7"/>
  <c r="CL259" i="7"/>
  <c r="CK259" i="7"/>
  <c r="CI259" i="7"/>
  <c r="CJ259" i="7" s="1"/>
  <c r="CH259" i="7"/>
  <c r="CG259" i="7"/>
  <c r="CE259" i="7"/>
  <c r="CF259" i="7" s="1"/>
  <c r="CD259" i="7"/>
  <c r="CC259" i="7"/>
  <c r="CA259" i="7"/>
  <c r="CB259" i="7" s="1"/>
  <c r="BZ259" i="7"/>
  <c r="BY259" i="7"/>
  <c r="BW259" i="7"/>
  <c r="BX259" i="7" s="1"/>
  <c r="BV259" i="7"/>
  <c r="BU259" i="7"/>
  <c r="BS259" i="7"/>
  <c r="BT259" i="7" s="1"/>
  <c r="BR259" i="7"/>
  <c r="BQ259" i="7"/>
  <c r="BO259" i="7"/>
  <c r="BP259" i="7" s="1"/>
  <c r="BN259" i="7"/>
  <c r="BM259" i="7"/>
  <c r="BK259" i="7"/>
  <c r="BL259" i="7" s="1"/>
  <c r="BJ259" i="7"/>
  <c r="BI259" i="7"/>
  <c r="BG259" i="7"/>
  <c r="BH259" i="7" s="1"/>
  <c r="BF259" i="7"/>
  <c r="BE259" i="7"/>
  <c r="BC259" i="7"/>
  <c r="BD259" i="7" s="1"/>
  <c r="BB259" i="7"/>
  <c r="AZ259" i="7"/>
  <c r="AX259" i="7"/>
  <c r="AW259" i="7"/>
  <c r="AV259" i="7"/>
  <c r="AU259" i="7"/>
  <c r="AT259" i="7"/>
  <c r="AS259" i="7"/>
  <c r="AR259" i="7"/>
  <c r="AQ259" i="7"/>
  <c r="AP259" i="7"/>
  <c r="AO259" i="7"/>
  <c r="AN259" i="7"/>
  <c r="AM259" i="7"/>
  <c r="AL259" i="7"/>
  <c r="AK259" i="7"/>
  <c r="AJ259" i="7"/>
  <c r="AI259" i="7"/>
  <c r="AH259" i="7"/>
  <c r="AG259" i="7"/>
  <c r="AF259" i="7"/>
  <c r="AE259" i="7"/>
  <c r="AD259" i="7"/>
  <c r="AC259" i="7"/>
  <c r="AB259" i="7"/>
  <c r="AA259" i="7"/>
  <c r="Z259" i="7"/>
  <c r="Y259" i="7"/>
  <c r="X259" i="7"/>
  <c r="W259" i="7"/>
  <c r="V259" i="7"/>
  <c r="U259" i="7"/>
  <c r="T259" i="7"/>
  <c r="S259" i="7"/>
  <c r="R259" i="7"/>
  <c r="Q259" i="7"/>
  <c r="P259" i="7"/>
  <c r="O259" i="7"/>
  <c r="N259" i="7"/>
  <c r="M259" i="7"/>
  <c r="L259" i="7"/>
  <c r="K259" i="7"/>
  <c r="J259" i="7"/>
  <c r="I259" i="7"/>
  <c r="H259" i="7"/>
  <c r="G259" i="7"/>
  <c r="F259" i="7"/>
  <c r="D259" i="7"/>
  <c r="C259" i="7"/>
  <c r="B259" i="7"/>
  <c r="FQ258" i="7"/>
  <c r="FO258" i="7"/>
  <c r="FM258" i="7"/>
  <c r="FL258" i="7"/>
  <c r="FJ258" i="7"/>
  <c r="FH258" i="7"/>
  <c r="FG258" i="7"/>
  <c r="FE258" i="7"/>
  <c r="FC258" i="7"/>
  <c r="EZ258" i="7"/>
  <c r="EY258" i="7"/>
  <c r="EX258" i="7"/>
  <c r="EW258" i="7"/>
  <c r="EV258" i="7"/>
  <c r="EU258" i="7"/>
  <c r="ET258" i="7"/>
  <c r="ES258" i="7"/>
  <c r="ER258" i="7"/>
  <c r="EQ258" i="7"/>
  <c r="EP258" i="7"/>
  <c r="EO258" i="7"/>
  <c r="EN258" i="7"/>
  <c r="EM258" i="7"/>
  <c r="EI258" i="7"/>
  <c r="EG258" i="7"/>
  <c r="EE258" i="7"/>
  <c r="EC258" i="7"/>
  <c r="EA258" i="7"/>
  <c r="DY258" i="7"/>
  <c r="DW258" i="7"/>
  <c r="DU258" i="7"/>
  <c r="DS258" i="7"/>
  <c r="DR258" i="7"/>
  <c r="DP258" i="7"/>
  <c r="DN258" i="7"/>
  <c r="DM258" i="7"/>
  <c r="DK258" i="7"/>
  <c r="DI258" i="7"/>
  <c r="DH258" i="7"/>
  <c r="DF258" i="7"/>
  <c r="DD258" i="7"/>
  <c r="DC258" i="7"/>
  <c r="DA258" i="7"/>
  <c r="CY258" i="7"/>
  <c r="CX258" i="7"/>
  <c r="CV258" i="7"/>
  <c r="CT258" i="7"/>
  <c r="CS258" i="7"/>
  <c r="CR258" i="7"/>
  <c r="CQ258" i="7"/>
  <c r="CP258" i="7"/>
  <c r="CO258" i="7"/>
  <c r="CN258" i="7"/>
  <c r="CM258" i="7"/>
  <c r="CL258" i="7"/>
  <c r="CK258" i="7"/>
  <c r="CI258" i="7"/>
  <c r="CJ258" i="7" s="1"/>
  <c r="CH258" i="7"/>
  <c r="CG258" i="7"/>
  <c r="CE258" i="7"/>
  <c r="CF258" i="7" s="1"/>
  <c r="CD258" i="7"/>
  <c r="CC258" i="7"/>
  <c r="CA258" i="7"/>
  <c r="CB258" i="7" s="1"/>
  <c r="BZ258" i="7"/>
  <c r="BY258" i="7"/>
  <c r="BW258" i="7"/>
  <c r="BX258" i="7" s="1"/>
  <c r="BV258" i="7"/>
  <c r="BU258" i="7"/>
  <c r="BS258" i="7"/>
  <c r="BT258" i="7" s="1"/>
  <c r="BR258" i="7"/>
  <c r="BQ258" i="7"/>
  <c r="BO258" i="7"/>
  <c r="BP258" i="7" s="1"/>
  <c r="BN258" i="7"/>
  <c r="BM258" i="7"/>
  <c r="BK258" i="7"/>
  <c r="BL258" i="7" s="1"/>
  <c r="BJ258" i="7"/>
  <c r="BI258" i="7"/>
  <c r="BG258" i="7"/>
  <c r="BH258" i="7" s="1"/>
  <c r="BF258" i="7"/>
  <c r="BE258" i="7"/>
  <c r="BC258" i="7"/>
  <c r="BD258" i="7" s="1"/>
  <c r="BB258" i="7"/>
  <c r="AZ258" i="7"/>
  <c r="AX258" i="7"/>
  <c r="AW258" i="7"/>
  <c r="AV258" i="7"/>
  <c r="AU258" i="7"/>
  <c r="AT258" i="7"/>
  <c r="AS258" i="7"/>
  <c r="AR258" i="7"/>
  <c r="AQ258" i="7"/>
  <c r="AP258" i="7"/>
  <c r="AO258" i="7"/>
  <c r="AN258" i="7"/>
  <c r="AM258" i="7"/>
  <c r="AL258" i="7"/>
  <c r="AK258" i="7"/>
  <c r="AJ258" i="7"/>
  <c r="AI258" i="7"/>
  <c r="AH258" i="7"/>
  <c r="AG258" i="7"/>
  <c r="AF258" i="7"/>
  <c r="AE258" i="7"/>
  <c r="AD258" i="7"/>
  <c r="AC258" i="7"/>
  <c r="AB258" i="7"/>
  <c r="AA258" i="7"/>
  <c r="Z258" i="7"/>
  <c r="Y258" i="7"/>
  <c r="X258" i="7"/>
  <c r="W258" i="7"/>
  <c r="V258" i="7"/>
  <c r="U258" i="7"/>
  <c r="T258" i="7"/>
  <c r="S258" i="7"/>
  <c r="R258" i="7"/>
  <c r="Q258" i="7"/>
  <c r="P258" i="7"/>
  <c r="O258" i="7"/>
  <c r="N258" i="7"/>
  <c r="M258" i="7"/>
  <c r="L258" i="7"/>
  <c r="K258" i="7"/>
  <c r="J258" i="7"/>
  <c r="I258" i="7"/>
  <c r="H258" i="7"/>
  <c r="G258" i="7"/>
  <c r="F258" i="7"/>
  <c r="D258" i="7"/>
  <c r="C258" i="7"/>
  <c r="B258" i="7"/>
  <c r="FQ257" i="7"/>
  <c r="FO257" i="7"/>
  <c r="FM257" i="7"/>
  <c r="FL257" i="7"/>
  <c r="FJ257" i="7"/>
  <c r="FH257" i="7"/>
  <c r="FG257" i="7"/>
  <c r="FE257" i="7"/>
  <c r="FC257" i="7"/>
  <c r="EZ257" i="7"/>
  <c r="EY257" i="7"/>
  <c r="EX257" i="7"/>
  <c r="EW257" i="7"/>
  <c r="EV257" i="7"/>
  <c r="EU257" i="7"/>
  <c r="ET257" i="7"/>
  <c r="ES257" i="7"/>
  <c r="ER257" i="7"/>
  <c r="EQ257" i="7"/>
  <c r="EP257" i="7"/>
  <c r="EO257" i="7"/>
  <c r="EN257" i="7"/>
  <c r="EM257" i="7"/>
  <c r="EI257" i="7"/>
  <c r="EG257" i="7"/>
  <c r="EE257" i="7"/>
  <c r="EC257" i="7"/>
  <c r="EA257" i="7"/>
  <c r="DY257" i="7"/>
  <c r="DW257" i="7"/>
  <c r="DU257" i="7"/>
  <c r="DS257" i="7"/>
  <c r="DR257" i="7"/>
  <c r="DP257" i="7"/>
  <c r="DN257" i="7"/>
  <c r="DM257" i="7"/>
  <c r="DK257" i="7"/>
  <c r="DI257" i="7"/>
  <c r="DH257" i="7"/>
  <c r="DF257" i="7"/>
  <c r="DD257" i="7"/>
  <c r="DC257" i="7"/>
  <c r="DA257" i="7"/>
  <c r="CY257" i="7"/>
  <c r="CX257" i="7"/>
  <c r="CV257" i="7"/>
  <c r="CT257" i="7"/>
  <c r="CS257" i="7"/>
  <c r="CR257" i="7"/>
  <c r="CQ257" i="7"/>
  <c r="CP257" i="7"/>
  <c r="CO257" i="7"/>
  <c r="CN257" i="7"/>
  <c r="CM257" i="7"/>
  <c r="CL257" i="7"/>
  <c r="CK257" i="7"/>
  <c r="CI257" i="7"/>
  <c r="CJ257" i="7" s="1"/>
  <c r="CH257" i="7"/>
  <c r="CG257" i="7"/>
  <c r="CE257" i="7"/>
  <c r="CF257" i="7" s="1"/>
  <c r="CD257" i="7"/>
  <c r="CC257" i="7"/>
  <c r="CA257" i="7"/>
  <c r="CB257" i="7" s="1"/>
  <c r="BZ257" i="7"/>
  <c r="BY257" i="7"/>
  <c r="BW257" i="7"/>
  <c r="BX257" i="7" s="1"/>
  <c r="BV257" i="7"/>
  <c r="BU257" i="7"/>
  <c r="BS257" i="7"/>
  <c r="BT257" i="7" s="1"/>
  <c r="BR257" i="7"/>
  <c r="BQ257" i="7"/>
  <c r="BO257" i="7"/>
  <c r="BP257" i="7" s="1"/>
  <c r="BN257" i="7"/>
  <c r="BM257" i="7"/>
  <c r="BK257" i="7"/>
  <c r="BL257" i="7" s="1"/>
  <c r="BJ257" i="7"/>
  <c r="BI257" i="7"/>
  <c r="BG257" i="7"/>
  <c r="BH257" i="7" s="1"/>
  <c r="BF257" i="7"/>
  <c r="BE257" i="7"/>
  <c r="BC257" i="7"/>
  <c r="BD257" i="7" s="1"/>
  <c r="BB257" i="7"/>
  <c r="AZ257" i="7"/>
  <c r="AX257" i="7"/>
  <c r="AW257" i="7"/>
  <c r="AV257" i="7"/>
  <c r="AU257" i="7"/>
  <c r="AT257" i="7"/>
  <c r="AS257" i="7"/>
  <c r="AR257" i="7"/>
  <c r="AQ257" i="7"/>
  <c r="AP257" i="7"/>
  <c r="AO257" i="7"/>
  <c r="AN257" i="7"/>
  <c r="AM257" i="7"/>
  <c r="AL257" i="7"/>
  <c r="AK257" i="7"/>
  <c r="AJ257" i="7"/>
  <c r="AI257" i="7"/>
  <c r="AH257" i="7"/>
  <c r="AG257" i="7"/>
  <c r="AF257" i="7"/>
  <c r="AE257" i="7"/>
  <c r="AD257" i="7"/>
  <c r="AC257" i="7"/>
  <c r="AB257" i="7"/>
  <c r="AA257" i="7"/>
  <c r="Z257" i="7"/>
  <c r="Y257" i="7"/>
  <c r="X257" i="7"/>
  <c r="W257" i="7"/>
  <c r="V257" i="7"/>
  <c r="U257" i="7"/>
  <c r="T257" i="7"/>
  <c r="S257" i="7"/>
  <c r="R257" i="7"/>
  <c r="Q257" i="7"/>
  <c r="P257" i="7"/>
  <c r="O257" i="7"/>
  <c r="N257" i="7"/>
  <c r="M257" i="7"/>
  <c r="L257" i="7"/>
  <c r="K257" i="7"/>
  <c r="J257" i="7"/>
  <c r="I257" i="7"/>
  <c r="H257" i="7"/>
  <c r="G257" i="7"/>
  <c r="F257" i="7"/>
  <c r="D257" i="7"/>
  <c r="C257" i="7"/>
  <c r="B257" i="7"/>
  <c r="FQ256" i="7"/>
  <c r="FO256" i="7"/>
  <c r="FM256" i="7"/>
  <c r="FL256" i="7"/>
  <c r="FJ256" i="7"/>
  <c r="FH256" i="7"/>
  <c r="FG256" i="7"/>
  <c r="FE256" i="7"/>
  <c r="FC256" i="7"/>
  <c r="EZ256" i="7"/>
  <c r="EY256" i="7"/>
  <c r="EX256" i="7"/>
  <c r="EW256" i="7"/>
  <c r="EV256" i="7"/>
  <c r="EU256" i="7"/>
  <c r="ET256" i="7"/>
  <c r="ES256" i="7"/>
  <c r="ER256" i="7"/>
  <c r="EQ256" i="7"/>
  <c r="EP256" i="7"/>
  <c r="EO256" i="7"/>
  <c r="EN256" i="7"/>
  <c r="EM256" i="7"/>
  <c r="EI256" i="7"/>
  <c r="EG256" i="7"/>
  <c r="EE256" i="7"/>
  <c r="EC256" i="7"/>
  <c r="EA256" i="7"/>
  <c r="DY256" i="7"/>
  <c r="DW256" i="7"/>
  <c r="DU256" i="7"/>
  <c r="DS256" i="7"/>
  <c r="DR256" i="7"/>
  <c r="DP256" i="7"/>
  <c r="DN256" i="7"/>
  <c r="DM256" i="7"/>
  <c r="DK256" i="7"/>
  <c r="DI256" i="7"/>
  <c r="DH256" i="7"/>
  <c r="DF256" i="7"/>
  <c r="DD256" i="7"/>
  <c r="DC256" i="7"/>
  <c r="DA256" i="7"/>
  <c r="CY256" i="7"/>
  <c r="CX256" i="7"/>
  <c r="CV256" i="7"/>
  <c r="CT256" i="7"/>
  <c r="CS256" i="7"/>
  <c r="CR256" i="7"/>
  <c r="CQ256" i="7"/>
  <c r="CP256" i="7"/>
  <c r="CO256" i="7"/>
  <c r="CN256" i="7"/>
  <c r="CM256" i="7"/>
  <c r="CL256" i="7"/>
  <c r="CK256" i="7"/>
  <c r="CI256" i="7"/>
  <c r="CJ256" i="7" s="1"/>
  <c r="CH256" i="7"/>
  <c r="CG256" i="7"/>
  <c r="CE256" i="7"/>
  <c r="CF256" i="7" s="1"/>
  <c r="CD256" i="7"/>
  <c r="CC256" i="7"/>
  <c r="CA256" i="7"/>
  <c r="CB256" i="7" s="1"/>
  <c r="BZ256" i="7"/>
  <c r="BY256" i="7"/>
  <c r="BW256" i="7"/>
  <c r="BX256" i="7" s="1"/>
  <c r="BV256" i="7"/>
  <c r="BU256" i="7"/>
  <c r="BS256" i="7"/>
  <c r="BT256" i="7" s="1"/>
  <c r="BR256" i="7"/>
  <c r="BQ256" i="7"/>
  <c r="BO256" i="7"/>
  <c r="BP256" i="7" s="1"/>
  <c r="BN256" i="7"/>
  <c r="BM256" i="7"/>
  <c r="BK256" i="7"/>
  <c r="BL256" i="7" s="1"/>
  <c r="BJ256" i="7"/>
  <c r="BI256" i="7"/>
  <c r="BG256" i="7"/>
  <c r="BH256" i="7" s="1"/>
  <c r="BF256" i="7"/>
  <c r="BE256" i="7"/>
  <c r="BC256" i="7"/>
  <c r="BD256" i="7" s="1"/>
  <c r="BB256" i="7"/>
  <c r="AZ256" i="7"/>
  <c r="AX256" i="7"/>
  <c r="AW256" i="7"/>
  <c r="AV256" i="7"/>
  <c r="AU256" i="7"/>
  <c r="AT256" i="7"/>
  <c r="AS256" i="7"/>
  <c r="AR256" i="7"/>
  <c r="AQ256" i="7"/>
  <c r="AP256" i="7"/>
  <c r="AO256" i="7"/>
  <c r="AN256" i="7"/>
  <c r="AM256" i="7"/>
  <c r="AL256" i="7"/>
  <c r="AK256" i="7"/>
  <c r="AJ256" i="7"/>
  <c r="AI256" i="7"/>
  <c r="AH256" i="7"/>
  <c r="AG256" i="7"/>
  <c r="AF256" i="7"/>
  <c r="AE256" i="7"/>
  <c r="AD256" i="7"/>
  <c r="AC256" i="7"/>
  <c r="AB256" i="7"/>
  <c r="AA256" i="7"/>
  <c r="Z256" i="7"/>
  <c r="Y256" i="7"/>
  <c r="X256" i="7"/>
  <c r="W256" i="7"/>
  <c r="V256" i="7"/>
  <c r="U256" i="7"/>
  <c r="T256" i="7"/>
  <c r="S256" i="7"/>
  <c r="R256" i="7"/>
  <c r="Q256" i="7"/>
  <c r="P256" i="7"/>
  <c r="O256" i="7"/>
  <c r="N256" i="7"/>
  <c r="M256" i="7"/>
  <c r="L256" i="7"/>
  <c r="K256" i="7"/>
  <c r="J256" i="7"/>
  <c r="I256" i="7"/>
  <c r="H256" i="7"/>
  <c r="G256" i="7"/>
  <c r="F256" i="7"/>
  <c r="D256" i="7"/>
  <c r="C256" i="7"/>
  <c r="B256" i="7"/>
  <c r="FQ255" i="7"/>
  <c r="FO255" i="7"/>
  <c r="FM255" i="7"/>
  <c r="FL255" i="7"/>
  <c r="FJ255" i="7"/>
  <c r="FH255" i="7"/>
  <c r="FG255" i="7"/>
  <c r="FE255" i="7"/>
  <c r="FC255" i="7"/>
  <c r="EZ255" i="7"/>
  <c r="EY255" i="7"/>
  <c r="EX255" i="7"/>
  <c r="EW255" i="7"/>
  <c r="EV255" i="7"/>
  <c r="EU255" i="7"/>
  <c r="ET255" i="7"/>
  <c r="ES255" i="7"/>
  <c r="ER255" i="7"/>
  <c r="EQ255" i="7"/>
  <c r="EP255" i="7"/>
  <c r="EO255" i="7"/>
  <c r="EN255" i="7"/>
  <c r="EM255" i="7"/>
  <c r="EI255" i="7"/>
  <c r="EG255" i="7"/>
  <c r="EE255" i="7"/>
  <c r="EC255" i="7"/>
  <c r="EA255" i="7"/>
  <c r="DY255" i="7"/>
  <c r="DW255" i="7"/>
  <c r="DU255" i="7"/>
  <c r="DS255" i="7"/>
  <c r="DR255" i="7"/>
  <c r="DP255" i="7"/>
  <c r="DN255" i="7"/>
  <c r="DM255" i="7"/>
  <c r="DK255" i="7"/>
  <c r="DI255" i="7"/>
  <c r="DH255" i="7"/>
  <c r="DF255" i="7"/>
  <c r="DD255" i="7"/>
  <c r="DC255" i="7"/>
  <c r="DA255" i="7"/>
  <c r="CY255" i="7"/>
  <c r="CX255" i="7"/>
  <c r="CV255" i="7"/>
  <c r="CT255" i="7"/>
  <c r="CS255" i="7"/>
  <c r="CR255" i="7"/>
  <c r="CQ255" i="7"/>
  <c r="CP255" i="7"/>
  <c r="CO255" i="7"/>
  <c r="CN255" i="7"/>
  <c r="CM255" i="7"/>
  <c r="CL255" i="7"/>
  <c r="CK255" i="7"/>
  <c r="CI255" i="7"/>
  <c r="CJ255" i="7" s="1"/>
  <c r="CH255" i="7"/>
  <c r="CG255" i="7"/>
  <c r="CE255" i="7"/>
  <c r="CF255" i="7" s="1"/>
  <c r="CD255" i="7"/>
  <c r="CC255" i="7"/>
  <c r="CA255" i="7"/>
  <c r="CB255" i="7" s="1"/>
  <c r="BZ255" i="7"/>
  <c r="BY255" i="7"/>
  <c r="BW255" i="7"/>
  <c r="BX255" i="7" s="1"/>
  <c r="BV255" i="7"/>
  <c r="BU255" i="7"/>
  <c r="BS255" i="7"/>
  <c r="BT255" i="7" s="1"/>
  <c r="BR255" i="7"/>
  <c r="BQ255" i="7"/>
  <c r="BO255" i="7"/>
  <c r="BP255" i="7" s="1"/>
  <c r="BN255" i="7"/>
  <c r="BM255" i="7"/>
  <c r="BK255" i="7"/>
  <c r="BL255" i="7" s="1"/>
  <c r="BJ255" i="7"/>
  <c r="BI255" i="7"/>
  <c r="BG255" i="7"/>
  <c r="BH255" i="7" s="1"/>
  <c r="BF255" i="7"/>
  <c r="BE255" i="7"/>
  <c r="BC255" i="7"/>
  <c r="BD255" i="7" s="1"/>
  <c r="BB255" i="7"/>
  <c r="AZ255" i="7"/>
  <c r="AX255" i="7"/>
  <c r="AW255" i="7"/>
  <c r="AV255" i="7"/>
  <c r="AU255" i="7"/>
  <c r="AT255" i="7"/>
  <c r="AS255" i="7"/>
  <c r="AR255" i="7"/>
  <c r="AQ255" i="7"/>
  <c r="AP255" i="7"/>
  <c r="AO255" i="7"/>
  <c r="AN255" i="7"/>
  <c r="AM255" i="7"/>
  <c r="AL255" i="7"/>
  <c r="AK255" i="7"/>
  <c r="AJ255" i="7"/>
  <c r="AI255" i="7"/>
  <c r="AH255" i="7"/>
  <c r="AG255" i="7"/>
  <c r="AF255" i="7"/>
  <c r="AE255" i="7"/>
  <c r="AD255" i="7"/>
  <c r="AC255" i="7"/>
  <c r="AB255" i="7"/>
  <c r="AA255" i="7"/>
  <c r="Z255" i="7"/>
  <c r="Y255" i="7"/>
  <c r="X255" i="7"/>
  <c r="W255" i="7"/>
  <c r="V255" i="7"/>
  <c r="U255" i="7"/>
  <c r="T255" i="7"/>
  <c r="S255" i="7"/>
  <c r="R255" i="7"/>
  <c r="Q255" i="7"/>
  <c r="P255" i="7"/>
  <c r="O255" i="7"/>
  <c r="N255" i="7"/>
  <c r="M255" i="7"/>
  <c r="L255" i="7"/>
  <c r="K255" i="7"/>
  <c r="J255" i="7"/>
  <c r="I255" i="7"/>
  <c r="H255" i="7"/>
  <c r="G255" i="7"/>
  <c r="F255" i="7"/>
  <c r="D255" i="7"/>
  <c r="C255" i="7"/>
  <c r="B255" i="7"/>
  <c r="FQ254" i="7"/>
  <c r="FO254" i="7"/>
  <c r="FM254" i="7"/>
  <c r="FL254" i="7"/>
  <c r="FJ254" i="7"/>
  <c r="FH254" i="7"/>
  <c r="FG254" i="7"/>
  <c r="FE254" i="7"/>
  <c r="FC254" i="7"/>
  <c r="EZ254" i="7"/>
  <c r="EY254" i="7"/>
  <c r="EX254" i="7"/>
  <c r="EW254" i="7"/>
  <c r="EV254" i="7"/>
  <c r="EU254" i="7"/>
  <c r="ET254" i="7"/>
  <c r="ES254" i="7"/>
  <c r="ER254" i="7"/>
  <c r="EQ254" i="7"/>
  <c r="EP254" i="7"/>
  <c r="EO254" i="7"/>
  <c r="EN254" i="7"/>
  <c r="EM254" i="7"/>
  <c r="EI254" i="7"/>
  <c r="EG254" i="7"/>
  <c r="EE254" i="7"/>
  <c r="EC254" i="7"/>
  <c r="EA254" i="7"/>
  <c r="DY254" i="7"/>
  <c r="DW254" i="7"/>
  <c r="DU254" i="7"/>
  <c r="DS254" i="7"/>
  <c r="DR254" i="7"/>
  <c r="DP254" i="7"/>
  <c r="DN254" i="7"/>
  <c r="DM254" i="7"/>
  <c r="DK254" i="7"/>
  <c r="DI254" i="7"/>
  <c r="DH254" i="7"/>
  <c r="DF254" i="7"/>
  <c r="DD254" i="7"/>
  <c r="DC254" i="7"/>
  <c r="DA254" i="7"/>
  <c r="CY254" i="7"/>
  <c r="CX254" i="7"/>
  <c r="CV254" i="7"/>
  <c r="CT254" i="7"/>
  <c r="CS254" i="7"/>
  <c r="CR254" i="7"/>
  <c r="CQ254" i="7"/>
  <c r="CP254" i="7"/>
  <c r="CO254" i="7"/>
  <c r="CN254" i="7"/>
  <c r="CM254" i="7"/>
  <c r="CL254" i="7"/>
  <c r="CK254" i="7"/>
  <c r="CI254" i="7"/>
  <c r="CJ254" i="7" s="1"/>
  <c r="CH254" i="7"/>
  <c r="CG254" i="7"/>
  <c r="CE254" i="7"/>
  <c r="CF254" i="7" s="1"/>
  <c r="CD254" i="7"/>
  <c r="CC254" i="7"/>
  <c r="CA254" i="7"/>
  <c r="CB254" i="7" s="1"/>
  <c r="BZ254" i="7"/>
  <c r="BY254" i="7"/>
  <c r="BW254" i="7"/>
  <c r="BX254" i="7" s="1"/>
  <c r="BV254" i="7"/>
  <c r="BU254" i="7"/>
  <c r="BS254" i="7"/>
  <c r="BT254" i="7" s="1"/>
  <c r="BR254" i="7"/>
  <c r="BQ254" i="7"/>
  <c r="BO254" i="7"/>
  <c r="BP254" i="7" s="1"/>
  <c r="BN254" i="7"/>
  <c r="BM254" i="7"/>
  <c r="BK254" i="7"/>
  <c r="BL254" i="7" s="1"/>
  <c r="BJ254" i="7"/>
  <c r="BI254" i="7"/>
  <c r="BG254" i="7"/>
  <c r="BH254" i="7" s="1"/>
  <c r="BF254" i="7"/>
  <c r="BE254" i="7"/>
  <c r="BC254" i="7"/>
  <c r="BD254" i="7" s="1"/>
  <c r="BB254" i="7"/>
  <c r="AZ254" i="7"/>
  <c r="AX254" i="7"/>
  <c r="AW254" i="7"/>
  <c r="AV254" i="7"/>
  <c r="AU254" i="7"/>
  <c r="AT254" i="7"/>
  <c r="AS254" i="7"/>
  <c r="AR254" i="7"/>
  <c r="AQ254" i="7"/>
  <c r="AP254" i="7"/>
  <c r="AO254" i="7"/>
  <c r="AN254" i="7"/>
  <c r="AM254" i="7"/>
  <c r="AL254" i="7"/>
  <c r="AK254" i="7"/>
  <c r="AJ254" i="7"/>
  <c r="AI254" i="7"/>
  <c r="AH254" i="7"/>
  <c r="AG254" i="7"/>
  <c r="AF254" i="7"/>
  <c r="AE254" i="7"/>
  <c r="AD254" i="7"/>
  <c r="AC254" i="7"/>
  <c r="AB254" i="7"/>
  <c r="AA254" i="7"/>
  <c r="Z254" i="7"/>
  <c r="Y254" i="7"/>
  <c r="X254" i="7"/>
  <c r="W254" i="7"/>
  <c r="V254" i="7"/>
  <c r="U254" i="7"/>
  <c r="T254" i="7"/>
  <c r="S254" i="7"/>
  <c r="R254" i="7"/>
  <c r="Q254" i="7"/>
  <c r="P254" i="7"/>
  <c r="O254" i="7"/>
  <c r="N254" i="7"/>
  <c r="M254" i="7"/>
  <c r="L254" i="7"/>
  <c r="K254" i="7"/>
  <c r="J254" i="7"/>
  <c r="I254" i="7"/>
  <c r="H254" i="7"/>
  <c r="G254" i="7"/>
  <c r="F254" i="7"/>
  <c r="D254" i="7"/>
  <c r="C254" i="7"/>
  <c r="B254" i="7"/>
  <c r="FQ253" i="7"/>
  <c r="FO253" i="7"/>
  <c r="FM253" i="7"/>
  <c r="FL253" i="7"/>
  <c r="FJ253" i="7"/>
  <c r="FH253" i="7"/>
  <c r="FG253" i="7"/>
  <c r="FE253" i="7"/>
  <c r="FC253" i="7"/>
  <c r="EZ253" i="7"/>
  <c r="EY253" i="7"/>
  <c r="EX253" i="7"/>
  <c r="EW253" i="7"/>
  <c r="EV253" i="7"/>
  <c r="EU253" i="7"/>
  <c r="ET253" i="7"/>
  <c r="ES253" i="7"/>
  <c r="ER253" i="7"/>
  <c r="EQ253" i="7"/>
  <c r="EP253" i="7"/>
  <c r="EO253" i="7"/>
  <c r="EN253" i="7"/>
  <c r="EM253" i="7"/>
  <c r="EI253" i="7"/>
  <c r="EG253" i="7"/>
  <c r="EE253" i="7"/>
  <c r="EC253" i="7"/>
  <c r="EA253" i="7"/>
  <c r="DY253" i="7"/>
  <c r="DW253" i="7"/>
  <c r="DU253" i="7"/>
  <c r="DS253" i="7"/>
  <c r="DR253" i="7"/>
  <c r="DP253" i="7"/>
  <c r="DN253" i="7"/>
  <c r="DM253" i="7"/>
  <c r="DK253" i="7"/>
  <c r="DI253" i="7"/>
  <c r="DH253" i="7"/>
  <c r="DF253" i="7"/>
  <c r="DD253" i="7"/>
  <c r="DC253" i="7"/>
  <c r="DA253" i="7"/>
  <c r="CY253" i="7"/>
  <c r="CX253" i="7"/>
  <c r="CV253" i="7"/>
  <c r="CT253" i="7"/>
  <c r="CS253" i="7"/>
  <c r="CR253" i="7"/>
  <c r="CQ253" i="7"/>
  <c r="CP253" i="7"/>
  <c r="CO253" i="7"/>
  <c r="CN253" i="7"/>
  <c r="CM253" i="7"/>
  <c r="CL253" i="7"/>
  <c r="CK253" i="7"/>
  <c r="CI253" i="7"/>
  <c r="CJ253" i="7" s="1"/>
  <c r="CH253" i="7"/>
  <c r="CG253" i="7"/>
  <c r="CE253" i="7"/>
  <c r="CF253" i="7" s="1"/>
  <c r="CD253" i="7"/>
  <c r="CC253" i="7"/>
  <c r="CA253" i="7"/>
  <c r="CB253" i="7" s="1"/>
  <c r="BZ253" i="7"/>
  <c r="BY253" i="7"/>
  <c r="BW253" i="7"/>
  <c r="BX253" i="7" s="1"/>
  <c r="BV253" i="7"/>
  <c r="BU253" i="7"/>
  <c r="BS253" i="7"/>
  <c r="BT253" i="7" s="1"/>
  <c r="BR253" i="7"/>
  <c r="BQ253" i="7"/>
  <c r="BO253" i="7"/>
  <c r="BP253" i="7" s="1"/>
  <c r="BN253" i="7"/>
  <c r="BM253" i="7"/>
  <c r="BK253" i="7"/>
  <c r="BL253" i="7" s="1"/>
  <c r="BJ253" i="7"/>
  <c r="BI253" i="7"/>
  <c r="BG253" i="7"/>
  <c r="BH253" i="7" s="1"/>
  <c r="BF253" i="7"/>
  <c r="BE253" i="7"/>
  <c r="BC253" i="7"/>
  <c r="BD253" i="7" s="1"/>
  <c r="BB253" i="7"/>
  <c r="AZ253" i="7"/>
  <c r="AX253" i="7"/>
  <c r="AW253" i="7"/>
  <c r="AV253" i="7"/>
  <c r="AU253" i="7"/>
  <c r="AT253" i="7"/>
  <c r="AS253" i="7"/>
  <c r="AR253" i="7"/>
  <c r="AQ253" i="7"/>
  <c r="AP253" i="7"/>
  <c r="AO253" i="7"/>
  <c r="AN253" i="7"/>
  <c r="AM253" i="7"/>
  <c r="AL253" i="7"/>
  <c r="AK253" i="7"/>
  <c r="AJ253" i="7"/>
  <c r="AI253" i="7"/>
  <c r="AH253" i="7"/>
  <c r="AG253" i="7"/>
  <c r="AF253" i="7"/>
  <c r="AE253" i="7"/>
  <c r="AD253" i="7"/>
  <c r="AC253" i="7"/>
  <c r="AB253" i="7"/>
  <c r="AA253" i="7"/>
  <c r="Z253" i="7"/>
  <c r="Y253" i="7"/>
  <c r="X253" i="7"/>
  <c r="W253" i="7"/>
  <c r="V253" i="7"/>
  <c r="U253" i="7"/>
  <c r="T253" i="7"/>
  <c r="S253" i="7"/>
  <c r="R253" i="7"/>
  <c r="Q253" i="7"/>
  <c r="P253" i="7"/>
  <c r="O253" i="7"/>
  <c r="N253" i="7"/>
  <c r="M253" i="7"/>
  <c r="L253" i="7"/>
  <c r="K253" i="7"/>
  <c r="J253" i="7"/>
  <c r="I253" i="7"/>
  <c r="H253" i="7"/>
  <c r="G253" i="7"/>
  <c r="F253" i="7"/>
  <c r="D253" i="7"/>
  <c r="C253" i="7"/>
  <c r="B253" i="7"/>
  <c r="FQ252" i="7"/>
  <c r="FO252" i="7"/>
  <c r="FM252" i="7"/>
  <c r="FL252" i="7"/>
  <c r="FJ252" i="7"/>
  <c r="FH252" i="7"/>
  <c r="FG252" i="7"/>
  <c r="FE252" i="7"/>
  <c r="FC252" i="7"/>
  <c r="EZ252" i="7"/>
  <c r="EY252" i="7"/>
  <c r="EX252" i="7"/>
  <c r="EW252" i="7"/>
  <c r="EV252" i="7"/>
  <c r="EU252" i="7"/>
  <c r="ET252" i="7"/>
  <c r="ES252" i="7"/>
  <c r="ER252" i="7"/>
  <c r="EQ252" i="7"/>
  <c r="EP252" i="7"/>
  <c r="EO252" i="7"/>
  <c r="EN252" i="7"/>
  <c r="EM252" i="7"/>
  <c r="EI252" i="7"/>
  <c r="EG252" i="7"/>
  <c r="EE252" i="7"/>
  <c r="EC252" i="7"/>
  <c r="EA252" i="7"/>
  <c r="DY252" i="7"/>
  <c r="DW252" i="7"/>
  <c r="DU252" i="7"/>
  <c r="DS252" i="7"/>
  <c r="DR252" i="7"/>
  <c r="DP252" i="7"/>
  <c r="DN252" i="7"/>
  <c r="DM252" i="7"/>
  <c r="DK252" i="7"/>
  <c r="DI252" i="7"/>
  <c r="DH252" i="7"/>
  <c r="DF252" i="7"/>
  <c r="DD252" i="7"/>
  <c r="DC252" i="7"/>
  <c r="DA252" i="7"/>
  <c r="CY252" i="7"/>
  <c r="CX252" i="7"/>
  <c r="CV252" i="7"/>
  <c r="CT252" i="7"/>
  <c r="CS252" i="7"/>
  <c r="CR252" i="7"/>
  <c r="CQ252" i="7"/>
  <c r="CP252" i="7"/>
  <c r="CO252" i="7"/>
  <c r="CN252" i="7"/>
  <c r="CM252" i="7"/>
  <c r="CL252" i="7"/>
  <c r="CK252" i="7"/>
  <c r="CI252" i="7"/>
  <c r="CJ252" i="7" s="1"/>
  <c r="CH252" i="7"/>
  <c r="CG252" i="7"/>
  <c r="CE252" i="7"/>
  <c r="CF252" i="7" s="1"/>
  <c r="CD252" i="7"/>
  <c r="CC252" i="7"/>
  <c r="CA252" i="7"/>
  <c r="CB252" i="7" s="1"/>
  <c r="BZ252" i="7"/>
  <c r="BY252" i="7"/>
  <c r="BW252" i="7"/>
  <c r="BX252" i="7" s="1"/>
  <c r="BV252" i="7"/>
  <c r="BU252" i="7"/>
  <c r="BS252" i="7"/>
  <c r="BT252" i="7" s="1"/>
  <c r="BR252" i="7"/>
  <c r="BQ252" i="7"/>
  <c r="BO252" i="7"/>
  <c r="BP252" i="7" s="1"/>
  <c r="BN252" i="7"/>
  <c r="BM252" i="7"/>
  <c r="BK252" i="7"/>
  <c r="BL252" i="7" s="1"/>
  <c r="BJ252" i="7"/>
  <c r="BI252" i="7"/>
  <c r="BG252" i="7"/>
  <c r="BH252" i="7" s="1"/>
  <c r="BF252" i="7"/>
  <c r="BE252" i="7"/>
  <c r="BC252" i="7"/>
  <c r="BD252" i="7" s="1"/>
  <c r="BB252" i="7"/>
  <c r="AZ252" i="7"/>
  <c r="AX252" i="7"/>
  <c r="AW252" i="7"/>
  <c r="AV252" i="7"/>
  <c r="AU252" i="7"/>
  <c r="AT252" i="7"/>
  <c r="AS252" i="7"/>
  <c r="AR252" i="7"/>
  <c r="AQ252" i="7"/>
  <c r="AP252" i="7"/>
  <c r="AO252" i="7"/>
  <c r="AN252" i="7"/>
  <c r="AM252" i="7"/>
  <c r="AL252" i="7"/>
  <c r="AK252" i="7"/>
  <c r="AJ252" i="7"/>
  <c r="AI252" i="7"/>
  <c r="AH252" i="7"/>
  <c r="AG252" i="7"/>
  <c r="AF252" i="7"/>
  <c r="AE252" i="7"/>
  <c r="AD252" i="7"/>
  <c r="AC252" i="7"/>
  <c r="AB252" i="7"/>
  <c r="AA252" i="7"/>
  <c r="Z252" i="7"/>
  <c r="Y252" i="7"/>
  <c r="X252" i="7"/>
  <c r="W252" i="7"/>
  <c r="V252" i="7"/>
  <c r="U252" i="7"/>
  <c r="T252" i="7"/>
  <c r="S252" i="7"/>
  <c r="R252" i="7"/>
  <c r="Q252" i="7"/>
  <c r="P252" i="7"/>
  <c r="O252" i="7"/>
  <c r="N252" i="7"/>
  <c r="M252" i="7"/>
  <c r="L252" i="7"/>
  <c r="K252" i="7"/>
  <c r="J252" i="7"/>
  <c r="I252" i="7"/>
  <c r="H252" i="7"/>
  <c r="G252" i="7"/>
  <c r="F252" i="7"/>
  <c r="D252" i="7"/>
  <c r="C252" i="7"/>
  <c r="B252" i="7"/>
  <c r="FQ251" i="7"/>
  <c r="FO251" i="7"/>
  <c r="FM251" i="7"/>
  <c r="FL251" i="7"/>
  <c r="FJ251" i="7"/>
  <c r="FH251" i="7"/>
  <c r="FG251" i="7"/>
  <c r="FE251" i="7"/>
  <c r="FC251" i="7"/>
  <c r="EZ251" i="7"/>
  <c r="EY251" i="7"/>
  <c r="EX251" i="7"/>
  <c r="EW251" i="7"/>
  <c r="EV251" i="7"/>
  <c r="EU251" i="7"/>
  <c r="ET251" i="7"/>
  <c r="ES251" i="7"/>
  <c r="ER251" i="7"/>
  <c r="EQ251" i="7"/>
  <c r="EP251" i="7"/>
  <c r="EO251" i="7"/>
  <c r="EN251" i="7"/>
  <c r="EM251" i="7"/>
  <c r="EI251" i="7"/>
  <c r="EG251" i="7"/>
  <c r="EE251" i="7"/>
  <c r="EC251" i="7"/>
  <c r="EA251" i="7"/>
  <c r="DY251" i="7"/>
  <c r="DW251" i="7"/>
  <c r="DU251" i="7"/>
  <c r="DS251" i="7"/>
  <c r="DR251" i="7"/>
  <c r="DP251" i="7"/>
  <c r="DN251" i="7"/>
  <c r="DM251" i="7"/>
  <c r="DK251" i="7"/>
  <c r="DI251" i="7"/>
  <c r="DH251" i="7"/>
  <c r="DF251" i="7"/>
  <c r="DD251" i="7"/>
  <c r="DC251" i="7"/>
  <c r="DA251" i="7"/>
  <c r="CY251" i="7"/>
  <c r="CX251" i="7"/>
  <c r="CV251" i="7"/>
  <c r="CT251" i="7"/>
  <c r="CS251" i="7"/>
  <c r="CR251" i="7"/>
  <c r="CQ251" i="7"/>
  <c r="CP251" i="7"/>
  <c r="CO251" i="7"/>
  <c r="CN251" i="7"/>
  <c r="CM251" i="7"/>
  <c r="CL251" i="7"/>
  <c r="CK251" i="7"/>
  <c r="CI251" i="7"/>
  <c r="CJ251" i="7" s="1"/>
  <c r="CH251" i="7"/>
  <c r="CG251" i="7"/>
  <c r="CE251" i="7"/>
  <c r="CF251" i="7" s="1"/>
  <c r="CD251" i="7"/>
  <c r="CC251" i="7"/>
  <c r="CA251" i="7"/>
  <c r="CB251" i="7" s="1"/>
  <c r="BZ251" i="7"/>
  <c r="BY251" i="7"/>
  <c r="BW251" i="7"/>
  <c r="BX251" i="7" s="1"/>
  <c r="BV251" i="7"/>
  <c r="BU251" i="7"/>
  <c r="BS251" i="7"/>
  <c r="BT251" i="7" s="1"/>
  <c r="BR251" i="7"/>
  <c r="BQ251" i="7"/>
  <c r="BO251" i="7"/>
  <c r="BP251" i="7" s="1"/>
  <c r="BN251" i="7"/>
  <c r="BM251" i="7"/>
  <c r="BK251" i="7"/>
  <c r="BL251" i="7" s="1"/>
  <c r="BJ251" i="7"/>
  <c r="BI251" i="7"/>
  <c r="BG251" i="7"/>
  <c r="BH251" i="7" s="1"/>
  <c r="BF251" i="7"/>
  <c r="BE251" i="7"/>
  <c r="BC251" i="7"/>
  <c r="BD251" i="7" s="1"/>
  <c r="BB251" i="7"/>
  <c r="AZ251" i="7"/>
  <c r="AX251" i="7"/>
  <c r="AW251" i="7"/>
  <c r="AV251" i="7"/>
  <c r="AU251" i="7"/>
  <c r="AT251" i="7"/>
  <c r="AS251" i="7"/>
  <c r="AR251" i="7"/>
  <c r="AQ251" i="7"/>
  <c r="AP251" i="7"/>
  <c r="AO251" i="7"/>
  <c r="AN251" i="7"/>
  <c r="AM251" i="7"/>
  <c r="AL251" i="7"/>
  <c r="AK251" i="7"/>
  <c r="AJ251" i="7"/>
  <c r="AI251" i="7"/>
  <c r="AH251" i="7"/>
  <c r="AG251" i="7"/>
  <c r="AF251" i="7"/>
  <c r="AE251" i="7"/>
  <c r="AD251" i="7"/>
  <c r="AC251" i="7"/>
  <c r="AB251" i="7"/>
  <c r="AA251" i="7"/>
  <c r="Z251" i="7"/>
  <c r="Y251" i="7"/>
  <c r="X251" i="7"/>
  <c r="W251" i="7"/>
  <c r="V251" i="7"/>
  <c r="U251" i="7"/>
  <c r="T251" i="7"/>
  <c r="S251" i="7"/>
  <c r="R251" i="7"/>
  <c r="Q251" i="7"/>
  <c r="P251" i="7"/>
  <c r="O251" i="7"/>
  <c r="N251" i="7"/>
  <c r="M251" i="7"/>
  <c r="L251" i="7"/>
  <c r="K251" i="7"/>
  <c r="J251" i="7"/>
  <c r="I251" i="7"/>
  <c r="H251" i="7"/>
  <c r="G251" i="7"/>
  <c r="F251" i="7"/>
  <c r="D251" i="7"/>
  <c r="C251" i="7"/>
  <c r="B251" i="7"/>
  <c r="FQ250" i="7"/>
  <c r="FO250" i="7"/>
  <c r="FM250" i="7"/>
  <c r="FL250" i="7"/>
  <c r="FJ250" i="7"/>
  <c r="FH250" i="7"/>
  <c r="FG250" i="7"/>
  <c r="FE250" i="7"/>
  <c r="FC250" i="7"/>
  <c r="EZ250" i="7"/>
  <c r="EY250" i="7"/>
  <c r="EX250" i="7"/>
  <c r="EW250" i="7"/>
  <c r="EV250" i="7"/>
  <c r="EU250" i="7"/>
  <c r="ET250" i="7"/>
  <c r="ES250" i="7"/>
  <c r="ER250" i="7"/>
  <c r="EQ250" i="7"/>
  <c r="EP250" i="7"/>
  <c r="EO250" i="7"/>
  <c r="EN250" i="7"/>
  <c r="EM250" i="7"/>
  <c r="EI250" i="7"/>
  <c r="EG250" i="7"/>
  <c r="EE250" i="7"/>
  <c r="EC250" i="7"/>
  <c r="EA250" i="7"/>
  <c r="DY250" i="7"/>
  <c r="DW250" i="7"/>
  <c r="DU250" i="7"/>
  <c r="DS250" i="7"/>
  <c r="DR250" i="7"/>
  <c r="DP250" i="7"/>
  <c r="DN250" i="7"/>
  <c r="DM250" i="7"/>
  <c r="DK250" i="7"/>
  <c r="DI250" i="7"/>
  <c r="DH250" i="7"/>
  <c r="DF250" i="7"/>
  <c r="DD250" i="7"/>
  <c r="DC250" i="7"/>
  <c r="DA250" i="7"/>
  <c r="CY250" i="7"/>
  <c r="CX250" i="7"/>
  <c r="CV250" i="7"/>
  <c r="CT250" i="7"/>
  <c r="CS250" i="7"/>
  <c r="CR250" i="7"/>
  <c r="CQ250" i="7"/>
  <c r="CP250" i="7"/>
  <c r="CO250" i="7"/>
  <c r="CN250" i="7"/>
  <c r="CM250" i="7"/>
  <c r="CL250" i="7"/>
  <c r="CK250" i="7"/>
  <c r="CI250" i="7"/>
  <c r="CJ250" i="7" s="1"/>
  <c r="CH250" i="7"/>
  <c r="CG250" i="7"/>
  <c r="CE250" i="7"/>
  <c r="CF250" i="7" s="1"/>
  <c r="CD250" i="7"/>
  <c r="CC250" i="7"/>
  <c r="CA250" i="7"/>
  <c r="CB250" i="7" s="1"/>
  <c r="BZ250" i="7"/>
  <c r="BY250" i="7"/>
  <c r="BW250" i="7"/>
  <c r="BX250" i="7" s="1"/>
  <c r="BV250" i="7"/>
  <c r="BU250" i="7"/>
  <c r="BS250" i="7"/>
  <c r="BT250" i="7" s="1"/>
  <c r="BR250" i="7"/>
  <c r="BQ250" i="7"/>
  <c r="BO250" i="7"/>
  <c r="BP250" i="7" s="1"/>
  <c r="BN250" i="7"/>
  <c r="BM250" i="7"/>
  <c r="BK250" i="7"/>
  <c r="BL250" i="7" s="1"/>
  <c r="BJ250" i="7"/>
  <c r="BI250" i="7"/>
  <c r="BG250" i="7"/>
  <c r="BH250" i="7" s="1"/>
  <c r="BF250" i="7"/>
  <c r="BE250" i="7"/>
  <c r="BD250" i="7"/>
  <c r="BC250" i="7"/>
  <c r="BB250" i="7"/>
  <c r="AZ250" i="7"/>
  <c r="AX250" i="7"/>
  <c r="AW250" i="7"/>
  <c r="AV250" i="7"/>
  <c r="AU250" i="7"/>
  <c r="AT250" i="7"/>
  <c r="AS250" i="7"/>
  <c r="AR250" i="7"/>
  <c r="AQ250" i="7"/>
  <c r="AP250" i="7"/>
  <c r="AO250" i="7"/>
  <c r="AN250" i="7"/>
  <c r="AM250" i="7"/>
  <c r="AL250" i="7"/>
  <c r="AK250" i="7"/>
  <c r="AJ250" i="7"/>
  <c r="AI250" i="7"/>
  <c r="AH250" i="7"/>
  <c r="AG250" i="7"/>
  <c r="AF250" i="7"/>
  <c r="AE250" i="7"/>
  <c r="AD250" i="7"/>
  <c r="AC250" i="7"/>
  <c r="AB250" i="7"/>
  <c r="AA250" i="7"/>
  <c r="Z250" i="7"/>
  <c r="Y250" i="7"/>
  <c r="X250" i="7"/>
  <c r="W250" i="7"/>
  <c r="V250" i="7"/>
  <c r="U250" i="7"/>
  <c r="T250" i="7"/>
  <c r="S250" i="7"/>
  <c r="R250" i="7"/>
  <c r="Q250" i="7"/>
  <c r="P250" i="7"/>
  <c r="O250" i="7"/>
  <c r="N250" i="7"/>
  <c r="M250" i="7"/>
  <c r="L250" i="7"/>
  <c r="K250" i="7"/>
  <c r="J250" i="7"/>
  <c r="I250" i="7"/>
  <c r="H250" i="7"/>
  <c r="G250" i="7"/>
  <c r="F250" i="7"/>
  <c r="D250" i="7"/>
  <c r="C250" i="7"/>
  <c r="B250" i="7"/>
  <c r="FQ249" i="7"/>
  <c r="FO249" i="7"/>
  <c r="FM249" i="7"/>
  <c r="FL249" i="7"/>
  <c r="FJ249" i="7"/>
  <c r="FH249" i="7"/>
  <c r="FG249" i="7"/>
  <c r="FE249" i="7"/>
  <c r="FC249" i="7"/>
  <c r="EZ249" i="7"/>
  <c r="EY249" i="7"/>
  <c r="EX249" i="7"/>
  <c r="EW249" i="7"/>
  <c r="EV249" i="7"/>
  <c r="EU249" i="7"/>
  <c r="ET249" i="7"/>
  <c r="ES249" i="7"/>
  <c r="ER249" i="7"/>
  <c r="EQ249" i="7"/>
  <c r="EP249" i="7"/>
  <c r="EO249" i="7"/>
  <c r="EN249" i="7"/>
  <c r="EM249" i="7"/>
  <c r="EI249" i="7"/>
  <c r="EG249" i="7"/>
  <c r="EE249" i="7"/>
  <c r="EC249" i="7"/>
  <c r="EA249" i="7"/>
  <c r="DY249" i="7"/>
  <c r="DW249" i="7"/>
  <c r="DU249" i="7"/>
  <c r="DS249" i="7"/>
  <c r="DR249" i="7"/>
  <c r="DP249" i="7"/>
  <c r="DN249" i="7"/>
  <c r="DM249" i="7"/>
  <c r="DK249" i="7"/>
  <c r="DI249" i="7"/>
  <c r="DH249" i="7"/>
  <c r="DF249" i="7"/>
  <c r="DD249" i="7"/>
  <c r="DC249" i="7"/>
  <c r="DA249" i="7"/>
  <c r="CY249" i="7"/>
  <c r="CX249" i="7"/>
  <c r="CV249" i="7"/>
  <c r="CT249" i="7"/>
  <c r="CS249" i="7"/>
  <c r="CR249" i="7"/>
  <c r="CQ249" i="7"/>
  <c r="CP249" i="7"/>
  <c r="CO249" i="7"/>
  <c r="CN249" i="7"/>
  <c r="CM249" i="7"/>
  <c r="CL249" i="7"/>
  <c r="CK249" i="7"/>
  <c r="CI249" i="7"/>
  <c r="CJ249" i="7" s="1"/>
  <c r="CH249" i="7"/>
  <c r="CG249" i="7"/>
  <c r="CE249" i="7"/>
  <c r="CF249" i="7" s="1"/>
  <c r="CD249" i="7"/>
  <c r="CC249" i="7"/>
  <c r="CA249" i="7"/>
  <c r="CB249" i="7" s="1"/>
  <c r="BZ249" i="7"/>
  <c r="BY249" i="7"/>
  <c r="BW249" i="7"/>
  <c r="BX249" i="7" s="1"/>
  <c r="BV249" i="7"/>
  <c r="BU249" i="7"/>
  <c r="BS249" i="7"/>
  <c r="BT249" i="7" s="1"/>
  <c r="BR249" i="7"/>
  <c r="BQ249" i="7"/>
  <c r="BO249" i="7"/>
  <c r="BP249" i="7" s="1"/>
  <c r="BN249" i="7"/>
  <c r="BM249" i="7"/>
  <c r="BK249" i="7"/>
  <c r="BL249" i="7" s="1"/>
  <c r="BJ249" i="7"/>
  <c r="BI249" i="7"/>
  <c r="BG249" i="7"/>
  <c r="BH249" i="7" s="1"/>
  <c r="BF249" i="7"/>
  <c r="BE249" i="7"/>
  <c r="BC249" i="7"/>
  <c r="BD249" i="7" s="1"/>
  <c r="BB249" i="7"/>
  <c r="AZ249" i="7"/>
  <c r="AX249" i="7"/>
  <c r="AW249" i="7"/>
  <c r="AV249" i="7"/>
  <c r="AU249" i="7"/>
  <c r="AT249" i="7"/>
  <c r="AS249" i="7"/>
  <c r="AR249" i="7"/>
  <c r="AQ249" i="7"/>
  <c r="AP249" i="7"/>
  <c r="AO249" i="7"/>
  <c r="AN249" i="7"/>
  <c r="AM249" i="7"/>
  <c r="AL249" i="7"/>
  <c r="AK249" i="7"/>
  <c r="AJ249" i="7"/>
  <c r="AI249" i="7"/>
  <c r="AH249" i="7"/>
  <c r="AG249" i="7"/>
  <c r="AF249" i="7"/>
  <c r="AE249" i="7"/>
  <c r="AD249" i="7"/>
  <c r="AC249" i="7"/>
  <c r="AB249" i="7"/>
  <c r="AA249" i="7"/>
  <c r="Z249" i="7"/>
  <c r="Y249" i="7"/>
  <c r="X249" i="7"/>
  <c r="W249" i="7"/>
  <c r="V249" i="7"/>
  <c r="U249" i="7"/>
  <c r="T249" i="7"/>
  <c r="S249" i="7"/>
  <c r="R249" i="7"/>
  <c r="Q249" i="7"/>
  <c r="P249" i="7"/>
  <c r="O249" i="7"/>
  <c r="N249" i="7"/>
  <c r="M249" i="7"/>
  <c r="L249" i="7"/>
  <c r="K249" i="7"/>
  <c r="J249" i="7"/>
  <c r="I249" i="7"/>
  <c r="H249" i="7"/>
  <c r="G249" i="7"/>
  <c r="F249" i="7"/>
  <c r="D249" i="7"/>
  <c r="C249" i="7"/>
  <c r="B249" i="7"/>
  <c r="FQ248" i="7"/>
  <c r="FO248" i="7"/>
  <c r="FM248" i="7"/>
  <c r="FL248" i="7"/>
  <c r="FJ248" i="7"/>
  <c r="FH248" i="7"/>
  <c r="FG248" i="7"/>
  <c r="FE248" i="7"/>
  <c r="FC248" i="7"/>
  <c r="EZ248" i="7"/>
  <c r="EY248" i="7"/>
  <c r="EX248" i="7"/>
  <c r="EW248" i="7"/>
  <c r="EV248" i="7"/>
  <c r="EU248" i="7"/>
  <c r="ET248" i="7"/>
  <c r="ES248" i="7"/>
  <c r="ER248" i="7"/>
  <c r="EQ248" i="7"/>
  <c r="EP248" i="7"/>
  <c r="EO248" i="7"/>
  <c r="EN248" i="7"/>
  <c r="EM248" i="7"/>
  <c r="EI248" i="7"/>
  <c r="EG248" i="7"/>
  <c r="EE248" i="7"/>
  <c r="EC248" i="7"/>
  <c r="EA248" i="7"/>
  <c r="DY248" i="7"/>
  <c r="DW248" i="7"/>
  <c r="DU248" i="7"/>
  <c r="DS248" i="7"/>
  <c r="DR248" i="7"/>
  <c r="DP248" i="7"/>
  <c r="DN248" i="7"/>
  <c r="DM248" i="7"/>
  <c r="DK248" i="7"/>
  <c r="DI248" i="7"/>
  <c r="DH248" i="7"/>
  <c r="DF248" i="7"/>
  <c r="DD248" i="7"/>
  <c r="DC248" i="7"/>
  <c r="DA248" i="7"/>
  <c r="CY248" i="7"/>
  <c r="CX248" i="7"/>
  <c r="CV248" i="7"/>
  <c r="CT248" i="7"/>
  <c r="CS248" i="7"/>
  <c r="CR248" i="7"/>
  <c r="CQ248" i="7"/>
  <c r="CP248" i="7"/>
  <c r="CO248" i="7"/>
  <c r="CN248" i="7"/>
  <c r="CM248" i="7"/>
  <c r="CL248" i="7"/>
  <c r="CK248" i="7"/>
  <c r="CI248" i="7"/>
  <c r="CJ248" i="7" s="1"/>
  <c r="CH248" i="7"/>
  <c r="CG248" i="7"/>
  <c r="CE248" i="7"/>
  <c r="CF248" i="7" s="1"/>
  <c r="CD248" i="7"/>
  <c r="CC248" i="7"/>
  <c r="CA248" i="7"/>
  <c r="CB248" i="7" s="1"/>
  <c r="BZ248" i="7"/>
  <c r="BY248" i="7"/>
  <c r="BW248" i="7"/>
  <c r="BX248" i="7" s="1"/>
  <c r="BV248" i="7"/>
  <c r="BU248" i="7"/>
  <c r="BS248" i="7"/>
  <c r="BT248" i="7" s="1"/>
  <c r="BR248" i="7"/>
  <c r="BQ248" i="7"/>
  <c r="BO248" i="7"/>
  <c r="BP248" i="7" s="1"/>
  <c r="BN248" i="7"/>
  <c r="BM248" i="7"/>
  <c r="BK248" i="7"/>
  <c r="BL248" i="7" s="1"/>
  <c r="BJ248" i="7"/>
  <c r="BI248" i="7"/>
  <c r="BG248" i="7"/>
  <c r="BH248" i="7" s="1"/>
  <c r="BF248" i="7"/>
  <c r="BE248" i="7"/>
  <c r="BC248" i="7"/>
  <c r="BD248" i="7" s="1"/>
  <c r="BB248" i="7"/>
  <c r="AZ248" i="7"/>
  <c r="AX248" i="7"/>
  <c r="AW248" i="7"/>
  <c r="AV248" i="7"/>
  <c r="AU248" i="7"/>
  <c r="AT248" i="7"/>
  <c r="AS248" i="7"/>
  <c r="AR248" i="7"/>
  <c r="AQ248" i="7"/>
  <c r="AP248" i="7"/>
  <c r="AO248" i="7"/>
  <c r="AN248" i="7"/>
  <c r="AM248" i="7"/>
  <c r="AL248" i="7"/>
  <c r="AK248" i="7"/>
  <c r="AJ248" i="7"/>
  <c r="AI248" i="7"/>
  <c r="AH248" i="7"/>
  <c r="AG248" i="7"/>
  <c r="AF248" i="7"/>
  <c r="AE248" i="7"/>
  <c r="AD248" i="7"/>
  <c r="AC248" i="7"/>
  <c r="AB248" i="7"/>
  <c r="AA248" i="7"/>
  <c r="Z248" i="7"/>
  <c r="Y248" i="7"/>
  <c r="X248" i="7"/>
  <c r="W248" i="7"/>
  <c r="V248" i="7"/>
  <c r="U248" i="7"/>
  <c r="T248" i="7"/>
  <c r="S248" i="7"/>
  <c r="R248" i="7"/>
  <c r="Q248" i="7"/>
  <c r="P248" i="7"/>
  <c r="O248" i="7"/>
  <c r="N248" i="7"/>
  <c r="M248" i="7"/>
  <c r="L248" i="7"/>
  <c r="K248" i="7"/>
  <c r="J248" i="7"/>
  <c r="I248" i="7"/>
  <c r="H248" i="7"/>
  <c r="G248" i="7"/>
  <c r="F248" i="7"/>
  <c r="D248" i="7"/>
  <c r="C248" i="7"/>
  <c r="B248" i="7"/>
  <c r="FQ247" i="7"/>
  <c r="FO247" i="7"/>
  <c r="FM247" i="7"/>
  <c r="FL247" i="7"/>
  <c r="FJ247" i="7"/>
  <c r="FH247" i="7"/>
  <c r="FG247" i="7"/>
  <c r="FE247" i="7"/>
  <c r="FC247" i="7"/>
  <c r="EZ247" i="7"/>
  <c r="EY247" i="7"/>
  <c r="EX247" i="7"/>
  <c r="EW247" i="7"/>
  <c r="EV247" i="7"/>
  <c r="EU247" i="7"/>
  <c r="ET247" i="7"/>
  <c r="ES247" i="7"/>
  <c r="ER247" i="7"/>
  <c r="EQ247" i="7"/>
  <c r="EP247" i="7"/>
  <c r="EO247" i="7"/>
  <c r="EN247" i="7"/>
  <c r="EM247" i="7"/>
  <c r="EI247" i="7"/>
  <c r="EG247" i="7"/>
  <c r="EE247" i="7"/>
  <c r="EC247" i="7"/>
  <c r="EA247" i="7"/>
  <c r="DY247" i="7"/>
  <c r="DW247" i="7"/>
  <c r="DU247" i="7"/>
  <c r="DS247" i="7"/>
  <c r="DR247" i="7"/>
  <c r="DP247" i="7"/>
  <c r="DN247" i="7"/>
  <c r="DM247" i="7"/>
  <c r="DK247" i="7"/>
  <c r="DI247" i="7"/>
  <c r="DH247" i="7"/>
  <c r="DF247" i="7"/>
  <c r="DD247" i="7"/>
  <c r="DC247" i="7"/>
  <c r="DA247" i="7"/>
  <c r="CY247" i="7"/>
  <c r="CX247" i="7"/>
  <c r="CV247" i="7"/>
  <c r="CT247" i="7"/>
  <c r="CS247" i="7"/>
  <c r="CR247" i="7"/>
  <c r="CQ247" i="7"/>
  <c r="CP247" i="7"/>
  <c r="CO247" i="7"/>
  <c r="CN247" i="7"/>
  <c r="CM247" i="7"/>
  <c r="CL247" i="7"/>
  <c r="CK247" i="7"/>
  <c r="CI247" i="7"/>
  <c r="CJ247" i="7" s="1"/>
  <c r="CH247" i="7"/>
  <c r="CG247" i="7"/>
  <c r="CE247" i="7"/>
  <c r="CF247" i="7" s="1"/>
  <c r="CD247" i="7"/>
  <c r="CC247" i="7"/>
  <c r="CA247" i="7"/>
  <c r="CB247" i="7" s="1"/>
  <c r="BZ247" i="7"/>
  <c r="BY247" i="7"/>
  <c r="BW247" i="7"/>
  <c r="BX247" i="7" s="1"/>
  <c r="BV247" i="7"/>
  <c r="BU247" i="7"/>
  <c r="BS247" i="7"/>
  <c r="BT247" i="7" s="1"/>
  <c r="BR247" i="7"/>
  <c r="BQ247" i="7"/>
  <c r="BO247" i="7"/>
  <c r="BP247" i="7" s="1"/>
  <c r="BN247" i="7"/>
  <c r="BM247" i="7"/>
  <c r="BK247" i="7"/>
  <c r="BL247" i="7" s="1"/>
  <c r="BJ247" i="7"/>
  <c r="BI247" i="7"/>
  <c r="BG247" i="7"/>
  <c r="BH247" i="7" s="1"/>
  <c r="BF247" i="7"/>
  <c r="BE247" i="7"/>
  <c r="BC247" i="7"/>
  <c r="BD247" i="7" s="1"/>
  <c r="BB247" i="7"/>
  <c r="AZ247" i="7"/>
  <c r="AX247" i="7"/>
  <c r="AW247" i="7"/>
  <c r="AV247" i="7"/>
  <c r="AU247" i="7"/>
  <c r="AT247" i="7"/>
  <c r="AS247" i="7"/>
  <c r="AR247" i="7"/>
  <c r="AQ247" i="7"/>
  <c r="AP247" i="7"/>
  <c r="AO247" i="7"/>
  <c r="AN247" i="7"/>
  <c r="AM247" i="7"/>
  <c r="AL247" i="7"/>
  <c r="AK247" i="7"/>
  <c r="AJ247" i="7"/>
  <c r="AI247" i="7"/>
  <c r="AH247" i="7"/>
  <c r="AG247" i="7"/>
  <c r="AF247" i="7"/>
  <c r="AE247" i="7"/>
  <c r="AD247" i="7"/>
  <c r="AC247" i="7"/>
  <c r="AB247" i="7"/>
  <c r="AA247" i="7"/>
  <c r="Z247" i="7"/>
  <c r="Y247" i="7"/>
  <c r="X247" i="7"/>
  <c r="W247" i="7"/>
  <c r="V247" i="7"/>
  <c r="U247" i="7"/>
  <c r="T247" i="7"/>
  <c r="S247" i="7"/>
  <c r="R247" i="7"/>
  <c r="Q247" i="7"/>
  <c r="P247" i="7"/>
  <c r="O247" i="7"/>
  <c r="N247" i="7"/>
  <c r="M247" i="7"/>
  <c r="L247" i="7"/>
  <c r="K247" i="7"/>
  <c r="J247" i="7"/>
  <c r="I247" i="7"/>
  <c r="H247" i="7"/>
  <c r="G247" i="7"/>
  <c r="F247" i="7"/>
  <c r="D247" i="7"/>
  <c r="C247" i="7"/>
  <c r="B247" i="7"/>
  <c r="FQ246" i="7"/>
  <c r="FO246" i="7"/>
  <c r="FM246" i="7"/>
  <c r="FL246" i="7"/>
  <c r="FJ246" i="7"/>
  <c r="FH246" i="7"/>
  <c r="FG246" i="7"/>
  <c r="FE246" i="7"/>
  <c r="FC246" i="7"/>
  <c r="EZ246" i="7"/>
  <c r="EY246" i="7"/>
  <c r="EX246" i="7"/>
  <c r="EW246" i="7"/>
  <c r="EV246" i="7"/>
  <c r="EU246" i="7"/>
  <c r="ET246" i="7"/>
  <c r="ES246" i="7"/>
  <c r="ER246" i="7"/>
  <c r="EQ246" i="7"/>
  <c r="EP246" i="7"/>
  <c r="EO246" i="7"/>
  <c r="EN246" i="7"/>
  <c r="EM246" i="7"/>
  <c r="EI246" i="7"/>
  <c r="EG246" i="7"/>
  <c r="EE246" i="7"/>
  <c r="EC246" i="7"/>
  <c r="EA246" i="7"/>
  <c r="DY246" i="7"/>
  <c r="DW246" i="7"/>
  <c r="DU246" i="7"/>
  <c r="DS246" i="7"/>
  <c r="DR246" i="7"/>
  <c r="DP246" i="7"/>
  <c r="DN246" i="7"/>
  <c r="DM246" i="7"/>
  <c r="DK246" i="7"/>
  <c r="DI246" i="7"/>
  <c r="DH246" i="7"/>
  <c r="DF246" i="7"/>
  <c r="DD246" i="7"/>
  <c r="DC246" i="7"/>
  <c r="DA246" i="7"/>
  <c r="CY246" i="7"/>
  <c r="CX246" i="7"/>
  <c r="CV246" i="7"/>
  <c r="CT246" i="7"/>
  <c r="CS246" i="7"/>
  <c r="CR246" i="7"/>
  <c r="CQ246" i="7"/>
  <c r="CP246" i="7"/>
  <c r="CO246" i="7"/>
  <c r="CN246" i="7"/>
  <c r="CM246" i="7"/>
  <c r="CL246" i="7"/>
  <c r="CK246" i="7"/>
  <c r="CI246" i="7"/>
  <c r="CJ246" i="7" s="1"/>
  <c r="CH246" i="7"/>
  <c r="CG246" i="7"/>
  <c r="CE246" i="7"/>
  <c r="CF246" i="7" s="1"/>
  <c r="CD246" i="7"/>
  <c r="CC246" i="7"/>
  <c r="CA246" i="7"/>
  <c r="CB246" i="7" s="1"/>
  <c r="BZ246" i="7"/>
  <c r="BY246" i="7"/>
  <c r="BW246" i="7"/>
  <c r="BX246" i="7" s="1"/>
  <c r="BV246" i="7"/>
  <c r="BU246" i="7"/>
  <c r="BS246" i="7"/>
  <c r="BT246" i="7" s="1"/>
  <c r="BR246" i="7"/>
  <c r="BQ246" i="7"/>
  <c r="BO246" i="7"/>
  <c r="BP246" i="7" s="1"/>
  <c r="BN246" i="7"/>
  <c r="BM246" i="7"/>
  <c r="BK246" i="7"/>
  <c r="BL246" i="7" s="1"/>
  <c r="BJ246" i="7"/>
  <c r="BI246" i="7"/>
  <c r="BG246" i="7"/>
  <c r="BH246" i="7" s="1"/>
  <c r="BF246" i="7"/>
  <c r="BE246" i="7"/>
  <c r="BC246" i="7"/>
  <c r="BD246" i="7" s="1"/>
  <c r="BB246" i="7"/>
  <c r="AZ246" i="7"/>
  <c r="AX246" i="7"/>
  <c r="AW246" i="7"/>
  <c r="AV246" i="7"/>
  <c r="AU246" i="7"/>
  <c r="AT246" i="7"/>
  <c r="AS246" i="7"/>
  <c r="AR246" i="7"/>
  <c r="AQ246" i="7"/>
  <c r="AP246" i="7"/>
  <c r="AO246" i="7"/>
  <c r="AN246" i="7"/>
  <c r="AM246" i="7"/>
  <c r="AL246" i="7"/>
  <c r="AK246" i="7"/>
  <c r="AJ246" i="7"/>
  <c r="AI246" i="7"/>
  <c r="AH246" i="7"/>
  <c r="AG246" i="7"/>
  <c r="AF246" i="7"/>
  <c r="AE246" i="7"/>
  <c r="AD246" i="7"/>
  <c r="AC246" i="7"/>
  <c r="AB246" i="7"/>
  <c r="AA246" i="7"/>
  <c r="Z246" i="7"/>
  <c r="Y246" i="7"/>
  <c r="X246" i="7"/>
  <c r="W246" i="7"/>
  <c r="V246" i="7"/>
  <c r="U246" i="7"/>
  <c r="T246" i="7"/>
  <c r="S246" i="7"/>
  <c r="R246" i="7"/>
  <c r="Q246" i="7"/>
  <c r="P246" i="7"/>
  <c r="O246" i="7"/>
  <c r="N246" i="7"/>
  <c r="M246" i="7"/>
  <c r="L246" i="7"/>
  <c r="K246" i="7"/>
  <c r="J246" i="7"/>
  <c r="I246" i="7"/>
  <c r="H246" i="7"/>
  <c r="G246" i="7"/>
  <c r="F246" i="7"/>
  <c r="D246" i="7"/>
  <c r="C246" i="7"/>
  <c r="B246" i="7"/>
  <c r="FQ245" i="7"/>
  <c r="FO245" i="7"/>
  <c r="FM245" i="7"/>
  <c r="FL245" i="7"/>
  <c r="FJ245" i="7"/>
  <c r="FH245" i="7"/>
  <c r="FG245" i="7"/>
  <c r="FE245" i="7"/>
  <c r="FC245" i="7"/>
  <c r="EZ245" i="7"/>
  <c r="EY245" i="7"/>
  <c r="EX245" i="7"/>
  <c r="EW245" i="7"/>
  <c r="EV245" i="7"/>
  <c r="EU245" i="7"/>
  <c r="ET245" i="7"/>
  <c r="ES245" i="7"/>
  <c r="ER245" i="7"/>
  <c r="EQ245" i="7"/>
  <c r="EP245" i="7"/>
  <c r="EO245" i="7"/>
  <c r="EN245" i="7"/>
  <c r="EM245" i="7"/>
  <c r="EI245" i="7"/>
  <c r="EG245" i="7"/>
  <c r="EE245" i="7"/>
  <c r="EC245" i="7"/>
  <c r="EA245" i="7"/>
  <c r="DY245" i="7"/>
  <c r="DW245" i="7"/>
  <c r="DU245" i="7"/>
  <c r="DS245" i="7"/>
  <c r="DR245" i="7"/>
  <c r="DP245" i="7"/>
  <c r="DN245" i="7"/>
  <c r="DM245" i="7"/>
  <c r="DK245" i="7"/>
  <c r="DI245" i="7"/>
  <c r="DH245" i="7"/>
  <c r="DF245" i="7"/>
  <c r="DD245" i="7"/>
  <c r="DC245" i="7"/>
  <c r="DA245" i="7"/>
  <c r="CY245" i="7"/>
  <c r="CX245" i="7"/>
  <c r="CV245" i="7"/>
  <c r="CT245" i="7"/>
  <c r="CS245" i="7"/>
  <c r="CR245" i="7"/>
  <c r="CQ245" i="7"/>
  <c r="CP245" i="7"/>
  <c r="CO245" i="7"/>
  <c r="CN245" i="7"/>
  <c r="CM245" i="7"/>
  <c r="CL245" i="7"/>
  <c r="CK245" i="7"/>
  <c r="CI245" i="7"/>
  <c r="CJ245" i="7" s="1"/>
  <c r="CH245" i="7"/>
  <c r="CG245" i="7"/>
  <c r="CE245" i="7"/>
  <c r="CF245" i="7" s="1"/>
  <c r="CD245" i="7"/>
  <c r="CC245" i="7"/>
  <c r="CA245" i="7"/>
  <c r="CB245" i="7" s="1"/>
  <c r="BZ245" i="7"/>
  <c r="BY245" i="7"/>
  <c r="BW245" i="7"/>
  <c r="BX245" i="7" s="1"/>
  <c r="BV245" i="7"/>
  <c r="BU245" i="7"/>
  <c r="BS245" i="7"/>
  <c r="BT245" i="7" s="1"/>
  <c r="BR245" i="7"/>
  <c r="BQ245" i="7"/>
  <c r="BO245" i="7"/>
  <c r="BP245" i="7" s="1"/>
  <c r="BN245" i="7"/>
  <c r="BM245" i="7"/>
  <c r="BK245" i="7"/>
  <c r="BL245" i="7" s="1"/>
  <c r="BJ245" i="7"/>
  <c r="BI245" i="7"/>
  <c r="BG245" i="7"/>
  <c r="BH245" i="7" s="1"/>
  <c r="BF245" i="7"/>
  <c r="BE245" i="7"/>
  <c r="BC245" i="7"/>
  <c r="BD245" i="7" s="1"/>
  <c r="BB245" i="7"/>
  <c r="AZ245" i="7"/>
  <c r="AX245" i="7"/>
  <c r="AW245" i="7"/>
  <c r="AV245" i="7"/>
  <c r="AU245" i="7"/>
  <c r="AT245" i="7"/>
  <c r="AS245" i="7"/>
  <c r="AR245" i="7"/>
  <c r="AQ245" i="7"/>
  <c r="AP245" i="7"/>
  <c r="AO245" i="7"/>
  <c r="AN245" i="7"/>
  <c r="AM245" i="7"/>
  <c r="AL245" i="7"/>
  <c r="AK245" i="7"/>
  <c r="AJ245" i="7"/>
  <c r="AI245" i="7"/>
  <c r="AH245" i="7"/>
  <c r="AG245" i="7"/>
  <c r="AF245" i="7"/>
  <c r="AE245" i="7"/>
  <c r="AD245" i="7"/>
  <c r="AC245" i="7"/>
  <c r="AB245" i="7"/>
  <c r="AA245" i="7"/>
  <c r="Z245" i="7"/>
  <c r="Y245" i="7"/>
  <c r="X245" i="7"/>
  <c r="W245" i="7"/>
  <c r="V245" i="7"/>
  <c r="U245" i="7"/>
  <c r="T245" i="7"/>
  <c r="S245" i="7"/>
  <c r="R245" i="7"/>
  <c r="Q245" i="7"/>
  <c r="P245" i="7"/>
  <c r="O245" i="7"/>
  <c r="N245" i="7"/>
  <c r="M245" i="7"/>
  <c r="L245" i="7"/>
  <c r="K245" i="7"/>
  <c r="J245" i="7"/>
  <c r="I245" i="7"/>
  <c r="H245" i="7"/>
  <c r="G245" i="7"/>
  <c r="F245" i="7"/>
  <c r="D245" i="7"/>
  <c r="C245" i="7"/>
  <c r="B245" i="7"/>
  <c r="FQ244" i="7"/>
  <c r="FO244" i="7"/>
  <c r="FM244" i="7"/>
  <c r="FL244" i="7"/>
  <c r="FJ244" i="7"/>
  <c r="FH244" i="7"/>
  <c r="FG244" i="7"/>
  <c r="FE244" i="7"/>
  <c r="FC244" i="7"/>
  <c r="EZ244" i="7"/>
  <c r="EY244" i="7"/>
  <c r="EX244" i="7"/>
  <c r="EW244" i="7"/>
  <c r="EV244" i="7"/>
  <c r="EU244" i="7"/>
  <c r="ET244" i="7"/>
  <c r="ES244" i="7"/>
  <c r="ER244" i="7"/>
  <c r="EQ244" i="7"/>
  <c r="EP244" i="7"/>
  <c r="EO244" i="7"/>
  <c r="EN244" i="7"/>
  <c r="EM244" i="7"/>
  <c r="EI244" i="7"/>
  <c r="EG244" i="7"/>
  <c r="EE244" i="7"/>
  <c r="EC244" i="7"/>
  <c r="EA244" i="7"/>
  <c r="DY244" i="7"/>
  <c r="DW244" i="7"/>
  <c r="DU244" i="7"/>
  <c r="DS244" i="7"/>
  <c r="DR244" i="7"/>
  <c r="DP244" i="7"/>
  <c r="DN244" i="7"/>
  <c r="DM244" i="7"/>
  <c r="DK244" i="7"/>
  <c r="DI244" i="7"/>
  <c r="DH244" i="7"/>
  <c r="DF244" i="7"/>
  <c r="DD244" i="7"/>
  <c r="DC244" i="7"/>
  <c r="DA244" i="7"/>
  <c r="CY244" i="7"/>
  <c r="CX244" i="7"/>
  <c r="CV244" i="7"/>
  <c r="CT244" i="7"/>
  <c r="CS244" i="7"/>
  <c r="CR244" i="7"/>
  <c r="CQ244" i="7"/>
  <c r="CP244" i="7"/>
  <c r="CO244" i="7"/>
  <c r="CN244" i="7"/>
  <c r="CM244" i="7"/>
  <c r="CL244" i="7"/>
  <c r="CK244" i="7"/>
  <c r="CI244" i="7"/>
  <c r="CJ244" i="7" s="1"/>
  <c r="CH244" i="7"/>
  <c r="CG244" i="7"/>
  <c r="CE244" i="7"/>
  <c r="CF244" i="7" s="1"/>
  <c r="CD244" i="7"/>
  <c r="CC244" i="7"/>
  <c r="CA244" i="7"/>
  <c r="CB244" i="7" s="1"/>
  <c r="BZ244" i="7"/>
  <c r="BY244" i="7"/>
  <c r="BW244" i="7"/>
  <c r="BX244" i="7" s="1"/>
  <c r="BV244" i="7"/>
  <c r="BU244" i="7"/>
  <c r="BS244" i="7"/>
  <c r="BT244" i="7" s="1"/>
  <c r="BR244" i="7"/>
  <c r="BQ244" i="7"/>
  <c r="BO244" i="7"/>
  <c r="BP244" i="7" s="1"/>
  <c r="BN244" i="7"/>
  <c r="BM244" i="7"/>
  <c r="BK244" i="7"/>
  <c r="BL244" i="7" s="1"/>
  <c r="BJ244" i="7"/>
  <c r="BI244" i="7"/>
  <c r="BG244" i="7"/>
  <c r="BH244" i="7" s="1"/>
  <c r="BF244" i="7"/>
  <c r="BE244" i="7"/>
  <c r="BC244" i="7"/>
  <c r="BD244" i="7" s="1"/>
  <c r="BB244" i="7"/>
  <c r="AZ244" i="7"/>
  <c r="AX244" i="7"/>
  <c r="AW244" i="7"/>
  <c r="AV244" i="7"/>
  <c r="AU244" i="7"/>
  <c r="AT244" i="7"/>
  <c r="AS244" i="7"/>
  <c r="AR244" i="7"/>
  <c r="AQ244" i="7"/>
  <c r="AP244" i="7"/>
  <c r="AO244" i="7"/>
  <c r="AN244" i="7"/>
  <c r="AM244" i="7"/>
  <c r="AL244" i="7"/>
  <c r="AK244" i="7"/>
  <c r="AJ244" i="7"/>
  <c r="AI244" i="7"/>
  <c r="AH244" i="7"/>
  <c r="AG244" i="7"/>
  <c r="AF244" i="7"/>
  <c r="AE244" i="7"/>
  <c r="AD244" i="7"/>
  <c r="AC244" i="7"/>
  <c r="AB244" i="7"/>
  <c r="AA244" i="7"/>
  <c r="Z244" i="7"/>
  <c r="Y244" i="7"/>
  <c r="X244" i="7"/>
  <c r="W244" i="7"/>
  <c r="V244" i="7"/>
  <c r="U244" i="7"/>
  <c r="T244" i="7"/>
  <c r="S244" i="7"/>
  <c r="R244" i="7"/>
  <c r="Q244" i="7"/>
  <c r="P244" i="7"/>
  <c r="O244" i="7"/>
  <c r="N244" i="7"/>
  <c r="M244" i="7"/>
  <c r="L244" i="7"/>
  <c r="K244" i="7"/>
  <c r="J244" i="7"/>
  <c r="I244" i="7"/>
  <c r="H244" i="7"/>
  <c r="G244" i="7"/>
  <c r="F244" i="7"/>
  <c r="D244" i="7"/>
  <c r="C244" i="7"/>
  <c r="B244" i="7"/>
  <c r="FQ243" i="7"/>
  <c r="FO243" i="7"/>
  <c r="FM243" i="7"/>
  <c r="FL243" i="7"/>
  <c r="FJ243" i="7"/>
  <c r="FH243" i="7"/>
  <c r="FG243" i="7"/>
  <c r="FE243" i="7"/>
  <c r="FC243" i="7"/>
  <c r="EZ243" i="7"/>
  <c r="EY243" i="7"/>
  <c r="EX243" i="7"/>
  <c r="EW243" i="7"/>
  <c r="EV243" i="7"/>
  <c r="EU243" i="7"/>
  <c r="ET243" i="7"/>
  <c r="ES243" i="7"/>
  <c r="ER243" i="7"/>
  <c r="EQ243" i="7"/>
  <c r="EP243" i="7"/>
  <c r="EO243" i="7"/>
  <c r="EN243" i="7"/>
  <c r="EM243" i="7"/>
  <c r="EI243" i="7"/>
  <c r="EG243" i="7"/>
  <c r="EE243" i="7"/>
  <c r="EC243" i="7"/>
  <c r="EA243" i="7"/>
  <c r="DY243" i="7"/>
  <c r="DW243" i="7"/>
  <c r="DU243" i="7"/>
  <c r="DS243" i="7"/>
  <c r="DR243" i="7"/>
  <c r="DP243" i="7"/>
  <c r="DN243" i="7"/>
  <c r="DM243" i="7"/>
  <c r="DK243" i="7"/>
  <c r="DI243" i="7"/>
  <c r="DH243" i="7"/>
  <c r="DF243" i="7"/>
  <c r="DD243" i="7"/>
  <c r="DC243" i="7"/>
  <c r="DA243" i="7"/>
  <c r="CY243" i="7"/>
  <c r="CX243" i="7"/>
  <c r="CV243" i="7"/>
  <c r="CT243" i="7"/>
  <c r="CS243" i="7"/>
  <c r="CR243" i="7"/>
  <c r="CQ243" i="7"/>
  <c r="CP243" i="7"/>
  <c r="CO243" i="7"/>
  <c r="CN243" i="7"/>
  <c r="CM243" i="7"/>
  <c r="CL243" i="7"/>
  <c r="CK243" i="7"/>
  <c r="CI243" i="7"/>
  <c r="CJ243" i="7" s="1"/>
  <c r="CH243" i="7"/>
  <c r="CG243" i="7"/>
  <c r="CF243" i="7"/>
  <c r="CE243" i="7"/>
  <c r="CD243" i="7"/>
  <c r="CC243" i="7"/>
  <c r="CA243" i="7"/>
  <c r="CB243" i="7" s="1"/>
  <c r="BZ243" i="7"/>
  <c r="BY243" i="7"/>
  <c r="BW243" i="7"/>
  <c r="BX243" i="7" s="1"/>
  <c r="BV243" i="7"/>
  <c r="BU243" i="7"/>
  <c r="BS243" i="7"/>
  <c r="BT243" i="7" s="1"/>
  <c r="BR243" i="7"/>
  <c r="BQ243" i="7"/>
  <c r="BO243" i="7"/>
  <c r="BP243" i="7" s="1"/>
  <c r="BN243" i="7"/>
  <c r="BM243" i="7"/>
  <c r="BK243" i="7"/>
  <c r="BL243" i="7" s="1"/>
  <c r="BJ243" i="7"/>
  <c r="BI243" i="7"/>
  <c r="BG243" i="7"/>
  <c r="BH243" i="7" s="1"/>
  <c r="BF243" i="7"/>
  <c r="BE243" i="7"/>
  <c r="BC243" i="7"/>
  <c r="BD243" i="7" s="1"/>
  <c r="BB243" i="7"/>
  <c r="AZ243" i="7"/>
  <c r="AX243" i="7"/>
  <c r="AW243" i="7"/>
  <c r="AV243" i="7"/>
  <c r="AU243" i="7"/>
  <c r="AT243" i="7"/>
  <c r="AS243" i="7"/>
  <c r="AR243" i="7"/>
  <c r="AQ243" i="7"/>
  <c r="AP243" i="7"/>
  <c r="AO243" i="7"/>
  <c r="AN243" i="7"/>
  <c r="AM243" i="7"/>
  <c r="AL243" i="7"/>
  <c r="AK243" i="7"/>
  <c r="AJ243" i="7"/>
  <c r="AI243" i="7"/>
  <c r="AH243" i="7"/>
  <c r="AG243" i="7"/>
  <c r="AF243" i="7"/>
  <c r="AE243" i="7"/>
  <c r="AD243" i="7"/>
  <c r="AC243" i="7"/>
  <c r="AB243" i="7"/>
  <c r="AA243" i="7"/>
  <c r="Z243" i="7"/>
  <c r="Y243" i="7"/>
  <c r="X243" i="7"/>
  <c r="W243" i="7"/>
  <c r="V243" i="7"/>
  <c r="U243" i="7"/>
  <c r="T243" i="7"/>
  <c r="S243" i="7"/>
  <c r="R243" i="7"/>
  <c r="Q243" i="7"/>
  <c r="P243" i="7"/>
  <c r="O243" i="7"/>
  <c r="N243" i="7"/>
  <c r="M243" i="7"/>
  <c r="L243" i="7"/>
  <c r="K243" i="7"/>
  <c r="J243" i="7"/>
  <c r="I243" i="7"/>
  <c r="H243" i="7"/>
  <c r="G243" i="7"/>
  <c r="F243" i="7"/>
  <c r="D243" i="7"/>
  <c r="C243" i="7"/>
  <c r="B243" i="7"/>
  <c r="FQ242" i="7"/>
  <c r="FO242" i="7"/>
  <c r="FM242" i="7"/>
  <c r="FL242" i="7"/>
  <c r="FJ242" i="7"/>
  <c r="FH242" i="7"/>
  <c r="FG242" i="7"/>
  <c r="FE242" i="7"/>
  <c r="FC242" i="7"/>
  <c r="EZ242" i="7"/>
  <c r="EY242" i="7"/>
  <c r="EX242" i="7"/>
  <c r="EW242" i="7"/>
  <c r="EV242" i="7"/>
  <c r="EU242" i="7"/>
  <c r="ET242" i="7"/>
  <c r="ES242" i="7"/>
  <c r="ER242" i="7"/>
  <c r="EQ242" i="7"/>
  <c r="EP242" i="7"/>
  <c r="EO242" i="7"/>
  <c r="EN242" i="7"/>
  <c r="EM242" i="7"/>
  <c r="EI242" i="7"/>
  <c r="EG242" i="7"/>
  <c r="EE242" i="7"/>
  <c r="EC242" i="7"/>
  <c r="EA242" i="7"/>
  <c r="DY242" i="7"/>
  <c r="DW242" i="7"/>
  <c r="DU242" i="7"/>
  <c r="DS242" i="7"/>
  <c r="DR242" i="7"/>
  <c r="DP242" i="7"/>
  <c r="DN242" i="7"/>
  <c r="DM242" i="7"/>
  <c r="DK242" i="7"/>
  <c r="DI242" i="7"/>
  <c r="DH242" i="7"/>
  <c r="DF242" i="7"/>
  <c r="DD242" i="7"/>
  <c r="DC242" i="7"/>
  <c r="DA242" i="7"/>
  <c r="CY242" i="7"/>
  <c r="CX242" i="7"/>
  <c r="CV242" i="7"/>
  <c r="CT242" i="7"/>
  <c r="CS242" i="7"/>
  <c r="CR242" i="7"/>
  <c r="CQ242" i="7"/>
  <c r="CP242" i="7"/>
  <c r="CO242" i="7"/>
  <c r="CN242" i="7"/>
  <c r="CM242" i="7"/>
  <c r="CL242" i="7"/>
  <c r="CK242" i="7"/>
  <c r="CI242" i="7"/>
  <c r="CJ242" i="7" s="1"/>
  <c r="CH242" i="7"/>
  <c r="CG242" i="7"/>
  <c r="CE242" i="7"/>
  <c r="CF242" i="7" s="1"/>
  <c r="CD242" i="7"/>
  <c r="CC242" i="7"/>
  <c r="CA242" i="7"/>
  <c r="CB242" i="7" s="1"/>
  <c r="BZ242" i="7"/>
  <c r="BY242" i="7"/>
  <c r="BW242" i="7"/>
  <c r="BX242" i="7" s="1"/>
  <c r="BV242" i="7"/>
  <c r="BU242" i="7"/>
  <c r="BS242" i="7"/>
  <c r="BT242" i="7" s="1"/>
  <c r="BR242" i="7"/>
  <c r="BQ242" i="7"/>
  <c r="BO242" i="7"/>
  <c r="BP242" i="7" s="1"/>
  <c r="BN242" i="7"/>
  <c r="BM242" i="7"/>
  <c r="BK242" i="7"/>
  <c r="BL242" i="7" s="1"/>
  <c r="BJ242" i="7"/>
  <c r="BI242" i="7"/>
  <c r="BG242" i="7"/>
  <c r="BH242" i="7" s="1"/>
  <c r="BF242" i="7"/>
  <c r="BE242" i="7"/>
  <c r="BC242" i="7"/>
  <c r="BD242" i="7" s="1"/>
  <c r="BB242" i="7"/>
  <c r="AZ242" i="7"/>
  <c r="AX242" i="7"/>
  <c r="AW242" i="7"/>
  <c r="AV242" i="7"/>
  <c r="AU242" i="7"/>
  <c r="AT242" i="7"/>
  <c r="AS242" i="7"/>
  <c r="AR242" i="7"/>
  <c r="AQ242" i="7"/>
  <c r="AP242" i="7"/>
  <c r="AO242" i="7"/>
  <c r="AN242" i="7"/>
  <c r="AM242" i="7"/>
  <c r="AL242" i="7"/>
  <c r="AK242" i="7"/>
  <c r="AJ242" i="7"/>
  <c r="AI242" i="7"/>
  <c r="AH242" i="7"/>
  <c r="AG242" i="7"/>
  <c r="AF242" i="7"/>
  <c r="AE242" i="7"/>
  <c r="AD242" i="7"/>
  <c r="AC242" i="7"/>
  <c r="AB242" i="7"/>
  <c r="AA242" i="7"/>
  <c r="Z242" i="7"/>
  <c r="Y242" i="7"/>
  <c r="X242" i="7"/>
  <c r="W242" i="7"/>
  <c r="V242" i="7"/>
  <c r="U242" i="7"/>
  <c r="T242" i="7"/>
  <c r="S242" i="7"/>
  <c r="R242" i="7"/>
  <c r="Q242" i="7"/>
  <c r="P242" i="7"/>
  <c r="O242" i="7"/>
  <c r="N242" i="7"/>
  <c r="M242" i="7"/>
  <c r="L242" i="7"/>
  <c r="K242" i="7"/>
  <c r="J242" i="7"/>
  <c r="I242" i="7"/>
  <c r="H242" i="7"/>
  <c r="G242" i="7"/>
  <c r="F242" i="7"/>
  <c r="D242" i="7"/>
  <c r="C242" i="7"/>
  <c r="B242" i="7"/>
  <c r="FQ241" i="7"/>
  <c r="FO241" i="7"/>
  <c r="FM241" i="7"/>
  <c r="FL241" i="7"/>
  <c r="FJ241" i="7"/>
  <c r="FH241" i="7"/>
  <c r="FG241" i="7"/>
  <c r="FE241" i="7"/>
  <c r="FC241" i="7"/>
  <c r="EZ241" i="7"/>
  <c r="EY241" i="7"/>
  <c r="EX241" i="7"/>
  <c r="EW241" i="7"/>
  <c r="EV241" i="7"/>
  <c r="EU241" i="7"/>
  <c r="ET241" i="7"/>
  <c r="ES241" i="7"/>
  <c r="ER241" i="7"/>
  <c r="EQ241" i="7"/>
  <c r="EP241" i="7"/>
  <c r="EO241" i="7"/>
  <c r="EN241" i="7"/>
  <c r="EM241" i="7"/>
  <c r="EI241" i="7"/>
  <c r="EG241" i="7"/>
  <c r="EE241" i="7"/>
  <c r="EC241" i="7"/>
  <c r="EA241" i="7"/>
  <c r="DY241" i="7"/>
  <c r="DW241" i="7"/>
  <c r="DU241" i="7"/>
  <c r="DS241" i="7"/>
  <c r="DR241" i="7"/>
  <c r="DP241" i="7"/>
  <c r="DN241" i="7"/>
  <c r="DM241" i="7"/>
  <c r="DK241" i="7"/>
  <c r="DI241" i="7"/>
  <c r="DH241" i="7"/>
  <c r="DF241" i="7"/>
  <c r="DD241" i="7"/>
  <c r="DC241" i="7"/>
  <c r="DA241" i="7"/>
  <c r="CY241" i="7"/>
  <c r="CX241" i="7"/>
  <c r="CV241" i="7"/>
  <c r="CT241" i="7"/>
  <c r="CS241" i="7"/>
  <c r="CR241" i="7"/>
  <c r="CQ241" i="7"/>
  <c r="CP241" i="7"/>
  <c r="CO241" i="7"/>
  <c r="CN241" i="7"/>
  <c r="CM241" i="7"/>
  <c r="CL241" i="7"/>
  <c r="CK241" i="7"/>
  <c r="CI241" i="7"/>
  <c r="CJ241" i="7" s="1"/>
  <c r="CH241" i="7"/>
  <c r="CG241" i="7"/>
  <c r="CE241" i="7"/>
  <c r="CF241" i="7" s="1"/>
  <c r="CD241" i="7"/>
  <c r="CC241" i="7"/>
  <c r="CA241" i="7"/>
  <c r="CB241" i="7" s="1"/>
  <c r="BZ241" i="7"/>
  <c r="BY241" i="7"/>
  <c r="BW241" i="7"/>
  <c r="BX241" i="7" s="1"/>
  <c r="BV241" i="7"/>
  <c r="BU241" i="7"/>
  <c r="BS241" i="7"/>
  <c r="BT241" i="7" s="1"/>
  <c r="BR241" i="7"/>
  <c r="BQ241" i="7"/>
  <c r="BO241" i="7"/>
  <c r="BP241" i="7" s="1"/>
  <c r="BN241" i="7"/>
  <c r="BM241" i="7"/>
  <c r="BK241" i="7"/>
  <c r="BL241" i="7" s="1"/>
  <c r="BJ241" i="7"/>
  <c r="BI241" i="7"/>
  <c r="BG241" i="7"/>
  <c r="BH241" i="7" s="1"/>
  <c r="BF241" i="7"/>
  <c r="BE241" i="7"/>
  <c r="BC241" i="7"/>
  <c r="BD241" i="7" s="1"/>
  <c r="BB241" i="7"/>
  <c r="AZ241" i="7"/>
  <c r="AX241" i="7"/>
  <c r="AW241" i="7"/>
  <c r="AV241" i="7"/>
  <c r="AU241" i="7"/>
  <c r="AT241" i="7"/>
  <c r="AS241" i="7"/>
  <c r="AR241" i="7"/>
  <c r="AQ241" i="7"/>
  <c r="AP241" i="7"/>
  <c r="AO241" i="7"/>
  <c r="AN241" i="7"/>
  <c r="AM241" i="7"/>
  <c r="AL241" i="7"/>
  <c r="AK241" i="7"/>
  <c r="AJ241" i="7"/>
  <c r="AI241" i="7"/>
  <c r="AH241" i="7"/>
  <c r="AG241" i="7"/>
  <c r="AF241" i="7"/>
  <c r="AE241" i="7"/>
  <c r="AD241" i="7"/>
  <c r="AC241" i="7"/>
  <c r="AB241" i="7"/>
  <c r="AA241" i="7"/>
  <c r="Z241" i="7"/>
  <c r="Y241" i="7"/>
  <c r="X241" i="7"/>
  <c r="W241" i="7"/>
  <c r="V241" i="7"/>
  <c r="U241" i="7"/>
  <c r="T241" i="7"/>
  <c r="S241" i="7"/>
  <c r="R241" i="7"/>
  <c r="Q241" i="7"/>
  <c r="P241" i="7"/>
  <c r="O241" i="7"/>
  <c r="N241" i="7"/>
  <c r="M241" i="7"/>
  <c r="L241" i="7"/>
  <c r="K241" i="7"/>
  <c r="J241" i="7"/>
  <c r="I241" i="7"/>
  <c r="H241" i="7"/>
  <c r="G241" i="7"/>
  <c r="F241" i="7"/>
  <c r="D241" i="7"/>
  <c r="C241" i="7"/>
  <c r="B241" i="7"/>
  <c r="FQ240" i="7"/>
  <c r="FO240" i="7"/>
  <c r="FM240" i="7"/>
  <c r="FL240" i="7"/>
  <c r="FJ240" i="7"/>
  <c r="FH240" i="7"/>
  <c r="FG240" i="7"/>
  <c r="FE240" i="7"/>
  <c r="FC240" i="7"/>
  <c r="EZ240" i="7"/>
  <c r="EY240" i="7"/>
  <c r="EX240" i="7"/>
  <c r="EW240" i="7"/>
  <c r="EV240" i="7"/>
  <c r="EU240" i="7"/>
  <c r="ET240" i="7"/>
  <c r="ES240" i="7"/>
  <c r="ER240" i="7"/>
  <c r="EQ240" i="7"/>
  <c r="EP240" i="7"/>
  <c r="EO240" i="7"/>
  <c r="EN240" i="7"/>
  <c r="EM240" i="7"/>
  <c r="EI240" i="7"/>
  <c r="EG240" i="7"/>
  <c r="EE240" i="7"/>
  <c r="EC240" i="7"/>
  <c r="EA240" i="7"/>
  <c r="DY240" i="7"/>
  <c r="DW240" i="7"/>
  <c r="DU240" i="7"/>
  <c r="DS240" i="7"/>
  <c r="DR240" i="7"/>
  <c r="DP240" i="7"/>
  <c r="DN240" i="7"/>
  <c r="DM240" i="7"/>
  <c r="DK240" i="7"/>
  <c r="DI240" i="7"/>
  <c r="DH240" i="7"/>
  <c r="DF240" i="7"/>
  <c r="DD240" i="7"/>
  <c r="DC240" i="7"/>
  <c r="DA240" i="7"/>
  <c r="CY240" i="7"/>
  <c r="CX240" i="7"/>
  <c r="CV240" i="7"/>
  <c r="CT240" i="7"/>
  <c r="CS240" i="7"/>
  <c r="CR240" i="7"/>
  <c r="CQ240" i="7"/>
  <c r="CP240" i="7"/>
  <c r="CO240" i="7"/>
  <c r="CN240" i="7"/>
  <c r="CM240" i="7"/>
  <c r="CL240" i="7"/>
  <c r="CK240" i="7"/>
  <c r="CI240" i="7"/>
  <c r="CJ240" i="7" s="1"/>
  <c r="CH240" i="7"/>
  <c r="CG240" i="7"/>
  <c r="CE240" i="7"/>
  <c r="CF240" i="7" s="1"/>
  <c r="CD240" i="7"/>
  <c r="CC240" i="7"/>
  <c r="CA240" i="7"/>
  <c r="CB240" i="7" s="1"/>
  <c r="BZ240" i="7"/>
  <c r="BY240" i="7"/>
  <c r="BW240" i="7"/>
  <c r="BX240" i="7" s="1"/>
  <c r="BV240" i="7"/>
  <c r="BU240" i="7"/>
  <c r="BS240" i="7"/>
  <c r="BT240" i="7" s="1"/>
  <c r="BR240" i="7"/>
  <c r="BQ240" i="7"/>
  <c r="BO240" i="7"/>
  <c r="BP240" i="7" s="1"/>
  <c r="BN240" i="7"/>
  <c r="BM240" i="7"/>
  <c r="BK240" i="7"/>
  <c r="BL240" i="7" s="1"/>
  <c r="BJ240" i="7"/>
  <c r="BI240" i="7"/>
  <c r="BG240" i="7"/>
  <c r="BH240" i="7" s="1"/>
  <c r="BF240" i="7"/>
  <c r="BE240" i="7"/>
  <c r="BD240" i="7"/>
  <c r="BC240" i="7"/>
  <c r="BB240" i="7"/>
  <c r="AZ240" i="7"/>
  <c r="AX240" i="7"/>
  <c r="AW240" i="7"/>
  <c r="AV240" i="7"/>
  <c r="AU240" i="7"/>
  <c r="AT240" i="7"/>
  <c r="AS240" i="7"/>
  <c r="AR240" i="7"/>
  <c r="AQ240" i="7"/>
  <c r="AP240" i="7"/>
  <c r="AO240" i="7"/>
  <c r="AN240" i="7"/>
  <c r="AM240" i="7"/>
  <c r="AL240" i="7"/>
  <c r="AK240" i="7"/>
  <c r="AJ240" i="7"/>
  <c r="AI240" i="7"/>
  <c r="AH240" i="7"/>
  <c r="AG240" i="7"/>
  <c r="AF240" i="7"/>
  <c r="AE240" i="7"/>
  <c r="AD240" i="7"/>
  <c r="AC240" i="7"/>
  <c r="AB240" i="7"/>
  <c r="AA240" i="7"/>
  <c r="Z240" i="7"/>
  <c r="Y240" i="7"/>
  <c r="X240" i="7"/>
  <c r="W240" i="7"/>
  <c r="V240" i="7"/>
  <c r="U240" i="7"/>
  <c r="T240" i="7"/>
  <c r="S240" i="7"/>
  <c r="R240" i="7"/>
  <c r="Q240" i="7"/>
  <c r="P240" i="7"/>
  <c r="O240" i="7"/>
  <c r="N240" i="7"/>
  <c r="M240" i="7"/>
  <c r="L240" i="7"/>
  <c r="K240" i="7"/>
  <c r="J240" i="7"/>
  <c r="I240" i="7"/>
  <c r="H240" i="7"/>
  <c r="G240" i="7"/>
  <c r="F240" i="7"/>
  <c r="D240" i="7"/>
  <c r="C240" i="7"/>
  <c r="B240" i="7"/>
  <c r="FQ239" i="7"/>
  <c r="FO239" i="7"/>
  <c r="FM239" i="7"/>
  <c r="FL239" i="7"/>
  <c r="FJ239" i="7"/>
  <c r="FH239" i="7"/>
  <c r="FG239" i="7"/>
  <c r="FE239" i="7"/>
  <c r="FC239" i="7"/>
  <c r="EZ239" i="7"/>
  <c r="EY239" i="7"/>
  <c r="EX239" i="7"/>
  <c r="EW239" i="7"/>
  <c r="EV239" i="7"/>
  <c r="EU239" i="7"/>
  <c r="ET239" i="7"/>
  <c r="ES239" i="7"/>
  <c r="ER239" i="7"/>
  <c r="EQ239" i="7"/>
  <c r="EP239" i="7"/>
  <c r="EO239" i="7"/>
  <c r="EN239" i="7"/>
  <c r="EM239" i="7"/>
  <c r="EI239" i="7"/>
  <c r="EG239" i="7"/>
  <c r="EE239" i="7"/>
  <c r="EC239" i="7"/>
  <c r="EA239" i="7"/>
  <c r="DY239" i="7"/>
  <c r="DW239" i="7"/>
  <c r="DU239" i="7"/>
  <c r="DS239" i="7"/>
  <c r="DR239" i="7"/>
  <c r="DP239" i="7"/>
  <c r="DN239" i="7"/>
  <c r="DM239" i="7"/>
  <c r="DK239" i="7"/>
  <c r="DI239" i="7"/>
  <c r="DH239" i="7"/>
  <c r="DF239" i="7"/>
  <c r="DD239" i="7"/>
  <c r="DC239" i="7"/>
  <c r="DA239" i="7"/>
  <c r="CY239" i="7"/>
  <c r="CX239" i="7"/>
  <c r="CV239" i="7"/>
  <c r="CT239" i="7"/>
  <c r="CS239" i="7"/>
  <c r="CR239" i="7"/>
  <c r="CQ239" i="7"/>
  <c r="CP239" i="7"/>
  <c r="CO239" i="7"/>
  <c r="CN239" i="7"/>
  <c r="CM239" i="7"/>
  <c r="CL239" i="7"/>
  <c r="CK239" i="7"/>
  <c r="CI239" i="7"/>
  <c r="CJ239" i="7" s="1"/>
  <c r="CH239" i="7"/>
  <c r="CG239" i="7"/>
  <c r="CE239" i="7"/>
  <c r="CF239" i="7" s="1"/>
  <c r="CD239" i="7"/>
  <c r="CC239" i="7"/>
  <c r="CA239" i="7"/>
  <c r="CB239" i="7" s="1"/>
  <c r="BZ239" i="7"/>
  <c r="BY239" i="7"/>
  <c r="BW239" i="7"/>
  <c r="BX239" i="7" s="1"/>
  <c r="BV239" i="7"/>
  <c r="BU239" i="7"/>
  <c r="BS239" i="7"/>
  <c r="BT239" i="7" s="1"/>
  <c r="BR239" i="7"/>
  <c r="BQ239" i="7"/>
  <c r="BO239" i="7"/>
  <c r="BP239" i="7" s="1"/>
  <c r="BN239" i="7"/>
  <c r="BM239" i="7"/>
  <c r="BK239" i="7"/>
  <c r="BL239" i="7" s="1"/>
  <c r="BJ239" i="7"/>
  <c r="BI239" i="7"/>
  <c r="BG239" i="7"/>
  <c r="BH239" i="7" s="1"/>
  <c r="BF239" i="7"/>
  <c r="BE239" i="7"/>
  <c r="BC239" i="7"/>
  <c r="BD239" i="7" s="1"/>
  <c r="BB239" i="7"/>
  <c r="AZ239" i="7"/>
  <c r="AX239" i="7"/>
  <c r="AW239" i="7"/>
  <c r="AV239" i="7"/>
  <c r="AU239" i="7"/>
  <c r="AT239" i="7"/>
  <c r="AS239" i="7"/>
  <c r="AR239" i="7"/>
  <c r="AQ239" i="7"/>
  <c r="AP239" i="7"/>
  <c r="AO239" i="7"/>
  <c r="AN239" i="7"/>
  <c r="AM239" i="7"/>
  <c r="AL239" i="7"/>
  <c r="AK239" i="7"/>
  <c r="AJ239" i="7"/>
  <c r="AI239" i="7"/>
  <c r="AH239" i="7"/>
  <c r="AG239" i="7"/>
  <c r="AF239" i="7"/>
  <c r="AE239" i="7"/>
  <c r="AD239" i="7"/>
  <c r="AC239" i="7"/>
  <c r="AB239" i="7"/>
  <c r="AA239" i="7"/>
  <c r="Z239" i="7"/>
  <c r="Y239" i="7"/>
  <c r="X239" i="7"/>
  <c r="W239" i="7"/>
  <c r="V239" i="7"/>
  <c r="U239" i="7"/>
  <c r="T239" i="7"/>
  <c r="S239" i="7"/>
  <c r="R239" i="7"/>
  <c r="Q239" i="7"/>
  <c r="P239" i="7"/>
  <c r="O239" i="7"/>
  <c r="N239" i="7"/>
  <c r="M239" i="7"/>
  <c r="L239" i="7"/>
  <c r="K239" i="7"/>
  <c r="J239" i="7"/>
  <c r="I239" i="7"/>
  <c r="H239" i="7"/>
  <c r="G239" i="7"/>
  <c r="F239" i="7"/>
  <c r="D239" i="7"/>
  <c r="C239" i="7"/>
  <c r="B239" i="7"/>
  <c r="FQ238" i="7"/>
  <c r="FO238" i="7"/>
  <c r="FM238" i="7"/>
  <c r="FL238" i="7"/>
  <c r="FJ238" i="7"/>
  <c r="FH238" i="7"/>
  <c r="FG238" i="7"/>
  <c r="FE238" i="7"/>
  <c r="FC238" i="7"/>
  <c r="EZ238" i="7"/>
  <c r="EY238" i="7"/>
  <c r="EX238" i="7"/>
  <c r="EW238" i="7"/>
  <c r="EV238" i="7"/>
  <c r="EU238" i="7"/>
  <c r="ET238" i="7"/>
  <c r="ES238" i="7"/>
  <c r="ER238" i="7"/>
  <c r="EQ238" i="7"/>
  <c r="EP238" i="7"/>
  <c r="EO238" i="7"/>
  <c r="EN238" i="7"/>
  <c r="EM238" i="7"/>
  <c r="EI238" i="7"/>
  <c r="EG238" i="7"/>
  <c r="EE238" i="7"/>
  <c r="EC238" i="7"/>
  <c r="EA238" i="7"/>
  <c r="DY238" i="7"/>
  <c r="DW238" i="7"/>
  <c r="DU238" i="7"/>
  <c r="DS238" i="7"/>
  <c r="DR238" i="7"/>
  <c r="DP238" i="7"/>
  <c r="DN238" i="7"/>
  <c r="DM238" i="7"/>
  <c r="DK238" i="7"/>
  <c r="DI238" i="7"/>
  <c r="DH238" i="7"/>
  <c r="DF238" i="7"/>
  <c r="DD238" i="7"/>
  <c r="DC238" i="7"/>
  <c r="DA238" i="7"/>
  <c r="CY238" i="7"/>
  <c r="CX238" i="7"/>
  <c r="CV238" i="7"/>
  <c r="CT238" i="7"/>
  <c r="CS238" i="7"/>
  <c r="CR238" i="7"/>
  <c r="CQ238" i="7"/>
  <c r="CP238" i="7"/>
  <c r="CO238" i="7"/>
  <c r="CN238" i="7"/>
  <c r="CM238" i="7"/>
  <c r="CL238" i="7"/>
  <c r="CK238" i="7"/>
  <c r="CI238" i="7"/>
  <c r="CJ238" i="7" s="1"/>
  <c r="CH238" i="7"/>
  <c r="CG238" i="7"/>
  <c r="CE238" i="7"/>
  <c r="CF238" i="7" s="1"/>
  <c r="CD238" i="7"/>
  <c r="CC238" i="7"/>
  <c r="CA238" i="7"/>
  <c r="CB238" i="7" s="1"/>
  <c r="BZ238" i="7"/>
  <c r="BY238" i="7"/>
  <c r="BW238" i="7"/>
  <c r="BX238" i="7" s="1"/>
  <c r="BV238" i="7"/>
  <c r="BU238" i="7"/>
  <c r="BS238" i="7"/>
  <c r="BT238" i="7" s="1"/>
  <c r="BR238" i="7"/>
  <c r="BQ238" i="7"/>
  <c r="BP238" i="7"/>
  <c r="BO238" i="7"/>
  <c r="BN238" i="7"/>
  <c r="BM238" i="7"/>
  <c r="BK238" i="7"/>
  <c r="BL238" i="7" s="1"/>
  <c r="BJ238" i="7"/>
  <c r="BI238" i="7"/>
  <c r="BG238" i="7"/>
  <c r="BH238" i="7" s="1"/>
  <c r="BF238" i="7"/>
  <c r="BE238" i="7"/>
  <c r="BC238" i="7"/>
  <c r="BD238" i="7" s="1"/>
  <c r="BB238" i="7"/>
  <c r="AZ238" i="7"/>
  <c r="AX238" i="7"/>
  <c r="AW238" i="7"/>
  <c r="AV238" i="7"/>
  <c r="AU238" i="7"/>
  <c r="AT238" i="7"/>
  <c r="AS238" i="7"/>
  <c r="AR238" i="7"/>
  <c r="AQ238" i="7"/>
  <c r="AP238" i="7"/>
  <c r="AO238" i="7"/>
  <c r="AN238" i="7"/>
  <c r="AM238" i="7"/>
  <c r="AL238" i="7"/>
  <c r="AK238" i="7"/>
  <c r="AJ238" i="7"/>
  <c r="AI238" i="7"/>
  <c r="AH238" i="7"/>
  <c r="AG238" i="7"/>
  <c r="AF238" i="7"/>
  <c r="AE238" i="7"/>
  <c r="AD238" i="7"/>
  <c r="AC238" i="7"/>
  <c r="AB238" i="7"/>
  <c r="AA238" i="7"/>
  <c r="Z238" i="7"/>
  <c r="Y238" i="7"/>
  <c r="X238" i="7"/>
  <c r="W238" i="7"/>
  <c r="V238" i="7"/>
  <c r="U238" i="7"/>
  <c r="T238" i="7"/>
  <c r="S238" i="7"/>
  <c r="R238" i="7"/>
  <c r="Q238" i="7"/>
  <c r="P238" i="7"/>
  <c r="O238" i="7"/>
  <c r="N238" i="7"/>
  <c r="M238" i="7"/>
  <c r="L238" i="7"/>
  <c r="K238" i="7"/>
  <c r="J238" i="7"/>
  <c r="I238" i="7"/>
  <c r="H238" i="7"/>
  <c r="G238" i="7"/>
  <c r="F238" i="7"/>
  <c r="D238" i="7"/>
  <c r="C238" i="7"/>
  <c r="B238" i="7"/>
  <c r="FQ237" i="7"/>
  <c r="FO237" i="7"/>
  <c r="FM237" i="7"/>
  <c r="FL237" i="7"/>
  <c r="FJ237" i="7"/>
  <c r="FH237" i="7"/>
  <c r="FG237" i="7"/>
  <c r="FE237" i="7"/>
  <c r="FC237" i="7"/>
  <c r="EZ237" i="7"/>
  <c r="EY237" i="7"/>
  <c r="EX237" i="7"/>
  <c r="EW237" i="7"/>
  <c r="EV237" i="7"/>
  <c r="EU237" i="7"/>
  <c r="ET237" i="7"/>
  <c r="ES237" i="7"/>
  <c r="ER237" i="7"/>
  <c r="EQ237" i="7"/>
  <c r="EP237" i="7"/>
  <c r="EO237" i="7"/>
  <c r="EN237" i="7"/>
  <c r="EM237" i="7"/>
  <c r="EI237" i="7"/>
  <c r="EG237" i="7"/>
  <c r="EE237" i="7"/>
  <c r="EC237" i="7"/>
  <c r="EA237" i="7"/>
  <c r="DY237" i="7"/>
  <c r="DW237" i="7"/>
  <c r="DU237" i="7"/>
  <c r="DS237" i="7"/>
  <c r="DR237" i="7"/>
  <c r="DP237" i="7"/>
  <c r="DN237" i="7"/>
  <c r="DM237" i="7"/>
  <c r="DK237" i="7"/>
  <c r="DI237" i="7"/>
  <c r="DH237" i="7"/>
  <c r="DF237" i="7"/>
  <c r="DD237" i="7"/>
  <c r="DC237" i="7"/>
  <c r="DA237" i="7"/>
  <c r="CY237" i="7"/>
  <c r="CX237" i="7"/>
  <c r="CV237" i="7"/>
  <c r="CT237" i="7"/>
  <c r="CS237" i="7"/>
  <c r="CR237" i="7"/>
  <c r="CQ237" i="7"/>
  <c r="CP237" i="7"/>
  <c r="CO237" i="7"/>
  <c r="CN237" i="7"/>
  <c r="CM237" i="7"/>
  <c r="CL237" i="7"/>
  <c r="CK237" i="7"/>
  <c r="CI237" i="7"/>
  <c r="CJ237" i="7" s="1"/>
  <c r="CH237" i="7"/>
  <c r="CG237" i="7"/>
  <c r="CE237" i="7"/>
  <c r="CF237" i="7" s="1"/>
  <c r="CD237" i="7"/>
  <c r="CC237" i="7"/>
  <c r="CA237" i="7"/>
  <c r="CB237" i="7" s="1"/>
  <c r="BZ237" i="7"/>
  <c r="BY237" i="7"/>
  <c r="BW237" i="7"/>
  <c r="BX237" i="7" s="1"/>
  <c r="BV237" i="7"/>
  <c r="BU237" i="7"/>
  <c r="BS237" i="7"/>
  <c r="BT237" i="7" s="1"/>
  <c r="BR237" i="7"/>
  <c r="BQ237" i="7"/>
  <c r="BO237" i="7"/>
  <c r="BP237" i="7" s="1"/>
  <c r="BN237" i="7"/>
  <c r="BM237" i="7"/>
  <c r="BK237" i="7"/>
  <c r="BL237" i="7" s="1"/>
  <c r="BJ237" i="7"/>
  <c r="BI237" i="7"/>
  <c r="BG237" i="7"/>
  <c r="BH237" i="7" s="1"/>
  <c r="BF237" i="7"/>
  <c r="BE237" i="7"/>
  <c r="BC237" i="7"/>
  <c r="BD237" i="7" s="1"/>
  <c r="BB237" i="7"/>
  <c r="AZ237" i="7"/>
  <c r="AX237" i="7"/>
  <c r="AW237" i="7"/>
  <c r="AV237" i="7"/>
  <c r="AU237" i="7"/>
  <c r="AT237" i="7"/>
  <c r="AS237" i="7"/>
  <c r="AR237" i="7"/>
  <c r="AQ237" i="7"/>
  <c r="AP237" i="7"/>
  <c r="AO237" i="7"/>
  <c r="AN237" i="7"/>
  <c r="AM237" i="7"/>
  <c r="AL237" i="7"/>
  <c r="AK237" i="7"/>
  <c r="AJ237" i="7"/>
  <c r="AI237" i="7"/>
  <c r="AH237" i="7"/>
  <c r="AG237" i="7"/>
  <c r="AF237" i="7"/>
  <c r="AE237" i="7"/>
  <c r="AD237" i="7"/>
  <c r="AC237" i="7"/>
  <c r="AB237" i="7"/>
  <c r="AA237" i="7"/>
  <c r="Z237" i="7"/>
  <c r="Y237" i="7"/>
  <c r="X237" i="7"/>
  <c r="W237" i="7"/>
  <c r="V237" i="7"/>
  <c r="U237" i="7"/>
  <c r="T237" i="7"/>
  <c r="S237" i="7"/>
  <c r="R237" i="7"/>
  <c r="Q237" i="7"/>
  <c r="P237" i="7"/>
  <c r="O237" i="7"/>
  <c r="N237" i="7"/>
  <c r="M237" i="7"/>
  <c r="L237" i="7"/>
  <c r="K237" i="7"/>
  <c r="J237" i="7"/>
  <c r="I237" i="7"/>
  <c r="H237" i="7"/>
  <c r="G237" i="7"/>
  <c r="F237" i="7"/>
  <c r="D237" i="7"/>
  <c r="C237" i="7"/>
  <c r="B237" i="7"/>
  <c r="FQ236" i="7"/>
  <c r="FO236" i="7"/>
  <c r="FM236" i="7"/>
  <c r="FL236" i="7"/>
  <c r="FJ236" i="7"/>
  <c r="FH236" i="7"/>
  <c r="FG236" i="7"/>
  <c r="FE236" i="7"/>
  <c r="FC236" i="7"/>
  <c r="EZ236" i="7"/>
  <c r="EY236" i="7"/>
  <c r="EX236" i="7"/>
  <c r="EW236" i="7"/>
  <c r="EV236" i="7"/>
  <c r="EU236" i="7"/>
  <c r="ET236" i="7"/>
  <c r="ES236" i="7"/>
  <c r="ER236" i="7"/>
  <c r="EQ236" i="7"/>
  <c r="EP236" i="7"/>
  <c r="EO236" i="7"/>
  <c r="EN236" i="7"/>
  <c r="EM236" i="7"/>
  <c r="EI236" i="7"/>
  <c r="EG236" i="7"/>
  <c r="EE236" i="7"/>
  <c r="EC236" i="7"/>
  <c r="EA236" i="7"/>
  <c r="DY236" i="7"/>
  <c r="DW236" i="7"/>
  <c r="DU236" i="7"/>
  <c r="DS236" i="7"/>
  <c r="DR236" i="7"/>
  <c r="DP236" i="7"/>
  <c r="DN236" i="7"/>
  <c r="DM236" i="7"/>
  <c r="DK236" i="7"/>
  <c r="DI236" i="7"/>
  <c r="DH236" i="7"/>
  <c r="DF236" i="7"/>
  <c r="DD236" i="7"/>
  <c r="DC236" i="7"/>
  <c r="DA236" i="7"/>
  <c r="CY236" i="7"/>
  <c r="CX236" i="7"/>
  <c r="CV236" i="7"/>
  <c r="CT236" i="7"/>
  <c r="CS236" i="7"/>
  <c r="CR236" i="7"/>
  <c r="CQ236" i="7"/>
  <c r="CP236" i="7"/>
  <c r="CO236" i="7"/>
  <c r="CN236" i="7"/>
  <c r="CM236" i="7"/>
  <c r="CL236" i="7"/>
  <c r="CK236" i="7"/>
  <c r="CI236" i="7"/>
  <c r="CJ236" i="7" s="1"/>
  <c r="CH236" i="7"/>
  <c r="CG236" i="7"/>
  <c r="CE236" i="7"/>
  <c r="CF236" i="7" s="1"/>
  <c r="CD236" i="7"/>
  <c r="CC236" i="7"/>
  <c r="CA236" i="7"/>
  <c r="CB236" i="7" s="1"/>
  <c r="BZ236" i="7"/>
  <c r="BY236" i="7"/>
  <c r="BW236" i="7"/>
  <c r="BX236" i="7" s="1"/>
  <c r="BV236" i="7"/>
  <c r="BU236" i="7"/>
  <c r="BS236" i="7"/>
  <c r="BT236" i="7" s="1"/>
  <c r="BR236" i="7"/>
  <c r="BQ236" i="7"/>
  <c r="BO236" i="7"/>
  <c r="BP236" i="7" s="1"/>
  <c r="BN236" i="7"/>
  <c r="BM236" i="7"/>
  <c r="BK236" i="7"/>
  <c r="BL236" i="7" s="1"/>
  <c r="BJ236" i="7"/>
  <c r="BI236" i="7"/>
  <c r="BG236" i="7"/>
  <c r="BH236" i="7" s="1"/>
  <c r="BF236" i="7"/>
  <c r="BE236" i="7"/>
  <c r="BC236" i="7"/>
  <c r="BD236" i="7" s="1"/>
  <c r="BB236" i="7"/>
  <c r="AZ236" i="7"/>
  <c r="AX236" i="7"/>
  <c r="AW236" i="7"/>
  <c r="AV236" i="7"/>
  <c r="AU236" i="7"/>
  <c r="AT236" i="7"/>
  <c r="AS236" i="7"/>
  <c r="AR236" i="7"/>
  <c r="AQ236" i="7"/>
  <c r="AP236" i="7"/>
  <c r="AO236" i="7"/>
  <c r="AN236" i="7"/>
  <c r="AM236" i="7"/>
  <c r="AL236" i="7"/>
  <c r="AK236" i="7"/>
  <c r="AJ236" i="7"/>
  <c r="AI236" i="7"/>
  <c r="AH236" i="7"/>
  <c r="AG236" i="7"/>
  <c r="AF236" i="7"/>
  <c r="AE236" i="7"/>
  <c r="AD236" i="7"/>
  <c r="AC236" i="7"/>
  <c r="AB236" i="7"/>
  <c r="AA236" i="7"/>
  <c r="Z236" i="7"/>
  <c r="Y236" i="7"/>
  <c r="X236" i="7"/>
  <c r="W236" i="7"/>
  <c r="V236" i="7"/>
  <c r="U236" i="7"/>
  <c r="T236" i="7"/>
  <c r="S236" i="7"/>
  <c r="R236" i="7"/>
  <c r="Q236" i="7"/>
  <c r="P236" i="7"/>
  <c r="O236" i="7"/>
  <c r="N236" i="7"/>
  <c r="M236" i="7"/>
  <c r="L236" i="7"/>
  <c r="K236" i="7"/>
  <c r="J236" i="7"/>
  <c r="I236" i="7"/>
  <c r="H236" i="7"/>
  <c r="G236" i="7"/>
  <c r="F236" i="7"/>
  <c r="D236" i="7"/>
  <c r="C236" i="7"/>
  <c r="B236" i="7"/>
  <c r="FQ235" i="7"/>
  <c r="FO235" i="7"/>
  <c r="FM235" i="7"/>
  <c r="FL235" i="7"/>
  <c r="FJ235" i="7"/>
  <c r="FH235" i="7"/>
  <c r="FG235" i="7"/>
  <c r="FE235" i="7"/>
  <c r="FC235" i="7"/>
  <c r="EZ235" i="7"/>
  <c r="EY235" i="7"/>
  <c r="EX235" i="7"/>
  <c r="EW235" i="7"/>
  <c r="EV235" i="7"/>
  <c r="EU235" i="7"/>
  <c r="ET235" i="7"/>
  <c r="ES235" i="7"/>
  <c r="ER235" i="7"/>
  <c r="EQ235" i="7"/>
  <c r="EP235" i="7"/>
  <c r="EO235" i="7"/>
  <c r="EN235" i="7"/>
  <c r="EM235" i="7"/>
  <c r="EI235" i="7"/>
  <c r="EG235" i="7"/>
  <c r="EE235" i="7"/>
  <c r="EC235" i="7"/>
  <c r="EA235" i="7"/>
  <c r="DY235" i="7"/>
  <c r="DW235" i="7"/>
  <c r="DU235" i="7"/>
  <c r="DS235" i="7"/>
  <c r="DR235" i="7"/>
  <c r="DP235" i="7"/>
  <c r="DN235" i="7"/>
  <c r="DM235" i="7"/>
  <c r="DK235" i="7"/>
  <c r="DI235" i="7"/>
  <c r="DH235" i="7"/>
  <c r="DF235" i="7"/>
  <c r="DD235" i="7"/>
  <c r="DC235" i="7"/>
  <c r="DA235" i="7"/>
  <c r="CY235" i="7"/>
  <c r="CX235" i="7"/>
  <c r="CV235" i="7"/>
  <c r="CT235" i="7"/>
  <c r="CS235" i="7"/>
  <c r="CR235" i="7"/>
  <c r="CQ235" i="7"/>
  <c r="CP235" i="7"/>
  <c r="CO235" i="7"/>
  <c r="CN235" i="7"/>
  <c r="CM235" i="7"/>
  <c r="CL235" i="7"/>
  <c r="CK235" i="7"/>
  <c r="CI235" i="7"/>
  <c r="CJ235" i="7" s="1"/>
  <c r="CH235" i="7"/>
  <c r="CG235" i="7"/>
  <c r="CE235" i="7"/>
  <c r="CF235" i="7" s="1"/>
  <c r="CD235" i="7"/>
  <c r="CC235" i="7"/>
  <c r="CA235" i="7"/>
  <c r="CB235" i="7" s="1"/>
  <c r="BZ235" i="7"/>
  <c r="BY235" i="7"/>
  <c r="BW235" i="7"/>
  <c r="BX235" i="7" s="1"/>
  <c r="BV235" i="7"/>
  <c r="BU235" i="7"/>
  <c r="BS235" i="7"/>
  <c r="BT235" i="7" s="1"/>
  <c r="BR235" i="7"/>
  <c r="BQ235" i="7"/>
  <c r="BO235" i="7"/>
  <c r="BP235" i="7" s="1"/>
  <c r="BN235" i="7"/>
  <c r="BM235" i="7"/>
  <c r="BK235" i="7"/>
  <c r="BL235" i="7" s="1"/>
  <c r="BJ235" i="7"/>
  <c r="BI235" i="7"/>
  <c r="BG235" i="7"/>
  <c r="BH235" i="7" s="1"/>
  <c r="BF235" i="7"/>
  <c r="BE235" i="7"/>
  <c r="BC235" i="7"/>
  <c r="BD235" i="7" s="1"/>
  <c r="BB235" i="7"/>
  <c r="AZ235" i="7"/>
  <c r="AX235" i="7"/>
  <c r="AW235" i="7"/>
  <c r="AV235" i="7"/>
  <c r="AU235" i="7"/>
  <c r="AT235" i="7"/>
  <c r="AS235" i="7"/>
  <c r="AR235" i="7"/>
  <c r="AQ235" i="7"/>
  <c r="AP235" i="7"/>
  <c r="AO235" i="7"/>
  <c r="AN235" i="7"/>
  <c r="AM235" i="7"/>
  <c r="AL235" i="7"/>
  <c r="AK235" i="7"/>
  <c r="AJ235" i="7"/>
  <c r="AI235" i="7"/>
  <c r="AH235" i="7"/>
  <c r="AG235" i="7"/>
  <c r="AF235" i="7"/>
  <c r="AE235" i="7"/>
  <c r="AD235" i="7"/>
  <c r="AC235" i="7"/>
  <c r="AB235" i="7"/>
  <c r="AA235" i="7"/>
  <c r="Z235" i="7"/>
  <c r="Y235" i="7"/>
  <c r="X235" i="7"/>
  <c r="W235" i="7"/>
  <c r="V235" i="7"/>
  <c r="U235" i="7"/>
  <c r="T235" i="7"/>
  <c r="S235" i="7"/>
  <c r="R235" i="7"/>
  <c r="Q235" i="7"/>
  <c r="P235" i="7"/>
  <c r="O235" i="7"/>
  <c r="N235" i="7"/>
  <c r="M235" i="7"/>
  <c r="L235" i="7"/>
  <c r="K235" i="7"/>
  <c r="J235" i="7"/>
  <c r="I235" i="7"/>
  <c r="H235" i="7"/>
  <c r="G235" i="7"/>
  <c r="F235" i="7"/>
  <c r="D235" i="7"/>
  <c r="C235" i="7"/>
  <c r="B235" i="7"/>
  <c r="FQ234" i="7"/>
  <c r="FO234" i="7"/>
  <c r="FM234" i="7"/>
  <c r="FL234" i="7"/>
  <c r="FJ234" i="7"/>
  <c r="FH234" i="7"/>
  <c r="FG234" i="7"/>
  <c r="FE234" i="7"/>
  <c r="FC234" i="7"/>
  <c r="EZ234" i="7"/>
  <c r="EY234" i="7"/>
  <c r="EX234" i="7"/>
  <c r="EW234" i="7"/>
  <c r="EV234" i="7"/>
  <c r="EU234" i="7"/>
  <c r="ET234" i="7"/>
  <c r="ES234" i="7"/>
  <c r="ER234" i="7"/>
  <c r="EQ234" i="7"/>
  <c r="EP234" i="7"/>
  <c r="EO234" i="7"/>
  <c r="EN234" i="7"/>
  <c r="EM234" i="7"/>
  <c r="EI234" i="7"/>
  <c r="EG234" i="7"/>
  <c r="EE234" i="7"/>
  <c r="EC234" i="7"/>
  <c r="EA234" i="7"/>
  <c r="DY234" i="7"/>
  <c r="DW234" i="7"/>
  <c r="DU234" i="7"/>
  <c r="DS234" i="7"/>
  <c r="DR234" i="7"/>
  <c r="DP234" i="7"/>
  <c r="DN234" i="7"/>
  <c r="DM234" i="7"/>
  <c r="DK234" i="7"/>
  <c r="DI234" i="7"/>
  <c r="DH234" i="7"/>
  <c r="DF234" i="7"/>
  <c r="DD234" i="7"/>
  <c r="DC234" i="7"/>
  <c r="DA234" i="7"/>
  <c r="CY234" i="7"/>
  <c r="CX234" i="7"/>
  <c r="CV234" i="7"/>
  <c r="CT234" i="7"/>
  <c r="CS234" i="7"/>
  <c r="CR234" i="7"/>
  <c r="CQ234" i="7"/>
  <c r="CP234" i="7"/>
  <c r="CO234" i="7"/>
  <c r="CN234" i="7"/>
  <c r="CM234" i="7"/>
  <c r="CL234" i="7"/>
  <c r="CK234" i="7"/>
  <c r="CI234" i="7"/>
  <c r="CJ234" i="7" s="1"/>
  <c r="CH234" i="7"/>
  <c r="CG234" i="7"/>
  <c r="CE234" i="7"/>
  <c r="CF234" i="7" s="1"/>
  <c r="CD234" i="7"/>
  <c r="CC234" i="7"/>
  <c r="CA234" i="7"/>
  <c r="CB234" i="7" s="1"/>
  <c r="BZ234" i="7"/>
  <c r="BY234" i="7"/>
  <c r="BW234" i="7"/>
  <c r="BX234" i="7" s="1"/>
  <c r="BV234" i="7"/>
  <c r="BU234" i="7"/>
  <c r="BS234" i="7"/>
  <c r="BT234" i="7" s="1"/>
  <c r="BR234" i="7"/>
  <c r="BQ234" i="7"/>
  <c r="BO234" i="7"/>
  <c r="BP234" i="7" s="1"/>
  <c r="BN234" i="7"/>
  <c r="BM234" i="7"/>
  <c r="BK234" i="7"/>
  <c r="BL234" i="7" s="1"/>
  <c r="BJ234" i="7"/>
  <c r="BI234" i="7"/>
  <c r="BG234" i="7"/>
  <c r="BH234" i="7" s="1"/>
  <c r="BF234" i="7"/>
  <c r="BE234" i="7"/>
  <c r="BC234" i="7"/>
  <c r="BD234" i="7" s="1"/>
  <c r="BB234" i="7"/>
  <c r="AZ234" i="7"/>
  <c r="AX234" i="7"/>
  <c r="AW234" i="7"/>
  <c r="AV234" i="7"/>
  <c r="AU234" i="7"/>
  <c r="AT234" i="7"/>
  <c r="AS234" i="7"/>
  <c r="AR234" i="7"/>
  <c r="AQ234" i="7"/>
  <c r="AP234" i="7"/>
  <c r="AO234" i="7"/>
  <c r="AN234" i="7"/>
  <c r="AM234" i="7"/>
  <c r="AL234" i="7"/>
  <c r="AK234" i="7"/>
  <c r="AJ234" i="7"/>
  <c r="AI234" i="7"/>
  <c r="AH234" i="7"/>
  <c r="AG234" i="7"/>
  <c r="AF234" i="7"/>
  <c r="AE234" i="7"/>
  <c r="AD234" i="7"/>
  <c r="AC234" i="7"/>
  <c r="AB234" i="7"/>
  <c r="AA234" i="7"/>
  <c r="Z234" i="7"/>
  <c r="Y234" i="7"/>
  <c r="X234" i="7"/>
  <c r="W234" i="7"/>
  <c r="V234" i="7"/>
  <c r="U234" i="7"/>
  <c r="T234" i="7"/>
  <c r="S234" i="7"/>
  <c r="R234" i="7"/>
  <c r="Q234" i="7"/>
  <c r="P234" i="7"/>
  <c r="O234" i="7"/>
  <c r="N234" i="7"/>
  <c r="M234" i="7"/>
  <c r="L234" i="7"/>
  <c r="K234" i="7"/>
  <c r="J234" i="7"/>
  <c r="I234" i="7"/>
  <c r="H234" i="7"/>
  <c r="G234" i="7"/>
  <c r="F234" i="7"/>
  <c r="D234" i="7"/>
  <c r="C234" i="7"/>
  <c r="B234" i="7"/>
  <c r="FQ233" i="7"/>
  <c r="FO233" i="7"/>
  <c r="FM233" i="7"/>
  <c r="FL233" i="7"/>
  <c r="FJ233" i="7"/>
  <c r="FH233" i="7"/>
  <c r="FG233" i="7"/>
  <c r="FE233" i="7"/>
  <c r="FC233" i="7"/>
  <c r="EZ233" i="7"/>
  <c r="EY233" i="7"/>
  <c r="EX233" i="7"/>
  <c r="EW233" i="7"/>
  <c r="EV233" i="7"/>
  <c r="EU233" i="7"/>
  <c r="ET233" i="7"/>
  <c r="ES233" i="7"/>
  <c r="ER233" i="7"/>
  <c r="EQ233" i="7"/>
  <c r="EP233" i="7"/>
  <c r="EO233" i="7"/>
  <c r="EN233" i="7"/>
  <c r="EM233" i="7"/>
  <c r="EI233" i="7"/>
  <c r="EG233" i="7"/>
  <c r="EE233" i="7"/>
  <c r="EC233" i="7"/>
  <c r="EA233" i="7"/>
  <c r="DY233" i="7"/>
  <c r="DW233" i="7"/>
  <c r="DU233" i="7"/>
  <c r="DS233" i="7"/>
  <c r="DR233" i="7"/>
  <c r="DP233" i="7"/>
  <c r="DN233" i="7"/>
  <c r="DM233" i="7"/>
  <c r="DK233" i="7"/>
  <c r="DI233" i="7"/>
  <c r="DH233" i="7"/>
  <c r="DF233" i="7"/>
  <c r="DD233" i="7"/>
  <c r="DC233" i="7"/>
  <c r="DA233" i="7"/>
  <c r="CY233" i="7"/>
  <c r="CX233" i="7"/>
  <c r="CV233" i="7"/>
  <c r="CT233" i="7"/>
  <c r="CS233" i="7"/>
  <c r="CR233" i="7"/>
  <c r="CQ233" i="7"/>
  <c r="CP233" i="7"/>
  <c r="CO233" i="7"/>
  <c r="CN233" i="7"/>
  <c r="CM233" i="7"/>
  <c r="CL233" i="7"/>
  <c r="CK233" i="7"/>
  <c r="CI233" i="7"/>
  <c r="CJ233" i="7" s="1"/>
  <c r="CH233" i="7"/>
  <c r="CG233" i="7"/>
  <c r="CE233" i="7"/>
  <c r="CF233" i="7" s="1"/>
  <c r="CD233" i="7"/>
  <c r="CC233" i="7"/>
  <c r="CA233" i="7"/>
  <c r="CB233" i="7" s="1"/>
  <c r="BZ233" i="7"/>
  <c r="BY233" i="7"/>
  <c r="BW233" i="7"/>
  <c r="BX233" i="7" s="1"/>
  <c r="BV233" i="7"/>
  <c r="BU233" i="7"/>
  <c r="BS233" i="7"/>
  <c r="BT233" i="7" s="1"/>
  <c r="BR233" i="7"/>
  <c r="BQ233" i="7"/>
  <c r="BO233" i="7"/>
  <c r="BP233" i="7" s="1"/>
  <c r="BN233" i="7"/>
  <c r="BM233" i="7"/>
  <c r="BK233" i="7"/>
  <c r="BL233" i="7" s="1"/>
  <c r="BJ233" i="7"/>
  <c r="BI233" i="7"/>
  <c r="BG233" i="7"/>
  <c r="BH233" i="7" s="1"/>
  <c r="BF233" i="7"/>
  <c r="BE233" i="7"/>
  <c r="BC233" i="7"/>
  <c r="BD233" i="7" s="1"/>
  <c r="BB233" i="7"/>
  <c r="AZ233" i="7"/>
  <c r="AX233" i="7"/>
  <c r="AW233" i="7"/>
  <c r="AV233" i="7"/>
  <c r="AU233" i="7"/>
  <c r="AT233" i="7"/>
  <c r="AS233" i="7"/>
  <c r="AR233" i="7"/>
  <c r="AQ233" i="7"/>
  <c r="AP233" i="7"/>
  <c r="AO233" i="7"/>
  <c r="AN233" i="7"/>
  <c r="AM233" i="7"/>
  <c r="AL233" i="7"/>
  <c r="AK233" i="7"/>
  <c r="AJ233" i="7"/>
  <c r="AI233" i="7"/>
  <c r="AH233" i="7"/>
  <c r="AG233" i="7"/>
  <c r="AF233" i="7"/>
  <c r="AE233" i="7"/>
  <c r="AD233" i="7"/>
  <c r="AC233" i="7"/>
  <c r="AB233" i="7"/>
  <c r="AA233" i="7"/>
  <c r="Z233" i="7"/>
  <c r="Y233" i="7"/>
  <c r="X233" i="7"/>
  <c r="W233" i="7"/>
  <c r="V233" i="7"/>
  <c r="U233" i="7"/>
  <c r="T233" i="7"/>
  <c r="S233" i="7"/>
  <c r="R233" i="7"/>
  <c r="Q233" i="7"/>
  <c r="P233" i="7"/>
  <c r="O233" i="7"/>
  <c r="N233" i="7"/>
  <c r="M233" i="7"/>
  <c r="L233" i="7"/>
  <c r="K233" i="7"/>
  <c r="J233" i="7"/>
  <c r="I233" i="7"/>
  <c r="H233" i="7"/>
  <c r="G233" i="7"/>
  <c r="F233" i="7"/>
  <c r="D233" i="7"/>
  <c r="C233" i="7"/>
  <c r="B233" i="7"/>
  <c r="FQ232" i="7"/>
  <c r="FO232" i="7"/>
  <c r="FM232" i="7"/>
  <c r="FL232" i="7"/>
  <c r="FJ232" i="7"/>
  <c r="FH232" i="7"/>
  <c r="FG232" i="7"/>
  <c r="FE232" i="7"/>
  <c r="FC232" i="7"/>
  <c r="EZ232" i="7"/>
  <c r="EY232" i="7"/>
  <c r="EX232" i="7"/>
  <c r="EW232" i="7"/>
  <c r="EV232" i="7"/>
  <c r="EU232" i="7"/>
  <c r="ET232" i="7"/>
  <c r="ES232" i="7"/>
  <c r="ER232" i="7"/>
  <c r="EQ232" i="7"/>
  <c r="EP232" i="7"/>
  <c r="EO232" i="7"/>
  <c r="EN232" i="7"/>
  <c r="EM232" i="7"/>
  <c r="EI232" i="7"/>
  <c r="EG232" i="7"/>
  <c r="EE232" i="7"/>
  <c r="EC232" i="7"/>
  <c r="EA232" i="7"/>
  <c r="DY232" i="7"/>
  <c r="DW232" i="7"/>
  <c r="DU232" i="7"/>
  <c r="DS232" i="7"/>
  <c r="DR232" i="7"/>
  <c r="DP232" i="7"/>
  <c r="DN232" i="7"/>
  <c r="DM232" i="7"/>
  <c r="DK232" i="7"/>
  <c r="DI232" i="7"/>
  <c r="DH232" i="7"/>
  <c r="DF232" i="7"/>
  <c r="DD232" i="7"/>
  <c r="DC232" i="7"/>
  <c r="DA232" i="7"/>
  <c r="CY232" i="7"/>
  <c r="CX232" i="7"/>
  <c r="CV232" i="7"/>
  <c r="CT232" i="7"/>
  <c r="CS232" i="7"/>
  <c r="CR232" i="7"/>
  <c r="CQ232" i="7"/>
  <c r="CP232" i="7"/>
  <c r="CO232" i="7"/>
  <c r="CN232" i="7"/>
  <c r="CM232" i="7"/>
  <c r="CL232" i="7"/>
  <c r="CK232" i="7"/>
  <c r="CI232" i="7"/>
  <c r="CJ232" i="7" s="1"/>
  <c r="CH232" i="7"/>
  <c r="CG232" i="7"/>
  <c r="CE232" i="7"/>
  <c r="CF232" i="7" s="1"/>
  <c r="CD232" i="7"/>
  <c r="CC232" i="7"/>
  <c r="CA232" i="7"/>
  <c r="CB232" i="7" s="1"/>
  <c r="BZ232" i="7"/>
  <c r="BY232" i="7"/>
  <c r="BW232" i="7"/>
  <c r="BX232" i="7" s="1"/>
  <c r="BV232" i="7"/>
  <c r="BU232" i="7"/>
  <c r="BS232" i="7"/>
  <c r="BT232" i="7" s="1"/>
  <c r="BR232" i="7"/>
  <c r="BQ232" i="7"/>
  <c r="BO232" i="7"/>
  <c r="BP232" i="7" s="1"/>
  <c r="BN232" i="7"/>
  <c r="BM232" i="7"/>
  <c r="BK232" i="7"/>
  <c r="BL232" i="7" s="1"/>
  <c r="BJ232" i="7"/>
  <c r="BI232" i="7"/>
  <c r="BG232" i="7"/>
  <c r="BH232" i="7" s="1"/>
  <c r="BF232" i="7"/>
  <c r="BE232" i="7"/>
  <c r="BC232" i="7"/>
  <c r="BD232" i="7" s="1"/>
  <c r="BB232" i="7"/>
  <c r="AZ232" i="7"/>
  <c r="AX232" i="7"/>
  <c r="AW232" i="7"/>
  <c r="AV232" i="7"/>
  <c r="AU232" i="7"/>
  <c r="AT232" i="7"/>
  <c r="AS232" i="7"/>
  <c r="AR232" i="7"/>
  <c r="AQ232" i="7"/>
  <c r="AP232" i="7"/>
  <c r="AO232" i="7"/>
  <c r="AN232" i="7"/>
  <c r="AM232" i="7"/>
  <c r="AL232" i="7"/>
  <c r="AK232" i="7"/>
  <c r="AJ232" i="7"/>
  <c r="AI232" i="7"/>
  <c r="AH232" i="7"/>
  <c r="AG232" i="7"/>
  <c r="AF232" i="7"/>
  <c r="AE232" i="7"/>
  <c r="AD232" i="7"/>
  <c r="AC232" i="7"/>
  <c r="AB232" i="7"/>
  <c r="AA232" i="7"/>
  <c r="Z232" i="7"/>
  <c r="Y232" i="7"/>
  <c r="X232" i="7"/>
  <c r="W232" i="7"/>
  <c r="V232" i="7"/>
  <c r="U232" i="7"/>
  <c r="T232" i="7"/>
  <c r="S232" i="7"/>
  <c r="R232" i="7"/>
  <c r="Q232" i="7"/>
  <c r="P232" i="7"/>
  <c r="O232" i="7"/>
  <c r="N232" i="7"/>
  <c r="M232" i="7"/>
  <c r="L232" i="7"/>
  <c r="K232" i="7"/>
  <c r="J232" i="7"/>
  <c r="I232" i="7"/>
  <c r="H232" i="7"/>
  <c r="G232" i="7"/>
  <c r="F232" i="7"/>
  <c r="D232" i="7"/>
  <c r="C232" i="7"/>
  <c r="B232" i="7"/>
  <c r="FQ231" i="7"/>
  <c r="FO231" i="7"/>
  <c r="FM231" i="7"/>
  <c r="FL231" i="7"/>
  <c r="FJ231" i="7"/>
  <c r="FH231" i="7"/>
  <c r="FG231" i="7"/>
  <c r="FE231" i="7"/>
  <c r="FC231" i="7"/>
  <c r="EZ231" i="7"/>
  <c r="EY231" i="7"/>
  <c r="EX231" i="7"/>
  <c r="EW231" i="7"/>
  <c r="EV231" i="7"/>
  <c r="EU231" i="7"/>
  <c r="ET231" i="7"/>
  <c r="ES231" i="7"/>
  <c r="ER231" i="7"/>
  <c r="EQ231" i="7"/>
  <c r="EP231" i="7"/>
  <c r="EO231" i="7"/>
  <c r="EN231" i="7"/>
  <c r="EM231" i="7"/>
  <c r="EI231" i="7"/>
  <c r="EG231" i="7"/>
  <c r="EE231" i="7"/>
  <c r="EC231" i="7"/>
  <c r="EA231" i="7"/>
  <c r="DY231" i="7"/>
  <c r="DW231" i="7"/>
  <c r="DU231" i="7"/>
  <c r="DS231" i="7"/>
  <c r="DR231" i="7"/>
  <c r="DP231" i="7"/>
  <c r="DN231" i="7"/>
  <c r="DM231" i="7"/>
  <c r="DK231" i="7"/>
  <c r="DI231" i="7"/>
  <c r="DH231" i="7"/>
  <c r="DF231" i="7"/>
  <c r="DD231" i="7"/>
  <c r="DC231" i="7"/>
  <c r="DA231" i="7"/>
  <c r="CY231" i="7"/>
  <c r="CX231" i="7"/>
  <c r="CV231" i="7"/>
  <c r="CT231" i="7"/>
  <c r="CS231" i="7"/>
  <c r="CR231" i="7"/>
  <c r="CQ231" i="7"/>
  <c r="CP231" i="7"/>
  <c r="CO231" i="7"/>
  <c r="CN231" i="7"/>
  <c r="CM231" i="7"/>
  <c r="CL231" i="7"/>
  <c r="CK231" i="7"/>
  <c r="CI231" i="7"/>
  <c r="CJ231" i="7" s="1"/>
  <c r="CH231" i="7"/>
  <c r="CG231" i="7"/>
  <c r="CE231" i="7"/>
  <c r="CF231" i="7" s="1"/>
  <c r="CD231" i="7"/>
  <c r="CC231" i="7"/>
  <c r="CA231" i="7"/>
  <c r="CB231" i="7" s="1"/>
  <c r="BZ231" i="7"/>
  <c r="BY231" i="7"/>
  <c r="BW231" i="7"/>
  <c r="BX231" i="7" s="1"/>
  <c r="BV231" i="7"/>
  <c r="BU231" i="7"/>
  <c r="BS231" i="7"/>
  <c r="BT231" i="7" s="1"/>
  <c r="BR231" i="7"/>
  <c r="BQ231" i="7"/>
  <c r="BO231" i="7"/>
  <c r="BP231" i="7" s="1"/>
  <c r="BN231" i="7"/>
  <c r="BM231" i="7"/>
  <c r="BK231" i="7"/>
  <c r="BL231" i="7" s="1"/>
  <c r="BJ231" i="7"/>
  <c r="BI231" i="7"/>
  <c r="BG231" i="7"/>
  <c r="BH231" i="7" s="1"/>
  <c r="BF231" i="7"/>
  <c r="BE231" i="7"/>
  <c r="BC231" i="7"/>
  <c r="BD231" i="7" s="1"/>
  <c r="BB231" i="7"/>
  <c r="AZ231" i="7"/>
  <c r="AX231" i="7"/>
  <c r="AW231" i="7"/>
  <c r="AV231" i="7"/>
  <c r="AU231" i="7"/>
  <c r="AT231" i="7"/>
  <c r="AS231" i="7"/>
  <c r="AR231" i="7"/>
  <c r="AQ231" i="7"/>
  <c r="AP231" i="7"/>
  <c r="AO231" i="7"/>
  <c r="AN231" i="7"/>
  <c r="AM231" i="7"/>
  <c r="AL231" i="7"/>
  <c r="AK231" i="7"/>
  <c r="AJ231" i="7"/>
  <c r="AI231" i="7"/>
  <c r="AH231" i="7"/>
  <c r="AG231" i="7"/>
  <c r="AF231" i="7"/>
  <c r="AE231" i="7"/>
  <c r="AD231" i="7"/>
  <c r="AC231" i="7"/>
  <c r="AB231" i="7"/>
  <c r="AA231" i="7"/>
  <c r="Z231" i="7"/>
  <c r="Y231" i="7"/>
  <c r="X231" i="7"/>
  <c r="W231" i="7"/>
  <c r="V231" i="7"/>
  <c r="U231" i="7"/>
  <c r="T231" i="7"/>
  <c r="S231" i="7"/>
  <c r="R231" i="7"/>
  <c r="Q231" i="7"/>
  <c r="P231" i="7"/>
  <c r="O231" i="7"/>
  <c r="N231" i="7"/>
  <c r="M231" i="7"/>
  <c r="L231" i="7"/>
  <c r="K231" i="7"/>
  <c r="J231" i="7"/>
  <c r="I231" i="7"/>
  <c r="H231" i="7"/>
  <c r="G231" i="7"/>
  <c r="F231" i="7"/>
  <c r="D231" i="7"/>
  <c r="C231" i="7"/>
  <c r="B231" i="7"/>
  <c r="FQ230" i="7"/>
  <c r="FO230" i="7"/>
  <c r="FM230" i="7"/>
  <c r="FL230" i="7"/>
  <c r="FJ230" i="7"/>
  <c r="FH230" i="7"/>
  <c r="FG230" i="7"/>
  <c r="FE230" i="7"/>
  <c r="FC230" i="7"/>
  <c r="EZ230" i="7"/>
  <c r="EY230" i="7"/>
  <c r="EX230" i="7"/>
  <c r="EW230" i="7"/>
  <c r="EV230" i="7"/>
  <c r="EU230" i="7"/>
  <c r="ET230" i="7"/>
  <c r="ES230" i="7"/>
  <c r="ER230" i="7"/>
  <c r="EQ230" i="7"/>
  <c r="EP230" i="7"/>
  <c r="EO230" i="7"/>
  <c r="EN230" i="7"/>
  <c r="EM230" i="7"/>
  <c r="EI230" i="7"/>
  <c r="EG230" i="7"/>
  <c r="EE230" i="7"/>
  <c r="EC230" i="7"/>
  <c r="EA230" i="7"/>
  <c r="DY230" i="7"/>
  <c r="DW230" i="7"/>
  <c r="DU230" i="7"/>
  <c r="DS230" i="7"/>
  <c r="DR230" i="7"/>
  <c r="DP230" i="7"/>
  <c r="DN230" i="7"/>
  <c r="DM230" i="7"/>
  <c r="DK230" i="7"/>
  <c r="DI230" i="7"/>
  <c r="DH230" i="7"/>
  <c r="DF230" i="7"/>
  <c r="DD230" i="7"/>
  <c r="DC230" i="7"/>
  <c r="DA230" i="7"/>
  <c r="CY230" i="7"/>
  <c r="CX230" i="7"/>
  <c r="CV230" i="7"/>
  <c r="CT230" i="7"/>
  <c r="CS230" i="7"/>
  <c r="CR230" i="7"/>
  <c r="CQ230" i="7"/>
  <c r="CP230" i="7"/>
  <c r="CO230" i="7"/>
  <c r="CN230" i="7"/>
  <c r="CM230" i="7"/>
  <c r="CL230" i="7"/>
  <c r="CK230" i="7"/>
  <c r="CI230" i="7"/>
  <c r="CJ230" i="7" s="1"/>
  <c r="CH230" i="7"/>
  <c r="CG230" i="7"/>
  <c r="CE230" i="7"/>
  <c r="CF230" i="7" s="1"/>
  <c r="CD230" i="7"/>
  <c r="CC230" i="7"/>
  <c r="CA230" i="7"/>
  <c r="CB230" i="7" s="1"/>
  <c r="BZ230" i="7"/>
  <c r="BY230" i="7"/>
  <c r="BW230" i="7"/>
  <c r="BX230" i="7" s="1"/>
  <c r="BV230" i="7"/>
  <c r="BU230" i="7"/>
  <c r="BS230" i="7"/>
  <c r="BT230" i="7" s="1"/>
  <c r="BR230" i="7"/>
  <c r="BQ230" i="7"/>
  <c r="BO230" i="7"/>
  <c r="BP230" i="7" s="1"/>
  <c r="BN230" i="7"/>
  <c r="BM230" i="7"/>
  <c r="BK230" i="7"/>
  <c r="BL230" i="7" s="1"/>
  <c r="BJ230" i="7"/>
  <c r="BI230" i="7"/>
  <c r="BG230" i="7"/>
  <c r="BH230" i="7" s="1"/>
  <c r="BF230" i="7"/>
  <c r="BE230" i="7"/>
  <c r="BC230" i="7"/>
  <c r="BD230" i="7" s="1"/>
  <c r="BB230" i="7"/>
  <c r="AZ230" i="7"/>
  <c r="AX230" i="7"/>
  <c r="AW230" i="7"/>
  <c r="AV230" i="7"/>
  <c r="AU230" i="7"/>
  <c r="AT230" i="7"/>
  <c r="AS230" i="7"/>
  <c r="AR230" i="7"/>
  <c r="AQ230" i="7"/>
  <c r="AP230" i="7"/>
  <c r="AO230" i="7"/>
  <c r="AN230" i="7"/>
  <c r="AM230" i="7"/>
  <c r="AL230" i="7"/>
  <c r="AK230" i="7"/>
  <c r="AJ230" i="7"/>
  <c r="AI230" i="7"/>
  <c r="AH230" i="7"/>
  <c r="AG230" i="7"/>
  <c r="AF230" i="7"/>
  <c r="AE230" i="7"/>
  <c r="AD230" i="7"/>
  <c r="AC230" i="7"/>
  <c r="AB230" i="7"/>
  <c r="AA230" i="7"/>
  <c r="Z230" i="7"/>
  <c r="Y230" i="7"/>
  <c r="X230" i="7"/>
  <c r="W230" i="7"/>
  <c r="V230" i="7"/>
  <c r="U230" i="7"/>
  <c r="T230" i="7"/>
  <c r="S230" i="7"/>
  <c r="R230" i="7"/>
  <c r="Q230" i="7"/>
  <c r="P230" i="7"/>
  <c r="O230" i="7"/>
  <c r="N230" i="7"/>
  <c r="M230" i="7"/>
  <c r="L230" i="7"/>
  <c r="K230" i="7"/>
  <c r="J230" i="7"/>
  <c r="I230" i="7"/>
  <c r="H230" i="7"/>
  <c r="G230" i="7"/>
  <c r="F230" i="7"/>
  <c r="D230" i="7"/>
  <c r="C230" i="7"/>
  <c r="B230" i="7"/>
  <c r="FQ229" i="7"/>
  <c r="FO229" i="7"/>
  <c r="FM229" i="7"/>
  <c r="FL229" i="7"/>
  <c r="FJ229" i="7"/>
  <c r="FH229" i="7"/>
  <c r="FG229" i="7"/>
  <c r="FE229" i="7"/>
  <c r="FC229" i="7"/>
  <c r="EZ229" i="7"/>
  <c r="EY229" i="7"/>
  <c r="EX229" i="7"/>
  <c r="EW229" i="7"/>
  <c r="EV229" i="7"/>
  <c r="EU229" i="7"/>
  <c r="ET229" i="7"/>
  <c r="ES229" i="7"/>
  <c r="ER229" i="7"/>
  <c r="EQ229" i="7"/>
  <c r="EP229" i="7"/>
  <c r="EO229" i="7"/>
  <c r="EN229" i="7"/>
  <c r="EM229" i="7"/>
  <c r="EI229" i="7"/>
  <c r="EG229" i="7"/>
  <c r="EE229" i="7"/>
  <c r="EC229" i="7"/>
  <c r="EA229" i="7"/>
  <c r="DY229" i="7"/>
  <c r="DW229" i="7"/>
  <c r="DU229" i="7"/>
  <c r="DS229" i="7"/>
  <c r="DR229" i="7"/>
  <c r="DP229" i="7"/>
  <c r="DN229" i="7"/>
  <c r="DM229" i="7"/>
  <c r="DK229" i="7"/>
  <c r="DI229" i="7"/>
  <c r="DH229" i="7"/>
  <c r="DF229" i="7"/>
  <c r="DD229" i="7"/>
  <c r="DC229" i="7"/>
  <c r="DA229" i="7"/>
  <c r="CY229" i="7"/>
  <c r="CX229" i="7"/>
  <c r="CV229" i="7"/>
  <c r="CT229" i="7"/>
  <c r="CS229" i="7"/>
  <c r="CR229" i="7"/>
  <c r="CQ229" i="7"/>
  <c r="CP229" i="7"/>
  <c r="CO229" i="7"/>
  <c r="CN229" i="7"/>
  <c r="CM229" i="7"/>
  <c r="CL229" i="7"/>
  <c r="CK229" i="7"/>
  <c r="CI229" i="7"/>
  <c r="CJ229" i="7" s="1"/>
  <c r="CH229" i="7"/>
  <c r="CG229" i="7"/>
  <c r="CE229" i="7"/>
  <c r="CF229" i="7" s="1"/>
  <c r="CD229" i="7"/>
  <c r="CC229" i="7"/>
  <c r="CA229" i="7"/>
  <c r="CB229" i="7" s="1"/>
  <c r="BZ229" i="7"/>
  <c r="BY229" i="7"/>
  <c r="BW229" i="7"/>
  <c r="BX229" i="7" s="1"/>
  <c r="BV229" i="7"/>
  <c r="BU229" i="7"/>
  <c r="BS229" i="7"/>
  <c r="BT229" i="7" s="1"/>
  <c r="BR229" i="7"/>
  <c r="BQ229" i="7"/>
  <c r="BO229" i="7"/>
  <c r="BP229" i="7" s="1"/>
  <c r="BN229" i="7"/>
  <c r="BM229" i="7"/>
  <c r="BK229" i="7"/>
  <c r="BL229" i="7" s="1"/>
  <c r="BJ229" i="7"/>
  <c r="BI229" i="7"/>
  <c r="BG229" i="7"/>
  <c r="BH229" i="7" s="1"/>
  <c r="BF229" i="7"/>
  <c r="BE229" i="7"/>
  <c r="BC229" i="7"/>
  <c r="BD229" i="7" s="1"/>
  <c r="BB229" i="7"/>
  <c r="AZ229" i="7"/>
  <c r="AX229" i="7"/>
  <c r="AW229" i="7"/>
  <c r="AV229" i="7"/>
  <c r="AU229" i="7"/>
  <c r="AT229" i="7"/>
  <c r="AS229" i="7"/>
  <c r="AR229" i="7"/>
  <c r="AQ229" i="7"/>
  <c r="AP229" i="7"/>
  <c r="AO229" i="7"/>
  <c r="AN229" i="7"/>
  <c r="AM229" i="7"/>
  <c r="AL229" i="7"/>
  <c r="AK229" i="7"/>
  <c r="AJ229" i="7"/>
  <c r="AI229" i="7"/>
  <c r="AH229" i="7"/>
  <c r="AG229" i="7"/>
  <c r="AF229" i="7"/>
  <c r="AE229" i="7"/>
  <c r="AD229" i="7"/>
  <c r="AC229" i="7"/>
  <c r="AB229" i="7"/>
  <c r="AA229" i="7"/>
  <c r="Z229" i="7"/>
  <c r="Y229" i="7"/>
  <c r="X229" i="7"/>
  <c r="W229" i="7"/>
  <c r="V229" i="7"/>
  <c r="U229" i="7"/>
  <c r="T229" i="7"/>
  <c r="S229" i="7"/>
  <c r="R229" i="7"/>
  <c r="Q229" i="7"/>
  <c r="P229" i="7"/>
  <c r="O229" i="7"/>
  <c r="N229" i="7"/>
  <c r="M229" i="7"/>
  <c r="L229" i="7"/>
  <c r="K229" i="7"/>
  <c r="J229" i="7"/>
  <c r="I229" i="7"/>
  <c r="H229" i="7"/>
  <c r="G229" i="7"/>
  <c r="F229" i="7"/>
  <c r="D229" i="7"/>
  <c r="C229" i="7"/>
  <c r="B229" i="7"/>
  <c r="FQ228" i="7"/>
  <c r="FO228" i="7"/>
  <c r="FM228" i="7"/>
  <c r="FL228" i="7"/>
  <c r="FJ228" i="7"/>
  <c r="FH228" i="7"/>
  <c r="FG228" i="7"/>
  <c r="FE228" i="7"/>
  <c r="FC228" i="7"/>
  <c r="EZ228" i="7"/>
  <c r="EY228" i="7"/>
  <c r="EX228" i="7"/>
  <c r="EW228" i="7"/>
  <c r="EV228" i="7"/>
  <c r="EU228" i="7"/>
  <c r="ET228" i="7"/>
  <c r="ES228" i="7"/>
  <c r="ER228" i="7"/>
  <c r="EQ228" i="7"/>
  <c r="EP228" i="7"/>
  <c r="EO228" i="7"/>
  <c r="EN228" i="7"/>
  <c r="EM228" i="7"/>
  <c r="EI228" i="7"/>
  <c r="EG228" i="7"/>
  <c r="EE228" i="7"/>
  <c r="EC228" i="7"/>
  <c r="EA228" i="7"/>
  <c r="DY228" i="7"/>
  <c r="DW228" i="7"/>
  <c r="DU228" i="7"/>
  <c r="DS228" i="7"/>
  <c r="DR228" i="7"/>
  <c r="DP228" i="7"/>
  <c r="DN228" i="7"/>
  <c r="DM228" i="7"/>
  <c r="DK228" i="7"/>
  <c r="DI228" i="7"/>
  <c r="DH228" i="7"/>
  <c r="DF228" i="7"/>
  <c r="DD228" i="7"/>
  <c r="DC228" i="7"/>
  <c r="DA228" i="7"/>
  <c r="CY228" i="7"/>
  <c r="CX228" i="7"/>
  <c r="CV228" i="7"/>
  <c r="CT228" i="7"/>
  <c r="CS228" i="7"/>
  <c r="CR228" i="7"/>
  <c r="CQ228" i="7"/>
  <c r="CP228" i="7"/>
  <c r="CO228" i="7"/>
  <c r="CN228" i="7"/>
  <c r="CM228" i="7"/>
  <c r="CL228" i="7"/>
  <c r="CK228" i="7"/>
  <c r="CI228" i="7"/>
  <c r="CJ228" i="7" s="1"/>
  <c r="CH228" i="7"/>
  <c r="CG228" i="7"/>
  <c r="CE228" i="7"/>
  <c r="CF228" i="7" s="1"/>
  <c r="CD228" i="7"/>
  <c r="CC228" i="7"/>
  <c r="CA228" i="7"/>
  <c r="CB228" i="7" s="1"/>
  <c r="BZ228" i="7"/>
  <c r="BY228" i="7"/>
  <c r="BW228" i="7"/>
  <c r="BX228" i="7" s="1"/>
  <c r="BV228" i="7"/>
  <c r="BU228" i="7"/>
  <c r="BS228" i="7"/>
  <c r="BT228" i="7" s="1"/>
  <c r="BR228" i="7"/>
  <c r="BQ228" i="7"/>
  <c r="BO228" i="7"/>
  <c r="BP228" i="7" s="1"/>
  <c r="BN228" i="7"/>
  <c r="BM228" i="7"/>
  <c r="BK228" i="7"/>
  <c r="BL228" i="7" s="1"/>
  <c r="BJ228" i="7"/>
  <c r="BI228" i="7"/>
  <c r="BG228" i="7"/>
  <c r="BH228" i="7" s="1"/>
  <c r="BF228" i="7"/>
  <c r="BE228" i="7"/>
  <c r="BC228" i="7"/>
  <c r="BD228" i="7" s="1"/>
  <c r="BB228" i="7"/>
  <c r="AZ228" i="7"/>
  <c r="AX228" i="7"/>
  <c r="AW228" i="7"/>
  <c r="AV228" i="7"/>
  <c r="AU228" i="7"/>
  <c r="AT228" i="7"/>
  <c r="AS228" i="7"/>
  <c r="AR228" i="7"/>
  <c r="AQ228" i="7"/>
  <c r="AP228" i="7"/>
  <c r="AO228" i="7"/>
  <c r="AN228" i="7"/>
  <c r="AM228" i="7"/>
  <c r="AL228" i="7"/>
  <c r="AK228" i="7"/>
  <c r="AJ228" i="7"/>
  <c r="AI228" i="7"/>
  <c r="AH228" i="7"/>
  <c r="AG228" i="7"/>
  <c r="AF228" i="7"/>
  <c r="AE228" i="7"/>
  <c r="AD228" i="7"/>
  <c r="AC228" i="7"/>
  <c r="AB228" i="7"/>
  <c r="AA228" i="7"/>
  <c r="Z228" i="7"/>
  <c r="Y228" i="7"/>
  <c r="X228" i="7"/>
  <c r="W228" i="7"/>
  <c r="V228" i="7"/>
  <c r="U228" i="7"/>
  <c r="T228" i="7"/>
  <c r="S228" i="7"/>
  <c r="R228" i="7"/>
  <c r="Q228" i="7"/>
  <c r="P228" i="7"/>
  <c r="O228" i="7"/>
  <c r="N228" i="7"/>
  <c r="M228" i="7"/>
  <c r="L228" i="7"/>
  <c r="K228" i="7"/>
  <c r="J228" i="7"/>
  <c r="I228" i="7"/>
  <c r="H228" i="7"/>
  <c r="G228" i="7"/>
  <c r="F228" i="7"/>
  <c r="D228" i="7"/>
  <c r="C228" i="7"/>
  <c r="B228" i="7"/>
  <c r="FQ227" i="7"/>
  <c r="FO227" i="7"/>
  <c r="FM227" i="7"/>
  <c r="FL227" i="7"/>
  <c r="FJ227" i="7"/>
  <c r="FH227" i="7"/>
  <c r="FG227" i="7"/>
  <c r="FE227" i="7"/>
  <c r="FC227" i="7"/>
  <c r="EZ227" i="7"/>
  <c r="EY227" i="7"/>
  <c r="EX227" i="7"/>
  <c r="EW227" i="7"/>
  <c r="EV227" i="7"/>
  <c r="EU227" i="7"/>
  <c r="ET227" i="7"/>
  <c r="ES227" i="7"/>
  <c r="ER227" i="7"/>
  <c r="EQ227" i="7"/>
  <c r="EP227" i="7"/>
  <c r="EO227" i="7"/>
  <c r="EN227" i="7"/>
  <c r="EM227" i="7"/>
  <c r="EI227" i="7"/>
  <c r="EG227" i="7"/>
  <c r="EE227" i="7"/>
  <c r="EC227" i="7"/>
  <c r="EA227" i="7"/>
  <c r="DY227" i="7"/>
  <c r="DW227" i="7"/>
  <c r="DU227" i="7"/>
  <c r="DS227" i="7"/>
  <c r="DR227" i="7"/>
  <c r="DP227" i="7"/>
  <c r="DN227" i="7"/>
  <c r="DM227" i="7"/>
  <c r="DK227" i="7"/>
  <c r="DI227" i="7"/>
  <c r="DH227" i="7"/>
  <c r="DF227" i="7"/>
  <c r="DD227" i="7"/>
  <c r="DC227" i="7"/>
  <c r="DA227" i="7"/>
  <c r="CY227" i="7"/>
  <c r="CX227" i="7"/>
  <c r="CV227" i="7"/>
  <c r="CT227" i="7"/>
  <c r="CS227" i="7"/>
  <c r="CR227" i="7"/>
  <c r="CQ227" i="7"/>
  <c r="CP227" i="7"/>
  <c r="CO227" i="7"/>
  <c r="CN227" i="7"/>
  <c r="CM227" i="7"/>
  <c r="CL227" i="7"/>
  <c r="CK227" i="7"/>
  <c r="CI227" i="7"/>
  <c r="CJ227" i="7" s="1"/>
  <c r="CH227" i="7"/>
  <c r="CG227" i="7"/>
  <c r="CE227" i="7"/>
  <c r="CF227" i="7" s="1"/>
  <c r="CD227" i="7"/>
  <c r="CC227" i="7"/>
  <c r="CA227" i="7"/>
  <c r="CB227" i="7" s="1"/>
  <c r="BZ227" i="7"/>
  <c r="BY227" i="7"/>
  <c r="BW227" i="7"/>
  <c r="BX227" i="7" s="1"/>
  <c r="BV227" i="7"/>
  <c r="BU227" i="7"/>
  <c r="BS227" i="7"/>
  <c r="BT227" i="7" s="1"/>
  <c r="BR227" i="7"/>
  <c r="BQ227" i="7"/>
  <c r="BO227" i="7"/>
  <c r="BP227" i="7" s="1"/>
  <c r="BN227" i="7"/>
  <c r="BM227" i="7"/>
  <c r="BK227" i="7"/>
  <c r="BL227" i="7" s="1"/>
  <c r="BJ227" i="7"/>
  <c r="BI227" i="7"/>
  <c r="BG227" i="7"/>
  <c r="BH227" i="7" s="1"/>
  <c r="BF227" i="7"/>
  <c r="BE227" i="7"/>
  <c r="BC227" i="7"/>
  <c r="BD227" i="7" s="1"/>
  <c r="BB227" i="7"/>
  <c r="AZ227" i="7"/>
  <c r="AX227" i="7"/>
  <c r="AW227" i="7"/>
  <c r="AV227" i="7"/>
  <c r="AU227" i="7"/>
  <c r="AT227" i="7"/>
  <c r="AS227" i="7"/>
  <c r="AR227" i="7"/>
  <c r="AQ227" i="7"/>
  <c r="AP227" i="7"/>
  <c r="AO227" i="7"/>
  <c r="AN227" i="7"/>
  <c r="AM227" i="7"/>
  <c r="AL227" i="7"/>
  <c r="AK227" i="7"/>
  <c r="AJ227" i="7"/>
  <c r="AI227" i="7"/>
  <c r="AH227" i="7"/>
  <c r="AG227" i="7"/>
  <c r="AF227" i="7"/>
  <c r="AE227" i="7"/>
  <c r="AD227" i="7"/>
  <c r="AC227" i="7"/>
  <c r="AB227" i="7"/>
  <c r="AA227" i="7"/>
  <c r="Z227" i="7"/>
  <c r="Y227" i="7"/>
  <c r="X227" i="7"/>
  <c r="W227" i="7"/>
  <c r="V227" i="7"/>
  <c r="U227" i="7"/>
  <c r="T227" i="7"/>
  <c r="S227" i="7"/>
  <c r="R227" i="7"/>
  <c r="Q227" i="7"/>
  <c r="P227" i="7"/>
  <c r="O227" i="7"/>
  <c r="N227" i="7"/>
  <c r="M227" i="7"/>
  <c r="L227" i="7"/>
  <c r="K227" i="7"/>
  <c r="J227" i="7"/>
  <c r="I227" i="7"/>
  <c r="H227" i="7"/>
  <c r="G227" i="7"/>
  <c r="F227" i="7"/>
  <c r="D227" i="7"/>
  <c r="C227" i="7"/>
  <c r="B227" i="7"/>
  <c r="FQ226" i="7"/>
  <c r="FO226" i="7"/>
  <c r="FM226" i="7"/>
  <c r="FL226" i="7"/>
  <c r="FJ226" i="7"/>
  <c r="FH226" i="7"/>
  <c r="FG226" i="7"/>
  <c r="FE226" i="7"/>
  <c r="FC226" i="7"/>
  <c r="EZ226" i="7"/>
  <c r="EY226" i="7"/>
  <c r="EX226" i="7"/>
  <c r="EW226" i="7"/>
  <c r="EV226" i="7"/>
  <c r="EU226" i="7"/>
  <c r="ET226" i="7"/>
  <c r="ES226" i="7"/>
  <c r="ER226" i="7"/>
  <c r="EQ226" i="7"/>
  <c r="EP226" i="7"/>
  <c r="EO226" i="7"/>
  <c r="EN226" i="7"/>
  <c r="EM226" i="7"/>
  <c r="EI226" i="7"/>
  <c r="EG226" i="7"/>
  <c r="EE226" i="7"/>
  <c r="EC226" i="7"/>
  <c r="EA226" i="7"/>
  <c r="DY226" i="7"/>
  <c r="DW226" i="7"/>
  <c r="DU226" i="7"/>
  <c r="DS226" i="7"/>
  <c r="DR226" i="7"/>
  <c r="DP226" i="7"/>
  <c r="DN226" i="7"/>
  <c r="DM226" i="7"/>
  <c r="DK226" i="7"/>
  <c r="DI226" i="7"/>
  <c r="DH226" i="7"/>
  <c r="DF226" i="7"/>
  <c r="DD226" i="7"/>
  <c r="DC226" i="7"/>
  <c r="DA226" i="7"/>
  <c r="CY226" i="7"/>
  <c r="CX226" i="7"/>
  <c r="CV226" i="7"/>
  <c r="CT226" i="7"/>
  <c r="CS226" i="7"/>
  <c r="CR226" i="7"/>
  <c r="CQ226" i="7"/>
  <c r="CP226" i="7"/>
  <c r="CO226" i="7"/>
  <c r="CN226" i="7"/>
  <c r="CM226" i="7"/>
  <c r="CL226" i="7"/>
  <c r="CK226" i="7"/>
  <c r="CI226" i="7"/>
  <c r="CJ226" i="7" s="1"/>
  <c r="CH226" i="7"/>
  <c r="CG226" i="7"/>
  <c r="CE226" i="7"/>
  <c r="CF226" i="7" s="1"/>
  <c r="CD226" i="7"/>
  <c r="CC226" i="7"/>
  <c r="CA226" i="7"/>
  <c r="CB226" i="7" s="1"/>
  <c r="BZ226" i="7"/>
  <c r="BY226" i="7"/>
  <c r="BW226" i="7"/>
  <c r="BX226" i="7" s="1"/>
  <c r="BV226" i="7"/>
  <c r="BU226" i="7"/>
  <c r="BS226" i="7"/>
  <c r="BT226" i="7" s="1"/>
  <c r="BR226" i="7"/>
  <c r="BQ226" i="7"/>
  <c r="BO226" i="7"/>
  <c r="BP226" i="7" s="1"/>
  <c r="BN226" i="7"/>
  <c r="BM226" i="7"/>
  <c r="BK226" i="7"/>
  <c r="BL226" i="7" s="1"/>
  <c r="BJ226" i="7"/>
  <c r="BI226" i="7"/>
  <c r="BG226" i="7"/>
  <c r="BH226" i="7" s="1"/>
  <c r="BF226" i="7"/>
  <c r="BE226" i="7"/>
  <c r="BC226" i="7"/>
  <c r="BD226" i="7" s="1"/>
  <c r="BB226" i="7"/>
  <c r="AZ226" i="7"/>
  <c r="AX226" i="7"/>
  <c r="AW226" i="7"/>
  <c r="AV226" i="7"/>
  <c r="AU226" i="7"/>
  <c r="AT226" i="7"/>
  <c r="AS226" i="7"/>
  <c r="AR226" i="7"/>
  <c r="AQ226" i="7"/>
  <c r="AP226" i="7"/>
  <c r="AO226" i="7"/>
  <c r="AN226" i="7"/>
  <c r="AM226" i="7"/>
  <c r="AL226" i="7"/>
  <c r="AK226" i="7"/>
  <c r="AJ226" i="7"/>
  <c r="AI226" i="7"/>
  <c r="AH226" i="7"/>
  <c r="AG226" i="7"/>
  <c r="AF226" i="7"/>
  <c r="AE226" i="7"/>
  <c r="AD226" i="7"/>
  <c r="AC226" i="7"/>
  <c r="AB226" i="7"/>
  <c r="AA226" i="7"/>
  <c r="Z226" i="7"/>
  <c r="Y226" i="7"/>
  <c r="X226" i="7"/>
  <c r="W226" i="7"/>
  <c r="V226" i="7"/>
  <c r="U226" i="7"/>
  <c r="T226" i="7"/>
  <c r="S226" i="7"/>
  <c r="R226" i="7"/>
  <c r="Q226" i="7"/>
  <c r="P226" i="7"/>
  <c r="O226" i="7"/>
  <c r="N226" i="7"/>
  <c r="M226" i="7"/>
  <c r="L226" i="7"/>
  <c r="K226" i="7"/>
  <c r="J226" i="7"/>
  <c r="I226" i="7"/>
  <c r="H226" i="7"/>
  <c r="G226" i="7"/>
  <c r="F226" i="7"/>
  <c r="D226" i="7"/>
  <c r="C226" i="7"/>
  <c r="B226" i="7"/>
  <c r="FQ225" i="7"/>
  <c r="FO225" i="7"/>
  <c r="FM225" i="7"/>
  <c r="FL225" i="7"/>
  <c r="FJ225" i="7"/>
  <c r="FH225" i="7"/>
  <c r="FG225" i="7"/>
  <c r="FE225" i="7"/>
  <c r="FC225" i="7"/>
  <c r="EZ225" i="7"/>
  <c r="EY225" i="7"/>
  <c r="EX225" i="7"/>
  <c r="EW225" i="7"/>
  <c r="EV225" i="7"/>
  <c r="EU225" i="7"/>
  <c r="ET225" i="7"/>
  <c r="ES225" i="7"/>
  <c r="ER225" i="7"/>
  <c r="EQ225" i="7"/>
  <c r="EP225" i="7"/>
  <c r="EO225" i="7"/>
  <c r="EN225" i="7"/>
  <c r="EM225" i="7"/>
  <c r="EI225" i="7"/>
  <c r="EG225" i="7"/>
  <c r="EE225" i="7"/>
  <c r="EC225" i="7"/>
  <c r="EA225" i="7"/>
  <c r="DY225" i="7"/>
  <c r="DW225" i="7"/>
  <c r="DU225" i="7"/>
  <c r="DS225" i="7"/>
  <c r="DR225" i="7"/>
  <c r="DP225" i="7"/>
  <c r="DN225" i="7"/>
  <c r="DM225" i="7"/>
  <c r="DK225" i="7"/>
  <c r="DI225" i="7"/>
  <c r="DH225" i="7"/>
  <c r="DF225" i="7"/>
  <c r="DD225" i="7"/>
  <c r="DC225" i="7"/>
  <c r="DA225" i="7"/>
  <c r="CY225" i="7"/>
  <c r="CX225" i="7"/>
  <c r="CV225" i="7"/>
  <c r="CT225" i="7"/>
  <c r="CS225" i="7"/>
  <c r="CR225" i="7"/>
  <c r="CQ225" i="7"/>
  <c r="CP225" i="7"/>
  <c r="CO225" i="7"/>
  <c r="CN225" i="7"/>
  <c r="CM225" i="7"/>
  <c r="CL225" i="7"/>
  <c r="CK225" i="7"/>
  <c r="CI225" i="7"/>
  <c r="CJ225" i="7" s="1"/>
  <c r="CH225" i="7"/>
  <c r="CG225" i="7"/>
  <c r="CE225" i="7"/>
  <c r="CF225" i="7" s="1"/>
  <c r="CD225" i="7"/>
  <c r="CC225" i="7"/>
  <c r="CA225" i="7"/>
  <c r="CB225" i="7" s="1"/>
  <c r="BZ225" i="7"/>
  <c r="BY225" i="7"/>
  <c r="BW225" i="7"/>
  <c r="BX225" i="7" s="1"/>
  <c r="BV225" i="7"/>
  <c r="BU225" i="7"/>
  <c r="BS225" i="7"/>
  <c r="BT225" i="7" s="1"/>
  <c r="BR225" i="7"/>
  <c r="BQ225" i="7"/>
  <c r="BO225" i="7"/>
  <c r="BP225" i="7" s="1"/>
  <c r="BN225" i="7"/>
  <c r="BM225" i="7"/>
  <c r="BK225" i="7"/>
  <c r="BL225" i="7" s="1"/>
  <c r="BJ225" i="7"/>
  <c r="BI225" i="7"/>
  <c r="BG225" i="7"/>
  <c r="BH225" i="7" s="1"/>
  <c r="BF225" i="7"/>
  <c r="BE225" i="7"/>
  <c r="BC225" i="7"/>
  <c r="BD225" i="7" s="1"/>
  <c r="BB225" i="7"/>
  <c r="AZ225" i="7"/>
  <c r="AX225" i="7"/>
  <c r="AW225" i="7"/>
  <c r="AV225" i="7"/>
  <c r="AU225" i="7"/>
  <c r="AT225" i="7"/>
  <c r="AS225" i="7"/>
  <c r="AR225" i="7"/>
  <c r="AQ225" i="7"/>
  <c r="AP225" i="7"/>
  <c r="AO225" i="7"/>
  <c r="AN225" i="7"/>
  <c r="AM225" i="7"/>
  <c r="AL225" i="7"/>
  <c r="AK225" i="7"/>
  <c r="AJ225" i="7"/>
  <c r="AI225" i="7"/>
  <c r="AH225" i="7"/>
  <c r="AG225" i="7"/>
  <c r="AF225" i="7"/>
  <c r="AE225" i="7"/>
  <c r="AD225" i="7"/>
  <c r="AC225" i="7"/>
  <c r="AB225" i="7"/>
  <c r="AA225" i="7"/>
  <c r="Z225" i="7"/>
  <c r="Y225" i="7"/>
  <c r="X225" i="7"/>
  <c r="W225" i="7"/>
  <c r="V225" i="7"/>
  <c r="U225" i="7"/>
  <c r="T225" i="7"/>
  <c r="S225" i="7"/>
  <c r="R225" i="7"/>
  <c r="Q225" i="7"/>
  <c r="P225" i="7"/>
  <c r="O225" i="7"/>
  <c r="N225" i="7"/>
  <c r="M225" i="7"/>
  <c r="L225" i="7"/>
  <c r="K225" i="7"/>
  <c r="J225" i="7"/>
  <c r="I225" i="7"/>
  <c r="H225" i="7"/>
  <c r="G225" i="7"/>
  <c r="F225" i="7"/>
  <c r="D225" i="7"/>
  <c r="C225" i="7"/>
  <c r="B225" i="7"/>
  <c r="FQ224" i="7"/>
  <c r="FO224" i="7"/>
  <c r="FM224" i="7"/>
  <c r="FL224" i="7"/>
  <c r="FJ224" i="7"/>
  <c r="FH224" i="7"/>
  <c r="FG224" i="7"/>
  <c r="FE224" i="7"/>
  <c r="FC224" i="7"/>
  <c r="EZ224" i="7"/>
  <c r="EY224" i="7"/>
  <c r="EX224" i="7"/>
  <c r="EW224" i="7"/>
  <c r="EV224" i="7"/>
  <c r="EU224" i="7"/>
  <c r="ET224" i="7"/>
  <c r="ES224" i="7"/>
  <c r="ER224" i="7"/>
  <c r="EQ224" i="7"/>
  <c r="EP224" i="7"/>
  <c r="EO224" i="7"/>
  <c r="EN224" i="7"/>
  <c r="EM224" i="7"/>
  <c r="EI224" i="7"/>
  <c r="EG224" i="7"/>
  <c r="EE224" i="7"/>
  <c r="EC224" i="7"/>
  <c r="EA224" i="7"/>
  <c r="DY224" i="7"/>
  <c r="DW224" i="7"/>
  <c r="DU224" i="7"/>
  <c r="DS224" i="7"/>
  <c r="DR224" i="7"/>
  <c r="DP224" i="7"/>
  <c r="DN224" i="7"/>
  <c r="DM224" i="7"/>
  <c r="DK224" i="7"/>
  <c r="DI224" i="7"/>
  <c r="DH224" i="7"/>
  <c r="DF224" i="7"/>
  <c r="DD224" i="7"/>
  <c r="DC224" i="7"/>
  <c r="DA224" i="7"/>
  <c r="CY224" i="7"/>
  <c r="CX224" i="7"/>
  <c r="CV224" i="7"/>
  <c r="CT224" i="7"/>
  <c r="CS224" i="7"/>
  <c r="CR224" i="7"/>
  <c r="CQ224" i="7"/>
  <c r="CP224" i="7"/>
  <c r="CO224" i="7"/>
  <c r="CN224" i="7"/>
  <c r="CM224" i="7"/>
  <c r="CL224" i="7"/>
  <c r="CK224" i="7"/>
  <c r="CI224" i="7"/>
  <c r="CJ224" i="7" s="1"/>
  <c r="CH224" i="7"/>
  <c r="CG224" i="7"/>
  <c r="CE224" i="7"/>
  <c r="CF224" i="7" s="1"/>
  <c r="CD224" i="7"/>
  <c r="CC224" i="7"/>
  <c r="CA224" i="7"/>
  <c r="CB224" i="7" s="1"/>
  <c r="BZ224" i="7"/>
  <c r="BY224" i="7"/>
  <c r="BW224" i="7"/>
  <c r="BX224" i="7" s="1"/>
  <c r="BV224" i="7"/>
  <c r="BU224" i="7"/>
  <c r="BS224" i="7"/>
  <c r="BT224" i="7" s="1"/>
  <c r="BR224" i="7"/>
  <c r="BQ224" i="7"/>
  <c r="BO224" i="7"/>
  <c r="BP224" i="7" s="1"/>
  <c r="BN224" i="7"/>
  <c r="BM224" i="7"/>
  <c r="BK224" i="7"/>
  <c r="BL224" i="7" s="1"/>
  <c r="BJ224" i="7"/>
  <c r="BI224" i="7"/>
  <c r="BG224" i="7"/>
  <c r="BH224" i="7" s="1"/>
  <c r="BF224" i="7"/>
  <c r="BE224" i="7"/>
  <c r="BC224" i="7"/>
  <c r="BD224" i="7" s="1"/>
  <c r="BB224" i="7"/>
  <c r="AZ224" i="7"/>
  <c r="AX224" i="7"/>
  <c r="AW224" i="7"/>
  <c r="AV224" i="7"/>
  <c r="AU224" i="7"/>
  <c r="AT224" i="7"/>
  <c r="AS224" i="7"/>
  <c r="AR224" i="7"/>
  <c r="AQ224" i="7"/>
  <c r="AP224" i="7"/>
  <c r="AO224" i="7"/>
  <c r="AN224" i="7"/>
  <c r="AM224" i="7"/>
  <c r="AL224" i="7"/>
  <c r="AK224" i="7"/>
  <c r="AJ224" i="7"/>
  <c r="AI224" i="7"/>
  <c r="AH224" i="7"/>
  <c r="AG224" i="7"/>
  <c r="AF224" i="7"/>
  <c r="AE224" i="7"/>
  <c r="AD224" i="7"/>
  <c r="AC224" i="7"/>
  <c r="AB224" i="7"/>
  <c r="AA224" i="7"/>
  <c r="Z224" i="7"/>
  <c r="Y224" i="7"/>
  <c r="X224" i="7"/>
  <c r="W224" i="7"/>
  <c r="V224" i="7"/>
  <c r="U224" i="7"/>
  <c r="T224" i="7"/>
  <c r="S224" i="7"/>
  <c r="R224" i="7"/>
  <c r="Q224" i="7"/>
  <c r="P224" i="7"/>
  <c r="O224" i="7"/>
  <c r="N224" i="7"/>
  <c r="M224" i="7"/>
  <c r="L224" i="7"/>
  <c r="K224" i="7"/>
  <c r="J224" i="7"/>
  <c r="I224" i="7"/>
  <c r="H224" i="7"/>
  <c r="G224" i="7"/>
  <c r="F224" i="7"/>
  <c r="D224" i="7"/>
  <c r="C224" i="7"/>
  <c r="B224" i="7"/>
  <c r="FQ223" i="7"/>
  <c r="FO223" i="7"/>
  <c r="FM223" i="7"/>
  <c r="FL223" i="7"/>
  <c r="FJ223" i="7"/>
  <c r="FH223" i="7"/>
  <c r="FG223" i="7"/>
  <c r="FE223" i="7"/>
  <c r="FC223" i="7"/>
  <c r="EZ223" i="7"/>
  <c r="EY223" i="7"/>
  <c r="EX223" i="7"/>
  <c r="EW223" i="7"/>
  <c r="EV223" i="7"/>
  <c r="EU223" i="7"/>
  <c r="ET223" i="7"/>
  <c r="ES223" i="7"/>
  <c r="ER223" i="7"/>
  <c r="EQ223" i="7"/>
  <c r="EP223" i="7"/>
  <c r="EO223" i="7"/>
  <c r="EN223" i="7"/>
  <c r="EM223" i="7"/>
  <c r="EI223" i="7"/>
  <c r="EG223" i="7"/>
  <c r="EE223" i="7"/>
  <c r="EC223" i="7"/>
  <c r="EA223" i="7"/>
  <c r="DY223" i="7"/>
  <c r="DW223" i="7"/>
  <c r="DU223" i="7"/>
  <c r="DS223" i="7"/>
  <c r="DR223" i="7"/>
  <c r="DP223" i="7"/>
  <c r="DN223" i="7"/>
  <c r="DM223" i="7"/>
  <c r="DK223" i="7"/>
  <c r="DI223" i="7"/>
  <c r="DH223" i="7"/>
  <c r="DF223" i="7"/>
  <c r="DD223" i="7"/>
  <c r="DC223" i="7"/>
  <c r="DA223" i="7"/>
  <c r="CY223" i="7"/>
  <c r="CX223" i="7"/>
  <c r="CV223" i="7"/>
  <c r="CT223" i="7"/>
  <c r="CS223" i="7"/>
  <c r="CR223" i="7"/>
  <c r="CQ223" i="7"/>
  <c r="CP223" i="7"/>
  <c r="CO223" i="7"/>
  <c r="CN223" i="7"/>
  <c r="CM223" i="7"/>
  <c r="CL223" i="7"/>
  <c r="CK223" i="7"/>
  <c r="CI223" i="7"/>
  <c r="CJ223" i="7" s="1"/>
  <c r="CH223" i="7"/>
  <c r="CG223" i="7"/>
  <c r="CE223" i="7"/>
  <c r="CF223" i="7" s="1"/>
  <c r="CD223" i="7"/>
  <c r="CC223" i="7"/>
  <c r="CA223" i="7"/>
  <c r="CB223" i="7" s="1"/>
  <c r="BZ223" i="7"/>
  <c r="BY223" i="7"/>
  <c r="BW223" i="7"/>
  <c r="BX223" i="7" s="1"/>
  <c r="BV223" i="7"/>
  <c r="BU223" i="7"/>
  <c r="BS223" i="7"/>
  <c r="BT223" i="7" s="1"/>
  <c r="BR223" i="7"/>
  <c r="BQ223" i="7"/>
  <c r="BO223" i="7"/>
  <c r="BP223" i="7" s="1"/>
  <c r="BN223" i="7"/>
  <c r="BM223" i="7"/>
  <c r="BK223" i="7"/>
  <c r="BL223" i="7" s="1"/>
  <c r="BJ223" i="7"/>
  <c r="BI223" i="7"/>
  <c r="BG223" i="7"/>
  <c r="BH223" i="7" s="1"/>
  <c r="BF223" i="7"/>
  <c r="BE223" i="7"/>
  <c r="BC223" i="7"/>
  <c r="BD223" i="7" s="1"/>
  <c r="BB223" i="7"/>
  <c r="AZ223" i="7"/>
  <c r="AX223" i="7"/>
  <c r="AW223" i="7"/>
  <c r="AV223" i="7"/>
  <c r="AU223" i="7"/>
  <c r="AT223" i="7"/>
  <c r="AS223" i="7"/>
  <c r="AR223" i="7"/>
  <c r="AQ223" i="7"/>
  <c r="AP223" i="7"/>
  <c r="AO223" i="7"/>
  <c r="AN223" i="7"/>
  <c r="AM223" i="7"/>
  <c r="AL223" i="7"/>
  <c r="AK223" i="7"/>
  <c r="AJ223" i="7"/>
  <c r="AI223" i="7"/>
  <c r="AH223" i="7"/>
  <c r="AG223" i="7"/>
  <c r="AF223" i="7"/>
  <c r="AE223" i="7"/>
  <c r="AD223" i="7"/>
  <c r="AC223" i="7"/>
  <c r="AB223" i="7"/>
  <c r="AA223" i="7"/>
  <c r="Z223" i="7"/>
  <c r="Y223" i="7"/>
  <c r="X223" i="7"/>
  <c r="W223" i="7"/>
  <c r="V223" i="7"/>
  <c r="U223" i="7"/>
  <c r="T223" i="7"/>
  <c r="S223" i="7"/>
  <c r="R223" i="7"/>
  <c r="Q223" i="7"/>
  <c r="P223" i="7"/>
  <c r="O223" i="7"/>
  <c r="N223" i="7"/>
  <c r="M223" i="7"/>
  <c r="L223" i="7"/>
  <c r="K223" i="7"/>
  <c r="J223" i="7"/>
  <c r="I223" i="7"/>
  <c r="H223" i="7"/>
  <c r="G223" i="7"/>
  <c r="F223" i="7"/>
  <c r="D223" i="7"/>
  <c r="C223" i="7"/>
  <c r="B223" i="7"/>
  <c r="FQ222" i="7"/>
  <c r="FO222" i="7"/>
  <c r="FM222" i="7"/>
  <c r="FL222" i="7"/>
  <c r="FJ222" i="7"/>
  <c r="FH222" i="7"/>
  <c r="FG222" i="7"/>
  <c r="FE222" i="7"/>
  <c r="FC222" i="7"/>
  <c r="EZ222" i="7"/>
  <c r="EY222" i="7"/>
  <c r="EX222" i="7"/>
  <c r="EW222" i="7"/>
  <c r="EV222" i="7"/>
  <c r="EU222" i="7"/>
  <c r="ET222" i="7"/>
  <c r="ES222" i="7"/>
  <c r="ER222" i="7"/>
  <c r="EQ222" i="7"/>
  <c r="EP222" i="7"/>
  <c r="EO222" i="7"/>
  <c r="EN222" i="7"/>
  <c r="EM222" i="7"/>
  <c r="EI222" i="7"/>
  <c r="EG222" i="7"/>
  <c r="EE222" i="7"/>
  <c r="EC222" i="7"/>
  <c r="EA222" i="7"/>
  <c r="DY222" i="7"/>
  <c r="DW222" i="7"/>
  <c r="DU222" i="7"/>
  <c r="DS222" i="7"/>
  <c r="DR222" i="7"/>
  <c r="DP222" i="7"/>
  <c r="DN222" i="7"/>
  <c r="DM222" i="7"/>
  <c r="DK222" i="7"/>
  <c r="DI222" i="7"/>
  <c r="DH222" i="7"/>
  <c r="DF222" i="7"/>
  <c r="DD222" i="7"/>
  <c r="DC222" i="7"/>
  <c r="DA222" i="7"/>
  <c r="CY222" i="7"/>
  <c r="CX222" i="7"/>
  <c r="CV222" i="7"/>
  <c r="CT222" i="7"/>
  <c r="CS222" i="7"/>
  <c r="CR222" i="7"/>
  <c r="CQ222" i="7"/>
  <c r="CP222" i="7"/>
  <c r="CO222" i="7"/>
  <c r="CN222" i="7"/>
  <c r="CM222" i="7"/>
  <c r="CL222" i="7"/>
  <c r="CK222" i="7"/>
  <c r="CI222" i="7"/>
  <c r="CJ222" i="7" s="1"/>
  <c r="CH222" i="7"/>
  <c r="CG222" i="7"/>
  <c r="CE222" i="7"/>
  <c r="CF222" i="7" s="1"/>
  <c r="CD222" i="7"/>
  <c r="CC222" i="7"/>
  <c r="CA222" i="7"/>
  <c r="CB222" i="7" s="1"/>
  <c r="BZ222" i="7"/>
  <c r="BY222" i="7"/>
  <c r="BW222" i="7"/>
  <c r="BX222" i="7" s="1"/>
  <c r="BV222" i="7"/>
  <c r="BU222" i="7"/>
  <c r="BS222" i="7"/>
  <c r="BT222" i="7" s="1"/>
  <c r="BR222" i="7"/>
  <c r="BQ222" i="7"/>
  <c r="BO222" i="7"/>
  <c r="BP222" i="7" s="1"/>
  <c r="BN222" i="7"/>
  <c r="BM222" i="7"/>
  <c r="BK222" i="7"/>
  <c r="BL222" i="7" s="1"/>
  <c r="BJ222" i="7"/>
  <c r="BI222" i="7"/>
  <c r="BG222" i="7"/>
  <c r="BH222" i="7" s="1"/>
  <c r="BF222" i="7"/>
  <c r="BE222" i="7"/>
  <c r="BC222" i="7"/>
  <c r="BD222" i="7" s="1"/>
  <c r="BB222" i="7"/>
  <c r="AZ222" i="7"/>
  <c r="AX222" i="7"/>
  <c r="AW222" i="7"/>
  <c r="AV222" i="7"/>
  <c r="AU222" i="7"/>
  <c r="AT222" i="7"/>
  <c r="AS222" i="7"/>
  <c r="AR222" i="7"/>
  <c r="AQ222" i="7"/>
  <c r="AP222" i="7"/>
  <c r="AO222" i="7"/>
  <c r="AN222" i="7"/>
  <c r="AM222" i="7"/>
  <c r="AL222" i="7"/>
  <c r="AK222" i="7"/>
  <c r="AJ222" i="7"/>
  <c r="AI222" i="7"/>
  <c r="AH222" i="7"/>
  <c r="AG222" i="7"/>
  <c r="AF222" i="7"/>
  <c r="AE222" i="7"/>
  <c r="AD222" i="7"/>
  <c r="AC222" i="7"/>
  <c r="AB222" i="7"/>
  <c r="AA222" i="7"/>
  <c r="Z222" i="7"/>
  <c r="Y222" i="7"/>
  <c r="X222" i="7"/>
  <c r="W222" i="7"/>
  <c r="V222" i="7"/>
  <c r="U222" i="7"/>
  <c r="T222" i="7"/>
  <c r="S222" i="7"/>
  <c r="R222" i="7"/>
  <c r="Q222" i="7"/>
  <c r="P222" i="7"/>
  <c r="O222" i="7"/>
  <c r="N222" i="7"/>
  <c r="M222" i="7"/>
  <c r="L222" i="7"/>
  <c r="K222" i="7"/>
  <c r="J222" i="7"/>
  <c r="I222" i="7"/>
  <c r="H222" i="7"/>
  <c r="G222" i="7"/>
  <c r="F222" i="7"/>
  <c r="D222" i="7"/>
  <c r="C222" i="7"/>
  <c r="B222" i="7"/>
  <c r="FQ221" i="7"/>
  <c r="FO221" i="7"/>
  <c r="FM221" i="7"/>
  <c r="FL221" i="7"/>
  <c r="FJ221" i="7"/>
  <c r="FH221" i="7"/>
  <c r="FG221" i="7"/>
  <c r="FE221" i="7"/>
  <c r="FC221" i="7"/>
  <c r="EZ221" i="7"/>
  <c r="EY221" i="7"/>
  <c r="EX221" i="7"/>
  <c r="EW221" i="7"/>
  <c r="EV221" i="7"/>
  <c r="EU221" i="7"/>
  <c r="ET221" i="7"/>
  <c r="ES221" i="7"/>
  <c r="ER221" i="7"/>
  <c r="EQ221" i="7"/>
  <c r="EP221" i="7"/>
  <c r="EO221" i="7"/>
  <c r="EN221" i="7"/>
  <c r="EM221" i="7"/>
  <c r="EI221" i="7"/>
  <c r="EG221" i="7"/>
  <c r="EE221" i="7"/>
  <c r="EC221" i="7"/>
  <c r="EA221" i="7"/>
  <c r="DY221" i="7"/>
  <c r="DW221" i="7"/>
  <c r="DU221" i="7"/>
  <c r="DS221" i="7"/>
  <c r="DR221" i="7"/>
  <c r="DP221" i="7"/>
  <c r="DN221" i="7"/>
  <c r="DM221" i="7"/>
  <c r="DK221" i="7"/>
  <c r="DI221" i="7"/>
  <c r="DH221" i="7"/>
  <c r="DF221" i="7"/>
  <c r="DD221" i="7"/>
  <c r="DC221" i="7"/>
  <c r="DA221" i="7"/>
  <c r="CY221" i="7"/>
  <c r="CX221" i="7"/>
  <c r="CV221" i="7"/>
  <c r="CT221" i="7"/>
  <c r="CS221" i="7"/>
  <c r="CR221" i="7"/>
  <c r="CQ221" i="7"/>
  <c r="CP221" i="7"/>
  <c r="CO221" i="7"/>
  <c r="CN221" i="7"/>
  <c r="CM221" i="7"/>
  <c r="CL221" i="7"/>
  <c r="CK221" i="7"/>
  <c r="CI221" i="7"/>
  <c r="CJ221" i="7" s="1"/>
  <c r="CH221" i="7"/>
  <c r="CG221" i="7"/>
  <c r="CE221" i="7"/>
  <c r="CF221" i="7" s="1"/>
  <c r="CD221" i="7"/>
  <c r="CC221" i="7"/>
  <c r="CA221" i="7"/>
  <c r="CB221" i="7" s="1"/>
  <c r="BZ221" i="7"/>
  <c r="BY221" i="7"/>
  <c r="BW221" i="7"/>
  <c r="BX221" i="7" s="1"/>
  <c r="BV221" i="7"/>
  <c r="BU221" i="7"/>
  <c r="BS221" i="7"/>
  <c r="BT221" i="7" s="1"/>
  <c r="BR221" i="7"/>
  <c r="BQ221" i="7"/>
  <c r="BO221" i="7"/>
  <c r="BP221" i="7" s="1"/>
  <c r="BN221" i="7"/>
  <c r="BM221" i="7"/>
  <c r="BK221" i="7"/>
  <c r="BL221" i="7" s="1"/>
  <c r="BJ221" i="7"/>
  <c r="BI221" i="7"/>
  <c r="BG221" i="7"/>
  <c r="BH221" i="7" s="1"/>
  <c r="BF221" i="7"/>
  <c r="BE221" i="7"/>
  <c r="BC221" i="7"/>
  <c r="BD221" i="7" s="1"/>
  <c r="BB221" i="7"/>
  <c r="AZ221" i="7"/>
  <c r="AX221" i="7"/>
  <c r="AW221" i="7"/>
  <c r="AV221" i="7"/>
  <c r="AU221" i="7"/>
  <c r="AT221" i="7"/>
  <c r="AS221" i="7"/>
  <c r="AR221" i="7"/>
  <c r="AQ221" i="7"/>
  <c r="AP221" i="7"/>
  <c r="AO221" i="7"/>
  <c r="AN221" i="7"/>
  <c r="AM221" i="7"/>
  <c r="AL221" i="7"/>
  <c r="AK221" i="7"/>
  <c r="AJ221" i="7"/>
  <c r="AI221" i="7"/>
  <c r="AH221" i="7"/>
  <c r="AG221" i="7"/>
  <c r="AF221" i="7"/>
  <c r="AE221" i="7"/>
  <c r="AD221" i="7"/>
  <c r="AC221" i="7"/>
  <c r="AB221" i="7"/>
  <c r="AA221" i="7"/>
  <c r="Z221" i="7"/>
  <c r="Y221" i="7"/>
  <c r="X221" i="7"/>
  <c r="W221" i="7"/>
  <c r="V221" i="7"/>
  <c r="U221" i="7"/>
  <c r="T221" i="7"/>
  <c r="S221" i="7"/>
  <c r="R221" i="7"/>
  <c r="Q221" i="7"/>
  <c r="P221" i="7"/>
  <c r="O221" i="7"/>
  <c r="N221" i="7"/>
  <c r="M221" i="7"/>
  <c r="L221" i="7"/>
  <c r="K221" i="7"/>
  <c r="J221" i="7"/>
  <c r="I221" i="7"/>
  <c r="H221" i="7"/>
  <c r="G221" i="7"/>
  <c r="F221" i="7"/>
  <c r="D221" i="7"/>
  <c r="C221" i="7"/>
  <c r="B221" i="7"/>
  <c r="FQ220" i="7"/>
  <c r="FO220" i="7"/>
  <c r="FM220" i="7"/>
  <c r="FL220" i="7"/>
  <c r="FJ220" i="7"/>
  <c r="FH220" i="7"/>
  <c r="FG220" i="7"/>
  <c r="FE220" i="7"/>
  <c r="FC220" i="7"/>
  <c r="EZ220" i="7"/>
  <c r="EY220" i="7"/>
  <c r="EX220" i="7"/>
  <c r="EW220" i="7"/>
  <c r="EV220" i="7"/>
  <c r="EU220" i="7"/>
  <c r="ET220" i="7"/>
  <c r="ES220" i="7"/>
  <c r="ER220" i="7"/>
  <c r="EQ220" i="7"/>
  <c r="EP220" i="7"/>
  <c r="EO220" i="7"/>
  <c r="EN220" i="7"/>
  <c r="EM220" i="7"/>
  <c r="EI220" i="7"/>
  <c r="EG220" i="7"/>
  <c r="EE220" i="7"/>
  <c r="EC220" i="7"/>
  <c r="EA220" i="7"/>
  <c r="DY220" i="7"/>
  <c r="DW220" i="7"/>
  <c r="DU220" i="7"/>
  <c r="DS220" i="7"/>
  <c r="DR220" i="7"/>
  <c r="DP220" i="7"/>
  <c r="DN220" i="7"/>
  <c r="DM220" i="7"/>
  <c r="DK220" i="7"/>
  <c r="DI220" i="7"/>
  <c r="DH220" i="7"/>
  <c r="DF220" i="7"/>
  <c r="DD220" i="7"/>
  <c r="DC220" i="7"/>
  <c r="DA220" i="7"/>
  <c r="CY220" i="7"/>
  <c r="CX220" i="7"/>
  <c r="CV220" i="7"/>
  <c r="CT220" i="7"/>
  <c r="CS220" i="7"/>
  <c r="CR220" i="7"/>
  <c r="CQ220" i="7"/>
  <c r="CP220" i="7"/>
  <c r="CO220" i="7"/>
  <c r="CN220" i="7"/>
  <c r="CM220" i="7"/>
  <c r="CL220" i="7"/>
  <c r="CK220" i="7"/>
  <c r="CI220" i="7"/>
  <c r="CJ220" i="7" s="1"/>
  <c r="CH220" i="7"/>
  <c r="CG220" i="7"/>
  <c r="CE220" i="7"/>
  <c r="CF220" i="7" s="1"/>
  <c r="CD220" i="7"/>
  <c r="CC220" i="7"/>
  <c r="CA220" i="7"/>
  <c r="CB220" i="7" s="1"/>
  <c r="BZ220" i="7"/>
  <c r="BY220" i="7"/>
  <c r="BW220" i="7"/>
  <c r="BX220" i="7" s="1"/>
  <c r="BV220" i="7"/>
  <c r="BU220" i="7"/>
  <c r="BS220" i="7"/>
  <c r="BT220" i="7" s="1"/>
  <c r="BR220" i="7"/>
  <c r="BQ220" i="7"/>
  <c r="BO220" i="7"/>
  <c r="BP220" i="7" s="1"/>
  <c r="BN220" i="7"/>
  <c r="BM220" i="7"/>
  <c r="BK220" i="7"/>
  <c r="BL220" i="7" s="1"/>
  <c r="BJ220" i="7"/>
  <c r="BI220" i="7"/>
  <c r="BG220" i="7"/>
  <c r="BH220" i="7" s="1"/>
  <c r="BF220" i="7"/>
  <c r="BE220" i="7"/>
  <c r="BC220" i="7"/>
  <c r="BD220" i="7" s="1"/>
  <c r="BB220" i="7"/>
  <c r="AZ220" i="7"/>
  <c r="AX220" i="7"/>
  <c r="AW220" i="7"/>
  <c r="AV220" i="7"/>
  <c r="AU220" i="7"/>
  <c r="AT220" i="7"/>
  <c r="AS220" i="7"/>
  <c r="AR220" i="7"/>
  <c r="AQ220" i="7"/>
  <c r="AP220" i="7"/>
  <c r="AO220" i="7"/>
  <c r="AN220" i="7"/>
  <c r="AM220" i="7"/>
  <c r="AL220" i="7"/>
  <c r="AK220" i="7"/>
  <c r="AJ220" i="7"/>
  <c r="AI220" i="7"/>
  <c r="AH220" i="7"/>
  <c r="AG220" i="7"/>
  <c r="AF220" i="7"/>
  <c r="AE220" i="7"/>
  <c r="AD220" i="7"/>
  <c r="AC220" i="7"/>
  <c r="AB220" i="7"/>
  <c r="AA220" i="7"/>
  <c r="Z220" i="7"/>
  <c r="Y220" i="7"/>
  <c r="X220" i="7"/>
  <c r="W220" i="7"/>
  <c r="V220" i="7"/>
  <c r="U220" i="7"/>
  <c r="T220" i="7"/>
  <c r="S220" i="7"/>
  <c r="R220" i="7"/>
  <c r="Q220" i="7"/>
  <c r="P220" i="7"/>
  <c r="O220" i="7"/>
  <c r="N220" i="7"/>
  <c r="M220" i="7"/>
  <c r="L220" i="7"/>
  <c r="K220" i="7"/>
  <c r="J220" i="7"/>
  <c r="I220" i="7"/>
  <c r="H220" i="7"/>
  <c r="G220" i="7"/>
  <c r="F220" i="7"/>
  <c r="D220" i="7"/>
  <c r="C220" i="7"/>
  <c r="B220" i="7"/>
  <c r="FQ219" i="7"/>
  <c r="FO219" i="7"/>
  <c r="FM219" i="7"/>
  <c r="FL219" i="7"/>
  <c r="FJ219" i="7"/>
  <c r="FH219" i="7"/>
  <c r="FG219" i="7"/>
  <c r="FE219" i="7"/>
  <c r="FC219" i="7"/>
  <c r="EZ219" i="7"/>
  <c r="EY219" i="7"/>
  <c r="EX219" i="7"/>
  <c r="EW219" i="7"/>
  <c r="EV219" i="7"/>
  <c r="EU219" i="7"/>
  <c r="ET219" i="7"/>
  <c r="ES219" i="7"/>
  <c r="ER219" i="7"/>
  <c r="EQ219" i="7"/>
  <c r="EP219" i="7"/>
  <c r="EO219" i="7"/>
  <c r="EN219" i="7"/>
  <c r="EM219" i="7"/>
  <c r="EI219" i="7"/>
  <c r="EG219" i="7"/>
  <c r="EE219" i="7"/>
  <c r="EC219" i="7"/>
  <c r="EA219" i="7"/>
  <c r="DY219" i="7"/>
  <c r="DW219" i="7"/>
  <c r="DU219" i="7"/>
  <c r="DS219" i="7"/>
  <c r="DR219" i="7"/>
  <c r="DP219" i="7"/>
  <c r="DN219" i="7"/>
  <c r="DM219" i="7"/>
  <c r="DK219" i="7"/>
  <c r="DI219" i="7"/>
  <c r="DH219" i="7"/>
  <c r="DF219" i="7"/>
  <c r="DD219" i="7"/>
  <c r="DC219" i="7"/>
  <c r="DA219" i="7"/>
  <c r="CY219" i="7"/>
  <c r="CX219" i="7"/>
  <c r="CV219" i="7"/>
  <c r="CT219" i="7"/>
  <c r="CS219" i="7"/>
  <c r="CR219" i="7"/>
  <c r="CQ219" i="7"/>
  <c r="CP219" i="7"/>
  <c r="CO219" i="7"/>
  <c r="CN219" i="7"/>
  <c r="CM219" i="7"/>
  <c r="CL219" i="7"/>
  <c r="CK219" i="7"/>
  <c r="CI219" i="7"/>
  <c r="CJ219" i="7" s="1"/>
  <c r="CH219" i="7"/>
  <c r="CG219" i="7"/>
  <c r="CE219" i="7"/>
  <c r="CF219" i="7" s="1"/>
  <c r="CD219" i="7"/>
  <c r="CC219" i="7"/>
  <c r="CA219" i="7"/>
  <c r="CB219" i="7" s="1"/>
  <c r="BZ219" i="7"/>
  <c r="BY219" i="7"/>
  <c r="BW219" i="7"/>
  <c r="BX219" i="7" s="1"/>
  <c r="BV219" i="7"/>
  <c r="BU219" i="7"/>
  <c r="BS219" i="7"/>
  <c r="BT219" i="7" s="1"/>
  <c r="BR219" i="7"/>
  <c r="BQ219" i="7"/>
  <c r="BO219" i="7"/>
  <c r="BP219" i="7" s="1"/>
  <c r="BN219" i="7"/>
  <c r="BM219" i="7"/>
  <c r="BK219" i="7"/>
  <c r="BL219" i="7" s="1"/>
  <c r="BJ219" i="7"/>
  <c r="BI219" i="7"/>
  <c r="BG219" i="7"/>
  <c r="BH219" i="7" s="1"/>
  <c r="BF219" i="7"/>
  <c r="BE219" i="7"/>
  <c r="BC219" i="7"/>
  <c r="BD219" i="7" s="1"/>
  <c r="BB219" i="7"/>
  <c r="AZ219" i="7"/>
  <c r="AX219" i="7"/>
  <c r="AW219" i="7"/>
  <c r="AV219" i="7"/>
  <c r="AU219" i="7"/>
  <c r="AT219" i="7"/>
  <c r="AS219" i="7"/>
  <c r="AR219" i="7"/>
  <c r="AQ219" i="7"/>
  <c r="AP219" i="7"/>
  <c r="AO219" i="7"/>
  <c r="AN219" i="7"/>
  <c r="AM219" i="7"/>
  <c r="AL219" i="7"/>
  <c r="AK219" i="7"/>
  <c r="AJ219" i="7"/>
  <c r="AI219" i="7"/>
  <c r="AH219" i="7"/>
  <c r="AG219" i="7"/>
  <c r="AF219" i="7"/>
  <c r="AE219" i="7"/>
  <c r="AD219" i="7"/>
  <c r="AC219" i="7"/>
  <c r="AB219" i="7"/>
  <c r="AA219" i="7"/>
  <c r="Z219" i="7"/>
  <c r="Y219" i="7"/>
  <c r="X219" i="7"/>
  <c r="W219" i="7"/>
  <c r="V219" i="7"/>
  <c r="U219" i="7"/>
  <c r="T219" i="7"/>
  <c r="S219" i="7"/>
  <c r="R219" i="7"/>
  <c r="Q219" i="7"/>
  <c r="P219" i="7"/>
  <c r="O219" i="7"/>
  <c r="N219" i="7"/>
  <c r="M219" i="7"/>
  <c r="L219" i="7"/>
  <c r="K219" i="7"/>
  <c r="J219" i="7"/>
  <c r="I219" i="7"/>
  <c r="H219" i="7"/>
  <c r="G219" i="7"/>
  <c r="F219" i="7"/>
  <c r="D219" i="7"/>
  <c r="C219" i="7"/>
  <c r="B219" i="7"/>
  <c r="FQ218" i="7"/>
  <c r="FO218" i="7"/>
  <c r="FM218" i="7"/>
  <c r="FL218" i="7"/>
  <c r="FJ218" i="7"/>
  <c r="FH218" i="7"/>
  <c r="FG218" i="7"/>
  <c r="FE218" i="7"/>
  <c r="FC218" i="7"/>
  <c r="EZ218" i="7"/>
  <c r="EY218" i="7"/>
  <c r="EX218" i="7"/>
  <c r="EW218" i="7"/>
  <c r="EV218" i="7"/>
  <c r="EU218" i="7"/>
  <c r="ET218" i="7"/>
  <c r="ES218" i="7"/>
  <c r="ER218" i="7"/>
  <c r="EQ218" i="7"/>
  <c r="EP218" i="7"/>
  <c r="EO218" i="7"/>
  <c r="EN218" i="7"/>
  <c r="EM218" i="7"/>
  <c r="EI218" i="7"/>
  <c r="EG218" i="7"/>
  <c r="EE218" i="7"/>
  <c r="EC218" i="7"/>
  <c r="EA218" i="7"/>
  <c r="DY218" i="7"/>
  <c r="DW218" i="7"/>
  <c r="DU218" i="7"/>
  <c r="DS218" i="7"/>
  <c r="DR218" i="7"/>
  <c r="DP218" i="7"/>
  <c r="DN218" i="7"/>
  <c r="DM218" i="7"/>
  <c r="DK218" i="7"/>
  <c r="DI218" i="7"/>
  <c r="DH218" i="7"/>
  <c r="DF218" i="7"/>
  <c r="DD218" i="7"/>
  <c r="DC218" i="7"/>
  <c r="DA218" i="7"/>
  <c r="CY218" i="7"/>
  <c r="CX218" i="7"/>
  <c r="CV218" i="7"/>
  <c r="CT218" i="7"/>
  <c r="CS218" i="7"/>
  <c r="CR218" i="7"/>
  <c r="CQ218" i="7"/>
  <c r="CP218" i="7"/>
  <c r="CO218" i="7"/>
  <c r="CN218" i="7"/>
  <c r="CM218" i="7"/>
  <c r="CL218" i="7"/>
  <c r="CK218" i="7"/>
  <c r="CI218" i="7"/>
  <c r="CJ218" i="7" s="1"/>
  <c r="CH218" i="7"/>
  <c r="CG218" i="7"/>
  <c r="CE218" i="7"/>
  <c r="CF218" i="7" s="1"/>
  <c r="CD218" i="7"/>
  <c r="CC218" i="7"/>
  <c r="CA218" i="7"/>
  <c r="CB218" i="7" s="1"/>
  <c r="BZ218" i="7"/>
  <c r="BY218" i="7"/>
  <c r="BW218" i="7"/>
  <c r="BX218" i="7" s="1"/>
  <c r="BV218" i="7"/>
  <c r="BU218" i="7"/>
  <c r="BS218" i="7"/>
  <c r="BT218" i="7" s="1"/>
  <c r="BR218" i="7"/>
  <c r="BQ218" i="7"/>
  <c r="BO218" i="7"/>
  <c r="BP218" i="7" s="1"/>
  <c r="BN218" i="7"/>
  <c r="BM218" i="7"/>
  <c r="BK218" i="7"/>
  <c r="BL218" i="7" s="1"/>
  <c r="BJ218" i="7"/>
  <c r="BI218" i="7"/>
  <c r="BG218" i="7"/>
  <c r="BH218" i="7" s="1"/>
  <c r="BF218" i="7"/>
  <c r="BE218" i="7"/>
  <c r="BC218" i="7"/>
  <c r="BD218" i="7" s="1"/>
  <c r="BB218" i="7"/>
  <c r="AZ218" i="7"/>
  <c r="AX218" i="7"/>
  <c r="AW218" i="7"/>
  <c r="AV218" i="7"/>
  <c r="AU218" i="7"/>
  <c r="AT218" i="7"/>
  <c r="AS218" i="7"/>
  <c r="AR218" i="7"/>
  <c r="AQ218" i="7"/>
  <c r="AP218" i="7"/>
  <c r="AO218" i="7"/>
  <c r="AN218" i="7"/>
  <c r="AM218" i="7"/>
  <c r="AL218" i="7"/>
  <c r="AK218" i="7"/>
  <c r="AJ218" i="7"/>
  <c r="AI218" i="7"/>
  <c r="AH218" i="7"/>
  <c r="AG218" i="7"/>
  <c r="AF218" i="7"/>
  <c r="AE218" i="7"/>
  <c r="AD218" i="7"/>
  <c r="AC218" i="7"/>
  <c r="AB218" i="7"/>
  <c r="AA218" i="7"/>
  <c r="Z218" i="7"/>
  <c r="Y218" i="7"/>
  <c r="X218" i="7"/>
  <c r="W218" i="7"/>
  <c r="V218" i="7"/>
  <c r="U218" i="7"/>
  <c r="T218" i="7"/>
  <c r="S218" i="7"/>
  <c r="R218" i="7"/>
  <c r="Q218" i="7"/>
  <c r="P218" i="7"/>
  <c r="O218" i="7"/>
  <c r="N218" i="7"/>
  <c r="M218" i="7"/>
  <c r="L218" i="7"/>
  <c r="K218" i="7"/>
  <c r="J218" i="7"/>
  <c r="I218" i="7"/>
  <c r="H218" i="7"/>
  <c r="G218" i="7"/>
  <c r="F218" i="7"/>
  <c r="D218" i="7"/>
  <c r="C218" i="7"/>
  <c r="B218" i="7"/>
  <c r="FQ217" i="7"/>
  <c r="FO217" i="7"/>
  <c r="FM217" i="7"/>
  <c r="FL217" i="7"/>
  <c r="FJ217" i="7"/>
  <c r="FH217" i="7"/>
  <c r="FG217" i="7"/>
  <c r="FE217" i="7"/>
  <c r="FC217" i="7"/>
  <c r="EZ217" i="7"/>
  <c r="EY217" i="7"/>
  <c r="EX217" i="7"/>
  <c r="EW217" i="7"/>
  <c r="EV217" i="7"/>
  <c r="EU217" i="7"/>
  <c r="ET217" i="7"/>
  <c r="ES217" i="7"/>
  <c r="ER217" i="7"/>
  <c r="EQ217" i="7"/>
  <c r="EP217" i="7"/>
  <c r="EO217" i="7"/>
  <c r="EN217" i="7"/>
  <c r="EM217" i="7"/>
  <c r="EI217" i="7"/>
  <c r="EG217" i="7"/>
  <c r="EE217" i="7"/>
  <c r="EC217" i="7"/>
  <c r="EA217" i="7"/>
  <c r="DY217" i="7"/>
  <c r="DW217" i="7"/>
  <c r="DU217" i="7"/>
  <c r="DS217" i="7"/>
  <c r="DR217" i="7"/>
  <c r="DP217" i="7"/>
  <c r="DN217" i="7"/>
  <c r="DM217" i="7"/>
  <c r="DK217" i="7"/>
  <c r="DI217" i="7"/>
  <c r="DH217" i="7"/>
  <c r="DF217" i="7"/>
  <c r="DD217" i="7"/>
  <c r="DC217" i="7"/>
  <c r="DA217" i="7"/>
  <c r="CY217" i="7"/>
  <c r="CX217" i="7"/>
  <c r="CV217" i="7"/>
  <c r="CT217" i="7"/>
  <c r="CS217" i="7"/>
  <c r="CR217" i="7"/>
  <c r="CQ217" i="7"/>
  <c r="CP217" i="7"/>
  <c r="CO217" i="7"/>
  <c r="CN217" i="7"/>
  <c r="CM217" i="7"/>
  <c r="CL217" i="7"/>
  <c r="CK217" i="7"/>
  <c r="CI217" i="7"/>
  <c r="CJ217" i="7" s="1"/>
  <c r="CH217" i="7"/>
  <c r="CG217" i="7"/>
  <c r="CE217" i="7"/>
  <c r="CF217" i="7" s="1"/>
  <c r="CD217" i="7"/>
  <c r="CC217" i="7"/>
  <c r="CA217" i="7"/>
  <c r="CB217" i="7" s="1"/>
  <c r="BZ217" i="7"/>
  <c r="BY217" i="7"/>
  <c r="BW217" i="7"/>
  <c r="BX217" i="7" s="1"/>
  <c r="BV217" i="7"/>
  <c r="BU217" i="7"/>
  <c r="BS217" i="7"/>
  <c r="BT217" i="7" s="1"/>
  <c r="BR217" i="7"/>
  <c r="BQ217" i="7"/>
  <c r="BO217" i="7"/>
  <c r="BP217" i="7" s="1"/>
  <c r="BN217" i="7"/>
  <c r="BM217" i="7"/>
  <c r="BK217" i="7"/>
  <c r="BL217" i="7" s="1"/>
  <c r="BJ217" i="7"/>
  <c r="BI217" i="7"/>
  <c r="BG217" i="7"/>
  <c r="BH217" i="7" s="1"/>
  <c r="BF217" i="7"/>
  <c r="BE217" i="7"/>
  <c r="BC217" i="7"/>
  <c r="BD217" i="7" s="1"/>
  <c r="BB217" i="7"/>
  <c r="AZ217" i="7"/>
  <c r="AX217" i="7"/>
  <c r="AW217" i="7"/>
  <c r="AV217" i="7"/>
  <c r="AU217" i="7"/>
  <c r="AT217" i="7"/>
  <c r="AS217" i="7"/>
  <c r="AR217" i="7"/>
  <c r="AQ217" i="7"/>
  <c r="AP217" i="7"/>
  <c r="AO217" i="7"/>
  <c r="AN217" i="7"/>
  <c r="AM217" i="7"/>
  <c r="AL217" i="7"/>
  <c r="AK217" i="7"/>
  <c r="AJ217" i="7"/>
  <c r="AI217" i="7"/>
  <c r="AH217" i="7"/>
  <c r="AG217" i="7"/>
  <c r="AF217" i="7"/>
  <c r="AE217" i="7"/>
  <c r="AD217" i="7"/>
  <c r="AC217" i="7"/>
  <c r="AB217" i="7"/>
  <c r="AA217" i="7"/>
  <c r="Z217" i="7"/>
  <c r="Y217" i="7"/>
  <c r="X217" i="7"/>
  <c r="W217" i="7"/>
  <c r="V217" i="7"/>
  <c r="U217" i="7"/>
  <c r="T217" i="7"/>
  <c r="S217" i="7"/>
  <c r="R217" i="7"/>
  <c r="Q217" i="7"/>
  <c r="P217" i="7"/>
  <c r="O217" i="7"/>
  <c r="N217" i="7"/>
  <c r="M217" i="7"/>
  <c r="L217" i="7"/>
  <c r="K217" i="7"/>
  <c r="J217" i="7"/>
  <c r="I217" i="7"/>
  <c r="H217" i="7"/>
  <c r="G217" i="7"/>
  <c r="F217" i="7"/>
  <c r="D217" i="7"/>
  <c r="C217" i="7"/>
  <c r="B217" i="7"/>
  <c r="FQ216" i="7"/>
  <c r="FO216" i="7"/>
  <c r="FM216" i="7"/>
  <c r="FL216" i="7"/>
  <c r="FJ216" i="7"/>
  <c r="FH216" i="7"/>
  <c r="FG216" i="7"/>
  <c r="FE216" i="7"/>
  <c r="FC216" i="7"/>
  <c r="EZ216" i="7"/>
  <c r="EY216" i="7"/>
  <c r="EX216" i="7"/>
  <c r="EW216" i="7"/>
  <c r="EV216" i="7"/>
  <c r="EU216" i="7"/>
  <c r="ET216" i="7"/>
  <c r="ES216" i="7"/>
  <c r="ER216" i="7"/>
  <c r="EQ216" i="7"/>
  <c r="EP216" i="7"/>
  <c r="EO216" i="7"/>
  <c r="EN216" i="7"/>
  <c r="EM216" i="7"/>
  <c r="EI216" i="7"/>
  <c r="EG216" i="7"/>
  <c r="EE216" i="7"/>
  <c r="EC216" i="7"/>
  <c r="EA216" i="7"/>
  <c r="DY216" i="7"/>
  <c r="DW216" i="7"/>
  <c r="DU216" i="7"/>
  <c r="DS216" i="7"/>
  <c r="DR216" i="7"/>
  <c r="DP216" i="7"/>
  <c r="DN216" i="7"/>
  <c r="DM216" i="7"/>
  <c r="DK216" i="7"/>
  <c r="DI216" i="7"/>
  <c r="DH216" i="7"/>
  <c r="DF216" i="7"/>
  <c r="DD216" i="7"/>
  <c r="DC216" i="7"/>
  <c r="DA216" i="7"/>
  <c r="CY216" i="7"/>
  <c r="CX216" i="7"/>
  <c r="CV216" i="7"/>
  <c r="CT216" i="7"/>
  <c r="CS216" i="7"/>
  <c r="CR216" i="7"/>
  <c r="CQ216" i="7"/>
  <c r="CP216" i="7"/>
  <c r="CO216" i="7"/>
  <c r="CN216" i="7"/>
  <c r="CM216" i="7"/>
  <c r="CL216" i="7"/>
  <c r="CK216" i="7"/>
  <c r="CI216" i="7"/>
  <c r="CJ216" i="7" s="1"/>
  <c r="CH216" i="7"/>
  <c r="CG216" i="7"/>
  <c r="CE216" i="7"/>
  <c r="CF216" i="7" s="1"/>
  <c r="CD216" i="7"/>
  <c r="CC216" i="7"/>
  <c r="CA216" i="7"/>
  <c r="CB216" i="7" s="1"/>
  <c r="BZ216" i="7"/>
  <c r="BY216" i="7"/>
  <c r="BW216" i="7"/>
  <c r="BX216" i="7" s="1"/>
  <c r="BV216" i="7"/>
  <c r="BU216" i="7"/>
  <c r="BS216" i="7"/>
  <c r="BT216" i="7" s="1"/>
  <c r="BR216" i="7"/>
  <c r="BQ216" i="7"/>
  <c r="BO216" i="7"/>
  <c r="BP216" i="7" s="1"/>
  <c r="BN216" i="7"/>
  <c r="BM216" i="7"/>
  <c r="BK216" i="7"/>
  <c r="BL216" i="7" s="1"/>
  <c r="BJ216" i="7"/>
  <c r="BI216" i="7"/>
  <c r="BG216" i="7"/>
  <c r="BH216" i="7" s="1"/>
  <c r="BF216" i="7"/>
  <c r="BE216" i="7"/>
  <c r="BC216" i="7"/>
  <c r="BD216" i="7" s="1"/>
  <c r="BB216" i="7"/>
  <c r="AZ216" i="7"/>
  <c r="AX216" i="7"/>
  <c r="AW216" i="7"/>
  <c r="AV216" i="7"/>
  <c r="AU216" i="7"/>
  <c r="AT216" i="7"/>
  <c r="AS216" i="7"/>
  <c r="AR216" i="7"/>
  <c r="AQ216" i="7"/>
  <c r="AP216" i="7"/>
  <c r="AO216" i="7"/>
  <c r="AN216" i="7"/>
  <c r="AM216" i="7"/>
  <c r="AL216" i="7"/>
  <c r="AK216" i="7"/>
  <c r="AJ216" i="7"/>
  <c r="AI216" i="7"/>
  <c r="AH216" i="7"/>
  <c r="AG216" i="7"/>
  <c r="AF216" i="7"/>
  <c r="AE216" i="7"/>
  <c r="AD216" i="7"/>
  <c r="AC216" i="7"/>
  <c r="AB216" i="7"/>
  <c r="AA216" i="7"/>
  <c r="Z216" i="7"/>
  <c r="Y216" i="7"/>
  <c r="X216" i="7"/>
  <c r="W216" i="7"/>
  <c r="V216" i="7"/>
  <c r="U216" i="7"/>
  <c r="T216" i="7"/>
  <c r="S216" i="7"/>
  <c r="R216" i="7"/>
  <c r="Q216" i="7"/>
  <c r="P216" i="7"/>
  <c r="O216" i="7"/>
  <c r="N216" i="7"/>
  <c r="M216" i="7"/>
  <c r="L216" i="7"/>
  <c r="K216" i="7"/>
  <c r="J216" i="7"/>
  <c r="I216" i="7"/>
  <c r="H216" i="7"/>
  <c r="G216" i="7"/>
  <c r="F216" i="7"/>
  <c r="D216" i="7"/>
  <c r="C216" i="7"/>
  <c r="B216" i="7"/>
  <c r="FQ215" i="7"/>
  <c r="FO215" i="7"/>
  <c r="FM215" i="7"/>
  <c r="FL215" i="7"/>
  <c r="FJ215" i="7"/>
  <c r="FH215" i="7"/>
  <c r="FG215" i="7"/>
  <c r="FE215" i="7"/>
  <c r="FC215" i="7"/>
  <c r="EZ215" i="7"/>
  <c r="EY215" i="7"/>
  <c r="EX215" i="7"/>
  <c r="EW215" i="7"/>
  <c r="EV215" i="7"/>
  <c r="EU215" i="7"/>
  <c r="ET215" i="7"/>
  <c r="ES215" i="7"/>
  <c r="ER215" i="7"/>
  <c r="EQ215" i="7"/>
  <c r="EP215" i="7"/>
  <c r="EO215" i="7"/>
  <c r="EN215" i="7"/>
  <c r="EM215" i="7"/>
  <c r="EI215" i="7"/>
  <c r="EG215" i="7"/>
  <c r="EE215" i="7"/>
  <c r="EC215" i="7"/>
  <c r="EA215" i="7"/>
  <c r="DY215" i="7"/>
  <c r="DW215" i="7"/>
  <c r="DU215" i="7"/>
  <c r="DS215" i="7"/>
  <c r="DR215" i="7"/>
  <c r="DP215" i="7"/>
  <c r="DN215" i="7"/>
  <c r="DM215" i="7"/>
  <c r="DK215" i="7"/>
  <c r="DI215" i="7"/>
  <c r="DH215" i="7"/>
  <c r="DF215" i="7"/>
  <c r="DD215" i="7"/>
  <c r="DC215" i="7"/>
  <c r="DA215" i="7"/>
  <c r="CY215" i="7"/>
  <c r="CX215" i="7"/>
  <c r="CV215" i="7"/>
  <c r="CT215" i="7"/>
  <c r="CS215" i="7"/>
  <c r="CR215" i="7"/>
  <c r="CQ215" i="7"/>
  <c r="CP215" i="7"/>
  <c r="CO215" i="7"/>
  <c r="CN215" i="7"/>
  <c r="CM215" i="7"/>
  <c r="CL215" i="7"/>
  <c r="CK215" i="7"/>
  <c r="CI215" i="7"/>
  <c r="CJ215" i="7" s="1"/>
  <c r="CH215" i="7"/>
  <c r="CG215" i="7"/>
  <c r="CE215" i="7"/>
  <c r="CF215" i="7" s="1"/>
  <c r="CD215" i="7"/>
  <c r="CC215" i="7"/>
  <c r="CA215" i="7"/>
  <c r="CB215" i="7" s="1"/>
  <c r="BZ215" i="7"/>
  <c r="BY215" i="7"/>
  <c r="BW215" i="7"/>
  <c r="BX215" i="7" s="1"/>
  <c r="BV215" i="7"/>
  <c r="BU215" i="7"/>
  <c r="BS215" i="7"/>
  <c r="BT215" i="7" s="1"/>
  <c r="BR215" i="7"/>
  <c r="BQ215" i="7"/>
  <c r="BO215" i="7"/>
  <c r="BP215" i="7" s="1"/>
  <c r="BN215" i="7"/>
  <c r="BM215" i="7"/>
  <c r="BK215" i="7"/>
  <c r="BL215" i="7" s="1"/>
  <c r="BJ215" i="7"/>
  <c r="BI215" i="7"/>
  <c r="BG215" i="7"/>
  <c r="BH215" i="7" s="1"/>
  <c r="BF215" i="7"/>
  <c r="BE215" i="7"/>
  <c r="BC215" i="7"/>
  <c r="BD215" i="7" s="1"/>
  <c r="BB215" i="7"/>
  <c r="AZ215" i="7"/>
  <c r="AX215" i="7"/>
  <c r="AW215" i="7"/>
  <c r="AV215" i="7"/>
  <c r="AU215" i="7"/>
  <c r="AT215" i="7"/>
  <c r="AS215" i="7"/>
  <c r="AR215" i="7"/>
  <c r="AQ215" i="7"/>
  <c r="AP215" i="7"/>
  <c r="AO215" i="7"/>
  <c r="AN215" i="7"/>
  <c r="AM215" i="7"/>
  <c r="AL215" i="7"/>
  <c r="AK215" i="7"/>
  <c r="AJ215" i="7"/>
  <c r="AI215" i="7"/>
  <c r="AH215" i="7"/>
  <c r="AG215" i="7"/>
  <c r="AF215" i="7"/>
  <c r="AE215" i="7"/>
  <c r="AD215" i="7"/>
  <c r="AC215" i="7"/>
  <c r="AB215" i="7"/>
  <c r="AA215" i="7"/>
  <c r="Z215" i="7"/>
  <c r="Y215" i="7"/>
  <c r="X215" i="7"/>
  <c r="W215" i="7"/>
  <c r="V215" i="7"/>
  <c r="U215" i="7"/>
  <c r="T215" i="7"/>
  <c r="S215" i="7"/>
  <c r="R215" i="7"/>
  <c r="Q215" i="7"/>
  <c r="P215" i="7"/>
  <c r="O215" i="7"/>
  <c r="N215" i="7"/>
  <c r="M215" i="7"/>
  <c r="L215" i="7"/>
  <c r="K215" i="7"/>
  <c r="J215" i="7"/>
  <c r="I215" i="7"/>
  <c r="H215" i="7"/>
  <c r="G215" i="7"/>
  <c r="F215" i="7"/>
  <c r="D215" i="7"/>
  <c r="C215" i="7"/>
  <c r="B215" i="7"/>
  <c r="FQ214" i="7"/>
  <c r="FO214" i="7"/>
  <c r="FM214" i="7"/>
  <c r="FL214" i="7"/>
  <c r="FJ214" i="7"/>
  <c r="FH214" i="7"/>
  <c r="FG214" i="7"/>
  <c r="FE214" i="7"/>
  <c r="FC214" i="7"/>
  <c r="EZ214" i="7"/>
  <c r="EY214" i="7"/>
  <c r="EX214" i="7"/>
  <c r="EW214" i="7"/>
  <c r="EV214" i="7"/>
  <c r="EU214" i="7"/>
  <c r="ET214" i="7"/>
  <c r="ES214" i="7"/>
  <c r="ER214" i="7"/>
  <c r="EQ214" i="7"/>
  <c r="EP214" i="7"/>
  <c r="EO214" i="7"/>
  <c r="EN214" i="7"/>
  <c r="EM214" i="7"/>
  <c r="EI214" i="7"/>
  <c r="EG214" i="7"/>
  <c r="EE214" i="7"/>
  <c r="EC214" i="7"/>
  <c r="EA214" i="7"/>
  <c r="DY214" i="7"/>
  <c r="DW214" i="7"/>
  <c r="DU214" i="7"/>
  <c r="DS214" i="7"/>
  <c r="DR214" i="7"/>
  <c r="DP214" i="7"/>
  <c r="DN214" i="7"/>
  <c r="DM214" i="7"/>
  <c r="DK214" i="7"/>
  <c r="DI214" i="7"/>
  <c r="DH214" i="7"/>
  <c r="DF214" i="7"/>
  <c r="DD214" i="7"/>
  <c r="DC214" i="7"/>
  <c r="DA214" i="7"/>
  <c r="CY214" i="7"/>
  <c r="CX214" i="7"/>
  <c r="CV214" i="7"/>
  <c r="CT214" i="7"/>
  <c r="CS214" i="7"/>
  <c r="CR214" i="7"/>
  <c r="CQ214" i="7"/>
  <c r="CP214" i="7"/>
  <c r="CO214" i="7"/>
  <c r="CN214" i="7"/>
  <c r="CM214" i="7"/>
  <c r="CL214" i="7"/>
  <c r="CK214" i="7"/>
  <c r="CI214" i="7"/>
  <c r="CJ214" i="7" s="1"/>
  <c r="CH214" i="7"/>
  <c r="CG214" i="7"/>
  <c r="CE214" i="7"/>
  <c r="CF214" i="7" s="1"/>
  <c r="CD214" i="7"/>
  <c r="CC214" i="7"/>
  <c r="CA214" i="7"/>
  <c r="CB214" i="7" s="1"/>
  <c r="BZ214" i="7"/>
  <c r="BY214" i="7"/>
  <c r="BW214" i="7"/>
  <c r="BX214" i="7" s="1"/>
  <c r="BV214" i="7"/>
  <c r="BU214" i="7"/>
  <c r="BS214" i="7"/>
  <c r="BT214" i="7" s="1"/>
  <c r="BR214" i="7"/>
  <c r="BQ214" i="7"/>
  <c r="BO214" i="7"/>
  <c r="BP214" i="7" s="1"/>
  <c r="BN214" i="7"/>
  <c r="BM214" i="7"/>
  <c r="BK214" i="7"/>
  <c r="BL214" i="7" s="1"/>
  <c r="BJ214" i="7"/>
  <c r="BI214" i="7"/>
  <c r="BG214" i="7"/>
  <c r="BH214" i="7" s="1"/>
  <c r="BF214" i="7"/>
  <c r="BE214" i="7"/>
  <c r="BC214" i="7"/>
  <c r="BD214" i="7" s="1"/>
  <c r="BB214" i="7"/>
  <c r="AZ214" i="7"/>
  <c r="AX214" i="7"/>
  <c r="AW214" i="7"/>
  <c r="AV214" i="7"/>
  <c r="AU214" i="7"/>
  <c r="AT214" i="7"/>
  <c r="AS214" i="7"/>
  <c r="AR214" i="7"/>
  <c r="AQ214" i="7"/>
  <c r="AP214" i="7"/>
  <c r="AO214" i="7"/>
  <c r="AN214" i="7"/>
  <c r="AM214" i="7"/>
  <c r="AL214" i="7"/>
  <c r="AK214" i="7"/>
  <c r="AJ214" i="7"/>
  <c r="AI214" i="7"/>
  <c r="AH214" i="7"/>
  <c r="AG214" i="7"/>
  <c r="AF214" i="7"/>
  <c r="AE214" i="7"/>
  <c r="AD214" i="7"/>
  <c r="AC214" i="7"/>
  <c r="AB214" i="7"/>
  <c r="AA214" i="7"/>
  <c r="Z214" i="7"/>
  <c r="Y214" i="7"/>
  <c r="X214" i="7"/>
  <c r="W214" i="7"/>
  <c r="V214" i="7"/>
  <c r="U214" i="7"/>
  <c r="T214" i="7"/>
  <c r="S214" i="7"/>
  <c r="R214" i="7"/>
  <c r="Q214" i="7"/>
  <c r="P214" i="7"/>
  <c r="O214" i="7"/>
  <c r="N214" i="7"/>
  <c r="M214" i="7"/>
  <c r="L214" i="7"/>
  <c r="K214" i="7"/>
  <c r="J214" i="7"/>
  <c r="I214" i="7"/>
  <c r="H214" i="7"/>
  <c r="G214" i="7"/>
  <c r="F214" i="7"/>
  <c r="D214" i="7"/>
  <c r="C214" i="7"/>
  <c r="B214" i="7"/>
  <c r="FQ213" i="7"/>
  <c r="FO213" i="7"/>
  <c r="FM213" i="7"/>
  <c r="FL213" i="7"/>
  <c r="FJ213" i="7"/>
  <c r="FH213" i="7"/>
  <c r="FG213" i="7"/>
  <c r="FE213" i="7"/>
  <c r="FC213" i="7"/>
  <c r="EZ213" i="7"/>
  <c r="EY213" i="7"/>
  <c r="EX213" i="7"/>
  <c r="EW213" i="7"/>
  <c r="EV213" i="7"/>
  <c r="EU213" i="7"/>
  <c r="ET213" i="7"/>
  <c r="ES213" i="7"/>
  <c r="ER213" i="7"/>
  <c r="EQ213" i="7"/>
  <c r="EP213" i="7"/>
  <c r="EO213" i="7"/>
  <c r="EN213" i="7"/>
  <c r="EM213" i="7"/>
  <c r="EI213" i="7"/>
  <c r="EG213" i="7"/>
  <c r="EE213" i="7"/>
  <c r="EC213" i="7"/>
  <c r="EA213" i="7"/>
  <c r="DY213" i="7"/>
  <c r="DW213" i="7"/>
  <c r="DU213" i="7"/>
  <c r="DS213" i="7"/>
  <c r="DR213" i="7"/>
  <c r="DP213" i="7"/>
  <c r="DN213" i="7"/>
  <c r="DM213" i="7"/>
  <c r="DK213" i="7"/>
  <c r="DI213" i="7"/>
  <c r="DH213" i="7"/>
  <c r="DF213" i="7"/>
  <c r="DD213" i="7"/>
  <c r="DC213" i="7"/>
  <c r="DA213" i="7"/>
  <c r="CY213" i="7"/>
  <c r="CX213" i="7"/>
  <c r="CV213" i="7"/>
  <c r="CT213" i="7"/>
  <c r="CS213" i="7"/>
  <c r="CR213" i="7"/>
  <c r="CQ213" i="7"/>
  <c r="CP213" i="7"/>
  <c r="CO213" i="7"/>
  <c r="CN213" i="7"/>
  <c r="CM213" i="7"/>
  <c r="CL213" i="7"/>
  <c r="CK213" i="7"/>
  <c r="CI213" i="7"/>
  <c r="CJ213" i="7" s="1"/>
  <c r="CH213" i="7"/>
  <c r="CG213" i="7"/>
  <c r="CE213" i="7"/>
  <c r="CF213" i="7" s="1"/>
  <c r="CD213" i="7"/>
  <c r="CC213" i="7"/>
  <c r="CA213" i="7"/>
  <c r="CB213" i="7" s="1"/>
  <c r="BZ213" i="7"/>
  <c r="BY213" i="7"/>
  <c r="BW213" i="7"/>
  <c r="BX213" i="7" s="1"/>
  <c r="BV213" i="7"/>
  <c r="BU213" i="7"/>
  <c r="BS213" i="7"/>
  <c r="BT213" i="7" s="1"/>
  <c r="BR213" i="7"/>
  <c r="BQ213" i="7"/>
  <c r="BO213" i="7"/>
  <c r="BP213" i="7" s="1"/>
  <c r="BN213" i="7"/>
  <c r="BM213" i="7"/>
  <c r="BK213" i="7"/>
  <c r="BL213" i="7" s="1"/>
  <c r="BJ213" i="7"/>
  <c r="BI213" i="7"/>
  <c r="BG213" i="7"/>
  <c r="BH213" i="7" s="1"/>
  <c r="BF213" i="7"/>
  <c r="BE213" i="7"/>
  <c r="BC213" i="7"/>
  <c r="BD213" i="7" s="1"/>
  <c r="BB213" i="7"/>
  <c r="AZ213" i="7"/>
  <c r="AX213" i="7"/>
  <c r="AW213" i="7"/>
  <c r="AV213" i="7"/>
  <c r="AU213" i="7"/>
  <c r="AT213" i="7"/>
  <c r="AS213" i="7"/>
  <c r="AR213" i="7"/>
  <c r="AQ213" i="7"/>
  <c r="AP213" i="7"/>
  <c r="AO213" i="7"/>
  <c r="AN213" i="7"/>
  <c r="AM213" i="7"/>
  <c r="AL213" i="7"/>
  <c r="AK213" i="7"/>
  <c r="AJ213" i="7"/>
  <c r="AI213" i="7"/>
  <c r="AH213" i="7"/>
  <c r="AG213" i="7"/>
  <c r="AF213" i="7"/>
  <c r="AE213" i="7"/>
  <c r="AD213" i="7"/>
  <c r="AC213" i="7"/>
  <c r="AB213" i="7"/>
  <c r="AA213" i="7"/>
  <c r="Z213" i="7"/>
  <c r="Y213" i="7"/>
  <c r="X213" i="7"/>
  <c r="W213" i="7"/>
  <c r="V213" i="7"/>
  <c r="U213" i="7"/>
  <c r="T213" i="7"/>
  <c r="S213" i="7"/>
  <c r="R213" i="7"/>
  <c r="Q213" i="7"/>
  <c r="P213" i="7"/>
  <c r="O213" i="7"/>
  <c r="N213" i="7"/>
  <c r="M213" i="7"/>
  <c r="L213" i="7"/>
  <c r="K213" i="7"/>
  <c r="J213" i="7"/>
  <c r="I213" i="7"/>
  <c r="H213" i="7"/>
  <c r="G213" i="7"/>
  <c r="F213" i="7"/>
  <c r="D213" i="7"/>
  <c r="C213" i="7"/>
  <c r="B213" i="7"/>
  <c r="FQ212" i="7"/>
  <c r="FO212" i="7"/>
  <c r="FM212" i="7"/>
  <c r="FL212" i="7"/>
  <c r="FJ212" i="7"/>
  <c r="FH212" i="7"/>
  <c r="FG212" i="7"/>
  <c r="FE212" i="7"/>
  <c r="FC212" i="7"/>
  <c r="EZ212" i="7"/>
  <c r="EY212" i="7"/>
  <c r="EX212" i="7"/>
  <c r="EW212" i="7"/>
  <c r="EV212" i="7"/>
  <c r="EU212" i="7"/>
  <c r="ET212" i="7"/>
  <c r="ES212" i="7"/>
  <c r="ER212" i="7"/>
  <c r="EQ212" i="7"/>
  <c r="EP212" i="7"/>
  <c r="EO212" i="7"/>
  <c r="EN212" i="7"/>
  <c r="EM212" i="7"/>
  <c r="EI212" i="7"/>
  <c r="EG212" i="7"/>
  <c r="EE212" i="7"/>
  <c r="EC212" i="7"/>
  <c r="EA212" i="7"/>
  <c r="DY212" i="7"/>
  <c r="DW212" i="7"/>
  <c r="DU212" i="7"/>
  <c r="DS212" i="7"/>
  <c r="DR212" i="7"/>
  <c r="DP212" i="7"/>
  <c r="DN212" i="7"/>
  <c r="DM212" i="7"/>
  <c r="DK212" i="7"/>
  <c r="DI212" i="7"/>
  <c r="DH212" i="7"/>
  <c r="DF212" i="7"/>
  <c r="DD212" i="7"/>
  <c r="DC212" i="7"/>
  <c r="DA212" i="7"/>
  <c r="CY212" i="7"/>
  <c r="CX212" i="7"/>
  <c r="CV212" i="7"/>
  <c r="CT212" i="7"/>
  <c r="CS212" i="7"/>
  <c r="CR212" i="7"/>
  <c r="CQ212" i="7"/>
  <c r="CP212" i="7"/>
  <c r="CO212" i="7"/>
  <c r="CN212" i="7"/>
  <c r="CM212" i="7"/>
  <c r="CL212" i="7"/>
  <c r="CK212" i="7"/>
  <c r="CI212" i="7"/>
  <c r="CJ212" i="7" s="1"/>
  <c r="CH212" i="7"/>
  <c r="CG212" i="7"/>
  <c r="CE212" i="7"/>
  <c r="CF212" i="7" s="1"/>
  <c r="CD212" i="7"/>
  <c r="CC212" i="7"/>
  <c r="CA212" i="7"/>
  <c r="CB212" i="7" s="1"/>
  <c r="BZ212" i="7"/>
  <c r="BY212" i="7"/>
  <c r="BW212" i="7"/>
  <c r="BX212" i="7" s="1"/>
  <c r="BV212" i="7"/>
  <c r="BU212" i="7"/>
  <c r="BS212" i="7"/>
  <c r="BT212" i="7" s="1"/>
  <c r="BR212" i="7"/>
  <c r="BQ212" i="7"/>
  <c r="BO212" i="7"/>
  <c r="BP212" i="7" s="1"/>
  <c r="BN212" i="7"/>
  <c r="BM212" i="7"/>
  <c r="BK212" i="7"/>
  <c r="BL212" i="7" s="1"/>
  <c r="BJ212" i="7"/>
  <c r="BI212" i="7"/>
  <c r="BG212" i="7"/>
  <c r="BH212" i="7" s="1"/>
  <c r="BF212" i="7"/>
  <c r="BE212" i="7"/>
  <c r="BC212" i="7"/>
  <c r="BD212" i="7" s="1"/>
  <c r="BB212" i="7"/>
  <c r="AZ212" i="7"/>
  <c r="AX212" i="7"/>
  <c r="AW212" i="7"/>
  <c r="AV212" i="7"/>
  <c r="AU212" i="7"/>
  <c r="AT212" i="7"/>
  <c r="AS212" i="7"/>
  <c r="AR212" i="7"/>
  <c r="AQ212" i="7"/>
  <c r="AP212" i="7"/>
  <c r="AO212" i="7"/>
  <c r="AN212" i="7"/>
  <c r="AM212" i="7"/>
  <c r="AL212" i="7"/>
  <c r="AK212" i="7"/>
  <c r="AJ212" i="7"/>
  <c r="AI212" i="7"/>
  <c r="AH212" i="7"/>
  <c r="AG212" i="7"/>
  <c r="AF212" i="7"/>
  <c r="AE212" i="7"/>
  <c r="AD212" i="7"/>
  <c r="AC212" i="7"/>
  <c r="AB212" i="7"/>
  <c r="AA212" i="7"/>
  <c r="Z212" i="7"/>
  <c r="Y212" i="7"/>
  <c r="X212" i="7"/>
  <c r="W212" i="7"/>
  <c r="V212" i="7"/>
  <c r="U212" i="7"/>
  <c r="T212" i="7"/>
  <c r="S212" i="7"/>
  <c r="R212" i="7"/>
  <c r="Q212" i="7"/>
  <c r="P212" i="7"/>
  <c r="O212" i="7"/>
  <c r="N212" i="7"/>
  <c r="M212" i="7"/>
  <c r="L212" i="7"/>
  <c r="K212" i="7"/>
  <c r="J212" i="7"/>
  <c r="I212" i="7"/>
  <c r="H212" i="7"/>
  <c r="G212" i="7"/>
  <c r="F212" i="7"/>
  <c r="D212" i="7"/>
  <c r="C212" i="7"/>
  <c r="B212" i="7"/>
  <c r="FQ211" i="7"/>
  <c r="FO211" i="7"/>
  <c r="FM211" i="7"/>
  <c r="FL211" i="7"/>
  <c r="FJ211" i="7"/>
  <c r="FH211" i="7"/>
  <c r="FG211" i="7"/>
  <c r="FE211" i="7"/>
  <c r="FC211" i="7"/>
  <c r="EZ211" i="7"/>
  <c r="EY211" i="7"/>
  <c r="EX211" i="7"/>
  <c r="EW211" i="7"/>
  <c r="EV211" i="7"/>
  <c r="EU211" i="7"/>
  <c r="ET211" i="7"/>
  <c r="ES211" i="7"/>
  <c r="ER211" i="7"/>
  <c r="EQ211" i="7"/>
  <c r="EP211" i="7"/>
  <c r="EO211" i="7"/>
  <c r="EN211" i="7"/>
  <c r="EM211" i="7"/>
  <c r="EI211" i="7"/>
  <c r="EG211" i="7"/>
  <c r="EE211" i="7"/>
  <c r="EC211" i="7"/>
  <c r="EA211" i="7"/>
  <c r="DY211" i="7"/>
  <c r="DW211" i="7"/>
  <c r="DU211" i="7"/>
  <c r="DS211" i="7"/>
  <c r="DR211" i="7"/>
  <c r="DP211" i="7"/>
  <c r="DN211" i="7"/>
  <c r="DM211" i="7"/>
  <c r="DK211" i="7"/>
  <c r="DI211" i="7"/>
  <c r="DH211" i="7"/>
  <c r="DF211" i="7"/>
  <c r="DD211" i="7"/>
  <c r="DC211" i="7"/>
  <c r="DA211" i="7"/>
  <c r="CY211" i="7"/>
  <c r="CX211" i="7"/>
  <c r="CV211" i="7"/>
  <c r="CT211" i="7"/>
  <c r="CS211" i="7"/>
  <c r="CR211" i="7"/>
  <c r="CQ211" i="7"/>
  <c r="CP211" i="7"/>
  <c r="CO211" i="7"/>
  <c r="CN211" i="7"/>
  <c r="CM211" i="7"/>
  <c r="CL211" i="7"/>
  <c r="CK211" i="7"/>
  <c r="CI211" i="7"/>
  <c r="CJ211" i="7" s="1"/>
  <c r="CH211" i="7"/>
  <c r="CG211" i="7"/>
  <c r="CE211" i="7"/>
  <c r="CF211" i="7" s="1"/>
  <c r="CD211" i="7"/>
  <c r="CC211" i="7"/>
  <c r="CA211" i="7"/>
  <c r="CB211" i="7" s="1"/>
  <c r="BZ211" i="7"/>
  <c r="BY211" i="7"/>
  <c r="BW211" i="7"/>
  <c r="BX211" i="7" s="1"/>
  <c r="BV211" i="7"/>
  <c r="BU211" i="7"/>
  <c r="BS211" i="7"/>
  <c r="BT211" i="7" s="1"/>
  <c r="BR211" i="7"/>
  <c r="BQ211" i="7"/>
  <c r="BO211" i="7"/>
  <c r="BP211" i="7" s="1"/>
  <c r="BN211" i="7"/>
  <c r="BM211" i="7"/>
  <c r="BK211" i="7"/>
  <c r="BL211" i="7" s="1"/>
  <c r="BJ211" i="7"/>
  <c r="BI211" i="7"/>
  <c r="BG211" i="7"/>
  <c r="BH211" i="7" s="1"/>
  <c r="BF211" i="7"/>
  <c r="BE211" i="7"/>
  <c r="BC211" i="7"/>
  <c r="BD211" i="7" s="1"/>
  <c r="BB211" i="7"/>
  <c r="AZ211" i="7"/>
  <c r="AX211" i="7"/>
  <c r="AW211" i="7"/>
  <c r="AV211" i="7"/>
  <c r="AU211" i="7"/>
  <c r="AT211" i="7"/>
  <c r="AS211" i="7"/>
  <c r="AR211" i="7"/>
  <c r="AQ211" i="7"/>
  <c r="AP211" i="7"/>
  <c r="AO211" i="7"/>
  <c r="AN211" i="7"/>
  <c r="AM211" i="7"/>
  <c r="AL211" i="7"/>
  <c r="AK211" i="7"/>
  <c r="AJ211" i="7"/>
  <c r="AI211" i="7"/>
  <c r="AH211" i="7"/>
  <c r="AG211" i="7"/>
  <c r="AF211" i="7"/>
  <c r="AE211" i="7"/>
  <c r="AD211" i="7"/>
  <c r="AC211" i="7"/>
  <c r="AB211" i="7"/>
  <c r="AA211" i="7"/>
  <c r="Z211" i="7"/>
  <c r="Y211" i="7"/>
  <c r="X211" i="7"/>
  <c r="W211" i="7"/>
  <c r="V211" i="7"/>
  <c r="U211" i="7"/>
  <c r="T211" i="7"/>
  <c r="S211" i="7"/>
  <c r="R211" i="7"/>
  <c r="Q211" i="7"/>
  <c r="P211" i="7"/>
  <c r="O211" i="7"/>
  <c r="N211" i="7"/>
  <c r="M211" i="7"/>
  <c r="L211" i="7"/>
  <c r="K211" i="7"/>
  <c r="J211" i="7"/>
  <c r="I211" i="7"/>
  <c r="H211" i="7"/>
  <c r="G211" i="7"/>
  <c r="F211" i="7"/>
  <c r="D211" i="7"/>
  <c r="C211" i="7"/>
  <c r="B211" i="7"/>
  <c r="FQ210" i="7"/>
  <c r="FO210" i="7"/>
  <c r="FM210" i="7"/>
  <c r="FL210" i="7"/>
  <c r="FJ210" i="7"/>
  <c r="FH210" i="7"/>
  <c r="FG210" i="7"/>
  <c r="FE210" i="7"/>
  <c r="FC210" i="7"/>
  <c r="EZ210" i="7"/>
  <c r="EY210" i="7"/>
  <c r="EX210" i="7"/>
  <c r="EW210" i="7"/>
  <c r="EV210" i="7"/>
  <c r="EU210" i="7"/>
  <c r="ET210" i="7"/>
  <c r="ES210" i="7"/>
  <c r="ER210" i="7"/>
  <c r="EQ210" i="7"/>
  <c r="EP210" i="7"/>
  <c r="EO210" i="7"/>
  <c r="EN210" i="7"/>
  <c r="EM210" i="7"/>
  <c r="EI210" i="7"/>
  <c r="EG210" i="7"/>
  <c r="EE210" i="7"/>
  <c r="EC210" i="7"/>
  <c r="EA210" i="7"/>
  <c r="DY210" i="7"/>
  <c r="DW210" i="7"/>
  <c r="DU210" i="7"/>
  <c r="DS210" i="7"/>
  <c r="DR210" i="7"/>
  <c r="DP210" i="7"/>
  <c r="DN210" i="7"/>
  <c r="DM210" i="7"/>
  <c r="DK210" i="7"/>
  <c r="DI210" i="7"/>
  <c r="DH210" i="7"/>
  <c r="DF210" i="7"/>
  <c r="DD210" i="7"/>
  <c r="DC210" i="7"/>
  <c r="DA210" i="7"/>
  <c r="CY210" i="7"/>
  <c r="CX210" i="7"/>
  <c r="CV210" i="7"/>
  <c r="CT210" i="7"/>
  <c r="CS210" i="7"/>
  <c r="CR210" i="7"/>
  <c r="CQ210" i="7"/>
  <c r="CP210" i="7"/>
  <c r="CO210" i="7"/>
  <c r="CN210" i="7"/>
  <c r="CM210" i="7"/>
  <c r="CL210" i="7"/>
  <c r="CK210" i="7"/>
  <c r="CI210" i="7"/>
  <c r="CJ210" i="7" s="1"/>
  <c r="CH210" i="7"/>
  <c r="CG210" i="7"/>
  <c r="CE210" i="7"/>
  <c r="CF210" i="7" s="1"/>
  <c r="CD210" i="7"/>
  <c r="CC210" i="7"/>
  <c r="CA210" i="7"/>
  <c r="CB210" i="7" s="1"/>
  <c r="BZ210" i="7"/>
  <c r="BY210" i="7"/>
  <c r="BW210" i="7"/>
  <c r="BX210" i="7" s="1"/>
  <c r="BV210" i="7"/>
  <c r="BU210" i="7"/>
  <c r="BS210" i="7"/>
  <c r="BT210" i="7" s="1"/>
  <c r="BR210" i="7"/>
  <c r="BQ210" i="7"/>
  <c r="BO210" i="7"/>
  <c r="BP210" i="7" s="1"/>
  <c r="BN210" i="7"/>
  <c r="BM210" i="7"/>
  <c r="BK210" i="7"/>
  <c r="BL210" i="7" s="1"/>
  <c r="BJ210" i="7"/>
  <c r="BI210" i="7"/>
  <c r="BH210" i="7"/>
  <c r="BG210" i="7"/>
  <c r="BF210" i="7"/>
  <c r="BE210" i="7"/>
  <c r="BC210" i="7"/>
  <c r="BD210" i="7" s="1"/>
  <c r="BB210" i="7"/>
  <c r="AZ210" i="7"/>
  <c r="AX210" i="7"/>
  <c r="AW210" i="7"/>
  <c r="AV210" i="7"/>
  <c r="AU210" i="7"/>
  <c r="AT210" i="7"/>
  <c r="AS210" i="7"/>
  <c r="AR210" i="7"/>
  <c r="AQ210" i="7"/>
  <c r="AP210" i="7"/>
  <c r="AO210" i="7"/>
  <c r="AN210" i="7"/>
  <c r="AM210" i="7"/>
  <c r="AL210" i="7"/>
  <c r="AK210" i="7"/>
  <c r="AJ210" i="7"/>
  <c r="AI210" i="7"/>
  <c r="AH210" i="7"/>
  <c r="AG210" i="7"/>
  <c r="AF210" i="7"/>
  <c r="AE210" i="7"/>
  <c r="AD210" i="7"/>
  <c r="AC210" i="7"/>
  <c r="AB210" i="7"/>
  <c r="AA210" i="7"/>
  <c r="Z210" i="7"/>
  <c r="Y210" i="7"/>
  <c r="X210" i="7"/>
  <c r="W210" i="7"/>
  <c r="V210" i="7"/>
  <c r="U210" i="7"/>
  <c r="T210" i="7"/>
  <c r="S210" i="7"/>
  <c r="R210" i="7"/>
  <c r="Q210" i="7"/>
  <c r="P210" i="7"/>
  <c r="O210" i="7"/>
  <c r="N210" i="7"/>
  <c r="M210" i="7"/>
  <c r="L210" i="7"/>
  <c r="K210" i="7"/>
  <c r="J210" i="7"/>
  <c r="I210" i="7"/>
  <c r="H210" i="7"/>
  <c r="G210" i="7"/>
  <c r="F210" i="7"/>
  <c r="D210" i="7"/>
  <c r="C210" i="7"/>
  <c r="B210" i="7"/>
  <c r="FQ209" i="7"/>
  <c r="FO209" i="7"/>
  <c r="FM209" i="7"/>
  <c r="FL209" i="7"/>
  <c r="FJ209" i="7"/>
  <c r="FH209" i="7"/>
  <c r="FG209" i="7"/>
  <c r="FE209" i="7"/>
  <c r="FC209" i="7"/>
  <c r="EZ209" i="7"/>
  <c r="EY209" i="7"/>
  <c r="EX209" i="7"/>
  <c r="EW209" i="7"/>
  <c r="EV209" i="7"/>
  <c r="EU209" i="7"/>
  <c r="ET209" i="7"/>
  <c r="ES209" i="7"/>
  <c r="ER209" i="7"/>
  <c r="EQ209" i="7"/>
  <c r="EP209" i="7"/>
  <c r="EO209" i="7"/>
  <c r="EN209" i="7"/>
  <c r="EM209" i="7"/>
  <c r="EI209" i="7"/>
  <c r="EG209" i="7"/>
  <c r="EE209" i="7"/>
  <c r="EC209" i="7"/>
  <c r="EA209" i="7"/>
  <c r="DY209" i="7"/>
  <c r="DW209" i="7"/>
  <c r="DU209" i="7"/>
  <c r="DS209" i="7"/>
  <c r="DR209" i="7"/>
  <c r="DP209" i="7"/>
  <c r="DN209" i="7"/>
  <c r="DM209" i="7"/>
  <c r="DK209" i="7"/>
  <c r="DI209" i="7"/>
  <c r="DH209" i="7"/>
  <c r="DF209" i="7"/>
  <c r="DD209" i="7"/>
  <c r="DC209" i="7"/>
  <c r="DA209" i="7"/>
  <c r="CY209" i="7"/>
  <c r="CX209" i="7"/>
  <c r="CV209" i="7"/>
  <c r="CT209" i="7"/>
  <c r="CS209" i="7"/>
  <c r="CR209" i="7"/>
  <c r="CQ209" i="7"/>
  <c r="CP209" i="7"/>
  <c r="CO209" i="7"/>
  <c r="CN209" i="7"/>
  <c r="CM209" i="7"/>
  <c r="CL209" i="7"/>
  <c r="CK209" i="7"/>
  <c r="CI209" i="7"/>
  <c r="CJ209" i="7" s="1"/>
  <c r="CH209" i="7"/>
  <c r="CG209" i="7"/>
  <c r="CE209" i="7"/>
  <c r="CF209" i="7" s="1"/>
  <c r="CD209" i="7"/>
  <c r="CC209" i="7"/>
  <c r="CA209" i="7"/>
  <c r="CB209" i="7" s="1"/>
  <c r="BZ209" i="7"/>
  <c r="BY209" i="7"/>
  <c r="BW209" i="7"/>
  <c r="BX209" i="7" s="1"/>
  <c r="BV209" i="7"/>
  <c r="BU209" i="7"/>
  <c r="BS209" i="7"/>
  <c r="BT209" i="7" s="1"/>
  <c r="BR209" i="7"/>
  <c r="BQ209" i="7"/>
  <c r="BO209" i="7"/>
  <c r="BP209" i="7" s="1"/>
  <c r="BN209" i="7"/>
  <c r="BM209" i="7"/>
  <c r="BK209" i="7"/>
  <c r="BL209" i="7" s="1"/>
  <c r="BJ209" i="7"/>
  <c r="BI209" i="7"/>
  <c r="BG209" i="7"/>
  <c r="BH209" i="7" s="1"/>
  <c r="BF209" i="7"/>
  <c r="BE209" i="7"/>
  <c r="BC209" i="7"/>
  <c r="BD209" i="7" s="1"/>
  <c r="BB209" i="7"/>
  <c r="AZ209" i="7"/>
  <c r="AX209" i="7"/>
  <c r="AW209" i="7"/>
  <c r="AV209" i="7"/>
  <c r="AU209" i="7"/>
  <c r="AT209" i="7"/>
  <c r="AS209" i="7"/>
  <c r="AR209" i="7"/>
  <c r="AQ209" i="7"/>
  <c r="AP209" i="7"/>
  <c r="AO209" i="7"/>
  <c r="AN209" i="7"/>
  <c r="AM209" i="7"/>
  <c r="AL209" i="7"/>
  <c r="AK209" i="7"/>
  <c r="AJ209" i="7"/>
  <c r="AI209" i="7"/>
  <c r="AH209" i="7"/>
  <c r="AG209" i="7"/>
  <c r="AF209" i="7"/>
  <c r="AE209" i="7"/>
  <c r="AD209" i="7"/>
  <c r="AC209" i="7"/>
  <c r="AB209" i="7"/>
  <c r="AA209" i="7"/>
  <c r="Z209" i="7"/>
  <c r="Y209" i="7"/>
  <c r="X209" i="7"/>
  <c r="W209" i="7"/>
  <c r="V209" i="7"/>
  <c r="U209" i="7"/>
  <c r="T209" i="7"/>
  <c r="S209" i="7"/>
  <c r="R209" i="7"/>
  <c r="Q209" i="7"/>
  <c r="P209" i="7"/>
  <c r="O209" i="7"/>
  <c r="N209" i="7"/>
  <c r="M209" i="7"/>
  <c r="L209" i="7"/>
  <c r="K209" i="7"/>
  <c r="J209" i="7"/>
  <c r="I209" i="7"/>
  <c r="H209" i="7"/>
  <c r="G209" i="7"/>
  <c r="F209" i="7"/>
  <c r="D209" i="7"/>
  <c r="C209" i="7"/>
  <c r="B209" i="7"/>
  <c r="FQ208" i="7"/>
  <c r="FO208" i="7"/>
  <c r="FM208" i="7"/>
  <c r="FL208" i="7"/>
  <c r="FJ208" i="7"/>
  <c r="FH208" i="7"/>
  <c r="FG208" i="7"/>
  <c r="FE208" i="7"/>
  <c r="FC208" i="7"/>
  <c r="EZ208" i="7"/>
  <c r="EY208" i="7"/>
  <c r="EX208" i="7"/>
  <c r="EW208" i="7"/>
  <c r="EV208" i="7"/>
  <c r="EU208" i="7"/>
  <c r="ET208" i="7"/>
  <c r="ES208" i="7"/>
  <c r="ER208" i="7"/>
  <c r="EQ208" i="7"/>
  <c r="EP208" i="7"/>
  <c r="EO208" i="7"/>
  <c r="EN208" i="7"/>
  <c r="EM208" i="7"/>
  <c r="EI208" i="7"/>
  <c r="EG208" i="7"/>
  <c r="EE208" i="7"/>
  <c r="EC208" i="7"/>
  <c r="EA208" i="7"/>
  <c r="DY208" i="7"/>
  <c r="DW208" i="7"/>
  <c r="DU208" i="7"/>
  <c r="DS208" i="7"/>
  <c r="DR208" i="7"/>
  <c r="DP208" i="7"/>
  <c r="DN208" i="7"/>
  <c r="DM208" i="7"/>
  <c r="DK208" i="7"/>
  <c r="DI208" i="7"/>
  <c r="DH208" i="7"/>
  <c r="DF208" i="7"/>
  <c r="DD208" i="7"/>
  <c r="DC208" i="7"/>
  <c r="DA208" i="7"/>
  <c r="CY208" i="7"/>
  <c r="CX208" i="7"/>
  <c r="CV208" i="7"/>
  <c r="CT208" i="7"/>
  <c r="CS208" i="7"/>
  <c r="CR208" i="7"/>
  <c r="CQ208" i="7"/>
  <c r="CP208" i="7"/>
  <c r="CO208" i="7"/>
  <c r="CN208" i="7"/>
  <c r="CM208" i="7"/>
  <c r="CL208" i="7"/>
  <c r="CK208" i="7"/>
  <c r="CI208" i="7"/>
  <c r="CJ208" i="7" s="1"/>
  <c r="CH208" i="7"/>
  <c r="CG208" i="7"/>
  <c r="CE208" i="7"/>
  <c r="CF208" i="7" s="1"/>
  <c r="CD208" i="7"/>
  <c r="CC208" i="7"/>
  <c r="CA208" i="7"/>
  <c r="CB208" i="7" s="1"/>
  <c r="BZ208" i="7"/>
  <c r="BY208" i="7"/>
  <c r="BW208" i="7"/>
  <c r="BX208" i="7" s="1"/>
  <c r="BV208" i="7"/>
  <c r="BU208" i="7"/>
  <c r="BS208" i="7"/>
  <c r="BT208" i="7" s="1"/>
  <c r="BR208" i="7"/>
  <c r="BQ208" i="7"/>
  <c r="BO208" i="7"/>
  <c r="BP208" i="7" s="1"/>
  <c r="BN208" i="7"/>
  <c r="BM208" i="7"/>
  <c r="BK208" i="7"/>
  <c r="BL208" i="7" s="1"/>
  <c r="BJ208" i="7"/>
  <c r="BI208" i="7"/>
  <c r="BG208" i="7"/>
  <c r="BH208" i="7" s="1"/>
  <c r="BF208" i="7"/>
  <c r="BE208" i="7"/>
  <c r="BC208" i="7"/>
  <c r="BD208" i="7" s="1"/>
  <c r="BB208" i="7"/>
  <c r="AZ208" i="7"/>
  <c r="AX208" i="7"/>
  <c r="AW208" i="7"/>
  <c r="AV208" i="7"/>
  <c r="AU208" i="7"/>
  <c r="AT208" i="7"/>
  <c r="AS208" i="7"/>
  <c r="AR208" i="7"/>
  <c r="AQ208" i="7"/>
  <c r="AP208" i="7"/>
  <c r="AO208" i="7"/>
  <c r="AN208" i="7"/>
  <c r="AM208" i="7"/>
  <c r="AL208" i="7"/>
  <c r="AK208" i="7"/>
  <c r="AJ208" i="7"/>
  <c r="AI208" i="7"/>
  <c r="AH208" i="7"/>
  <c r="AG208" i="7"/>
  <c r="AF208" i="7"/>
  <c r="AE208" i="7"/>
  <c r="AD208" i="7"/>
  <c r="AC208" i="7"/>
  <c r="AB208" i="7"/>
  <c r="AA208" i="7"/>
  <c r="Z208" i="7"/>
  <c r="Y208" i="7"/>
  <c r="X208" i="7"/>
  <c r="W208" i="7"/>
  <c r="V208" i="7"/>
  <c r="U208" i="7"/>
  <c r="T208" i="7"/>
  <c r="S208" i="7"/>
  <c r="R208" i="7"/>
  <c r="Q208" i="7"/>
  <c r="P208" i="7"/>
  <c r="O208" i="7"/>
  <c r="N208" i="7"/>
  <c r="M208" i="7"/>
  <c r="L208" i="7"/>
  <c r="K208" i="7"/>
  <c r="J208" i="7"/>
  <c r="I208" i="7"/>
  <c r="H208" i="7"/>
  <c r="G208" i="7"/>
  <c r="F208" i="7"/>
  <c r="D208" i="7"/>
  <c r="C208" i="7"/>
  <c r="B208" i="7"/>
  <c r="FQ207" i="7"/>
  <c r="FO207" i="7"/>
  <c r="FM207" i="7"/>
  <c r="FL207" i="7"/>
  <c r="FJ207" i="7"/>
  <c r="FH207" i="7"/>
  <c r="FG207" i="7"/>
  <c r="FE207" i="7"/>
  <c r="FC207" i="7"/>
  <c r="EZ207" i="7"/>
  <c r="EY207" i="7"/>
  <c r="EX207" i="7"/>
  <c r="EW207" i="7"/>
  <c r="EV207" i="7"/>
  <c r="EU207" i="7"/>
  <c r="ET207" i="7"/>
  <c r="ES207" i="7"/>
  <c r="ER207" i="7"/>
  <c r="EQ207" i="7"/>
  <c r="EP207" i="7"/>
  <c r="EO207" i="7"/>
  <c r="EN207" i="7"/>
  <c r="EM207" i="7"/>
  <c r="EI207" i="7"/>
  <c r="EG207" i="7"/>
  <c r="EE207" i="7"/>
  <c r="EC207" i="7"/>
  <c r="EA207" i="7"/>
  <c r="DY207" i="7"/>
  <c r="DW207" i="7"/>
  <c r="DU207" i="7"/>
  <c r="DS207" i="7"/>
  <c r="DR207" i="7"/>
  <c r="DP207" i="7"/>
  <c r="DN207" i="7"/>
  <c r="DM207" i="7"/>
  <c r="DK207" i="7"/>
  <c r="DI207" i="7"/>
  <c r="DH207" i="7"/>
  <c r="DF207" i="7"/>
  <c r="DD207" i="7"/>
  <c r="DC207" i="7"/>
  <c r="DA207" i="7"/>
  <c r="CY207" i="7"/>
  <c r="CX207" i="7"/>
  <c r="CV207" i="7"/>
  <c r="CT207" i="7"/>
  <c r="CS207" i="7"/>
  <c r="CR207" i="7"/>
  <c r="CQ207" i="7"/>
  <c r="CP207" i="7"/>
  <c r="CO207" i="7"/>
  <c r="CN207" i="7"/>
  <c r="CM207" i="7"/>
  <c r="CL207" i="7"/>
  <c r="CK207" i="7"/>
  <c r="CI207" i="7"/>
  <c r="CJ207" i="7" s="1"/>
  <c r="CH207" i="7"/>
  <c r="CG207" i="7"/>
  <c r="CE207" i="7"/>
  <c r="CF207" i="7" s="1"/>
  <c r="CD207" i="7"/>
  <c r="CC207" i="7"/>
  <c r="CA207" i="7"/>
  <c r="CB207" i="7" s="1"/>
  <c r="BZ207" i="7"/>
  <c r="BY207" i="7"/>
  <c r="BW207" i="7"/>
  <c r="BX207" i="7" s="1"/>
  <c r="BV207" i="7"/>
  <c r="BU207" i="7"/>
  <c r="BS207" i="7"/>
  <c r="BT207" i="7" s="1"/>
  <c r="BR207" i="7"/>
  <c r="BQ207" i="7"/>
  <c r="BO207" i="7"/>
  <c r="BP207" i="7" s="1"/>
  <c r="BN207" i="7"/>
  <c r="BM207" i="7"/>
  <c r="BK207" i="7"/>
  <c r="BL207" i="7" s="1"/>
  <c r="BJ207" i="7"/>
  <c r="BI207" i="7"/>
  <c r="BG207" i="7"/>
  <c r="BH207" i="7" s="1"/>
  <c r="BF207" i="7"/>
  <c r="BE207" i="7"/>
  <c r="BC207" i="7"/>
  <c r="BD207" i="7" s="1"/>
  <c r="BB207" i="7"/>
  <c r="AZ207" i="7"/>
  <c r="AX207" i="7"/>
  <c r="AW207" i="7"/>
  <c r="AV207" i="7"/>
  <c r="AU207" i="7"/>
  <c r="AT207" i="7"/>
  <c r="AS207" i="7"/>
  <c r="AR207" i="7"/>
  <c r="AQ207" i="7"/>
  <c r="AP207" i="7"/>
  <c r="AO207" i="7"/>
  <c r="AN207" i="7"/>
  <c r="AM207" i="7"/>
  <c r="AL207" i="7"/>
  <c r="AK207" i="7"/>
  <c r="AJ207" i="7"/>
  <c r="AI207" i="7"/>
  <c r="AH207" i="7"/>
  <c r="AG207" i="7"/>
  <c r="AF207" i="7"/>
  <c r="AE207" i="7"/>
  <c r="AD207" i="7"/>
  <c r="AC207" i="7"/>
  <c r="AB207" i="7"/>
  <c r="AA207" i="7"/>
  <c r="Z207" i="7"/>
  <c r="Y207" i="7"/>
  <c r="X207" i="7"/>
  <c r="W207" i="7"/>
  <c r="V207" i="7"/>
  <c r="U207" i="7"/>
  <c r="T207" i="7"/>
  <c r="S207" i="7"/>
  <c r="R207" i="7"/>
  <c r="Q207" i="7"/>
  <c r="P207" i="7"/>
  <c r="O207" i="7"/>
  <c r="N207" i="7"/>
  <c r="M207" i="7"/>
  <c r="L207" i="7"/>
  <c r="K207" i="7"/>
  <c r="J207" i="7"/>
  <c r="I207" i="7"/>
  <c r="H207" i="7"/>
  <c r="G207" i="7"/>
  <c r="F207" i="7"/>
  <c r="D207" i="7"/>
  <c r="C207" i="7"/>
  <c r="B207" i="7"/>
  <c r="FQ206" i="7"/>
  <c r="FO206" i="7"/>
  <c r="FM206" i="7"/>
  <c r="FL206" i="7"/>
  <c r="FJ206" i="7"/>
  <c r="FH206" i="7"/>
  <c r="FG206" i="7"/>
  <c r="FE206" i="7"/>
  <c r="FC206" i="7"/>
  <c r="EZ206" i="7"/>
  <c r="EY206" i="7"/>
  <c r="EX206" i="7"/>
  <c r="EW206" i="7"/>
  <c r="EV206" i="7"/>
  <c r="EU206" i="7"/>
  <c r="ET206" i="7"/>
  <c r="ES206" i="7"/>
  <c r="ER206" i="7"/>
  <c r="EQ206" i="7"/>
  <c r="EP206" i="7"/>
  <c r="EO206" i="7"/>
  <c r="EN206" i="7"/>
  <c r="EM206" i="7"/>
  <c r="EI206" i="7"/>
  <c r="EG206" i="7"/>
  <c r="EE206" i="7"/>
  <c r="EC206" i="7"/>
  <c r="EA206" i="7"/>
  <c r="DY206" i="7"/>
  <c r="DW206" i="7"/>
  <c r="DU206" i="7"/>
  <c r="DS206" i="7"/>
  <c r="DR206" i="7"/>
  <c r="DP206" i="7"/>
  <c r="DN206" i="7"/>
  <c r="DM206" i="7"/>
  <c r="DK206" i="7"/>
  <c r="DI206" i="7"/>
  <c r="DH206" i="7"/>
  <c r="DF206" i="7"/>
  <c r="DD206" i="7"/>
  <c r="DC206" i="7"/>
  <c r="DA206" i="7"/>
  <c r="CY206" i="7"/>
  <c r="CX206" i="7"/>
  <c r="CV206" i="7"/>
  <c r="CT206" i="7"/>
  <c r="CS206" i="7"/>
  <c r="CR206" i="7"/>
  <c r="CQ206" i="7"/>
  <c r="CP206" i="7"/>
  <c r="CO206" i="7"/>
  <c r="CN206" i="7"/>
  <c r="CM206" i="7"/>
  <c r="CL206" i="7"/>
  <c r="CK206" i="7"/>
  <c r="CI206" i="7"/>
  <c r="CJ206" i="7" s="1"/>
  <c r="CH206" i="7"/>
  <c r="CG206" i="7"/>
  <c r="CE206" i="7"/>
  <c r="CF206" i="7" s="1"/>
  <c r="CD206" i="7"/>
  <c r="CC206" i="7"/>
  <c r="CA206" i="7"/>
  <c r="CB206" i="7" s="1"/>
  <c r="BZ206" i="7"/>
  <c r="BY206" i="7"/>
  <c r="BW206" i="7"/>
  <c r="BX206" i="7" s="1"/>
  <c r="BV206" i="7"/>
  <c r="BU206" i="7"/>
  <c r="BS206" i="7"/>
  <c r="BT206" i="7" s="1"/>
  <c r="BR206" i="7"/>
  <c r="BQ206" i="7"/>
  <c r="BO206" i="7"/>
  <c r="BP206" i="7" s="1"/>
  <c r="BN206" i="7"/>
  <c r="BM206" i="7"/>
  <c r="BK206" i="7"/>
  <c r="BL206" i="7" s="1"/>
  <c r="BJ206" i="7"/>
  <c r="BI206" i="7"/>
  <c r="BG206" i="7"/>
  <c r="BH206" i="7" s="1"/>
  <c r="BF206" i="7"/>
  <c r="BE206" i="7"/>
  <c r="BC206" i="7"/>
  <c r="BD206" i="7" s="1"/>
  <c r="BB206" i="7"/>
  <c r="AZ206" i="7"/>
  <c r="AX206" i="7"/>
  <c r="AW206" i="7"/>
  <c r="AV206" i="7"/>
  <c r="AU206" i="7"/>
  <c r="AT206" i="7"/>
  <c r="AS206" i="7"/>
  <c r="AR206" i="7"/>
  <c r="AQ206" i="7"/>
  <c r="AP206" i="7"/>
  <c r="AO206" i="7"/>
  <c r="AN206" i="7"/>
  <c r="AM206" i="7"/>
  <c r="AL206" i="7"/>
  <c r="AK206" i="7"/>
  <c r="AJ206" i="7"/>
  <c r="AI206" i="7"/>
  <c r="AH206" i="7"/>
  <c r="AG206" i="7"/>
  <c r="AF206" i="7"/>
  <c r="AE206" i="7"/>
  <c r="AD206" i="7"/>
  <c r="AC206" i="7"/>
  <c r="AB206" i="7"/>
  <c r="AA206" i="7"/>
  <c r="Z206" i="7"/>
  <c r="Y206" i="7"/>
  <c r="X206" i="7"/>
  <c r="W206" i="7"/>
  <c r="V206" i="7"/>
  <c r="U206" i="7"/>
  <c r="T206" i="7"/>
  <c r="S206" i="7"/>
  <c r="R206" i="7"/>
  <c r="Q206" i="7"/>
  <c r="P206" i="7"/>
  <c r="O206" i="7"/>
  <c r="N206" i="7"/>
  <c r="M206" i="7"/>
  <c r="L206" i="7"/>
  <c r="K206" i="7"/>
  <c r="J206" i="7"/>
  <c r="I206" i="7"/>
  <c r="H206" i="7"/>
  <c r="G206" i="7"/>
  <c r="F206" i="7"/>
  <c r="D206" i="7"/>
  <c r="C206" i="7"/>
  <c r="B206" i="7"/>
  <c r="FQ205" i="7"/>
  <c r="FO205" i="7"/>
  <c r="FM205" i="7"/>
  <c r="FL205" i="7"/>
  <c r="FJ205" i="7"/>
  <c r="FH205" i="7"/>
  <c r="FG205" i="7"/>
  <c r="FE205" i="7"/>
  <c r="FC205" i="7"/>
  <c r="EZ205" i="7"/>
  <c r="EY205" i="7"/>
  <c r="EX205" i="7"/>
  <c r="EW205" i="7"/>
  <c r="EV205" i="7"/>
  <c r="EU205" i="7"/>
  <c r="ET205" i="7"/>
  <c r="ES205" i="7"/>
  <c r="ER205" i="7"/>
  <c r="EQ205" i="7"/>
  <c r="EP205" i="7"/>
  <c r="EO205" i="7"/>
  <c r="EN205" i="7"/>
  <c r="EM205" i="7"/>
  <c r="EI205" i="7"/>
  <c r="EG205" i="7"/>
  <c r="EE205" i="7"/>
  <c r="EC205" i="7"/>
  <c r="EA205" i="7"/>
  <c r="DY205" i="7"/>
  <c r="DW205" i="7"/>
  <c r="DU205" i="7"/>
  <c r="DS205" i="7"/>
  <c r="DR205" i="7"/>
  <c r="DP205" i="7"/>
  <c r="DN205" i="7"/>
  <c r="DM205" i="7"/>
  <c r="DK205" i="7"/>
  <c r="DI205" i="7"/>
  <c r="DH205" i="7"/>
  <c r="DF205" i="7"/>
  <c r="DD205" i="7"/>
  <c r="DC205" i="7"/>
  <c r="DA205" i="7"/>
  <c r="CY205" i="7"/>
  <c r="CX205" i="7"/>
  <c r="CV205" i="7"/>
  <c r="CT205" i="7"/>
  <c r="CS205" i="7"/>
  <c r="CR205" i="7"/>
  <c r="CQ205" i="7"/>
  <c r="CP205" i="7"/>
  <c r="CO205" i="7"/>
  <c r="CN205" i="7"/>
  <c r="CM205" i="7"/>
  <c r="CL205" i="7"/>
  <c r="CK205" i="7"/>
  <c r="CI205" i="7"/>
  <c r="CJ205" i="7" s="1"/>
  <c r="CH205" i="7"/>
  <c r="CG205" i="7"/>
  <c r="CE205" i="7"/>
  <c r="CF205" i="7" s="1"/>
  <c r="CD205" i="7"/>
  <c r="CC205" i="7"/>
  <c r="CA205" i="7"/>
  <c r="CB205" i="7" s="1"/>
  <c r="BZ205" i="7"/>
  <c r="BY205" i="7"/>
  <c r="BW205" i="7"/>
  <c r="BX205" i="7" s="1"/>
  <c r="BV205" i="7"/>
  <c r="BU205" i="7"/>
  <c r="BS205" i="7"/>
  <c r="BT205" i="7" s="1"/>
  <c r="BR205" i="7"/>
  <c r="BQ205" i="7"/>
  <c r="BO205" i="7"/>
  <c r="BP205" i="7" s="1"/>
  <c r="BN205" i="7"/>
  <c r="BM205" i="7"/>
  <c r="BK205" i="7"/>
  <c r="BL205" i="7" s="1"/>
  <c r="BJ205" i="7"/>
  <c r="BI205" i="7"/>
  <c r="BG205" i="7"/>
  <c r="BH205" i="7" s="1"/>
  <c r="BF205" i="7"/>
  <c r="BE205" i="7"/>
  <c r="BC205" i="7"/>
  <c r="BD205" i="7" s="1"/>
  <c r="BB205" i="7"/>
  <c r="AZ205" i="7"/>
  <c r="AX205" i="7"/>
  <c r="AW205" i="7"/>
  <c r="AV205" i="7"/>
  <c r="AU205" i="7"/>
  <c r="AT205" i="7"/>
  <c r="AS205" i="7"/>
  <c r="AR205" i="7"/>
  <c r="AQ205" i="7"/>
  <c r="AP205" i="7"/>
  <c r="AO205" i="7"/>
  <c r="AN205" i="7"/>
  <c r="AM205" i="7"/>
  <c r="AL205" i="7"/>
  <c r="AK205" i="7"/>
  <c r="AJ205" i="7"/>
  <c r="AI205" i="7"/>
  <c r="AH205" i="7"/>
  <c r="AG205" i="7"/>
  <c r="AF205" i="7"/>
  <c r="AE205" i="7"/>
  <c r="AD205" i="7"/>
  <c r="AC205" i="7"/>
  <c r="AB205" i="7"/>
  <c r="AA205" i="7"/>
  <c r="Z205" i="7"/>
  <c r="Y205" i="7"/>
  <c r="X205" i="7"/>
  <c r="W205" i="7"/>
  <c r="V205" i="7"/>
  <c r="U205" i="7"/>
  <c r="T205" i="7"/>
  <c r="S205" i="7"/>
  <c r="R205" i="7"/>
  <c r="Q205" i="7"/>
  <c r="P205" i="7"/>
  <c r="O205" i="7"/>
  <c r="N205" i="7"/>
  <c r="M205" i="7"/>
  <c r="L205" i="7"/>
  <c r="K205" i="7"/>
  <c r="J205" i="7"/>
  <c r="I205" i="7"/>
  <c r="H205" i="7"/>
  <c r="G205" i="7"/>
  <c r="F205" i="7"/>
  <c r="D205" i="7"/>
  <c r="C205" i="7"/>
  <c r="B205" i="7"/>
  <c r="FQ204" i="7"/>
  <c r="FO204" i="7"/>
  <c r="FM204" i="7"/>
  <c r="FL204" i="7"/>
  <c r="FJ204" i="7"/>
  <c r="FH204" i="7"/>
  <c r="FG204" i="7"/>
  <c r="FE204" i="7"/>
  <c r="FC204" i="7"/>
  <c r="EZ204" i="7"/>
  <c r="EY204" i="7"/>
  <c r="EX204" i="7"/>
  <c r="EW204" i="7"/>
  <c r="EV204" i="7"/>
  <c r="EU204" i="7"/>
  <c r="ET204" i="7"/>
  <c r="ES204" i="7"/>
  <c r="ER204" i="7"/>
  <c r="EQ204" i="7"/>
  <c r="EP204" i="7"/>
  <c r="EO204" i="7"/>
  <c r="EN204" i="7"/>
  <c r="EM204" i="7"/>
  <c r="EI204" i="7"/>
  <c r="EG204" i="7"/>
  <c r="EE204" i="7"/>
  <c r="EC204" i="7"/>
  <c r="EA204" i="7"/>
  <c r="DY204" i="7"/>
  <c r="DW204" i="7"/>
  <c r="DU204" i="7"/>
  <c r="DS204" i="7"/>
  <c r="DR204" i="7"/>
  <c r="DP204" i="7"/>
  <c r="DN204" i="7"/>
  <c r="DM204" i="7"/>
  <c r="DK204" i="7"/>
  <c r="DI204" i="7"/>
  <c r="DH204" i="7"/>
  <c r="DF204" i="7"/>
  <c r="DD204" i="7"/>
  <c r="DC204" i="7"/>
  <c r="DA204" i="7"/>
  <c r="CY204" i="7"/>
  <c r="CX204" i="7"/>
  <c r="CV204" i="7"/>
  <c r="CT204" i="7"/>
  <c r="CS204" i="7"/>
  <c r="CR204" i="7"/>
  <c r="CQ204" i="7"/>
  <c r="CP204" i="7"/>
  <c r="CO204" i="7"/>
  <c r="CN204" i="7"/>
  <c r="CM204" i="7"/>
  <c r="CL204" i="7"/>
  <c r="CK204" i="7"/>
  <c r="CI204" i="7"/>
  <c r="CJ204" i="7" s="1"/>
  <c r="CH204" i="7"/>
  <c r="CG204" i="7"/>
  <c r="CE204" i="7"/>
  <c r="CF204" i="7" s="1"/>
  <c r="CD204" i="7"/>
  <c r="CC204" i="7"/>
  <c r="CA204" i="7"/>
  <c r="CB204" i="7" s="1"/>
  <c r="BZ204" i="7"/>
  <c r="BY204" i="7"/>
  <c r="BW204" i="7"/>
  <c r="BX204" i="7" s="1"/>
  <c r="BV204" i="7"/>
  <c r="BU204" i="7"/>
  <c r="BS204" i="7"/>
  <c r="BT204" i="7" s="1"/>
  <c r="BR204" i="7"/>
  <c r="BQ204" i="7"/>
  <c r="BO204" i="7"/>
  <c r="BP204" i="7" s="1"/>
  <c r="BN204" i="7"/>
  <c r="BM204" i="7"/>
  <c r="BK204" i="7"/>
  <c r="BL204" i="7" s="1"/>
  <c r="BJ204" i="7"/>
  <c r="BI204" i="7"/>
  <c r="BG204" i="7"/>
  <c r="BH204" i="7" s="1"/>
  <c r="BF204" i="7"/>
  <c r="BE204" i="7"/>
  <c r="BC204" i="7"/>
  <c r="BD204" i="7" s="1"/>
  <c r="BB204" i="7"/>
  <c r="AZ204" i="7"/>
  <c r="AX204" i="7"/>
  <c r="AW204" i="7"/>
  <c r="AV204" i="7"/>
  <c r="AU204" i="7"/>
  <c r="AT204" i="7"/>
  <c r="AS204" i="7"/>
  <c r="AR204" i="7"/>
  <c r="AQ204" i="7"/>
  <c r="AP204" i="7"/>
  <c r="AO204" i="7"/>
  <c r="AN204" i="7"/>
  <c r="AM204" i="7"/>
  <c r="AL204" i="7"/>
  <c r="AK204" i="7"/>
  <c r="AJ204" i="7"/>
  <c r="AI204" i="7"/>
  <c r="AH204" i="7"/>
  <c r="AG204" i="7"/>
  <c r="AF204" i="7"/>
  <c r="AE204" i="7"/>
  <c r="AD204" i="7"/>
  <c r="AC204" i="7"/>
  <c r="AB204" i="7"/>
  <c r="AA204" i="7"/>
  <c r="Z204" i="7"/>
  <c r="Y204" i="7"/>
  <c r="X204" i="7"/>
  <c r="W204" i="7"/>
  <c r="V204" i="7"/>
  <c r="U204" i="7"/>
  <c r="T204" i="7"/>
  <c r="S204" i="7"/>
  <c r="R204" i="7"/>
  <c r="Q204" i="7"/>
  <c r="P204" i="7"/>
  <c r="O204" i="7"/>
  <c r="N204" i="7"/>
  <c r="M204" i="7"/>
  <c r="L204" i="7"/>
  <c r="K204" i="7"/>
  <c r="J204" i="7"/>
  <c r="I204" i="7"/>
  <c r="H204" i="7"/>
  <c r="G204" i="7"/>
  <c r="F204" i="7"/>
  <c r="D204" i="7"/>
  <c r="C204" i="7"/>
  <c r="B204" i="7"/>
  <c r="FQ203" i="7"/>
  <c r="FO203" i="7"/>
  <c r="FM203" i="7"/>
  <c r="FL203" i="7"/>
  <c r="FJ203" i="7"/>
  <c r="FH203" i="7"/>
  <c r="FG203" i="7"/>
  <c r="FE203" i="7"/>
  <c r="FC203" i="7"/>
  <c r="EZ203" i="7"/>
  <c r="EY203" i="7"/>
  <c r="EX203" i="7"/>
  <c r="EW203" i="7"/>
  <c r="EV203" i="7"/>
  <c r="EU203" i="7"/>
  <c r="ET203" i="7"/>
  <c r="ES203" i="7"/>
  <c r="ER203" i="7"/>
  <c r="EQ203" i="7"/>
  <c r="EP203" i="7"/>
  <c r="EO203" i="7"/>
  <c r="EN203" i="7"/>
  <c r="EM203" i="7"/>
  <c r="EI203" i="7"/>
  <c r="EG203" i="7"/>
  <c r="EE203" i="7"/>
  <c r="EC203" i="7"/>
  <c r="EA203" i="7"/>
  <c r="DY203" i="7"/>
  <c r="DW203" i="7"/>
  <c r="DU203" i="7"/>
  <c r="DS203" i="7"/>
  <c r="DR203" i="7"/>
  <c r="DP203" i="7"/>
  <c r="DN203" i="7"/>
  <c r="DM203" i="7"/>
  <c r="DK203" i="7"/>
  <c r="DI203" i="7"/>
  <c r="DH203" i="7"/>
  <c r="DF203" i="7"/>
  <c r="DD203" i="7"/>
  <c r="DC203" i="7"/>
  <c r="DA203" i="7"/>
  <c r="CY203" i="7"/>
  <c r="CX203" i="7"/>
  <c r="CV203" i="7"/>
  <c r="CT203" i="7"/>
  <c r="CS203" i="7"/>
  <c r="CR203" i="7"/>
  <c r="CQ203" i="7"/>
  <c r="CP203" i="7"/>
  <c r="CO203" i="7"/>
  <c r="CN203" i="7"/>
  <c r="CM203" i="7"/>
  <c r="CL203" i="7"/>
  <c r="CK203" i="7"/>
  <c r="CI203" i="7"/>
  <c r="CJ203" i="7" s="1"/>
  <c r="CH203" i="7"/>
  <c r="CG203" i="7"/>
  <c r="CE203" i="7"/>
  <c r="CF203" i="7" s="1"/>
  <c r="CD203" i="7"/>
  <c r="CC203" i="7"/>
  <c r="CA203" i="7"/>
  <c r="CB203" i="7" s="1"/>
  <c r="BZ203" i="7"/>
  <c r="BY203" i="7"/>
  <c r="BW203" i="7"/>
  <c r="BX203" i="7" s="1"/>
  <c r="BV203" i="7"/>
  <c r="BU203" i="7"/>
  <c r="BS203" i="7"/>
  <c r="BT203" i="7" s="1"/>
  <c r="BR203" i="7"/>
  <c r="BQ203" i="7"/>
  <c r="BO203" i="7"/>
  <c r="BP203" i="7" s="1"/>
  <c r="BN203" i="7"/>
  <c r="BM203" i="7"/>
  <c r="BK203" i="7"/>
  <c r="BL203" i="7" s="1"/>
  <c r="BJ203" i="7"/>
  <c r="BI203" i="7"/>
  <c r="BG203" i="7"/>
  <c r="BH203" i="7" s="1"/>
  <c r="BF203" i="7"/>
  <c r="BE203" i="7"/>
  <c r="BC203" i="7"/>
  <c r="BD203" i="7" s="1"/>
  <c r="BB203" i="7"/>
  <c r="AZ203" i="7"/>
  <c r="AX203" i="7"/>
  <c r="AW203" i="7"/>
  <c r="AV203" i="7"/>
  <c r="AU203" i="7"/>
  <c r="AT203" i="7"/>
  <c r="AS203" i="7"/>
  <c r="AR203" i="7"/>
  <c r="AQ203" i="7"/>
  <c r="AP203" i="7"/>
  <c r="AO203" i="7"/>
  <c r="AN203" i="7"/>
  <c r="AM203" i="7"/>
  <c r="AL203" i="7"/>
  <c r="AK203" i="7"/>
  <c r="AJ203" i="7"/>
  <c r="AI203" i="7"/>
  <c r="AH203" i="7"/>
  <c r="AG203" i="7"/>
  <c r="AF203" i="7"/>
  <c r="AE203" i="7"/>
  <c r="AD203" i="7"/>
  <c r="AC203" i="7"/>
  <c r="AB203" i="7"/>
  <c r="AA203" i="7"/>
  <c r="Z203" i="7"/>
  <c r="Y203" i="7"/>
  <c r="X203" i="7"/>
  <c r="W203" i="7"/>
  <c r="V203" i="7"/>
  <c r="U203" i="7"/>
  <c r="T203" i="7"/>
  <c r="S203" i="7"/>
  <c r="R203" i="7"/>
  <c r="Q203" i="7"/>
  <c r="P203" i="7"/>
  <c r="O203" i="7"/>
  <c r="N203" i="7"/>
  <c r="M203" i="7"/>
  <c r="L203" i="7"/>
  <c r="K203" i="7"/>
  <c r="J203" i="7"/>
  <c r="I203" i="7"/>
  <c r="H203" i="7"/>
  <c r="G203" i="7"/>
  <c r="F203" i="7"/>
  <c r="D203" i="7"/>
  <c r="C203" i="7"/>
  <c r="B203" i="7"/>
  <c r="FQ202" i="7"/>
  <c r="FO202" i="7"/>
  <c r="FM202" i="7"/>
  <c r="FL202" i="7"/>
  <c r="FJ202" i="7"/>
  <c r="FH202" i="7"/>
  <c r="FG202" i="7"/>
  <c r="FE202" i="7"/>
  <c r="FC202" i="7"/>
  <c r="EZ202" i="7"/>
  <c r="EY202" i="7"/>
  <c r="EX202" i="7"/>
  <c r="EW202" i="7"/>
  <c r="EV202" i="7"/>
  <c r="EU202" i="7"/>
  <c r="ET202" i="7"/>
  <c r="ES202" i="7"/>
  <c r="ER202" i="7"/>
  <c r="EQ202" i="7"/>
  <c r="EP202" i="7"/>
  <c r="EO202" i="7"/>
  <c r="EN202" i="7"/>
  <c r="EM202" i="7"/>
  <c r="EI202" i="7"/>
  <c r="EG202" i="7"/>
  <c r="EE202" i="7"/>
  <c r="EC202" i="7"/>
  <c r="EA202" i="7"/>
  <c r="DY202" i="7"/>
  <c r="DW202" i="7"/>
  <c r="DU202" i="7"/>
  <c r="DS202" i="7"/>
  <c r="DR202" i="7"/>
  <c r="DP202" i="7"/>
  <c r="DN202" i="7"/>
  <c r="DM202" i="7"/>
  <c r="DK202" i="7"/>
  <c r="DI202" i="7"/>
  <c r="DH202" i="7"/>
  <c r="DF202" i="7"/>
  <c r="DD202" i="7"/>
  <c r="DC202" i="7"/>
  <c r="DA202" i="7"/>
  <c r="CY202" i="7"/>
  <c r="CX202" i="7"/>
  <c r="CV202" i="7"/>
  <c r="CT202" i="7"/>
  <c r="CS202" i="7"/>
  <c r="CR202" i="7"/>
  <c r="CQ202" i="7"/>
  <c r="CP202" i="7"/>
  <c r="CO202" i="7"/>
  <c r="CN202" i="7"/>
  <c r="CM202" i="7"/>
  <c r="CL202" i="7"/>
  <c r="CK202" i="7"/>
  <c r="CI202" i="7"/>
  <c r="CJ202" i="7" s="1"/>
  <c r="CH202" i="7"/>
  <c r="CG202" i="7"/>
  <c r="CE202" i="7"/>
  <c r="CF202" i="7" s="1"/>
  <c r="CD202" i="7"/>
  <c r="CC202" i="7"/>
  <c r="CA202" i="7"/>
  <c r="CB202" i="7" s="1"/>
  <c r="BZ202" i="7"/>
  <c r="BY202" i="7"/>
  <c r="BW202" i="7"/>
  <c r="BX202" i="7" s="1"/>
  <c r="BV202" i="7"/>
  <c r="BU202" i="7"/>
  <c r="BS202" i="7"/>
  <c r="BT202" i="7" s="1"/>
  <c r="BR202" i="7"/>
  <c r="BQ202" i="7"/>
  <c r="BO202" i="7"/>
  <c r="BP202" i="7" s="1"/>
  <c r="BN202" i="7"/>
  <c r="BM202" i="7"/>
  <c r="BK202" i="7"/>
  <c r="BL202" i="7" s="1"/>
  <c r="BJ202" i="7"/>
  <c r="BI202" i="7"/>
  <c r="BG202" i="7"/>
  <c r="BH202" i="7" s="1"/>
  <c r="BF202" i="7"/>
  <c r="BE202" i="7"/>
  <c r="BC202" i="7"/>
  <c r="BD202" i="7" s="1"/>
  <c r="BB202" i="7"/>
  <c r="AZ202" i="7"/>
  <c r="AX202" i="7"/>
  <c r="AW202" i="7"/>
  <c r="AV202" i="7"/>
  <c r="AU202" i="7"/>
  <c r="AT202" i="7"/>
  <c r="AS202" i="7"/>
  <c r="AR202" i="7"/>
  <c r="AQ202" i="7"/>
  <c r="AP202" i="7"/>
  <c r="AO202" i="7"/>
  <c r="AN202" i="7"/>
  <c r="AM202" i="7"/>
  <c r="AL202" i="7"/>
  <c r="AK202" i="7"/>
  <c r="AJ202" i="7"/>
  <c r="AI202" i="7"/>
  <c r="AH202" i="7"/>
  <c r="AG202" i="7"/>
  <c r="AF202" i="7"/>
  <c r="AE202" i="7"/>
  <c r="AD202" i="7"/>
  <c r="AC202" i="7"/>
  <c r="AB202" i="7"/>
  <c r="AA202" i="7"/>
  <c r="Z202" i="7"/>
  <c r="Y202" i="7"/>
  <c r="X202" i="7"/>
  <c r="W202" i="7"/>
  <c r="V202" i="7"/>
  <c r="U202" i="7"/>
  <c r="T202" i="7"/>
  <c r="S202" i="7"/>
  <c r="R202" i="7"/>
  <c r="Q202" i="7"/>
  <c r="P202" i="7"/>
  <c r="O202" i="7"/>
  <c r="N202" i="7"/>
  <c r="M202" i="7"/>
  <c r="L202" i="7"/>
  <c r="K202" i="7"/>
  <c r="J202" i="7"/>
  <c r="I202" i="7"/>
  <c r="H202" i="7"/>
  <c r="G202" i="7"/>
  <c r="F202" i="7"/>
  <c r="D202" i="7"/>
  <c r="C202" i="7"/>
  <c r="B202" i="7"/>
  <c r="FQ201" i="7"/>
  <c r="FO201" i="7"/>
  <c r="FM201" i="7"/>
  <c r="FL201" i="7"/>
  <c r="FJ201" i="7"/>
  <c r="FH201" i="7"/>
  <c r="FG201" i="7"/>
  <c r="FE201" i="7"/>
  <c r="FC201" i="7"/>
  <c r="EZ201" i="7"/>
  <c r="EY201" i="7"/>
  <c r="EX201" i="7"/>
  <c r="EW201" i="7"/>
  <c r="EV201" i="7"/>
  <c r="EU201" i="7"/>
  <c r="ET201" i="7"/>
  <c r="ES201" i="7"/>
  <c r="ER201" i="7"/>
  <c r="EQ201" i="7"/>
  <c r="EP201" i="7"/>
  <c r="EO201" i="7"/>
  <c r="EN201" i="7"/>
  <c r="EM201" i="7"/>
  <c r="EI201" i="7"/>
  <c r="EG201" i="7"/>
  <c r="EE201" i="7"/>
  <c r="EC201" i="7"/>
  <c r="EA201" i="7"/>
  <c r="DY201" i="7"/>
  <c r="DW201" i="7"/>
  <c r="DU201" i="7"/>
  <c r="DS201" i="7"/>
  <c r="DR201" i="7"/>
  <c r="DP201" i="7"/>
  <c r="DN201" i="7"/>
  <c r="DM201" i="7"/>
  <c r="DK201" i="7"/>
  <c r="DI201" i="7"/>
  <c r="DH201" i="7"/>
  <c r="DF201" i="7"/>
  <c r="DD201" i="7"/>
  <c r="DC201" i="7"/>
  <c r="DA201" i="7"/>
  <c r="CY201" i="7"/>
  <c r="CX201" i="7"/>
  <c r="CV201" i="7"/>
  <c r="CT201" i="7"/>
  <c r="CS201" i="7"/>
  <c r="CR201" i="7"/>
  <c r="CQ201" i="7"/>
  <c r="CP201" i="7"/>
  <c r="CO201" i="7"/>
  <c r="CN201" i="7"/>
  <c r="CM201" i="7"/>
  <c r="CL201" i="7"/>
  <c r="CK201" i="7"/>
  <c r="CI201" i="7"/>
  <c r="CJ201" i="7" s="1"/>
  <c r="CH201" i="7"/>
  <c r="CG201" i="7"/>
  <c r="CE201" i="7"/>
  <c r="CF201" i="7" s="1"/>
  <c r="CD201" i="7"/>
  <c r="CC201" i="7"/>
  <c r="CA201" i="7"/>
  <c r="CB201" i="7" s="1"/>
  <c r="BZ201" i="7"/>
  <c r="BY201" i="7"/>
  <c r="BW201" i="7"/>
  <c r="BX201" i="7" s="1"/>
  <c r="BV201" i="7"/>
  <c r="BU201" i="7"/>
  <c r="BS201" i="7"/>
  <c r="BT201" i="7" s="1"/>
  <c r="BR201" i="7"/>
  <c r="BQ201" i="7"/>
  <c r="BO201" i="7"/>
  <c r="BP201" i="7" s="1"/>
  <c r="BN201" i="7"/>
  <c r="BM201" i="7"/>
  <c r="BK201" i="7"/>
  <c r="BL201" i="7" s="1"/>
  <c r="BJ201" i="7"/>
  <c r="BI201" i="7"/>
  <c r="BG201" i="7"/>
  <c r="BH201" i="7" s="1"/>
  <c r="BF201" i="7"/>
  <c r="BE201" i="7"/>
  <c r="BC201" i="7"/>
  <c r="BD201" i="7" s="1"/>
  <c r="BB201" i="7"/>
  <c r="AZ201" i="7"/>
  <c r="AX201" i="7"/>
  <c r="AW201" i="7"/>
  <c r="AV201" i="7"/>
  <c r="AU201" i="7"/>
  <c r="AT201" i="7"/>
  <c r="AS201" i="7"/>
  <c r="AR201" i="7"/>
  <c r="AQ201" i="7"/>
  <c r="AP201" i="7"/>
  <c r="AO201" i="7"/>
  <c r="AN201" i="7"/>
  <c r="AM201" i="7"/>
  <c r="AL201" i="7"/>
  <c r="AK201" i="7"/>
  <c r="AJ201" i="7"/>
  <c r="AI201" i="7"/>
  <c r="AH201" i="7"/>
  <c r="AG201" i="7"/>
  <c r="AF201" i="7"/>
  <c r="AE201" i="7"/>
  <c r="AD201" i="7"/>
  <c r="AC201" i="7"/>
  <c r="AB201" i="7"/>
  <c r="AA201" i="7"/>
  <c r="Z201" i="7"/>
  <c r="Y201" i="7"/>
  <c r="X201" i="7"/>
  <c r="W201" i="7"/>
  <c r="V201" i="7"/>
  <c r="U201" i="7"/>
  <c r="T201" i="7"/>
  <c r="S201" i="7"/>
  <c r="R201" i="7"/>
  <c r="Q201" i="7"/>
  <c r="P201" i="7"/>
  <c r="O201" i="7"/>
  <c r="N201" i="7"/>
  <c r="M201" i="7"/>
  <c r="L201" i="7"/>
  <c r="K201" i="7"/>
  <c r="J201" i="7"/>
  <c r="I201" i="7"/>
  <c r="H201" i="7"/>
  <c r="G201" i="7"/>
  <c r="F201" i="7"/>
  <c r="D201" i="7"/>
  <c r="C201" i="7"/>
  <c r="B201" i="7"/>
  <c r="FQ200" i="7"/>
  <c r="FO200" i="7"/>
  <c r="FM200" i="7"/>
  <c r="FL200" i="7"/>
  <c r="FJ200" i="7"/>
  <c r="FH200" i="7"/>
  <c r="FG200" i="7"/>
  <c r="FE200" i="7"/>
  <c r="FC200" i="7"/>
  <c r="EZ200" i="7"/>
  <c r="EY200" i="7"/>
  <c r="EX200" i="7"/>
  <c r="EW200" i="7"/>
  <c r="EV200" i="7"/>
  <c r="EU200" i="7"/>
  <c r="ET200" i="7"/>
  <c r="ES200" i="7"/>
  <c r="ER200" i="7"/>
  <c r="EQ200" i="7"/>
  <c r="EP200" i="7"/>
  <c r="EO200" i="7"/>
  <c r="EN200" i="7"/>
  <c r="EM200" i="7"/>
  <c r="EI200" i="7"/>
  <c r="EG200" i="7"/>
  <c r="EE200" i="7"/>
  <c r="EC200" i="7"/>
  <c r="EA200" i="7"/>
  <c r="DY200" i="7"/>
  <c r="DW200" i="7"/>
  <c r="DU200" i="7"/>
  <c r="DS200" i="7"/>
  <c r="DR200" i="7"/>
  <c r="DP200" i="7"/>
  <c r="DN200" i="7"/>
  <c r="DM200" i="7"/>
  <c r="DK200" i="7"/>
  <c r="DI200" i="7"/>
  <c r="DH200" i="7"/>
  <c r="DF200" i="7"/>
  <c r="DD200" i="7"/>
  <c r="DC200" i="7"/>
  <c r="DA200" i="7"/>
  <c r="CY200" i="7"/>
  <c r="CX200" i="7"/>
  <c r="CV200" i="7"/>
  <c r="CT200" i="7"/>
  <c r="CS200" i="7"/>
  <c r="CR200" i="7"/>
  <c r="CQ200" i="7"/>
  <c r="CP200" i="7"/>
  <c r="CO200" i="7"/>
  <c r="CN200" i="7"/>
  <c r="CM200" i="7"/>
  <c r="CL200" i="7"/>
  <c r="CK200" i="7"/>
  <c r="CI200" i="7"/>
  <c r="CJ200" i="7" s="1"/>
  <c r="CH200" i="7"/>
  <c r="CG200" i="7"/>
  <c r="CE200" i="7"/>
  <c r="CF200" i="7" s="1"/>
  <c r="CD200" i="7"/>
  <c r="CC200" i="7"/>
  <c r="CA200" i="7"/>
  <c r="CB200" i="7" s="1"/>
  <c r="BZ200" i="7"/>
  <c r="BY200" i="7"/>
  <c r="BW200" i="7"/>
  <c r="BX200" i="7" s="1"/>
  <c r="BV200" i="7"/>
  <c r="BU200" i="7"/>
  <c r="BS200" i="7"/>
  <c r="BT200" i="7" s="1"/>
  <c r="BR200" i="7"/>
  <c r="BQ200" i="7"/>
  <c r="BO200" i="7"/>
  <c r="BP200" i="7" s="1"/>
  <c r="BN200" i="7"/>
  <c r="BM200" i="7"/>
  <c r="BK200" i="7"/>
  <c r="BL200" i="7" s="1"/>
  <c r="BJ200" i="7"/>
  <c r="BI200" i="7"/>
  <c r="BG200" i="7"/>
  <c r="BH200" i="7" s="1"/>
  <c r="BF200" i="7"/>
  <c r="BE200" i="7"/>
  <c r="BC200" i="7"/>
  <c r="BD200" i="7" s="1"/>
  <c r="BB200" i="7"/>
  <c r="AZ200" i="7"/>
  <c r="AX200" i="7"/>
  <c r="AW200" i="7"/>
  <c r="AV200" i="7"/>
  <c r="AU200" i="7"/>
  <c r="AT200" i="7"/>
  <c r="AS200" i="7"/>
  <c r="AR200" i="7"/>
  <c r="AQ200" i="7"/>
  <c r="AP200" i="7"/>
  <c r="AO200" i="7"/>
  <c r="AN200" i="7"/>
  <c r="AM200" i="7"/>
  <c r="AL200" i="7"/>
  <c r="AK200" i="7"/>
  <c r="AJ200" i="7"/>
  <c r="AI200" i="7"/>
  <c r="AH200" i="7"/>
  <c r="AG200" i="7"/>
  <c r="AF200" i="7"/>
  <c r="AE200" i="7"/>
  <c r="AD200" i="7"/>
  <c r="AC200" i="7"/>
  <c r="AB200" i="7"/>
  <c r="AA200" i="7"/>
  <c r="Z200" i="7"/>
  <c r="Y200" i="7"/>
  <c r="X200" i="7"/>
  <c r="W200" i="7"/>
  <c r="V200" i="7"/>
  <c r="U200" i="7"/>
  <c r="T200" i="7"/>
  <c r="S200" i="7"/>
  <c r="R200" i="7"/>
  <c r="Q200" i="7"/>
  <c r="P200" i="7"/>
  <c r="O200" i="7"/>
  <c r="N200" i="7"/>
  <c r="M200" i="7"/>
  <c r="L200" i="7"/>
  <c r="K200" i="7"/>
  <c r="J200" i="7"/>
  <c r="I200" i="7"/>
  <c r="H200" i="7"/>
  <c r="G200" i="7"/>
  <c r="F200" i="7"/>
  <c r="D200" i="7"/>
  <c r="C200" i="7"/>
  <c r="B200" i="7"/>
  <c r="FQ199" i="7"/>
  <c r="FO199" i="7"/>
  <c r="FM199" i="7"/>
  <c r="FL199" i="7"/>
  <c r="FJ199" i="7"/>
  <c r="FH199" i="7"/>
  <c r="FG199" i="7"/>
  <c r="FE199" i="7"/>
  <c r="FC199" i="7"/>
  <c r="EZ199" i="7"/>
  <c r="EY199" i="7"/>
  <c r="EX199" i="7"/>
  <c r="EW199" i="7"/>
  <c r="EV199" i="7"/>
  <c r="EU199" i="7"/>
  <c r="ET199" i="7"/>
  <c r="ES199" i="7"/>
  <c r="ER199" i="7"/>
  <c r="EQ199" i="7"/>
  <c r="EP199" i="7"/>
  <c r="EO199" i="7"/>
  <c r="EN199" i="7"/>
  <c r="EM199" i="7"/>
  <c r="EI199" i="7"/>
  <c r="EG199" i="7"/>
  <c r="EE199" i="7"/>
  <c r="EC199" i="7"/>
  <c r="EA199" i="7"/>
  <c r="DY199" i="7"/>
  <c r="DW199" i="7"/>
  <c r="DU199" i="7"/>
  <c r="DS199" i="7"/>
  <c r="DR199" i="7"/>
  <c r="DP199" i="7"/>
  <c r="DN199" i="7"/>
  <c r="DM199" i="7"/>
  <c r="DK199" i="7"/>
  <c r="DI199" i="7"/>
  <c r="DH199" i="7"/>
  <c r="DF199" i="7"/>
  <c r="DD199" i="7"/>
  <c r="DC199" i="7"/>
  <c r="DA199" i="7"/>
  <c r="CY199" i="7"/>
  <c r="CX199" i="7"/>
  <c r="CV199" i="7"/>
  <c r="CT199" i="7"/>
  <c r="CS199" i="7"/>
  <c r="CR199" i="7"/>
  <c r="CQ199" i="7"/>
  <c r="CP199" i="7"/>
  <c r="CO199" i="7"/>
  <c r="CN199" i="7"/>
  <c r="CM199" i="7"/>
  <c r="CL199" i="7"/>
  <c r="CK199" i="7"/>
  <c r="CI199" i="7"/>
  <c r="CJ199" i="7" s="1"/>
  <c r="CH199" i="7"/>
  <c r="CG199" i="7"/>
  <c r="CE199" i="7"/>
  <c r="CF199" i="7" s="1"/>
  <c r="CD199" i="7"/>
  <c r="CC199" i="7"/>
  <c r="CA199" i="7"/>
  <c r="CB199" i="7" s="1"/>
  <c r="BZ199" i="7"/>
  <c r="BY199" i="7"/>
  <c r="BW199" i="7"/>
  <c r="BX199" i="7" s="1"/>
  <c r="BV199" i="7"/>
  <c r="BU199" i="7"/>
  <c r="BS199" i="7"/>
  <c r="BT199" i="7" s="1"/>
  <c r="BR199" i="7"/>
  <c r="BQ199" i="7"/>
  <c r="BO199" i="7"/>
  <c r="BP199" i="7" s="1"/>
  <c r="BN199" i="7"/>
  <c r="BM199" i="7"/>
  <c r="BK199" i="7"/>
  <c r="BL199" i="7" s="1"/>
  <c r="BJ199" i="7"/>
  <c r="BI199" i="7"/>
  <c r="BG199" i="7"/>
  <c r="BH199" i="7" s="1"/>
  <c r="BF199" i="7"/>
  <c r="BE199" i="7"/>
  <c r="BC199" i="7"/>
  <c r="BD199" i="7" s="1"/>
  <c r="BB199" i="7"/>
  <c r="AZ199" i="7"/>
  <c r="AX199" i="7"/>
  <c r="AW199" i="7"/>
  <c r="AV199" i="7"/>
  <c r="AU199" i="7"/>
  <c r="AT199" i="7"/>
  <c r="AS199" i="7"/>
  <c r="AR199" i="7"/>
  <c r="AQ199" i="7"/>
  <c r="AP199" i="7"/>
  <c r="AO199" i="7"/>
  <c r="AN199" i="7"/>
  <c r="AM199" i="7"/>
  <c r="AL199" i="7"/>
  <c r="AK199" i="7"/>
  <c r="AJ199" i="7"/>
  <c r="AI199" i="7"/>
  <c r="AH199" i="7"/>
  <c r="AG199" i="7"/>
  <c r="AF199" i="7"/>
  <c r="AE199" i="7"/>
  <c r="AD199" i="7"/>
  <c r="AC199" i="7"/>
  <c r="AB199" i="7"/>
  <c r="AA199" i="7"/>
  <c r="Z199" i="7"/>
  <c r="Y199" i="7"/>
  <c r="X199" i="7"/>
  <c r="W199" i="7"/>
  <c r="V199" i="7"/>
  <c r="U199" i="7"/>
  <c r="T199" i="7"/>
  <c r="S199" i="7"/>
  <c r="R199" i="7"/>
  <c r="Q199" i="7"/>
  <c r="P199" i="7"/>
  <c r="O199" i="7"/>
  <c r="N199" i="7"/>
  <c r="M199" i="7"/>
  <c r="L199" i="7"/>
  <c r="K199" i="7"/>
  <c r="J199" i="7"/>
  <c r="I199" i="7"/>
  <c r="H199" i="7"/>
  <c r="G199" i="7"/>
  <c r="F199" i="7"/>
  <c r="D199" i="7"/>
  <c r="C199" i="7"/>
  <c r="B199" i="7"/>
  <c r="FQ198" i="7"/>
  <c r="FO198" i="7"/>
  <c r="FM198" i="7"/>
  <c r="FL198" i="7"/>
  <c r="FJ198" i="7"/>
  <c r="FH198" i="7"/>
  <c r="FG198" i="7"/>
  <c r="FE198" i="7"/>
  <c r="FC198" i="7"/>
  <c r="EZ198" i="7"/>
  <c r="EY198" i="7"/>
  <c r="EX198" i="7"/>
  <c r="EW198" i="7"/>
  <c r="EV198" i="7"/>
  <c r="EU198" i="7"/>
  <c r="ET198" i="7"/>
  <c r="ES198" i="7"/>
  <c r="ER198" i="7"/>
  <c r="EQ198" i="7"/>
  <c r="EP198" i="7"/>
  <c r="EO198" i="7"/>
  <c r="EN198" i="7"/>
  <c r="EM198" i="7"/>
  <c r="EI198" i="7"/>
  <c r="EG198" i="7"/>
  <c r="EE198" i="7"/>
  <c r="EC198" i="7"/>
  <c r="EA198" i="7"/>
  <c r="DY198" i="7"/>
  <c r="DW198" i="7"/>
  <c r="DU198" i="7"/>
  <c r="DS198" i="7"/>
  <c r="DR198" i="7"/>
  <c r="DP198" i="7"/>
  <c r="DN198" i="7"/>
  <c r="DM198" i="7"/>
  <c r="DK198" i="7"/>
  <c r="DI198" i="7"/>
  <c r="DH198" i="7"/>
  <c r="DF198" i="7"/>
  <c r="DD198" i="7"/>
  <c r="DC198" i="7"/>
  <c r="DA198" i="7"/>
  <c r="CY198" i="7"/>
  <c r="CX198" i="7"/>
  <c r="CV198" i="7"/>
  <c r="CT198" i="7"/>
  <c r="CS198" i="7"/>
  <c r="CR198" i="7"/>
  <c r="CQ198" i="7"/>
  <c r="CP198" i="7"/>
  <c r="CO198" i="7"/>
  <c r="CN198" i="7"/>
  <c r="CM198" i="7"/>
  <c r="CL198" i="7"/>
  <c r="CK198" i="7"/>
  <c r="CI198" i="7"/>
  <c r="CJ198" i="7" s="1"/>
  <c r="CH198" i="7"/>
  <c r="CG198" i="7"/>
  <c r="CE198" i="7"/>
  <c r="CF198" i="7" s="1"/>
  <c r="CD198" i="7"/>
  <c r="CC198" i="7"/>
  <c r="CA198" i="7"/>
  <c r="CB198" i="7" s="1"/>
  <c r="BZ198" i="7"/>
  <c r="BY198" i="7"/>
  <c r="BW198" i="7"/>
  <c r="BX198" i="7" s="1"/>
  <c r="BV198" i="7"/>
  <c r="BU198" i="7"/>
  <c r="BS198" i="7"/>
  <c r="BT198" i="7" s="1"/>
  <c r="BR198" i="7"/>
  <c r="BQ198" i="7"/>
  <c r="BO198" i="7"/>
  <c r="BP198" i="7" s="1"/>
  <c r="BN198" i="7"/>
  <c r="BM198" i="7"/>
  <c r="BK198" i="7"/>
  <c r="BL198" i="7" s="1"/>
  <c r="BJ198" i="7"/>
  <c r="BI198" i="7"/>
  <c r="BG198" i="7"/>
  <c r="BH198" i="7" s="1"/>
  <c r="BF198" i="7"/>
  <c r="BE198" i="7"/>
  <c r="BC198" i="7"/>
  <c r="BD198" i="7" s="1"/>
  <c r="BB198" i="7"/>
  <c r="AZ198" i="7"/>
  <c r="AX198" i="7"/>
  <c r="AW198" i="7"/>
  <c r="AV198" i="7"/>
  <c r="AU198" i="7"/>
  <c r="AT198" i="7"/>
  <c r="AS198" i="7"/>
  <c r="AR198" i="7"/>
  <c r="AQ198" i="7"/>
  <c r="AP198" i="7"/>
  <c r="AO198" i="7"/>
  <c r="AN198" i="7"/>
  <c r="AM198" i="7"/>
  <c r="AL198" i="7"/>
  <c r="AK198" i="7"/>
  <c r="AJ198" i="7"/>
  <c r="AI198" i="7"/>
  <c r="AH198" i="7"/>
  <c r="AG198" i="7"/>
  <c r="AF198" i="7"/>
  <c r="AE198" i="7"/>
  <c r="AD198" i="7"/>
  <c r="AC198" i="7"/>
  <c r="AB198" i="7"/>
  <c r="AA198" i="7"/>
  <c r="Z198" i="7"/>
  <c r="Y198" i="7"/>
  <c r="X198" i="7"/>
  <c r="W198" i="7"/>
  <c r="V198" i="7"/>
  <c r="U198" i="7"/>
  <c r="T198" i="7"/>
  <c r="S198" i="7"/>
  <c r="R198" i="7"/>
  <c r="Q198" i="7"/>
  <c r="P198" i="7"/>
  <c r="O198" i="7"/>
  <c r="N198" i="7"/>
  <c r="M198" i="7"/>
  <c r="L198" i="7"/>
  <c r="K198" i="7"/>
  <c r="J198" i="7"/>
  <c r="I198" i="7"/>
  <c r="H198" i="7"/>
  <c r="G198" i="7"/>
  <c r="F198" i="7"/>
  <c r="D198" i="7"/>
  <c r="C198" i="7"/>
  <c r="B198" i="7"/>
  <c r="FQ197" i="7"/>
  <c r="FO197" i="7"/>
  <c r="FM197" i="7"/>
  <c r="FL197" i="7"/>
  <c r="FJ197" i="7"/>
  <c r="FH197" i="7"/>
  <c r="FG197" i="7"/>
  <c r="FE197" i="7"/>
  <c r="FC197" i="7"/>
  <c r="EZ197" i="7"/>
  <c r="EY197" i="7"/>
  <c r="EX197" i="7"/>
  <c r="EW197" i="7"/>
  <c r="EV197" i="7"/>
  <c r="EU197" i="7"/>
  <c r="ET197" i="7"/>
  <c r="ES197" i="7"/>
  <c r="ER197" i="7"/>
  <c r="EQ197" i="7"/>
  <c r="EP197" i="7"/>
  <c r="EO197" i="7"/>
  <c r="EN197" i="7"/>
  <c r="EM197" i="7"/>
  <c r="EI197" i="7"/>
  <c r="EG197" i="7"/>
  <c r="EE197" i="7"/>
  <c r="EC197" i="7"/>
  <c r="EA197" i="7"/>
  <c r="DY197" i="7"/>
  <c r="DW197" i="7"/>
  <c r="DU197" i="7"/>
  <c r="DS197" i="7"/>
  <c r="DR197" i="7"/>
  <c r="DP197" i="7"/>
  <c r="DN197" i="7"/>
  <c r="DM197" i="7"/>
  <c r="DK197" i="7"/>
  <c r="DI197" i="7"/>
  <c r="DH197" i="7"/>
  <c r="DF197" i="7"/>
  <c r="DD197" i="7"/>
  <c r="DC197" i="7"/>
  <c r="DA197" i="7"/>
  <c r="CY197" i="7"/>
  <c r="CX197" i="7"/>
  <c r="CV197" i="7"/>
  <c r="CT197" i="7"/>
  <c r="CS197" i="7"/>
  <c r="CR197" i="7"/>
  <c r="CQ197" i="7"/>
  <c r="CP197" i="7"/>
  <c r="CO197" i="7"/>
  <c r="CN197" i="7"/>
  <c r="CM197" i="7"/>
  <c r="CL197" i="7"/>
  <c r="CK197" i="7"/>
  <c r="CI197" i="7"/>
  <c r="CJ197" i="7" s="1"/>
  <c r="CH197" i="7"/>
  <c r="CG197" i="7"/>
  <c r="CE197" i="7"/>
  <c r="CF197" i="7" s="1"/>
  <c r="CD197" i="7"/>
  <c r="CC197" i="7"/>
  <c r="CA197" i="7"/>
  <c r="CB197" i="7" s="1"/>
  <c r="BZ197" i="7"/>
  <c r="BY197" i="7"/>
  <c r="BW197" i="7"/>
  <c r="BX197" i="7" s="1"/>
  <c r="BV197" i="7"/>
  <c r="BU197" i="7"/>
  <c r="BS197" i="7"/>
  <c r="BT197" i="7" s="1"/>
  <c r="BR197" i="7"/>
  <c r="BQ197" i="7"/>
  <c r="BO197" i="7"/>
  <c r="BP197" i="7" s="1"/>
  <c r="BN197" i="7"/>
  <c r="BM197" i="7"/>
  <c r="BK197" i="7"/>
  <c r="BL197" i="7" s="1"/>
  <c r="BJ197" i="7"/>
  <c r="BI197" i="7"/>
  <c r="BG197" i="7"/>
  <c r="BH197" i="7" s="1"/>
  <c r="BF197" i="7"/>
  <c r="BE197" i="7"/>
  <c r="BC197" i="7"/>
  <c r="BD197" i="7" s="1"/>
  <c r="BB197" i="7"/>
  <c r="AZ197" i="7"/>
  <c r="AX197" i="7"/>
  <c r="AW197" i="7"/>
  <c r="AV197" i="7"/>
  <c r="AU197" i="7"/>
  <c r="AT197" i="7"/>
  <c r="AS197" i="7"/>
  <c r="AR197" i="7"/>
  <c r="AQ197" i="7"/>
  <c r="AP197" i="7"/>
  <c r="AO197" i="7"/>
  <c r="AN197" i="7"/>
  <c r="AM197" i="7"/>
  <c r="AL197" i="7"/>
  <c r="AK197" i="7"/>
  <c r="AJ197" i="7"/>
  <c r="AI197" i="7"/>
  <c r="AH197" i="7"/>
  <c r="AG197" i="7"/>
  <c r="AF197" i="7"/>
  <c r="AE197" i="7"/>
  <c r="AD197" i="7"/>
  <c r="AC197" i="7"/>
  <c r="AB197" i="7"/>
  <c r="AA197" i="7"/>
  <c r="Z197" i="7"/>
  <c r="Y197" i="7"/>
  <c r="X197" i="7"/>
  <c r="W197" i="7"/>
  <c r="V197" i="7"/>
  <c r="U197" i="7"/>
  <c r="T197" i="7"/>
  <c r="S197" i="7"/>
  <c r="R197" i="7"/>
  <c r="Q197" i="7"/>
  <c r="P197" i="7"/>
  <c r="O197" i="7"/>
  <c r="N197" i="7"/>
  <c r="M197" i="7"/>
  <c r="L197" i="7"/>
  <c r="K197" i="7"/>
  <c r="J197" i="7"/>
  <c r="I197" i="7"/>
  <c r="H197" i="7"/>
  <c r="G197" i="7"/>
  <c r="F197" i="7"/>
  <c r="D197" i="7"/>
  <c r="C197" i="7"/>
  <c r="B197" i="7"/>
  <c r="FQ196" i="7"/>
  <c r="FO196" i="7"/>
  <c r="FM196" i="7"/>
  <c r="FL196" i="7"/>
  <c r="FJ196" i="7"/>
  <c r="FH196" i="7"/>
  <c r="FG196" i="7"/>
  <c r="FE196" i="7"/>
  <c r="FC196" i="7"/>
  <c r="EZ196" i="7"/>
  <c r="EY196" i="7"/>
  <c r="EX196" i="7"/>
  <c r="EW196" i="7"/>
  <c r="EV196" i="7"/>
  <c r="EU196" i="7"/>
  <c r="ET196" i="7"/>
  <c r="ES196" i="7"/>
  <c r="ER196" i="7"/>
  <c r="EQ196" i="7"/>
  <c r="EP196" i="7"/>
  <c r="EO196" i="7"/>
  <c r="EN196" i="7"/>
  <c r="EM196" i="7"/>
  <c r="EI196" i="7"/>
  <c r="EG196" i="7"/>
  <c r="EE196" i="7"/>
  <c r="EC196" i="7"/>
  <c r="EA196" i="7"/>
  <c r="DY196" i="7"/>
  <c r="DW196" i="7"/>
  <c r="DU196" i="7"/>
  <c r="DS196" i="7"/>
  <c r="DR196" i="7"/>
  <c r="DP196" i="7"/>
  <c r="DN196" i="7"/>
  <c r="DM196" i="7"/>
  <c r="DK196" i="7"/>
  <c r="DI196" i="7"/>
  <c r="DH196" i="7"/>
  <c r="DF196" i="7"/>
  <c r="DD196" i="7"/>
  <c r="DC196" i="7"/>
  <c r="DA196" i="7"/>
  <c r="CY196" i="7"/>
  <c r="CX196" i="7"/>
  <c r="CV196" i="7"/>
  <c r="CT196" i="7"/>
  <c r="CS196" i="7"/>
  <c r="CR196" i="7"/>
  <c r="CQ196" i="7"/>
  <c r="CP196" i="7"/>
  <c r="CO196" i="7"/>
  <c r="CN196" i="7"/>
  <c r="CM196" i="7"/>
  <c r="CL196" i="7"/>
  <c r="CK196" i="7"/>
  <c r="CI196" i="7"/>
  <c r="CJ196" i="7" s="1"/>
  <c r="CH196" i="7"/>
  <c r="CG196" i="7"/>
  <c r="CE196" i="7"/>
  <c r="CF196" i="7" s="1"/>
  <c r="CD196" i="7"/>
  <c r="CC196" i="7"/>
  <c r="CA196" i="7"/>
  <c r="CB196" i="7" s="1"/>
  <c r="BZ196" i="7"/>
  <c r="BY196" i="7"/>
  <c r="BW196" i="7"/>
  <c r="BX196" i="7" s="1"/>
  <c r="BV196" i="7"/>
  <c r="BU196" i="7"/>
  <c r="BS196" i="7"/>
  <c r="BT196" i="7" s="1"/>
  <c r="BR196" i="7"/>
  <c r="BQ196" i="7"/>
  <c r="BO196" i="7"/>
  <c r="BP196" i="7" s="1"/>
  <c r="BN196" i="7"/>
  <c r="BM196" i="7"/>
  <c r="BK196" i="7"/>
  <c r="BL196" i="7" s="1"/>
  <c r="BJ196" i="7"/>
  <c r="BI196" i="7"/>
  <c r="BG196" i="7"/>
  <c r="BH196" i="7" s="1"/>
  <c r="BF196" i="7"/>
  <c r="BE196" i="7"/>
  <c r="BC196" i="7"/>
  <c r="BD196" i="7" s="1"/>
  <c r="BB196" i="7"/>
  <c r="AZ196" i="7"/>
  <c r="AX196" i="7"/>
  <c r="AW196" i="7"/>
  <c r="AV196" i="7"/>
  <c r="AU196" i="7"/>
  <c r="AT196" i="7"/>
  <c r="AS196" i="7"/>
  <c r="AR196" i="7"/>
  <c r="AQ196" i="7"/>
  <c r="AP196" i="7"/>
  <c r="AO196" i="7"/>
  <c r="AN196" i="7"/>
  <c r="AM196" i="7"/>
  <c r="AL196" i="7"/>
  <c r="AK196" i="7"/>
  <c r="AJ196" i="7"/>
  <c r="AI196" i="7"/>
  <c r="AH196" i="7"/>
  <c r="AG196" i="7"/>
  <c r="AF196" i="7"/>
  <c r="AE196" i="7"/>
  <c r="AD196" i="7"/>
  <c r="AC196" i="7"/>
  <c r="AB196" i="7"/>
  <c r="AA196" i="7"/>
  <c r="Z196" i="7"/>
  <c r="Y196" i="7"/>
  <c r="X196" i="7"/>
  <c r="W196" i="7"/>
  <c r="V196" i="7"/>
  <c r="U196" i="7"/>
  <c r="T196" i="7"/>
  <c r="S196" i="7"/>
  <c r="R196" i="7"/>
  <c r="Q196" i="7"/>
  <c r="P196" i="7"/>
  <c r="O196" i="7"/>
  <c r="N196" i="7"/>
  <c r="M196" i="7"/>
  <c r="L196" i="7"/>
  <c r="K196" i="7"/>
  <c r="J196" i="7"/>
  <c r="I196" i="7"/>
  <c r="H196" i="7"/>
  <c r="G196" i="7"/>
  <c r="F196" i="7"/>
  <c r="D196" i="7"/>
  <c r="C196" i="7"/>
  <c r="B196" i="7"/>
  <c r="FQ195" i="7"/>
  <c r="FO195" i="7"/>
  <c r="FM195" i="7"/>
  <c r="FL195" i="7"/>
  <c r="FJ195" i="7"/>
  <c r="FH195" i="7"/>
  <c r="FG195" i="7"/>
  <c r="FE195" i="7"/>
  <c r="FC195" i="7"/>
  <c r="EZ195" i="7"/>
  <c r="EY195" i="7"/>
  <c r="EX195" i="7"/>
  <c r="EW195" i="7"/>
  <c r="EV195" i="7"/>
  <c r="EU195" i="7"/>
  <c r="ET195" i="7"/>
  <c r="ES195" i="7"/>
  <c r="ER195" i="7"/>
  <c r="EQ195" i="7"/>
  <c r="EP195" i="7"/>
  <c r="EO195" i="7"/>
  <c r="EN195" i="7"/>
  <c r="EM195" i="7"/>
  <c r="EI195" i="7"/>
  <c r="EG195" i="7"/>
  <c r="EE195" i="7"/>
  <c r="EC195" i="7"/>
  <c r="EA195" i="7"/>
  <c r="DY195" i="7"/>
  <c r="DW195" i="7"/>
  <c r="DU195" i="7"/>
  <c r="DS195" i="7"/>
  <c r="DR195" i="7"/>
  <c r="DP195" i="7"/>
  <c r="DN195" i="7"/>
  <c r="DM195" i="7"/>
  <c r="DK195" i="7"/>
  <c r="DI195" i="7"/>
  <c r="DH195" i="7"/>
  <c r="DF195" i="7"/>
  <c r="DD195" i="7"/>
  <c r="DC195" i="7"/>
  <c r="DA195" i="7"/>
  <c r="CY195" i="7"/>
  <c r="CX195" i="7"/>
  <c r="CV195" i="7"/>
  <c r="CT195" i="7"/>
  <c r="CS195" i="7"/>
  <c r="CR195" i="7"/>
  <c r="CQ195" i="7"/>
  <c r="CP195" i="7"/>
  <c r="CO195" i="7"/>
  <c r="CN195" i="7"/>
  <c r="CM195" i="7"/>
  <c r="CL195" i="7"/>
  <c r="CK195" i="7"/>
  <c r="CI195" i="7"/>
  <c r="CJ195" i="7" s="1"/>
  <c r="CH195" i="7"/>
  <c r="CG195" i="7"/>
  <c r="CE195" i="7"/>
  <c r="CF195" i="7" s="1"/>
  <c r="CD195" i="7"/>
  <c r="CC195" i="7"/>
  <c r="CA195" i="7"/>
  <c r="CB195" i="7" s="1"/>
  <c r="BZ195" i="7"/>
  <c r="BY195" i="7"/>
  <c r="BW195" i="7"/>
  <c r="BX195" i="7" s="1"/>
  <c r="BV195" i="7"/>
  <c r="BU195" i="7"/>
  <c r="BS195" i="7"/>
  <c r="BT195" i="7" s="1"/>
  <c r="BR195" i="7"/>
  <c r="BQ195" i="7"/>
  <c r="BO195" i="7"/>
  <c r="BP195" i="7" s="1"/>
  <c r="BN195" i="7"/>
  <c r="BM195" i="7"/>
  <c r="BK195" i="7"/>
  <c r="BL195" i="7" s="1"/>
  <c r="BJ195" i="7"/>
  <c r="BI195" i="7"/>
  <c r="BG195" i="7"/>
  <c r="BH195" i="7" s="1"/>
  <c r="BF195" i="7"/>
  <c r="BE195" i="7"/>
  <c r="BC195" i="7"/>
  <c r="BD195" i="7" s="1"/>
  <c r="BB195" i="7"/>
  <c r="AZ195" i="7"/>
  <c r="AX195" i="7"/>
  <c r="AW195" i="7"/>
  <c r="AV195" i="7"/>
  <c r="AU195" i="7"/>
  <c r="AT195" i="7"/>
  <c r="AS195" i="7"/>
  <c r="AR195" i="7"/>
  <c r="AQ195" i="7"/>
  <c r="AP195" i="7"/>
  <c r="AO195" i="7"/>
  <c r="AN195" i="7"/>
  <c r="AM195" i="7"/>
  <c r="AL195" i="7"/>
  <c r="AK195" i="7"/>
  <c r="AJ195" i="7"/>
  <c r="AI195" i="7"/>
  <c r="AH195" i="7"/>
  <c r="AG195" i="7"/>
  <c r="AF195" i="7"/>
  <c r="AE195" i="7"/>
  <c r="AD195" i="7"/>
  <c r="AC195" i="7"/>
  <c r="AB195" i="7"/>
  <c r="AA195" i="7"/>
  <c r="Z195" i="7"/>
  <c r="Y195" i="7"/>
  <c r="X195" i="7"/>
  <c r="W195" i="7"/>
  <c r="V195" i="7"/>
  <c r="U195" i="7"/>
  <c r="T195" i="7"/>
  <c r="S195" i="7"/>
  <c r="R195" i="7"/>
  <c r="Q195" i="7"/>
  <c r="P195" i="7"/>
  <c r="O195" i="7"/>
  <c r="N195" i="7"/>
  <c r="M195" i="7"/>
  <c r="L195" i="7"/>
  <c r="K195" i="7"/>
  <c r="J195" i="7"/>
  <c r="I195" i="7"/>
  <c r="H195" i="7"/>
  <c r="G195" i="7"/>
  <c r="F195" i="7"/>
  <c r="D195" i="7"/>
  <c r="C195" i="7"/>
  <c r="B195" i="7"/>
  <c r="FQ194" i="7"/>
  <c r="FO194" i="7"/>
  <c r="FM194" i="7"/>
  <c r="FL194" i="7"/>
  <c r="FJ194" i="7"/>
  <c r="FH194" i="7"/>
  <c r="FG194" i="7"/>
  <c r="FE194" i="7"/>
  <c r="FC194" i="7"/>
  <c r="EZ194" i="7"/>
  <c r="EY194" i="7"/>
  <c r="EX194" i="7"/>
  <c r="EW194" i="7"/>
  <c r="EV194" i="7"/>
  <c r="EU194" i="7"/>
  <c r="ET194" i="7"/>
  <c r="ES194" i="7"/>
  <c r="ER194" i="7"/>
  <c r="EQ194" i="7"/>
  <c r="EP194" i="7"/>
  <c r="EO194" i="7"/>
  <c r="EN194" i="7"/>
  <c r="EM194" i="7"/>
  <c r="EI194" i="7"/>
  <c r="EG194" i="7"/>
  <c r="EE194" i="7"/>
  <c r="EC194" i="7"/>
  <c r="EA194" i="7"/>
  <c r="DY194" i="7"/>
  <c r="DW194" i="7"/>
  <c r="DU194" i="7"/>
  <c r="DS194" i="7"/>
  <c r="DR194" i="7"/>
  <c r="DP194" i="7"/>
  <c r="DN194" i="7"/>
  <c r="DM194" i="7"/>
  <c r="DK194" i="7"/>
  <c r="DI194" i="7"/>
  <c r="DH194" i="7"/>
  <c r="DF194" i="7"/>
  <c r="DD194" i="7"/>
  <c r="DC194" i="7"/>
  <c r="DA194" i="7"/>
  <c r="CY194" i="7"/>
  <c r="CX194" i="7"/>
  <c r="CV194" i="7"/>
  <c r="CT194" i="7"/>
  <c r="CS194" i="7"/>
  <c r="CR194" i="7"/>
  <c r="CQ194" i="7"/>
  <c r="CP194" i="7"/>
  <c r="CO194" i="7"/>
  <c r="CN194" i="7"/>
  <c r="CM194" i="7"/>
  <c r="CL194" i="7"/>
  <c r="CK194" i="7"/>
  <c r="CI194" i="7"/>
  <c r="CJ194" i="7" s="1"/>
  <c r="CH194" i="7"/>
  <c r="CG194" i="7"/>
  <c r="CE194" i="7"/>
  <c r="CF194" i="7" s="1"/>
  <c r="CD194" i="7"/>
  <c r="CC194" i="7"/>
  <c r="CA194" i="7"/>
  <c r="CB194" i="7" s="1"/>
  <c r="BZ194" i="7"/>
  <c r="BY194" i="7"/>
  <c r="BW194" i="7"/>
  <c r="BX194" i="7" s="1"/>
  <c r="BV194" i="7"/>
  <c r="BU194" i="7"/>
  <c r="BS194" i="7"/>
  <c r="BT194" i="7" s="1"/>
  <c r="BR194" i="7"/>
  <c r="BQ194" i="7"/>
  <c r="BO194" i="7"/>
  <c r="BP194" i="7" s="1"/>
  <c r="BN194" i="7"/>
  <c r="BM194" i="7"/>
  <c r="BK194" i="7"/>
  <c r="BL194" i="7" s="1"/>
  <c r="BJ194" i="7"/>
  <c r="BI194" i="7"/>
  <c r="BG194" i="7"/>
  <c r="BH194" i="7" s="1"/>
  <c r="BF194" i="7"/>
  <c r="BE194" i="7"/>
  <c r="BC194" i="7"/>
  <c r="BD194" i="7" s="1"/>
  <c r="BB194" i="7"/>
  <c r="AZ194" i="7"/>
  <c r="AX194" i="7"/>
  <c r="AW194" i="7"/>
  <c r="AV194" i="7"/>
  <c r="AU194" i="7"/>
  <c r="AT194" i="7"/>
  <c r="AS194" i="7"/>
  <c r="AR194" i="7"/>
  <c r="AQ194" i="7"/>
  <c r="AP194" i="7"/>
  <c r="AO194" i="7"/>
  <c r="AN194" i="7"/>
  <c r="AM194" i="7"/>
  <c r="AL194" i="7"/>
  <c r="AK194" i="7"/>
  <c r="AJ194" i="7"/>
  <c r="AI194" i="7"/>
  <c r="AH194" i="7"/>
  <c r="AG194" i="7"/>
  <c r="AF194" i="7"/>
  <c r="AE194" i="7"/>
  <c r="AD194" i="7"/>
  <c r="AC194" i="7"/>
  <c r="AB194" i="7"/>
  <c r="AA194" i="7"/>
  <c r="Z194" i="7"/>
  <c r="Y194" i="7"/>
  <c r="X194" i="7"/>
  <c r="W194" i="7"/>
  <c r="V194" i="7"/>
  <c r="U194" i="7"/>
  <c r="T194" i="7"/>
  <c r="S194" i="7"/>
  <c r="R194" i="7"/>
  <c r="Q194" i="7"/>
  <c r="P194" i="7"/>
  <c r="O194" i="7"/>
  <c r="N194" i="7"/>
  <c r="M194" i="7"/>
  <c r="L194" i="7"/>
  <c r="K194" i="7"/>
  <c r="J194" i="7"/>
  <c r="I194" i="7"/>
  <c r="H194" i="7"/>
  <c r="G194" i="7"/>
  <c r="F194" i="7"/>
  <c r="D194" i="7"/>
  <c r="C194" i="7"/>
  <c r="B194" i="7"/>
  <c r="FQ193" i="7"/>
  <c r="FO193" i="7"/>
  <c r="FM193" i="7"/>
  <c r="FL193" i="7"/>
  <c r="FJ193" i="7"/>
  <c r="FH193" i="7"/>
  <c r="FG193" i="7"/>
  <c r="FE193" i="7"/>
  <c r="FC193" i="7"/>
  <c r="EZ193" i="7"/>
  <c r="EY193" i="7"/>
  <c r="EX193" i="7"/>
  <c r="EW193" i="7"/>
  <c r="EV193" i="7"/>
  <c r="EU193" i="7"/>
  <c r="ET193" i="7"/>
  <c r="ES193" i="7"/>
  <c r="ER193" i="7"/>
  <c r="EQ193" i="7"/>
  <c r="EP193" i="7"/>
  <c r="EO193" i="7"/>
  <c r="EN193" i="7"/>
  <c r="EM193" i="7"/>
  <c r="EI193" i="7"/>
  <c r="EG193" i="7"/>
  <c r="EE193" i="7"/>
  <c r="EC193" i="7"/>
  <c r="EA193" i="7"/>
  <c r="DY193" i="7"/>
  <c r="DW193" i="7"/>
  <c r="DU193" i="7"/>
  <c r="DS193" i="7"/>
  <c r="DR193" i="7"/>
  <c r="DP193" i="7"/>
  <c r="DN193" i="7"/>
  <c r="DM193" i="7"/>
  <c r="DK193" i="7"/>
  <c r="DI193" i="7"/>
  <c r="DH193" i="7"/>
  <c r="DF193" i="7"/>
  <c r="DD193" i="7"/>
  <c r="DC193" i="7"/>
  <c r="DA193" i="7"/>
  <c r="CY193" i="7"/>
  <c r="CX193" i="7"/>
  <c r="CV193" i="7"/>
  <c r="CT193" i="7"/>
  <c r="CS193" i="7"/>
  <c r="CR193" i="7"/>
  <c r="CQ193" i="7"/>
  <c r="CP193" i="7"/>
  <c r="CO193" i="7"/>
  <c r="CN193" i="7"/>
  <c r="CM193" i="7"/>
  <c r="CL193" i="7"/>
  <c r="CK193" i="7"/>
  <c r="CI193" i="7"/>
  <c r="CJ193" i="7" s="1"/>
  <c r="CH193" i="7"/>
  <c r="CG193" i="7"/>
  <c r="CE193" i="7"/>
  <c r="CF193" i="7" s="1"/>
  <c r="CD193" i="7"/>
  <c r="CC193" i="7"/>
  <c r="CA193" i="7"/>
  <c r="CB193" i="7" s="1"/>
  <c r="BZ193" i="7"/>
  <c r="BY193" i="7"/>
  <c r="BW193" i="7"/>
  <c r="BX193" i="7" s="1"/>
  <c r="BV193" i="7"/>
  <c r="BU193" i="7"/>
  <c r="BS193" i="7"/>
  <c r="BT193" i="7" s="1"/>
  <c r="BR193" i="7"/>
  <c r="BQ193" i="7"/>
  <c r="BO193" i="7"/>
  <c r="BP193" i="7" s="1"/>
  <c r="BN193" i="7"/>
  <c r="BM193" i="7"/>
  <c r="BK193" i="7"/>
  <c r="BL193" i="7" s="1"/>
  <c r="BJ193" i="7"/>
  <c r="BI193" i="7"/>
  <c r="BG193" i="7"/>
  <c r="BH193" i="7" s="1"/>
  <c r="BF193" i="7"/>
  <c r="BE193" i="7"/>
  <c r="BC193" i="7"/>
  <c r="BD193" i="7" s="1"/>
  <c r="BB193" i="7"/>
  <c r="AZ193" i="7"/>
  <c r="AX193" i="7"/>
  <c r="AW193" i="7"/>
  <c r="AV193" i="7"/>
  <c r="AU193" i="7"/>
  <c r="AT193" i="7"/>
  <c r="AS193" i="7"/>
  <c r="AR193" i="7"/>
  <c r="AQ193" i="7"/>
  <c r="AP193" i="7"/>
  <c r="AO193" i="7"/>
  <c r="AN193" i="7"/>
  <c r="AM193" i="7"/>
  <c r="AL193" i="7"/>
  <c r="AK193" i="7"/>
  <c r="AJ193" i="7"/>
  <c r="AI193" i="7"/>
  <c r="AH193" i="7"/>
  <c r="AG193" i="7"/>
  <c r="AF193" i="7"/>
  <c r="AE193" i="7"/>
  <c r="AD193" i="7"/>
  <c r="AC193" i="7"/>
  <c r="AB193" i="7"/>
  <c r="AA193" i="7"/>
  <c r="Z193" i="7"/>
  <c r="Y193" i="7"/>
  <c r="X193" i="7"/>
  <c r="W193" i="7"/>
  <c r="V193" i="7"/>
  <c r="U193" i="7"/>
  <c r="T193" i="7"/>
  <c r="S193" i="7"/>
  <c r="R193" i="7"/>
  <c r="Q193" i="7"/>
  <c r="P193" i="7"/>
  <c r="O193" i="7"/>
  <c r="N193" i="7"/>
  <c r="M193" i="7"/>
  <c r="L193" i="7"/>
  <c r="K193" i="7"/>
  <c r="J193" i="7"/>
  <c r="I193" i="7"/>
  <c r="H193" i="7"/>
  <c r="G193" i="7"/>
  <c r="F193" i="7"/>
  <c r="D193" i="7"/>
  <c r="C193" i="7"/>
  <c r="B193" i="7"/>
  <c r="FQ192" i="7"/>
  <c r="FO192" i="7"/>
  <c r="FM192" i="7"/>
  <c r="FL192" i="7"/>
  <c r="FJ192" i="7"/>
  <c r="FH192" i="7"/>
  <c r="FG192" i="7"/>
  <c r="FE192" i="7"/>
  <c r="FC192" i="7"/>
  <c r="EZ192" i="7"/>
  <c r="EY192" i="7"/>
  <c r="EX192" i="7"/>
  <c r="EW192" i="7"/>
  <c r="EV192" i="7"/>
  <c r="EU192" i="7"/>
  <c r="ET192" i="7"/>
  <c r="ES192" i="7"/>
  <c r="ER192" i="7"/>
  <c r="EQ192" i="7"/>
  <c r="EP192" i="7"/>
  <c r="EO192" i="7"/>
  <c r="EN192" i="7"/>
  <c r="EM192" i="7"/>
  <c r="EI192" i="7"/>
  <c r="EG192" i="7"/>
  <c r="EE192" i="7"/>
  <c r="EC192" i="7"/>
  <c r="EA192" i="7"/>
  <c r="DY192" i="7"/>
  <c r="DW192" i="7"/>
  <c r="DU192" i="7"/>
  <c r="DS192" i="7"/>
  <c r="DR192" i="7"/>
  <c r="DP192" i="7"/>
  <c r="DN192" i="7"/>
  <c r="DM192" i="7"/>
  <c r="DK192" i="7"/>
  <c r="DI192" i="7"/>
  <c r="DH192" i="7"/>
  <c r="DF192" i="7"/>
  <c r="DD192" i="7"/>
  <c r="DC192" i="7"/>
  <c r="DA192" i="7"/>
  <c r="CY192" i="7"/>
  <c r="CX192" i="7"/>
  <c r="CV192" i="7"/>
  <c r="CT192" i="7"/>
  <c r="CS192" i="7"/>
  <c r="CR192" i="7"/>
  <c r="CQ192" i="7"/>
  <c r="CP192" i="7"/>
  <c r="CO192" i="7"/>
  <c r="CN192" i="7"/>
  <c r="CM192" i="7"/>
  <c r="CL192" i="7"/>
  <c r="CK192" i="7"/>
  <c r="CI192" i="7"/>
  <c r="CJ192" i="7" s="1"/>
  <c r="CH192" i="7"/>
  <c r="CG192" i="7"/>
  <c r="CE192" i="7"/>
  <c r="CF192" i="7" s="1"/>
  <c r="CD192" i="7"/>
  <c r="CC192" i="7"/>
  <c r="CA192" i="7"/>
  <c r="CB192" i="7" s="1"/>
  <c r="BZ192" i="7"/>
  <c r="BY192" i="7"/>
  <c r="BW192" i="7"/>
  <c r="BX192" i="7" s="1"/>
  <c r="BV192" i="7"/>
  <c r="BU192" i="7"/>
  <c r="BS192" i="7"/>
  <c r="BT192" i="7" s="1"/>
  <c r="BR192" i="7"/>
  <c r="BQ192" i="7"/>
  <c r="BO192" i="7"/>
  <c r="BP192" i="7" s="1"/>
  <c r="BN192" i="7"/>
  <c r="BM192" i="7"/>
  <c r="BK192" i="7"/>
  <c r="BL192" i="7" s="1"/>
  <c r="BJ192" i="7"/>
  <c r="BI192" i="7"/>
  <c r="BG192" i="7"/>
  <c r="BH192" i="7" s="1"/>
  <c r="BF192" i="7"/>
  <c r="BE192" i="7"/>
  <c r="BC192" i="7"/>
  <c r="BD192" i="7" s="1"/>
  <c r="BB192" i="7"/>
  <c r="AZ192" i="7"/>
  <c r="AX192" i="7"/>
  <c r="AW192" i="7"/>
  <c r="AV192" i="7"/>
  <c r="AU192" i="7"/>
  <c r="AT192" i="7"/>
  <c r="AS192" i="7"/>
  <c r="AR192" i="7"/>
  <c r="AQ192" i="7"/>
  <c r="AP192" i="7"/>
  <c r="AO192" i="7"/>
  <c r="AN192" i="7"/>
  <c r="AM192" i="7"/>
  <c r="AL192" i="7"/>
  <c r="AK192" i="7"/>
  <c r="AJ192" i="7"/>
  <c r="AI192" i="7"/>
  <c r="AH192" i="7"/>
  <c r="AG192" i="7"/>
  <c r="AF192" i="7"/>
  <c r="AE192" i="7"/>
  <c r="AD192" i="7"/>
  <c r="AC192" i="7"/>
  <c r="AB192" i="7"/>
  <c r="AA192" i="7"/>
  <c r="Z192" i="7"/>
  <c r="Y192" i="7"/>
  <c r="X192" i="7"/>
  <c r="W192" i="7"/>
  <c r="V192" i="7"/>
  <c r="U192" i="7"/>
  <c r="T192" i="7"/>
  <c r="S192" i="7"/>
  <c r="R192" i="7"/>
  <c r="Q192" i="7"/>
  <c r="P192" i="7"/>
  <c r="O192" i="7"/>
  <c r="N192" i="7"/>
  <c r="M192" i="7"/>
  <c r="L192" i="7"/>
  <c r="K192" i="7"/>
  <c r="J192" i="7"/>
  <c r="I192" i="7"/>
  <c r="H192" i="7"/>
  <c r="G192" i="7"/>
  <c r="F192" i="7"/>
  <c r="D192" i="7"/>
  <c r="C192" i="7"/>
  <c r="B192" i="7"/>
  <c r="FQ191" i="7"/>
  <c r="FO191" i="7"/>
  <c r="FM191" i="7"/>
  <c r="FL191" i="7"/>
  <c r="FJ191" i="7"/>
  <c r="FH191" i="7"/>
  <c r="FG191" i="7"/>
  <c r="FE191" i="7"/>
  <c r="FC191" i="7"/>
  <c r="EZ191" i="7"/>
  <c r="EY191" i="7"/>
  <c r="EX191" i="7"/>
  <c r="EW191" i="7"/>
  <c r="EV191" i="7"/>
  <c r="EU191" i="7"/>
  <c r="ET191" i="7"/>
  <c r="ES191" i="7"/>
  <c r="ER191" i="7"/>
  <c r="EQ191" i="7"/>
  <c r="EP191" i="7"/>
  <c r="EO191" i="7"/>
  <c r="EN191" i="7"/>
  <c r="EM191" i="7"/>
  <c r="EI191" i="7"/>
  <c r="EG191" i="7"/>
  <c r="EE191" i="7"/>
  <c r="EC191" i="7"/>
  <c r="EA191" i="7"/>
  <c r="DY191" i="7"/>
  <c r="DW191" i="7"/>
  <c r="DU191" i="7"/>
  <c r="DS191" i="7"/>
  <c r="DR191" i="7"/>
  <c r="DP191" i="7"/>
  <c r="DN191" i="7"/>
  <c r="DM191" i="7"/>
  <c r="DK191" i="7"/>
  <c r="DI191" i="7"/>
  <c r="DH191" i="7"/>
  <c r="DF191" i="7"/>
  <c r="DD191" i="7"/>
  <c r="DC191" i="7"/>
  <c r="DA191" i="7"/>
  <c r="CY191" i="7"/>
  <c r="CX191" i="7"/>
  <c r="CV191" i="7"/>
  <c r="CT191" i="7"/>
  <c r="CS191" i="7"/>
  <c r="CR191" i="7"/>
  <c r="CQ191" i="7"/>
  <c r="CP191" i="7"/>
  <c r="CO191" i="7"/>
  <c r="CN191" i="7"/>
  <c r="CM191" i="7"/>
  <c r="CL191" i="7"/>
  <c r="CK191" i="7"/>
  <c r="CI191" i="7"/>
  <c r="CJ191" i="7" s="1"/>
  <c r="CH191" i="7"/>
  <c r="CG191" i="7"/>
  <c r="CE191" i="7"/>
  <c r="CF191" i="7" s="1"/>
  <c r="CD191" i="7"/>
  <c r="CC191" i="7"/>
  <c r="CA191" i="7"/>
  <c r="CB191" i="7" s="1"/>
  <c r="BZ191" i="7"/>
  <c r="BY191" i="7"/>
  <c r="BW191" i="7"/>
  <c r="BX191" i="7" s="1"/>
  <c r="BV191" i="7"/>
  <c r="BU191" i="7"/>
  <c r="BS191" i="7"/>
  <c r="BT191" i="7" s="1"/>
  <c r="BR191" i="7"/>
  <c r="BQ191" i="7"/>
  <c r="BO191" i="7"/>
  <c r="BP191" i="7" s="1"/>
  <c r="BN191" i="7"/>
  <c r="BM191" i="7"/>
  <c r="BK191" i="7"/>
  <c r="BL191" i="7" s="1"/>
  <c r="BJ191" i="7"/>
  <c r="BI191" i="7"/>
  <c r="BG191" i="7"/>
  <c r="BH191" i="7" s="1"/>
  <c r="BF191" i="7"/>
  <c r="BE191" i="7"/>
  <c r="BC191" i="7"/>
  <c r="BD191" i="7" s="1"/>
  <c r="BB191" i="7"/>
  <c r="AZ191" i="7"/>
  <c r="AX191" i="7"/>
  <c r="AW191" i="7"/>
  <c r="AV191" i="7"/>
  <c r="AU191" i="7"/>
  <c r="AT191" i="7"/>
  <c r="AS191" i="7"/>
  <c r="AR191" i="7"/>
  <c r="AQ191" i="7"/>
  <c r="AP191" i="7"/>
  <c r="AO191" i="7"/>
  <c r="AN191" i="7"/>
  <c r="AM191" i="7"/>
  <c r="AL191" i="7"/>
  <c r="AK191" i="7"/>
  <c r="AJ191" i="7"/>
  <c r="AI191" i="7"/>
  <c r="AH191" i="7"/>
  <c r="AG191" i="7"/>
  <c r="AF191" i="7"/>
  <c r="AE191" i="7"/>
  <c r="AD191" i="7"/>
  <c r="AC191" i="7"/>
  <c r="AB191" i="7"/>
  <c r="AA191" i="7"/>
  <c r="Z191" i="7"/>
  <c r="Y191" i="7"/>
  <c r="X191" i="7"/>
  <c r="W191" i="7"/>
  <c r="V191" i="7"/>
  <c r="U191" i="7"/>
  <c r="T191" i="7"/>
  <c r="S191" i="7"/>
  <c r="R191" i="7"/>
  <c r="Q191" i="7"/>
  <c r="P191" i="7"/>
  <c r="O191" i="7"/>
  <c r="N191" i="7"/>
  <c r="M191" i="7"/>
  <c r="L191" i="7"/>
  <c r="K191" i="7"/>
  <c r="J191" i="7"/>
  <c r="I191" i="7"/>
  <c r="H191" i="7"/>
  <c r="G191" i="7"/>
  <c r="F191" i="7"/>
  <c r="D191" i="7"/>
  <c r="C191" i="7"/>
  <c r="B191" i="7"/>
  <c r="FQ190" i="7"/>
  <c r="FO190" i="7"/>
  <c r="FM190" i="7"/>
  <c r="FL190" i="7"/>
  <c r="FJ190" i="7"/>
  <c r="FH190" i="7"/>
  <c r="FG190" i="7"/>
  <c r="FE190" i="7"/>
  <c r="FC190" i="7"/>
  <c r="EZ190" i="7"/>
  <c r="EY190" i="7"/>
  <c r="EX190" i="7"/>
  <c r="EW190" i="7"/>
  <c r="EV190" i="7"/>
  <c r="EU190" i="7"/>
  <c r="ET190" i="7"/>
  <c r="ES190" i="7"/>
  <c r="ER190" i="7"/>
  <c r="EQ190" i="7"/>
  <c r="EP190" i="7"/>
  <c r="EO190" i="7"/>
  <c r="EN190" i="7"/>
  <c r="EM190" i="7"/>
  <c r="EI190" i="7"/>
  <c r="EG190" i="7"/>
  <c r="EE190" i="7"/>
  <c r="EC190" i="7"/>
  <c r="EA190" i="7"/>
  <c r="DY190" i="7"/>
  <c r="DW190" i="7"/>
  <c r="DU190" i="7"/>
  <c r="DS190" i="7"/>
  <c r="DR190" i="7"/>
  <c r="DP190" i="7"/>
  <c r="DN190" i="7"/>
  <c r="DM190" i="7"/>
  <c r="DK190" i="7"/>
  <c r="DI190" i="7"/>
  <c r="DH190" i="7"/>
  <c r="DF190" i="7"/>
  <c r="DD190" i="7"/>
  <c r="DC190" i="7"/>
  <c r="DA190" i="7"/>
  <c r="CY190" i="7"/>
  <c r="CX190" i="7"/>
  <c r="CV190" i="7"/>
  <c r="CT190" i="7"/>
  <c r="CS190" i="7"/>
  <c r="CR190" i="7"/>
  <c r="CQ190" i="7"/>
  <c r="CP190" i="7"/>
  <c r="CO190" i="7"/>
  <c r="CN190" i="7"/>
  <c r="CM190" i="7"/>
  <c r="CL190" i="7"/>
  <c r="CK190" i="7"/>
  <c r="CI190" i="7"/>
  <c r="CJ190" i="7" s="1"/>
  <c r="CH190" i="7"/>
  <c r="CG190" i="7"/>
  <c r="CE190" i="7"/>
  <c r="CF190" i="7" s="1"/>
  <c r="CD190" i="7"/>
  <c r="CC190" i="7"/>
  <c r="CA190" i="7"/>
  <c r="CB190" i="7" s="1"/>
  <c r="BZ190" i="7"/>
  <c r="BY190" i="7"/>
  <c r="BW190" i="7"/>
  <c r="BX190" i="7" s="1"/>
  <c r="BV190" i="7"/>
  <c r="BU190" i="7"/>
  <c r="BS190" i="7"/>
  <c r="BT190" i="7" s="1"/>
  <c r="BR190" i="7"/>
  <c r="BQ190" i="7"/>
  <c r="BO190" i="7"/>
  <c r="BP190" i="7" s="1"/>
  <c r="BN190" i="7"/>
  <c r="BM190" i="7"/>
  <c r="BK190" i="7"/>
  <c r="BL190" i="7" s="1"/>
  <c r="BJ190" i="7"/>
  <c r="BI190" i="7"/>
  <c r="BG190" i="7"/>
  <c r="BH190" i="7" s="1"/>
  <c r="BF190" i="7"/>
  <c r="BE190" i="7"/>
  <c r="BC190" i="7"/>
  <c r="BD190" i="7" s="1"/>
  <c r="BB190" i="7"/>
  <c r="AZ190" i="7"/>
  <c r="AX190" i="7"/>
  <c r="AW190" i="7"/>
  <c r="AV190" i="7"/>
  <c r="AU190" i="7"/>
  <c r="AT190" i="7"/>
  <c r="AS190" i="7"/>
  <c r="AR190" i="7"/>
  <c r="AQ190" i="7"/>
  <c r="AP190" i="7"/>
  <c r="AO190" i="7"/>
  <c r="AN190" i="7"/>
  <c r="AM190" i="7"/>
  <c r="AL190" i="7"/>
  <c r="AK190" i="7"/>
  <c r="AJ190" i="7"/>
  <c r="AI190" i="7"/>
  <c r="AH190" i="7"/>
  <c r="AG190" i="7"/>
  <c r="AF190" i="7"/>
  <c r="AE190" i="7"/>
  <c r="AD190" i="7"/>
  <c r="AC190" i="7"/>
  <c r="AB190" i="7"/>
  <c r="AA190" i="7"/>
  <c r="Z190" i="7"/>
  <c r="Y190" i="7"/>
  <c r="X190" i="7"/>
  <c r="W190" i="7"/>
  <c r="V190" i="7"/>
  <c r="U190" i="7"/>
  <c r="T190" i="7"/>
  <c r="S190" i="7"/>
  <c r="R190" i="7"/>
  <c r="Q190" i="7"/>
  <c r="P190" i="7"/>
  <c r="O190" i="7"/>
  <c r="N190" i="7"/>
  <c r="M190" i="7"/>
  <c r="L190" i="7"/>
  <c r="K190" i="7"/>
  <c r="J190" i="7"/>
  <c r="I190" i="7"/>
  <c r="H190" i="7"/>
  <c r="G190" i="7"/>
  <c r="F190" i="7"/>
  <c r="D190" i="7"/>
  <c r="C190" i="7"/>
  <c r="B190" i="7"/>
  <c r="FQ189" i="7"/>
  <c r="FO189" i="7"/>
  <c r="FM189" i="7"/>
  <c r="FL189" i="7"/>
  <c r="FJ189" i="7"/>
  <c r="FH189" i="7"/>
  <c r="FG189" i="7"/>
  <c r="FE189" i="7"/>
  <c r="FC189" i="7"/>
  <c r="EZ189" i="7"/>
  <c r="EY189" i="7"/>
  <c r="EX189" i="7"/>
  <c r="EW189" i="7"/>
  <c r="EV189" i="7"/>
  <c r="EU189" i="7"/>
  <c r="ET189" i="7"/>
  <c r="ES189" i="7"/>
  <c r="ER189" i="7"/>
  <c r="EQ189" i="7"/>
  <c r="EP189" i="7"/>
  <c r="EO189" i="7"/>
  <c r="EN189" i="7"/>
  <c r="EM189" i="7"/>
  <c r="EI189" i="7"/>
  <c r="EG189" i="7"/>
  <c r="EE189" i="7"/>
  <c r="EC189" i="7"/>
  <c r="EA189" i="7"/>
  <c r="DY189" i="7"/>
  <c r="DW189" i="7"/>
  <c r="DU189" i="7"/>
  <c r="DS189" i="7"/>
  <c r="DR189" i="7"/>
  <c r="DP189" i="7"/>
  <c r="DN189" i="7"/>
  <c r="DM189" i="7"/>
  <c r="DK189" i="7"/>
  <c r="DI189" i="7"/>
  <c r="DH189" i="7"/>
  <c r="DF189" i="7"/>
  <c r="DD189" i="7"/>
  <c r="DC189" i="7"/>
  <c r="DA189" i="7"/>
  <c r="CY189" i="7"/>
  <c r="CX189" i="7"/>
  <c r="CV189" i="7"/>
  <c r="CT189" i="7"/>
  <c r="CS189" i="7"/>
  <c r="CR189" i="7"/>
  <c r="CQ189" i="7"/>
  <c r="CP189" i="7"/>
  <c r="CO189" i="7"/>
  <c r="CN189" i="7"/>
  <c r="CM189" i="7"/>
  <c r="CL189" i="7"/>
  <c r="CK189" i="7"/>
  <c r="CI189" i="7"/>
  <c r="CJ189" i="7" s="1"/>
  <c r="CH189" i="7"/>
  <c r="CG189" i="7"/>
  <c r="CE189" i="7"/>
  <c r="CF189" i="7" s="1"/>
  <c r="CD189" i="7"/>
  <c r="CC189" i="7"/>
  <c r="CA189" i="7"/>
  <c r="CB189" i="7" s="1"/>
  <c r="BZ189" i="7"/>
  <c r="BY189" i="7"/>
  <c r="BW189" i="7"/>
  <c r="BX189" i="7" s="1"/>
  <c r="BV189" i="7"/>
  <c r="BU189" i="7"/>
  <c r="BS189" i="7"/>
  <c r="BT189" i="7" s="1"/>
  <c r="BR189" i="7"/>
  <c r="BQ189" i="7"/>
  <c r="BO189" i="7"/>
  <c r="BP189" i="7" s="1"/>
  <c r="BN189" i="7"/>
  <c r="BM189" i="7"/>
  <c r="BK189" i="7"/>
  <c r="BL189" i="7" s="1"/>
  <c r="BJ189" i="7"/>
  <c r="BI189" i="7"/>
  <c r="BG189" i="7"/>
  <c r="BH189" i="7" s="1"/>
  <c r="BF189" i="7"/>
  <c r="BE189" i="7"/>
  <c r="BC189" i="7"/>
  <c r="BD189" i="7" s="1"/>
  <c r="BB189" i="7"/>
  <c r="AZ189" i="7"/>
  <c r="AX189" i="7"/>
  <c r="AW189" i="7"/>
  <c r="AV189" i="7"/>
  <c r="AU189" i="7"/>
  <c r="AT189" i="7"/>
  <c r="AS189" i="7"/>
  <c r="AR189" i="7"/>
  <c r="AQ189" i="7"/>
  <c r="AP189" i="7"/>
  <c r="AO189" i="7"/>
  <c r="AN189" i="7"/>
  <c r="AM189" i="7"/>
  <c r="AL189" i="7"/>
  <c r="AK189" i="7"/>
  <c r="AJ189" i="7"/>
  <c r="AI189" i="7"/>
  <c r="AH189" i="7"/>
  <c r="AG189" i="7"/>
  <c r="AF189" i="7"/>
  <c r="AE189" i="7"/>
  <c r="AD189" i="7"/>
  <c r="AC189" i="7"/>
  <c r="AB189" i="7"/>
  <c r="AA189" i="7"/>
  <c r="Z189" i="7"/>
  <c r="Y189" i="7"/>
  <c r="X189" i="7"/>
  <c r="W189" i="7"/>
  <c r="V189" i="7"/>
  <c r="U189" i="7"/>
  <c r="T189" i="7"/>
  <c r="S189" i="7"/>
  <c r="R189" i="7"/>
  <c r="Q189" i="7"/>
  <c r="P189" i="7"/>
  <c r="O189" i="7"/>
  <c r="N189" i="7"/>
  <c r="M189" i="7"/>
  <c r="L189" i="7"/>
  <c r="K189" i="7"/>
  <c r="J189" i="7"/>
  <c r="I189" i="7"/>
  <c r="H189" i="7"/>
  <c r="G189" i="7"/>
  <c r="F189" i="7"/>
  <c r="D189" i="7"/>
  <c r="C189" i="7"/>
  <c r="B189" i="7"/>
  <c r="FQ188" i="7"/>
  <c r="FO188" i="7"/>
  <c r="FM188" i="7"/>
  <c r="FL188" i="7"/>
  <c r="FJ188" i="7"/>
  <c r="FH188" i="7"/>
  <c r="FG188" i="7"/>
  <c r="FE188" i="7"/>
  <c r="FC188" i="7"/>
  <c r="EZ188" i="7"/>
  <c r="EY188" i="7"/>
  <c r="EX188" i="7"/>
  <c r="EW188" i="7"/>
  <c r="EV188" i="7"/>
  <c r="EU188" i="7"/>
  <c r="ET188" i="7"/>
  <c r="ES188" i="7"/>
  <c r="ER188" i="7"/>
  <c r="EQ188" i="7"/>
  <c r="EP188" i="7"/>
  <c r="EO188" i="7"/>
  <c r="EN188" i="7"/>
  <c r="EM188" i="7"/>
  <c r="EI188" i="7"/>
  <c r="EG188" i="7"/>
  <c r="EE188" i="7"/>
  <c r="EC188" i="7"/>
  <c r="EA188" i="7"/>
  <c r="DY188" i="7"/>
  <c r="DW188" i="7"/>
  <c r="DU188" i="7"/>
  <c r="DS188" i="7"/>
  <c r="DR188" i="7"/>
  <c r="DP188" i="7"/>
  <c r="DN188" i="7"/>
  <c r="DM188" i="7"/>
  <c r="DK188" i="7"/>
  <c r="DI188" i="7"/>
  <c r="DH188" i="7"/>
  <c r="DF188" i="7"/>
  <c r="DD188" i="7"/>
  <c r="DC188" i="7"/>
  <c r="DA188" i="7"/>
  <c r="CY188" i="7"/>
  <c r="CX188" i="7"/>
  <c r="CV188" i="7"/>
  <c r="CT188" i="7"/>
  <c r="CS188" i="7"/>
  <c r="CR188" i="7"/>
  <c r="CQ188" i="7"/>
  <c r="CP188" i="7"/>
  <c r="CO188" i="7"/>
  <c r="CN188" i="7"/>
  <c r="CM188" i="7"/>
  <c r="CL188" i="7"/>
  <c r="CK188" i="7"/>
  <c r="CI188" i="7"/>
  <c r="CJ188" i="7" s="1"/>
  <c r="CH188" i="7"/>
  <c r="CG188" i="7"/>
  <c r="CE188" i="7"/>
  <c r="CF188" i="7" s="1"/>
  <c r="CD188" i="7"/>
  <c r="CC188" i="7"/>
  <c r="CA188" i="7"/>
  <c r="CB188" i="7" s="1"/>
  <c r="BZ188" i="7"/>
  <c r="BY188" i="7"/>
  <c r="BW188" i="7"/>
  <c r="BX188" i="7" s="1"/>
  <c r="BV188" i="7"/>
  <c r="BU188" i="7"/>
  <c r="BS188" i="7"/>
  <c r="BT188" i="7" s="1"/>
  <c r="BR188" i="7"/>
  <c r="BQ188" i="7"/>
  <c r="BO188" i="7"/>
  <c r="BP188" i="7" s="1"/>
  <c r="BN188" i="7"/>
  <c r="BM188" i="7"/>
  <c r="BK188" i="7"/>
  <c r="BL188" i="7" s="1"/>
  <c r="BJ188" i="7"/>
  <c r="BI188" i="7"/>
  <c r="BG188" i="7"/>
  <c r="BH188" i="7" s="1"/>
  <c r="BF188" i="7"/>
  <c r="BE188" i="7"/>
  <c r="BC188" i="7"/>
  <c r="BD188" i="7" s="1"/>
  <c r="BB188" i="7"/>
  <c r="AZ188" i="7"/>
  <c r="AX188" i="7"/>
  <c r="AW188" i="7"/>
  <c r="AV188" i="7"/>
  <c r="AU188" i="7"/>
  <c r="AT188" i="7"/>
  <c r="AS188" i="7"/>
  <c r="AR188" i="7"/>
  <c r="AQ188" i="7"/>
  <c r="AP188" i="7"/>
  <c r="AO188" i="7"/>
  <c r="AN188" i="7"/>
  <c r="AM188" i="7"/>
  <c r="AL188" i="7"/>
  <c r="AK188" i="7"/>
  <c r="AJ188" i="7"/>
  <c r="AI188" i="7"/>
  <c r="AH188" i="7"/>
  <c r="AG188" i="7"/>
  <c r="AF188" i="7"/>
  <c r="AE188" i="7"/>
  <c r="AD188" i="7"/>
  <c r="AC188" i="7"/>
  <c r="AB188" i="7"/>
  <c r="AA188" i="7"/>
  <c r="Z188" i="7"/>
  <c r="Y188" i="7"/>
  <c r="X188" i="7"/>
  <c r="W188" i="7"/>
  <c r="V188" i="7"/>
  <c r="U188" i="7"/>
  <c r="T188" i="7"/>
  <c r="S188" i="7"/>
  <c r="R188" i="7"/>
  <c r="Q188" i="7"/>
  <c r="P188" i="7"/>
  <c r="O188" i="7"/>
  <c r="N188" i="7"/>
  <c r="M188" i="7"/>
  <c r="L188" i="7"/>
  <c r="K188" i="7"/>
  <c r="J188" i="7"/>
  <c r="I188" i="7"/>
  <c r="H188" i="7"/>
  <c r="G188" i="7"/>
  <c r="F188" i="7"/>
  <c r="D188" i="7"/>
  <c r="C188" i="7"/>
  <c r="B188" i="7"/>
  <c r="FQ187" i="7"/>
  <c r="FO187" i="7"/>
  <c r="FM187" i="7"/>
  <c r="FL187" i="7"/>
  <c r="FJ187" i="7"/>
  <c r="FH187" i="7"/>
  <c r="FG187" i="7"/>
  <c r="FE187" i="7"/>
  <c r="FC187" i="7"/>
  <c r="EZ187" i="7"/>
  <c r="EY187" i="7"/>
  <c r="EX187" i="7"/>
  <c r="EW187" i="7"/>
  <c r="EV187" i="7"/>
  <c r="EU187" i="7"/>
  <c r="ET187" i="7"/>
  <c r="ES187" i="7"/>
  <c r="ER187" i="7"/>
  <c r="EQ187" i="7"/>
  <c r="EP187" i="7"/>
  <c r="EO187" i="7"/>
  <c r="EN187" i="7"/>
  <c r="EM187" i="7"/>
  <c r="EI187" i="7"/>
  <c r="EG187" i="7"/>
  <c r="EE187" i="7"/>
  <c r="EC187" i="7"/>
  <c r="EA187" i="7"/>
  <c r="DY187" i="7"/>
  <c r="DW187" i="7"/>
  <c r="DU187" i="7"/>
  <c r="DS187" i="7"/>
  <c r="DR187" i="7"/>
  <c r="DP187" i="7"/>
  <c r="DN187" i="7"/>
  <c r="DM187" i="7"/>
  <c r="DK187" i="7"/>
  <c r="DI187" i="7"/>
  <c r="DH187" i="7"/>
  <c r="DF187" i="7"/>
  <c r="DD187" i="7"/>
  <c r="DC187" i="7"/>
  <c r="DA187" i="7"/>
  <c r="CY187" i="7"/>
  <c r="CX187" i="7"/>
  <c r="CV187" i="7"/>
  <c r="CT187" i="7"/>
  <c r="CS187" i="7"/>
  <c r="CR187" i="7"/>
  <c r="CQ187" i="7"/>
  <c r="CP187" i="7"/>
  <c r="CO187" i="7"/>
  <c r="CN187" i="7"/>
  <c r="CM187" i="7"/>
  <c r="CL187" i="7"/>
  <c r="CK187" i="7"/>
  <c r="CI187" i="7"/>
  <c r="CJ187" i="7" s="1"/>
  <c r="CH187" i="7"/>
  <c r="CG187" i="7"/>
  <c r="CE187" i="7"/>
  <c r="CF187" i="7" s="1"/>
  <c r="CD187" i="7"/>
  <c r="CC187" i="7"/>
  <c r="CA187" i="7"/>
  <c r="CB187" i="7" s="1"/>
  <c r="BZ187" i="7"/>
  <c r="BY187" i="7"/>
  <c r="BW187" i="7"/>
  <c r="BX187" i="7" s="1"/>
  <c r="BV187" i="7"/>
  <c r="BU187" i="7"/>
  <c r="BS187" i="7"/>
  <c r="BT187" i="7" s="1"/>
  <c r="BR187" i="7"/>
  <c r="BQ187" i="7"/>
  <c r="BO187" i="7"/>
  <c r="BP187" i="7" s="1"/>
  <c r="BN187" i="7"/>
  <c r="BM187" i="7"/>
  <c r="BK187" i="7"/>
  <c r="BL187" i="7" s="1"/>
  <c r="BJ187" i="7"/>
  <c r="BI187" i="7"/>
  <c r="BG187" i="7"/>
  <c r="BH187" i="7" s="1"/>
  <c r="BF187" i="7"/>
  <c r="BE187" i="7"/>
  <c r="BC187" i="7"/>
  <c r="BD187" i="7" s="1"/>
  <c r="BB187" i="7"/>
  <c r="AZ187" i="7"/>
  <c r="AX187" i="7"/>
  <c r="AW187" i="7"/>
  <c r="AV187" i="7"/>
  <c r="AU187" i="7"/>
  <c r="AT187" i="7"/>
  <c r="AS187" i="7"/>
  <c r="AR187" i="7"/>
  <c r="AQ187" i="7"/>
  <c r="AP187" i="7"/>
  <c r="AO187" i="7"/>
  <c r="AN187" i="7"/>
  <c r="AM187" i="7"/>
  <c r="AL187" i="7"/>
  <c r="AK187" i="7"/>
  <c r="AJ187" i="7"/>
  <c r="AI187" i="7"/>
  <c r="AH187" i="7"/>
  <c r="AG187" i="7"/>
  <c r="AF187" i="7"/>
  <c r="AE187" i="7"/>
  <c r="AD187" i="7"/>
  <c r="AC187" i="7"/>
  <c r="AB187" i="7"/>
  <c r="AA187" i="7"/>
  <c r="Z187" i="7"/>
  <c r="Y187" i="7"/>
  <c r="X187" i="7"/>
  <c r="W187" i="7"/>
  <c r="V187" i="7"/>
  <c r="U187" i="7"/>
  <c r="T187" i="7"/>
  <c r="S187" i="7"/>
  <c r="R187" i="7"/>
  <c r="Q187" i="7"/>
  <c r="P187" i="7"/>
  <c r="O187" i="7"/>
  <c r="N187" i="7"/>
  <c r="M187" i="7"/>
  <c r="L187" i="7"/>
  <c r="K187" i="7"/>
  <c r="J187" i="7"/>
  <c r="I187" i="7"/>
  <c r="H187" i="7"/>
  <c r="G187" i="7"/>
  <c r="F187" i="7"/>
  <c r="D187" i="7"/>
  <c r="C187" i="7"/>
  <c r="B187" i="7"/>
  <c r="FQ186" i="7"/>
  <c r="FO186" i="7"/>
  <c r="FM186" i="7"/>
  <c r="FL186" i="7"/>
  <c r="FJ186" i="7"/>
  <c r="FH186" i="7"/>
  <c r="FG186" i="7"/>
  <c r="FE186" i="7"/>
  <c r="FC186" i="7"/>
  <c r="EZ186" i="7"/>
  <c r="EY186" i="7"/>
  <c r="EX186" i="7"/>
  <c r="EW186" i="7"/>
  <c r="EV186" i="7"/>
  <c r="EU186" i="7"/>
  <c r="ET186" i="7"/>
  <c r="ES186" i="7"/>
  <c r="ER186" i="7"/>
  <c r="EQ186" i="7"/>
  <c r="EP186" i="7"/>
  <c r="EO186" i="7"/>
  <c r="EN186" i="7"/>
  <c r="EM186" i="7"/>
  <c r="EI186" i="7"/>
  <c r="EG186" i="7"/>
  <c r="EE186" i="7"/>
  <c r="EC186" i="7"/>
  <c r="EA186" i="7"/>
  <c r="DY186" i="7"/>
  <c r="DW186" i="7"/>
  <c r="DU186" i="7"/>
  <c r="DS186" i="7"/>
  <c r="DR186" i="7"/>
  <c r="DP186" i="7"/>
  <c r="DN186" i="7"/>
  <c r="DM186" i="7"/>
  <c r="DK186" i="7"/>
  <c r="DI186" i="7"/>
  <c r="DH186" i="7"/>
  <c r="DF186" i="7"/>
  <c r="DD186" i="7"/>
  <c r="DC186" i="7"/>
  <c r="DA186" i="7"/>
  <c r="CY186" i="7"/>
  <c r="CX186" i="7"/>
  <c r="CV186" i="7"/>
  <c r="CT186" i="7"/>
  <c r="CS186" i="7"/>
  <c r="CR186" i="7"/>
  <c r="CQ186" i="7"/>
  <c r="CP186" i="7"/>
  <c r="CO186" i="7"/>
  <c r="CN186" i="7"/>
  <c r="CM186" i="7"/>
  <c r="CL186" i="7"/>
  <c r="CK186" i="7"/>
  <c r="CI186" i="7"/>
  <c r="CJ186" i="7" s="1"/>
  <c r="CH186" i="7"/>
  <c r="CG186" i="7"/>
  <c r="CE186" i="7"/>
  <c r="CF186" i="7" s="1"/>
  <c r="CD186" i="7"/>
  <c r="CC186" i="7"/>
  <c r="CA186" i="7"/>
  <c r="CB186" i="7" s="1"/>
  <c r="BZ186" i="7"/>
  <c r="BY186" i="7"/>
  <c r="BW186" i="7"/>
  <c r="BX186" i="7" s="1"/>
  <c r="BV186" i="7"/>
  <c r="BU186" i="7"/>
  <c r="BS186" i="7"/>
  <c r="BT186" i="7" s="1"/>
  <c r="BR186" i="7"/>
  <c r="BQ186" i="7"/>
  <c r="BO186" i="7"/>
  <c r="BP186" i="7" s="1"/>
  <c r="BN186" i="7"/>
  <c r="BM186" i="7"/>
  <c r="BK186" i="7"/>
  <c r="BL186" i="7" s="1"/>
  <c r="BJ186" i="7"/>
  <c r="BI186" i="7"/>
  <c r="BG186" i="7"/>
  <c r="BH186" i="7" s="1"/>
  <c r="BF186" i="7"/>
  <c r="BE186" i="7"/>
  <c r="BC186" i="7"/>
  <c r="BD186" i="7" s="1"/>
  <c r="BB186" i="7"/>
  <c r="AZ186" i="7"/>
  <c r="AX186" i="7"/>
  <c r="AW186" i="7"/>
  <c r="AV186" i="7"/>
  <c r="AU186" i="7"/>
  <c r="AT186" i="7"/>
  <c r="AS186" i="7"/>
  <c r="AR186" i="7"/>
  <c r="AQ186" i="7"/>
  <c r="AP186" i="7"/>
  <c r="AO186" i="7"/>
  <c r="AN186" i="7"/>
  <c r="AM186" i="7"/>
  <c r="AL186" i="7"/>
  <c r="AK186" i="7"/>
  <c r="AJ186" i="7"/>
  <c r="AI186" i="7"/>
  <c r="AH186" i="7"/>
  <c r="AG186" i="7"/>
  <c r="AF186" i="7"/>
  <c r="AE186" i="7"/>
  <c r="AD186" i="7"/>
  <c r="AC186" i="7"/>
  <c r="AB186" i="7"/>
  <c r="AA186" i="7"/>
  <c r="Z186" i="7"/>
  <c r="Y186" i="7"/>
  <c r="X186" i="7"/>
  <c r="W186" i="7"/>
  <c r="V186" i="7"/>
  <c r="U186" i="7"/>
  <c r="T186" i="7"/>
  <c r="S186" i="7"/>
  <c r="R186" i="7"/>
  <c r="Q186" i="7"/>
  <c r="P186" i="7"/>
  <c r="O186" i="7"/>
  <c r="N186" i="7"/>
  <c r="M186" i="7"/>
  <c r="L186" i="7"/>
  <c r="K186" i="7"/>
  <c r="J186" i="7"/>
  <c r="I186" i="7"/>
  <c r="H186" i="7"/>
  <c r="G186" i="7"/>
  <c r="F186" i="7"/>
  <c r="D186" i="7"/>
  <c r="C186" i="7"/>
  <c r="B186" i="7"/>
  <c r="FQ185" i="7"/>
  <c r="FO185" i="7"/>
  <c r="FM185" i="7"/>
  <c r="FL185" i="7"/>
  <c r="FJ185" i="7"/>
  <c r="FH185" i="7"/>
  <c r="FG185" i="7"/>
  <c r="FE185" i="7"/>
  <c r="FC185" i="7"/>
  <c r="EZ185" i="7"/>
  <c r="EY185" i="7"/>
  <c r="EX185" i="7"/>
  <c r="EW185" i="7"/>
  <c r="EV185" i="7"/>
  <c r="EU185" i="7"/>
  <c r="ET185" i="7"/>
  <c r="ES185" i="7"/>
  <c r="ER185" i="7"/>
  <c r="EQ185" i="7"/>
  <c r="EP185" i="7"/>
  <c r="EO185" i="7"/>
  <c r="EN185" i="7"/>
  <c r="EM185" i="7"/>
  <c r="EI185" i="7"/>
  <c r="EG185" i="7"/>
  <c r="EE185" i="7"/>
  <c r="EC185" i="7"/>
  <c r="EA185" i="7"/>
  <c r="DY185" i="7"/>
  <c r="DW185" i="7"/>
  <c r="DU185" i="7"/>
  <c r="DS185" i="7"/>
  <c r="DR185" i="7"/>
  <c r="DP185" i="7"/>
  <c r="DN185" i="7"/>
  <c r="DM185" i="7"/>
  <c r="DK185" i="7"/>
  <c r="DI185" i="7"/>
  <c r="DH185" i="7"/>
  <c r="DF185" i="7"/>
  <c r="DD185" i="7"/>
  <c r="DC185" i="7"/>
  <c r="DA185" i="7"/>
  <c r="CY185" i="7"/>
  <c r="CX185" i="7"/>
  <c r="CV185" i="7"/>
  <c r="CT185" i="7"/>
  <c r="CS185" i="7"/>
  <c r="CR185" i="7"/>
  <c r="CQ185" i="7"/>
  <c r="CP185" i="7"/>
  <c r="CO185" i="7"/>
  <c r="CN185" i="7"/>
  <c r="CM185" i="7"/>
  <c r="CL185" i="7"/>
  <c r="CK185" i="7"/>
  <c r="CI185" i="7"/>
  <c r="CJ185" i="7" s="1"/>
  <c r="CH185" i="7"/>
  <c r="CG185" i="7"/>
  <c r="CE185" i="7"/>
  <c r="CF185" i="7" s="1"/>
  <c r="CD185" i="7"/>
  <c r="CC185" i="7"/>
  <c r="CA185" i="7"/>
  <c r="CB185" i="7" s="1"/>
  <c r="BZ185" i="7"/>
  <c r="BY185" i="7"/>
  <c r="BW185" i="7"/>
  <c r="BX185" i="7" s="1"/>
  <c r="BV185" i="7"/>
  <c r="BU185" i="7"/>
  <c r="BS185" i="7"/>
  <c r="BT185" i="7" s="1"/>
  <c r="BR185" i="7"/>
  <c r="BQ185" i="7"/>
  <c r="BO185" i="7"/>
  <c r="BP185" i="7" s="1"/>
  <c r="BN185" i="7"/>
  <c r="BM185" i="7"/>
  <c r="BK185" i="7"/>
  <c r="BL185" i="7" s="1"/>
  <c r="BJ185" i="7"/>
  <c r="BI185" i="7"/>
  <c r="BG185" i="7"/>
  <c r="BH185" i="7" s="1"/>
  <c r="BF185" i="7"/>
  <c r="BE185" i="7"/>
  <c r="BC185" i="7"/>
  <c r="BD185" i="7" s="1"/>
  <c r="BB185" i="7"/>
  <c r="AZ185" i="7"/>
  <c r="AX185" i="7"/>
  <c r="AW185" i="7"/>
  <c r="AV185" i="7"/>
  <c r="AU185" i="7"/>
  <c r="AT185" i="7"/>
  <c r="AS185" i="7"/>
  <c r="AR185" i="7"/>
  <c r="AQ185" i="7"/>
  <c r="AP185" i="7"/>
  <c r="AO185" i="7"/>
  <c r="AN185" i="7"/>
  <c r="AM185" i="7"/>
  <c r="AL185" i="7"/>
  <c r="AK185" i="7"/>
  <c r="AJ185" i="7"/>
  <c r="AI185" i="7"/>
  <c r="AH185" i="7"/>
  <c r="AG185" i="7"/>
  <c r="AF185" i="7"/>
  <c r="AE185" i="7"/>
  <c r="AD185" i="7"/>
  <c r="AC185" i="7"/>
  <c r="AB185" i="7"/>
  <c r="AA185" i="7"/>
  <c r="Z185" i="7"/>
  <c r="Y185" i="7"/>
  <c r="X185" i="7"/>
  <c r="W185" i="7"/>
  <c r="V185" i="7"/>
  <c r="U185" i="7"/>
  <c r="T185" i="7"/>
  <c r="S185" i="7"/>
  <c r="R185" i="7"/>
  <c r="Q185" i="7"/>
  <c r="P185" i="7"/>
  <c r="O185" i="7"/>
  <c r="N185" i="7"/>
  <c r="M185" i="7"/>
  <c r="L185" i="7"/>
  <c r="K185" i="7"/>
  <c r="J185" i="7"/>
  <c r="I185" i="7"/>
  <c r="H185" i="7"/>
  <c r="G185" i="7"/>
  <c r="F185" i="7"/>
  <c r="D185" i="7"/>
  <c r="C185" i="7"/>
  <c r="B185" i="7"/>
  <c r="FQ184" i="7"/>
  <c r="FO184" i="7"/>
  <c r="FM184" i="7"/>
  <c r="FL184" i="7"/>
  <c r="FJ184" i="7"/>
  <c r="FH184" i="7"/>
  <c r="FG184" i="7"/>
  <c r="FE184" i="7"/>
  <c r="FC184" i="7"/>
  <c r="EZ184" i="7"/>
  <c r="EY184" i="7"/>
  <c r="EX184" i="7"/>
  <c r="EW184" i="7"/>
  <c r="EV184" i="7"/>
  <c r="EU184" i="7"/>
  <c r="ET184" i="7"/>
  <c r="ES184" i="7"/>
  <c r="ER184" i="7"/>
  <c r="EQ184" i="7"/>
  <c r="EP184" i="7"/>
  <c r="EO184" i="7"/>
  <c r="EN184" i="7"/>
  <c r="EM184" i="7"/>
  <c r="EI184" i="7"/>
  <c r="EG184" i="7"/>
  <c r="EE184" i="7"/>
  <c r="EC184" i="7"/>
  <c r="EA184" i="7"/>
  <c r="DY184" i="7"/>
  <c r="DW184" i="7"/>
  <c r="DU184" i="7"/>
  <c r="DS184" i="7"/>
  <c r="DR184" i="7"/>
  <c r="DP184" i="7"/>
  <c r="DN184" i="7"/>
  <c r="DM184" i="7"/>
  <c r="DK184" i="7"/>
  <c r="DI184" i="7"/>
  <c r="DH184" i="7"/>
  <c r="DF184" i="7"/>
  <c r="DD184" i="7"/>
  <c r="DC184" i="7"/>
  <c r="DA184" i="7"/>
  <c r="CY184" i="7"/>
  <c r="CX184" i="7"/>
  <c r="CV184" i="7"/>
  <c r="CT184" i="7"/>
  <c r="CS184" i="7"/>
  <c r="CR184" i="7"/>
  <c r="CQ184" i="7"/>
  <c r="CP184" i="7"/>
  <c r="CO184" i="7"/>
  <c r="CN184" i="7"/>
  <c r="CM184" i="7"/>
  <c r="CL184" i="7"/>
  <c r="CK184" i="7"/>
  <c r="CI184" i="7"/>
  <c r="CJ184" i="7" s="1"/>
  <c r="CH184" i="7"/>
  <c r="CG184" i="7"/>
  <c r="CE184" i="7"/>
  <c r="CF184" i="7" s="1"/>
  <c r="CD184" i="7"/>
  <c r="CC184" i="7"/>
  <c r="CA184" i="7"/>
  <c r="CB184" i="7" s="1"/>
  <c r="BZ184" i="7"/>
  <c r="BY184" i="7"/>
  <c r="BW184" i="7"/>
  <c r="BX184" i="7" s="1"/>
  <c r="BV184" i="7"/>
  <c r="BU184" i="7"/>
  <c r="BS184" i="7"/>
  <c r="BT184" i="7" s="1"/>
  <c r="BR184" i="7"/>
  <c r="BQ184" i="7"/>
  <c r="BO184" i="7"/>
  <c r="BP184" i="7" s="1"/>
  <c r="BN184" i="7"/>
  <c r="BM184" i="7"/>
  <c r="BK184" i="7"/>
  <c r="BL184" i="7" s="1"/>
  <c r="BJ184" i="7"/>
  <c r="BI184" i="7"/>
  <c r="BG184" i="7"/>
  <c r="BH184" i="7" s="1"/>
  <c r="BF184" i="7"/>
  <c r="BE184" i="7"/>
  <c r="BC184" i="7"/>
  <c r="BD184" i="7" s="1"/>
  <c r="BB184" i="7"/>
  <c r="AZ184" i="7"/>
  <c r="AX184" i="7"/>
  <c r="AW184" i="7"/>
  <c r="AV184" i="7"/>
  <c r="AU184" i="7"/>
  <c r="AT184" i="7"/>
  <c r="AS184" i="7"/>
  <c r="AR184" i="7"/>
  <c r="AQ184" i="7"/>
  <c r="AP184" i="7"/>
  <c r="AO184" i="7"/>
  <c r="AN184" i="7"/>
  <c r="AM184" i="7"/>
  <c r="AL184" i="7"/>
  <c r="AK184" i="7"/>
  <c r="AJ184" i="7"/>
  <c r="AI184" i="7"/>
  <c r="AH184" i="7"/>
  <c r="AG184" i="7"/>
  <c r="AF184" i="7"/>
  <c r="AE184" i="7"/>
  <c r="AD184" i="7"/>
  <c r="AC184" i="7"/>
  <c r="AB184" i="7"/>
  <c r="AA184" i="7"/>
  <c r="Z184" i="7"/>
  <c r="Y184" i="7"/>
  <c r="X184" i="7"/>
  <c r="W184" i="7"/>
  <c r="V184" i="7"/>
  <c r="U184" i="7"/>
  <c r="T184" i="7"/>
  <c r="S184" i="7"/>
  <c r="R184" i="7"/>
  <c r="Q184" i="7"/>
  <c r="P184" i="7"/>
  <c r="O184" i="7"/>
  <c r="N184" i="7"/>
  <c r="M184" i="7"/>
  <c r="L184" i="7"/>
  <c r="K184" i="7"/>
  <c r="J184" i="7"/>
  <c r="I184" i="7"/>
  <c r="H184" i="7"/>
  <c r="G184" i="7"/>
  <c r="F184" i="7"/>
  <c r="D184" i="7"/>
  <c r="C184" i="7"/>
  <c r="B184" i="7"/>
  <c r="FQ183" i="7"/>
  <c r="FO183" i="7"/>
  <c r="FM183" i="7"/>
  <c r="FL183" i="7"/>
  <c r="FJ183" i="7"/>
  <c r="FH183" i="7"/>
  <c r="FG183" i="7"/>
  <c r="FE183" i="7"/>
  <c r="FC183" i="7"/>
  <c r="EZ183" i="7"/>
  <c r="EY183" i="7"/>
  <c r="EX183" i="7"/>
  <c r="EW183" i="7"/>
  <c r="EV183" i="7"/>
  <c r="EU183" i="7"/>
  <c r="ET183" i="7"/>
  <c r="ES183" i="7"/>
  <c r="ER183" i="7"/>
  <c r="EQ183" i="7"/>
  <c r="EP183" i="7"/>
  <c r="EO183" i="7"/>
  <c r="EN183" i="7"/>
  <c r="EM183" i="7"/>
  <c r="EI183" i="7"/>
  <c r="EG183" i="7"/>
  <c r="EE183" i="7"/>
  <c r="EC183" i="7"/>
  <c r="EA183" i="7"/>
  <c r="DY183" i="7"/>
  <c r="DW183" i="7"/>
  <c r="DU183" i="7"/>
  <c r="DS183" i="7"/>
  <c r="DR183" i="7"/>
  <c r="DP183" i="7"/>
  <c r="DN183" i="7"/>
  <c r="DM183" i="7"/>
  <c r="DK183" i="7"/>
  <c r="DI183" i="7"/>
  <c r="DH183" i="7"/>
  <c r="DF183" i="7"/>
  <c r="DD183" i="7"/>
  <c r="DC183" i="7"/>
  <c r="DA183" i="7"/>
  <c r="CY183" i="7"/>
  <c r="CX183" i="7"/>
  <c r="CV183" i="7"/>
  <c r="CT183" i="7"/>
  <c r="CS183" i="7"/>
  <c r="CR183" i="7"/>
  <c r="CQ183" i="7"/>
  <c r="CP183" i="7"/>
  <c r="CO183" i="7"/>
  <c r="CN183" i="7"/>
  <c r="CM183" i="7"/>
  <c r="CL183" i="7"/>
  <c r="CK183" i="7"/>
  <c r="CI183" i="7"/>
  <c r="CJ183" i="7" s="1"/>
  <c r="CH183" i="7"/>
  <c r="CG183" i="7"/>
  <c r="CE183" i="7"/>
  <c r="CF183" i="7" s="1"/>
  <c r="CD183" i="7"/>
  <c r="CC183" i="7"/>
  <c r="CA183" i="7"/>
  <c r="CB183" i="7" s="1"/>
  <c r="BZ183" i="7"/>
  <c r="BY183" i="7"/>
  <c r="BW183" i="7"/>
  <c r="BX183" i="7" s="1"/>
  <c r="BV183" i="7"/>
  <c r="BU183" i="7"/>
  <c r="BS183" i="7"/>
  <c r="BT183" i="7" s="1"/>
  <c r="BR183" i="7"/>
  <c r="BQ183" i="7"/>
  <c r="BO183" i="7"/>
  <c r="BP183" i="7" s="1"/>
  <c r="BN183" i="7"/>
  <c r="BM183" i="7"/>
  <c r="BK183" i="7"/>
  <c r="BL183" i="7" s="1"/>
  <c r="BJ183" i="7"/>
  <c r="BI183" i="7"/>
  <c r="BG183" i="7"/>
  <c r="BH183" i="7" s="1"/>
  <c r="BF183" i="7"/>
  <c r="BE183" i="7"/>
  <c r="BC183" i="7"/>
  <c r="BD183" i="7" s="1"/>
  <c r="BB183" i="7"/>
  <c r="AZ183" i="7"/>
  <c r="AX183" i="7"/>
  <c r="AW183" i="7"/>
  <c r="AV183" i="7"/>
  <c r="AU183" i="7"/>
  <c r="AT183" i="7"/>
  <c r="AS183" i="7"/>
  <c r="AR183" i="7"/>
  <c r="AQ183" i="7"/>
  <c r="AP183" i="7"/>
  <c r="AO183" i="7"/>
  <c r="AN183" i="7"/>
  <c r="AM183" i="7"/>
  <c r="AL183" i="7"/>
  <c r="AK183" i="7"/>
  <c r="AJ183" i="7"/>
  <c r="AI183" i="7"/>
  <c r="AH183" i="7"/>
  <c r="AG183" i="7"/>
  <c r="AF183" i="7"/>
  <c r="AE183" i="7"/>
  <c r="AD183" i="7"/>
  <c r="AC183" i="7"/>
  <c r="AB183" i="7"/>
  <c r="AA183" i="7"/>
  <c r="Z183" i="7"/>
  <c r="Y183" i="7"/>
  <c r="X183" i="7"/>
  <c r="W183" i="7"/>
  <c r="V183" i="7"/>
  <c r="U183" i="7"/>
  <c r="T183" i="7"/>
  <c r="S183" i="7"/>
  <c r="R183" i="7"/>
  <c r="Q183" i="7"/>
  <c r="P183" i="7"/>
  <c r="O183" i="7"/>
  <c r="N183" i="7"/>
  <c r="M183" i="7"/>
  <c r="L183" i="7"/>
  <c r="K183" i="7"/>
  <c r="J183" i="7"/>
  <c r="I183" i="7"/>
  <c r="H183" i="7"/>
  <c r="G183" i="7"/>
  <c r="F183" i="7"/>
  <c r="D183" i="7"/>
  <c r="C183" i="7"/>
  <c r="B183" i="7"/>
  <c r="FQ182" i="7"/>
  <c r="FO182" i="7"/>
  <c r="FM182" i="7"/>
  <c r="FL182" i="7"/>
  <c r="FJ182" i="7"/>
  <c r="FH182" i="7"/>
  <c r="FG182" i="7"/>
  <c r="FE182" i="7"/>
  <c r="FC182" i="7"/>
  <c r="EZ182" i="7"/>
  <c r="EY182" i="7"/>
  <c r="EX182" i="7"/>
  <c r="EW182" i="7"/>
  <c r="EV182" i="7"/>
  <c r="EU182" i="7"/>
  <c r="ET182" i="7"/>
  <c r="ES182" i="7"/>
  <c r="ER182" i="7"/>
  <c r="EQ182" i="7"/>
  <c r="EP182" i="7"/>
  <c r="EO182" i="7"/>
  <c r="EN182" i="7"/>
  <c r="EM182" i="7"/>
  <c r="EI182" i="7"/>
  <c r="EG182" i="7"/>
  <c r="EE182" i="7"/>
  <c r="EC182" i="7"/>
  <c r="EA182" i="7"/>
  <c r="DY182" i="7"/>
  <c r="DW182" i="7"/>
  <c r="DU182" i="7"/>
  <c r="DS182" i="7"/>
  <c r="DR182" i="7"/>
  <c r="DP182" i="7"/>
  <c r="DN182" i="7"/>
  <c r="DM182" i="7"/>
  <c r="DK182" i="7"/>
  <c r="DI182" i="7"/>
  <c r="DH182" i="7"/>
  <c r="DF182" i="7"/>
  <c r="DD182" i="7"/>
  <c r="DC182" i="7"/>
  <c r="DA182" i="7"/>
  <c r="CY182" i="7"/>
  <c r="CX182" i="7"/>
  <c r="CV182" i="7"/>
  <c r="CT182" i="7"/>
  <c r="CS182" i="7"/>
  <c r="CR182" i="7"/>
  <c r="CQ182" i="7"/>
  <c r="CP182" i="7"/>
  <c r="CO182" i="7"/>
  <c r="CN182" i="7"/>
  <c r="CM182" i="7"/>
  <c r="CL182" i="7"/>
  <c r="CK182" i="7"/>
  <c r="CI182" i="7"/>
  <c r="CJ182" i="7" s="1"/>
  <c r="CH182" i="7"/>
  <c r="CG182" i="7"/>
  <c r="CE182" i="7"/>
  <c r="CF182" i="7" s="1"/>
  <c r="CD182" i="7"/>
  <c r="CC182" i="7"/>
  <c r="CA182" i="7"/>
  <c r="CB182" i="7" s="1"/>
  <c r="BZ182" i="7"/>
  <c r="BY182" i="7"/>
  <c r="BW182" i="7"/>
  <c r="BX182" i="7" s="1"/>
  <c r="BV182" i="7"/>
  <c r="BU182" i="7"/>
  <c r="BS182" i="7"/>
  <c r="BT182" i="7" s="1"/>
  <c r="BR182" i="7"/>
  <c r="BQ182" i="7"/>
  <c r="BO182" i="7"/>
  <c r="BP182" i="7" s="1"/>
  <c r="BN182" i="7"/>
  <c r="BM182" i="7"/>
  <c r="BK182" i="7"/>
  <c r="BL182" i="7" s="1"/>
  <c r="BJ182" i="7"/>
  <c r="BI182" i="7"/>
  <c r="BG182" i="7"/>
  <c r="BH182" i="7" s="1"/>
  <c r="BF182" i="7"/>
  <c r="BE182" i="7"/>
  <c r="BC182" i="7"/>
  <c r="BD182" i="7" s="1"/>
  <c r="BB182" i="7"/>
  <c r="AZ182" i="7"/>
  <c r="AX182" i="7"/>
  <c r="AW182" i="7"/>
  <c r="AV182" i="7"/>
  <c r="AU182" i="7"/>
  <c r="AT182" i="7"/>
  <c r="AS182" i="7"/>
  <c r="AR182" i="7"/>
  <c r="AQ182" i="7"/>
  <c r="AP182" i="7"/>
  <c r="AO182" i="7"/>
  <c r="AN182" i="7"/>
  <c r="AM182" i="7"/>
  <c r="AL182" i="7"/>
  <c r="AK182" i="7"/>
  <c r="AJ182" i="7"/>
  <c r="AI182" i="7"/>
  <c r="AH182" i="7"/>
  <c r="AG182" i="7"/>
  <c r="AF182" i="7"/>
  <c r="AE182" i="7"/>
  <c r="AD182" i="7"/>
  <c r="AC182" i="7"/>
  <c r="AB182" i="7"/>
  <c r="AA182" i="7"/>
  <c r="Z182" i="7"/>
  <c r="Y182" i="7"/>
  <c r="X182" i="7"/>
  <c r="W182" i="7"/>
  <c r="V182" i="7"/>
  <c r="U182" i="7"/>
  <c r="T182" i="7"/>
  <c r="S182" i="7"/>
  <c r="R182" i="7"/>
  <c r="Q182" i="7"/>
  <c r="P182" i="7"/>
  <c r="O182" i="7"/>
  <c r="N182" i="7"/>
  <c r="M182" i="7"/>
  <c r="L182" i="7"/>
  <c r="K182" i="7"/>
  <c r="J182" i="7"/>
  <c r="I182" i="7"/>
  <c r="H182" i="7"/>
  <c r="G182" i="7"/>
  <c r="F182" i="7"/>
  <c r="D182" i="7"/>
  <c r="C182" i="7"/>
  <c r="B182" i="7"/>
  <c r="FQ181" i="7"/>
  <c r="FO181" i="7"/>
  <c r="FM181" i="7"/>
  <c r="FL181" i="7"/>
  <c r="FJ181" i="7"/>
  <c r="FH181" i="7"/>
  <c r="FG181" i="7"/>
  <c r="FE181" i="7"/>
  <c r="FC181" i="7"/>
  <c r="EZ181" i="7"/>
  <c r="EY181" i="7"/>
  <c r="EX181" i="7"/>
  <c r="EW181" i="7"/>
  <c r="EV181" i="7"/>
  <c r="EU181" i="7"/>
  <c r="ET181" i="7"/>
  <c r="ES181" i="7"/>
  <c r="ER181" i="7"/>
  <c r="EQ181" i="7"/>
  <c r="EP181" i="7"/>
  <c r="EO181" i="7"/>
  <c r="EN181" i="7"/>
  <c r="EM181" i="7"/>
  <c r="EI181" i="7"/>
  <c r="EG181" i="7"/>
  <c r="EE181" i="7"/>
  <c r="EC181" i="7"/>
  <c r="EA181" i="7"/>
  <c r="DY181" i="7"/>
  <c r="DW181" i="7"/>
  <c r="DU181" i="7"/>
  <c r="DS181" i="7"/>
  <c r="DR181" i="7"/>
  <c r="DP181" i="7"/>
  <c r="DN181" i="7"/>
  <c r="DM181" i="7"/>
  <c r="DK181" i="7"/>
  <c r="DI181" i="7"/>
  <c r="DH181" i="7"/>
  <c r="DF181" i="7"/>
  <c r="DD181" i="7"/>
  <c r="DC181" i="7"/>
  <c r="DA181" i="7"/>
  <c r="CY181" i="7"/>
  <c r="CX181" i="7"/>
  <c r="CV181" i="7"/>
  <c r="CT181" i="7"/>
  <c r="CS181" i="7"/>
  <c r="CR181" i="7"/>
  <c r="CQ181" i="7"/>
  <c r="CP181" i="7"/>
  <c r="CO181" i="7"/>
  <c r="CN181" i="7"/>
  <c r="CM181" i="7"/>
  <c r="CL181" i="7"/>
  <c r="CK181" i="7"/>
  <c r="CI181" i="7"/>
  <c r="CJ181" i="7" s="1"/>
  <c r="CH181" i="7"/>
  <c r="CG181" i="7"/>
  <c r="CE181" i="7"/>
  <c r="CF181" i="7" s="1"/>
  <c r="CD181" i="7"/>
  <c r="CC181" i="7"/>
  <c r="CA181" i="7"/>
  <c r="CB181" i="7" s="1"/>
  <c r="BZ181" i="7"/>
  <c r="BY181" i="7"/>
  <c r="BW181" i="7"/>
  <c r="BX181" i="7" s="1"/>
  <c r="BV181" i="7"/>
  <c r="BU181" i="7"/>
  <c r="BS181" i="7"/>
  <c r="BT181" i="7" s="1"/>
  <c r="BR181" i="7"/>
  <c r="BQ181" i="7"/>
  <c r="BO181" i="7"/>
  <c r="BP181" i="7" s="1"/>
  <c r="BN181" i="7"/>
  <c r="BM181" i="7"/>
  <c r="BK181" i="7"/>
  <c r="BL181" i="7" s="1"/>
  <c r="BJ181" i="7"/>
  <c r="BI181" i="7"/>
  <c r="BG181" i="7"/>
  <c r="BH181" i="7" s="1"/>
  <c r="BF181" i="7"/>
  <c r="BE181" i="7"/>
  <c r="BC181" i="7"/>
  <c r="BD181" i="7" s="1"/>
  <c r="BB181" i="7"/>
  <c r="AZ181" i="7"/>
  <c r="AX181" i="7"/>
  <c r="AW181" i="7"/>
  <c r="AV181" i="7"/>
  <c r="AU181" i="7"/>
  <c r="AT181" i="7"/>
  <c r="AS181" i="7"/>
  <c r="AR181" i="7"/>
  <c r="AQ181" i="7"/>
  <c r="AP181" i="7"/>
  <c r="AO181" i="7"/>
  <c r="AN181" i="7"/>
  <c r="AM181" i="7"/>
  <c r="AL181" i="7"/>
  <c r="AK181" i="7"/>
  <c r="AJ181" i="7"/>
  <c r="AI181" i="7"/>
  <c r="AH181" i="7"/>
  <c r="AG181" i="7"/>
  <c r="AF181" i="7"/>
  <c r="AE181" i="7"/>
  <c r="AD181" i="7"/>
  <c r="AC181" i="7"/>
  <c r="AB181" i="7"/>
  <c r="AA181" i="7"/>
  <c r="Z181" i="7"/>
  <c r="Y181" i="7"/>
  <c r="X181" i="7"/>
  <c r="W181" i="7"/>
  <c r="V181" i="7"/>
  <c r="U181" i="7"/>
  <c r="T181" i="7"/>
  <c r="S181" i="7"/>
  <c r="R181" i="7"/>
  <c r="Q181" i="7"/>
  <c r="P181" i="7"/>
  <c r="O181" i="7"/>
  <c r="N181" i="7"/>
  <c r="M181" i="7"/>
  <c r="L181" i="7"/>
  <c r="K181" i="7"/>
  <c r="J181" i="7"/>
  <c r="I181" i="7"/>
  <c r="H181" i="7"/>
  <c r="G181" i="7"/>
  <c r="F181" i="7"/>
  <c r="D181" i="7"/>
  <c r="C181" i="7"/>
  <c r="B181" i="7"/>
  <c r="FQ180" i="7"/>
  <c r="FO180" i="7"/>
  <c r="FM180" i="7"/>
  <c r="FL180" i="7"/>
  <c r="FJ180" i="7"/>
  <c r="FH180" i="7"/>
  <c r="FG180" i="7"/>
  <c r="FE180" i="7"/>
  <c r="FC180" i="7"/>
  <c r="EZ180" i="7"/>
  <c r="EY180" i="7"/>
  <c r="EX180" i="7"/>
  <c r="EW180" i="7"/>
  <c r="EV180" i="7"/>
  <c r="EU180" i="7"/>
  <c r="ET180" i="7"/>
  <c r="ES180" i="7"/>
  <c r="ER180" i="7"/>
  <c r="EQ180" i="7"/>
  <c r="EP180" i="7"/>
  <c r="EO180" i="7"/>
  <c r="EN180" i="7"/>
  <c r="EM180" i="7"/>
  <c r="EI180" i="7"/>
  <c r="EG180" i="7"/>
  <c r="EE180" i="7"/>
  <c r="EC180" i="7"/>
  <c r="EA180" i="7"/>
  <c r="DY180" i="7"/>
  <c r="DW180" i="7"/>
  <c r="DU180" i="7"/>
  <c r="DS180" i="7"/>
  <c r="DR180" i="7"/>
  <c r="DP180" i="7"/>
  <c r="DN180" i="7"/>
  <c r="DM180" i="7"/>
  <c r="DK180" i="7"/>
  <c r="DI180" i="7"/>
  <c r="DH180" i="7"/>
  <c r="DF180" i="7"/>
  <c r="DD180" i="7"/>
  <c r="DC180" i="7"/>
  <c r="DA180" i="7"/>
  <c r="CY180" i="7"/>
  <c r="CX180" i="7"/>
  <c r="CV180" i="7"/>
  <c r="CT180" i="7"/>
  <c r="CS180" i="7"/>
  <c r="CR180" i="7"/>
  <c r="CQ180" i="7"/>
  <c r="CP180" i="7"/>
  <c r="CO180" i="7"/>
  <c r="CN180" i="7"/>
  <c r="CM180" i="7"/>
  <c r="CL180" i="7"/>
  <c r="CK180" i="7"/>
  <c r="CI180" i="7"/>
  <c r="CJ180" i="7" s="1"/>
  <c r="CH180" i="7"/>
  <c r="CG180" i="7"/>
  <c r="CE180" i="7"/>
  <c r="CF180" i="7" s="1"/>
  <c r="CD180" i="7"/>
  <c r="CC180" i="7"/>
  <c r="CA180" i="7"/>
  <c r="CB180" i="7" s="1"/>
  <c r="BZ180" i="7"/>
  <c r="BY180" i="7"/>
  <c r="BW180" i="7"/>
  <c r="BX180" i="7" s="1"/>
  <c r="BV180" i="7"/>
  <c r="BU180" i="7"/>
  <c r="BS180" i="7"/>
  <c r="BT180" i="7" s="1"/>
  <c r="BR180" i="7"/>
  <c r="BQ180" i="7"/>
  <c r="BO180" i="7"/>
  <c r="BP180" i="7" s="1"/>
  <c r="BN180" i="7"/>
  <c r="BM180" i="7"/>
  <c r="BK180" i="7"/>
  <c r="BL180" i="7" s="1"/>
  <c r="BJ180" i="7"/>
  <c r="BI180" i="7"/>
  <c r="BG180" i="7"/>
  <c r="BH180" i="7" s="1"/>
  <c r="BF180" i="7"/>
  <c r="BE180" i="7"/>
  <c r="BC180" i="7"/>
  <c r="BD180" i="7" s="1"/>
  <c r="BB180" i="7"/>
  <c r="AZ180" i="7"/>
  <c r="AX180" i="7"/>
  <c r="AW180" i="7"/>
  <c r="AV180" i="7"/>
  <c r="AU180" i="7"/>
  <c r="AT180" i="7"/>
  <c r="AS180" i="7"/>
  <c r="AR180" i="7"/>
  <c r="AQ180" i="7"/>
  <c r="AP180" i="7"/>
  <c r="AO180" i="7"/>
  <c r="AN180" i="7"/>
  <c r="AM180" i="7"/>
  <c r="AL180" i="7"/>
  <c r="AK180" i="7"/>
  <c r="AJ180" i="7"/>
  <c r="AI180" i="7"/>
  <c r="AH180" i="7"/>
  <c r="AG180" i="7"/>
  <c r="AF180" i="7"/>
  <c r="AE180" i="7"/>
  <c r="AD180" i="7"/>
  <c r="AC180" i="7"/>
  <c r="AB180" i="7"/>
  <c r="AA180" i="7"/>
  <c r="Z180" i="7"/>
  <c r="Y180" i="7"/>
  <c r="X180" i="7"/>
  <c r="W180" i="7"/>
  <c r="V180" i="7"/>
  <c r="U180" i="7"/>
  <c r="T180" i="7"/>
  <c r="S180" i="7"/>
  <c r="R180" i="7"/>
  <c r="Q180" i="7"/>
  <c r="P180" i="7"/>
  <c r="O180" i="7"/>
  <c r="N180" i="7"/>
  <c r="M180" i="7"/>
  <c r="L180" i="7"/>
  <c r="K180" i="7"/>
  <c r="J180" i="7"/>
  <c r="I180" i="7"/>
  <c r="H180" i="7"/>
  <c r="G180" i="7"/>
  <c r="F180" i="7"/>
  <c r="D180" i="7"/>
  <c r="C180" i="7"/>
  <c r="B180" i="7"/>
  <c r="FQ179" i="7"/>
  <c r="FO179" i="7"/>
  <c r="FM179" i="7"/>
  <c r="FL179" i="7"/>
  <c r="FJ179" i="7"/>
  <c r="FH179" i="7"/>
  <c r="FG179" i="7"/>
  <c r="FE179" i="7"/>
  <c r="FC179" i="7"/>
  <c r="EZ179" i="7"/>
  <c r="EY179" i="7"/>
  <c r="EX179" i="7"/>
  <c r="EW179" i="7"/>
  <c r="EV179" i="7"/>
  <c r="EU179" i="7"/>
  <c r="ET179" i="7"/>
  <c r="ES179" i="7"/>
  <c r="ER179" i="7"/>
  <c r="EQ179" i="7"/>
  <c r="EP179" i="7"/>
  <c r="EO179" i="7"/>
  <c r="EN179" i="7"/>
  <c r="EM179" i="7"/>
  <c r="EI179" i="7"/>
  <c r="EG179" i="7"/>
  <c r="EE179" i="7"/>
  <c r="EC179" i="7"/>
  <c r="EA179" i="7"/>
  <c r="DY179" i="7"/>
  <c r="DW179" i="7"/>
  <c r="DU179" i="7"/>
  <c r="DS179" i="7"/>
  <c r="DR179" i="7"/>
  <c r="DP179" i="7"/>
  <c r="DN179" i="7"/>
  <c r="DM179" i="7"/>
  <c r="DK179" i="7"/>
  <c r="DI179" i="7"/>
  <c r="DH179" i="7"/>
  <c r="DF179" i="7"/>
  <c r="DD179" i="7"/>
  <c r="DC179" i="7"/>
  <c r="DA179" i="7"/>
  <c r="CY179" i="7"/>
  <c r="CX179" i="7"/>
  <c r="CV179" i="7"/>
  <c r="CT179" i="7"/>
  <c r="CS179" i="7"/>
  <c r="CR179" i="7"/>
  <c r="CQ179" i="7"/>
  <c r="CP179" i="7"/>
  <c r="CO179" i="7"/>
  <c r="CN179" i="7"/>
  <c r="CM179" i="7"/>
  <c r="CL179" i="7"/>
  <c r="CK179" i="7"/>
  <c r="CI179" i="7"/>
  <c r="CJ179" i="7" s="1"/>
  <c r="CH179" i="7"/>
  <c r="CG179" i="7"/>
  <c r="CE179" i="7"/>
  <c r="CF179" i="7" s="1"/>
  <c r="CD179" i="7"/>
  <c r="CC179" i="7"/>
  <c r="CA179" i="7"/>
  <c r="CB179" i="7" s="1"/>
  <c r="BZ179" i="7"/>
  <c r="BY179" i="7"/>
  <c r="BW179" i="7"/>
  <c r="BX179" i="7" s="1"/>
  <c r="BV179" i="7"/>
  <c r="BU179" i="7"/>
  <c r="BS179" i="7"/>
  <c r="BT179" i="7" s="1"/>
  <c r="BR179" i="7"/>
  <c r="BQ179" i="7"/>
  <c r="BO179" i="7"/>
  <c r="BP179" i="7" s="1"/>
  <c r="BN179" i="7"/>
  <c r="BM179" i="7"/>
  <c r="BK179" i="7"/>
  <c r="BL179" i="7" s="1"/>
  <c r="BJ179" i="7"/>
  <c r="BI179" i="7"/>
  <c r="BG179" i="7"/>
  <c r="BH179" i="7" s="1"/>
  <c r="BF179" i="7"/>
  <c r="BE179" i="7"/>
  <c r="BC179" i="7"/>
  <c r="BD179" i="7" s="1"/>
  <c r="BB179" i="7"/>
  <c r="AZ179" i="7"/>
  <c r="AX179" i="7"/>
  <c r="AW179" i="7"/>
  <c r="AV179" i="7"/>
  <c r="AU179" i="7"/>
  <c r="AT179" i="7"/>
  <c r="AS179" i="7"/>
  <c r="AR179" i="7"/>
  <c r="AQ179" i="7"/>
  <c r="AP179" i="7"/>
  <c r="AO179" i="7"/>
  <c r="AN179" i="7"/>
  <c r="AM179" i="7"/>
  <c r="AL179" i="7"/>
  <c r="AK179" i="7"/>
  <c r="AJ179" i="7"/>
  <c r="AI179" i="7"/>
  <c r="AH179" i="7"/>
  <c r="AG179" i="7"/>
  <c r="AF179" i="7"/>
  <c r="AE179" i="7"/>
  <c r="AD179" i="7"/>
  <c r="AC179" i="7"/>
  <c r="AB179" i="7"/>
  <c r="AA179" i="7"/>
  <c r="Z179" i="7"/>
  <c r="Y179" i="7"/>
  <c r="X179" i="7"/>
  <c r="W179" i="7"/>
  <c r="V179" i="7"/>
  <c r="U179" i="7"/>
  <c r="T179" i="7"/>
  <c r="S179" i="7"/>
  <c r="R179" i="7"/>
  <c r="Q179" i="7"/>
  <c r="P179" i="7"/>
  <c r="O179" i="7"/>
  <c r="N179" i="7"/>
  <c r="M179" i="7"/>
  <c r="L179" i="7"/>
  <c r="K179" i="7"/>
  <c r="J179" i="7"/>
  <c r="I179" i="7"/>
  <c r="H179" i="7"/>
  <c r="G179" i="7"/>
  <c r="F179" i="7"/>
  <c r="D179" i="7"/>
  <c r="C179" i="7"/>
  <c r="B179" i="7"/>
  <c r="FQ178" i="7"/>
  <c r="FO178" i="7"/>
  <c r="FM178" i="7"/>
  <c r="FL178" i="7"/>
  <c r="FJ178" i="7"/>
  <c r="FH178" i="7"/>
  <c r="FG178" i="7"/>
  <c r="FE178" i="7"/>
  <c r="FC178" i="7"/>
  <c r="EZ178" i="7"/>
  <c r="EY178" i="7"/>
  <c r="EX178" i="7"/>
  <c r="EW178" i="7"/>
  <c r="EV178" i="7"/>
  <c r="EU178" i="7"/>
  <c r="ET178" i="7"/>
  <c r="ES178" i="7"/>
  <c r="ER178" i="7"/>
  <c r="EQ178" i="7"/>
  <c r="EP178" i="7"/>
  <c r="EO178" i="7"/>
  <c r="EN178" i="7"/>
  <c r="EM178" i="7"/>
  <c r="EI178" i="7"/>
  <c r="EG178" i="7"/>
  <c r="EE178" i="7"/>
  <c r="EC178" i="7"/>
  <c r="EA178" i="7"/>
  <c r="DY178" i="7"/>
  <c r="DW178" i="7"/>
  <c r="DU178" i="7"/>
  <c r="DS178" i="7"/>
  <c r="DR178" i="7"/>
  <c r="DP178" i="7"/>
  <c r="DN178" i="7"/>
  <c r="DM178" i="7"/>
  <c r="DK178" i="7"/>
  <c r="DI178" i="7"/>
  <c r="DH178" i="7"/>
  <c r="DF178" i="7"/>
  <c r="DD178" i="7"/>
  <c r="DC178" i="7"/>
  <c r="DA178" i="7"/>
  <c r="CY178" i="7"/>
  <c r="CX178" i="7"/>
  <c r="CV178" i="7"/>
  <c r="CT178" i="7"/>
  <c r="CS178" i="7"/>
  <c r="CR178" i="7"/>
  <c r="CQ178" i="7"/>
  <c r="CP178" i="7"/>
  <c r="CO178" i="7"/>
  <c r="CN178" i="7"/>
  <c r="CM178" i="7"/>
  <c r="CL178" i="7"/>
  <c r="CK178" i="7"/>
  <c r="CI178" i="7"/>
  <c r="CJ178" i="7" s="1"/>
  <c r="CH178" i="7"/>
  <c r="CG178" i="7"/>
  <c r="CE178" i="7"/>
  <c r="CF178" i="7" s="1"/>
  <c r="CD178" i="7"/>
  <c r="CC178" i="7"/>
  <c r="CA178" i="7"/>
  <c r="CB178" i="7" s="1"/>
  <c r="BZ178" i="7"/>
  <c r="BY178" i="7"/>
  <c r="BW178" i="7"/>
  <c r="BX178" i="7" s="1"/>
  <c r="BV178" i="7"/>
  <c r="BU178" i="7"/>
  <c r="BS178" i="7"/>
  <c r="BT178" i="7" s="1"/>
  <c r="BR178" i="7"/>
  <c r="BQ178" i="7"/>
  <c r="BO178" i="7"/>
  <c r="BP178" i="7" s="1"/>
  <c r="BN178" i="7"/>
  <c r="BM178" i="7"/>
  <c r="BK178" i="7"/>
  <c r="BL178" i="7" s="1"/>
  <c r="BJ178" i="7"/>
  <c r="BI178" i="7"/>
  <c r="BG178" i="7"/>
  <c r="BH178" i="7" s="1"/>
  <c r="BF178" i="7"/>
  <c r="BE178" i="7"/>
  <c r="BC178" i="7"/>
  <c r="BD178" i="7" s="1"/>
  <c r="BB178" i="7"/>
  <c r="AZ178" i="7"/>
  <c r="AX178" i="7"/>
  <c r="AW178" i="7"/>
  <c r="AV178" i="7"/>
  <c r="AU178" i="7"/>
  <c r="AT178" i="7"/>
  <c r="AS178" i="7"/>
  <c r="AR178" i="7"/>
  <c r="AQ178" i="7"/>
  <c r="AP178" i="7"/>
  <c r="AO178" i="7"/>
  <c r="AN178" i="7"/>
  <c r="AM178" i="7"/>
  <c r="AL178" i="7"/>
  <c r="AK178" i="7"/>
  <c r="AJ178" i="7"/>
  <c r="AI178" i="7"/>
  <c r="AH178" i="7"/>
  <c r="AG178" i="7"/>
  <c r="AF178" i="7"/>
  <c r="AE178" i="7"/>
  <c r="AD178" i="7"/>
  <c r="AC178" i="7"/>
  <c r="AB178" i="7"/>
  <c r="AA178" i="7"/>
  <c r="Z178" i="7"/>
  <c r="Y178" i="7"/>
  <c r="X178" i="7"/>
  <c r="W178" i="7"/>
  <c r="V178" i="7"/>
  <c r="U178" i="7"/>
  <c r="T178" i="7"/>
  <c r="S178" i="7"/>
  <c r="R178" i="7"/>
  <c r="Q178" i="7"/>
  <c r="P178" i="7"/>
  <c r="O178" i="7"/>
  <c r="N178" i="7"/>
  <c r="M178" i="7"/>
  <c r="L178" i="7"/>
  <c r="K178" i="7"/>
  <c r="J178" i="7"/>
  <c r="I178" i="7"/>
  <c r="H178" i="7"/>
  <c r="G178" i="7"/>
  <c r="F178" i="7"/>
  <c r="D178" i="7"/>
  <c r="C178" i="7"/>
  <c r="B178" i="7"/>
  <c r="FQ177" i="7"/>
  <c r="FO177" i="7"/>
  <c r="FM177" i="7"/>
  <c r="FL177" i="7"/>
  <c r="FJ177" i="7"/>
  <c r="FH177" i="7"/>
  <c r="FG177" i="7"/>
  <c r="FE177" i="7"/>
  <c r="FC177" i="7"/>
  <c r="EZ177" i="7"/>
  <c r="EY177" i="7"/>
  <c r="EX177" i="7"/>
  <c r="EW177" i="7"/>
  <c r="EV177" i="7"/>
  <c r="EU177" i="7"/>
  <c r="ET177" i="7"/>
  <c r="ES177" i="7"/>
  <c r="ER177" i="7"/>
  <c r="EQ177" i="7"/>
  <c r="EP177" i="7"/>
  <c r="EO177" i="7"/>
  <c r="EN177" i="7"/>
  <c r="EM177" i="7"/>
  <c r="EI177" i="7"/>
  <c r="EG177" i="7"/>
  <c r="EE177" i="7"/>
  <c r="EC177" i="7"/>
  <c r="EA177" i="7"/>
  <c r="DY177" i="7"/>
  <c r="DW177" i="7"/>
  <c r="DU177" i="7"/>
  <c r="DS177" i="7"/>
  <c r="DR177" i="7"/>
  <c r="DP177" i="7"/>
  <c r="DN177" i="7"/>
  <c r="DM177" i="7"/>
  <c r="DK177" i="7"/>
  <c r="DI177" i="7"/>
  <c r="DH177" i="7"/>
  <c r="DF177" i="7"/>
  <c r="DD177" i="7"/>
  <c r="DC177" i="7"/>
  <c r="DA177" i="7"/>
  <c r="CY177" i="7"/>
  <c r="CX177" i="7"/>
  <c r="CV177" i="7"/>
  <c r="CT177" i="7"/>
  <c r="CS177" i="7"/>
  <c r="CR177" i="7"/>
  <c r="CQ177" i="7"/>
  <c r="CP177" i="7"/>
  <c r="CO177" i="7"/>
  <c r="CN177" i="7"/>
  <c r="CM177" i="7"/>
  <c r="CL177" i="7"/>
  <c r="CK177" i="7"/>
  <c r="CI177" i="7"/>
  <c r="CJ177" i="7" s="1"/>
  <c r="CH177" i="7"/>
  <c r="CG177" i="7"/>
  <c r="CE177" i="7"/>
  <c r="CF177" i="7" s="1"/>
  <c r="CD177" i="7"/>
  <c r="CC177" i="7"/>
  <c r="CA177" i="7"/>
  <c r="CB177" i="7" s="1"/>
  <c r="BZ177" i="7"/>
  <c r="BY177" i="7"/>
  <c r="BW177" i="7"/>
  <c r="BX177" i="7" s="1"/>
  <c r="BV177" i="7"/>
  <c r="BU177" i="7"/>
  <c r="BS177" i="7"/>
  <c r="BT177" i="7" s="1"/>
  <c r="BR177" i="7"/>
  <c r="BQ177" i="7"/>
  <c r="BO177" i="7"/>
  <c r="BP177" i="7" s="1"/>
  <c r="BN177" i="7"/>
  <c r="BM177" i="7"/>
  <c r="BK177" i="7"/>
  <c r="BL177" i="7" s="1"/>
  <c r="BJ177" i="7"/>
  <c r="BI177" i="7"/>
  <c r="BG177" i="7"/>
  <c r="BH177" i="7" s="1"/>
  <c r="BF177" i="7"/>
  <c r="BE177" i="7"/>
  <c r="BC177" i="7"/>
  <c r="BD177" i="7" s="1"/>
  <c r="BB177" i="7"/>
  <c r="AZ177" i="7"/>
  <c r="AX177" i="7"/>
  <c r="AW177" i="7"/>
  <c r="AV177" i="7"/>
  <c r="AU177" i="7"/>
  <c r="AT177" i="7"/>
  <c r="AS177" i="7"/>
  <c r="AR177" i="7"/>
  <c r="AQ177" i="7"/>
  <c r="AP177" i="7"/>
  <c r="AO177" i="7"/>
  <c r="AN177" i="7"/>
  <c r="AM177" i="7"/>
  <c r="AL177" i="7"/>
  <c r="AK177" i="7"/>
  <c r="AJ177" i="7"/>
  <c r="AI177" i="7"/>
  <c r="AH177" i="7"/>
  <c r="AG177" i="7"/>
  <c r="AF177" i="7"/>
  <c r="AE177" i="7"/>
  <c r="AD177" i="7"/>
  <c r="AC177" i="7"/>
  <c r="AB177" i="7"/>
  <c r="AA177" i="7"/>
  <c r="Z177" i="7"/>
  <c r="Y177" i="7"/>
  <c r="X177" i="7"/>
  <c r="W177" i="7"/>
  <c r="V177" i="7"/>
  <c r="U177" i="7"/>
  <c r="T177" i="7"/>
  <c r="S177" i="7"/>
  <c r="R177" i="7"/>
  <c r="Q177" i="7"/>
  <c r="P177" i="7"/>
  <c r="O177" i="7"/>
  <c r="N177" i="7"/>
  <c r="M177" i="7"/>
  <c r="L177" i="7"/>
  <c r="K177" i="7"/>
  <c r="J177" i="7"/>
  <c r="I177" i="7"/>
  <c r="H177" i="7"/>
  <c r="G177" i="7"/>
  <c r="F177" i="7"/>
  <c r="D177" i="7"/>
  <c r="C177" i="7"/>
  <c r="B177" i="7"/>
  <c r="FQ176" i="7"/>
  <c r="FO176" i="7"/>
  <c r="FM176" i="7"/>
  <c r="FL176" i="7"/>
  <c r="FJ176" i="7"/>
  <c r="FH176" i="7"/>
  <c r="FG176" i="7"/>
  <c r="FE176" i="7"/>
  <c r="FC176" i="7"/>
  <c r="EZ176" i="7"/>
  <c r="EY176" i="7"/>
  <c r="EX176" i="7"/>
  <c r="EW176" i="7"/>
  <c r="EV176" i="7"/>
  <c r="EU176" i="7"/>
  <c r="ET176" i="7"/>
  <c r="ES176" i="7"/>
  <c r="ER176" i="7"/>
  <c r="EQ176" i="7"/>
  <c r="EP176" i="7"/>
  <c r="EO176" i="7"/>
  <c r="EN176" i="7"/>
  <c r="EM176" i="7"/>
  <c r="EI176" i="7"/>
  <c r="EG176" i="7"/>
  <c r="EE176" i="7"/>
  <c r="EC176" i="7"/>
  <c r="EA176" i="7"/>
  <c r="DY176" i="7"/>
  <c r="DW176" i="7"/>
  <c r="DU176" i="7"/>
  <c r="DS176" i="7"/>
  <c r="DR176" i="7"/>
  <c r="DP176" i="7"/>
  <c r="DN176" i="7"/>
  <c r="DM176" i="7"/>
  <c r="DK176" i="7"/>
  <c r="DI176" i="7"/>
  <c r="DH176" i="7"/>
  <c r="DF176" i="7"/>
  <c r="DD176" i="7"/>
  <c r="DC176" i="7"/>
  <c r="DA176" i="7"/>
  <c r="CY176" i="7"/>
  <c r="CX176" i="7"/>
  <c r="CV176" i="7"/>
  <c r="CT176" i="7"/>
  <c r="CS176" i="7"/>
  <c r="CR176" i="7"/>
  <c r="CQ176" i="7"/>
  <c r="CP176" i="7"/>
  <c r="CO176" i="7"/>
  <c r="CN176" i="7"/>
  <c r="CM176" i="7"/>
  <c r="CL176" i="7"/>
  <c r="CK176" i="7"/>
  <c r="CI176" i="7"/>
  <c r="CJ176" i="7" s="1"/>
  <c r="CH176" i="7"/>
  <c r="CG176" i="7"/>
  <c r="CE176" i="7"/>
  <c r="CF176" i="7" s="1"/>
  <c r="CD176" i="7"/>
  <c r="CC176" i="7"/>
  <c r="CA176" i="7"/>
  <c r="CB176" i="7" s="1"/>
  <c r="BZ176" i="7"/>
  <c r="BY176" i="7"/>
  <c r="BW176" i="7"/>
  <c r="BX176" i="7" s="1"/>
  <c r="BV176" i="7"/>
  <c r="BU176" i="7"/>
  <c r="BS176" i="7"/>
  <c r="BT176" i="7" s="1"/>
  <c r="BR176" i="7"/>
  <c r="BQ176" i="7"/>
  <c r="BO176" i="7"/>
  <c r="BP176" i="7" s="1"/>
  <c r="BN176" i="7"/>
  <c r="BM176" i="7"/>
  <c r="BK176" i="7"/>
  <c r="BL176" i="7" s="1"/>
  <c r="BJ176" i="7"/>
  <c r="BI176" i="7"/>
  <c r="BG176" i="7"/>
  <c r="BH176" i="7" s="1"/>
  <c r="BF176" i="7"/>
  <c r="BE176" i="7"/>
  <c r="BD176" i="7"/>
  <c r="BC176" i="7"/>
  <c r="BB176" i="7"/>
  <c r="AZ176" i="7"/>
  <c r="AX176" i="7"/>
  <c r="AW176" i="7"/>
  <c r="AV176" i="7"/>
  <c r="AU176" i="7"/>
  <c r="AT176" i="7"/>
  <c r="AS176" i="7"/>
  <c r="AR176" i="7"/>
  <c r="AQ176" i="7"/>
  <c r="AP176" i="7"/>
  <c r="AO176" i="7"/>
  <c r="AN176" i="7"/>
  <c r="AM176" i="7"/>
  <c r="AL176" i="7"/>
  <c r="AK176" i="7"/>
  <c r="AJ176" i="7"/>
  <c r="AI176" i="7"/>
  <c r="AH176" i="7"/>
  <c r="AG176" i="7"/>
  <c r="AF176" i="7"/>
  <c r="AE176" i="7"/>
  <c r="AD176" i="7"/>
  <c r="AC176" i="7"/>
  <c r="AB176" i="7"/>
  <c r="AA176" i="7"/>
  <c r="Z176" i="7"/>
  <c r="Y176" i="7"/>
  <c r="X176" i="7"/>
  <c r="W176" i="7"/>
  <c r="V176" i="7"/>
  <c r="U176" i="7"/>
  <c r="T176" i="7"/>
  <c r="S176" i="7"/>
  <c r="R176" i="7"/>
  <c r="Q176" i="7"/>
  <c r="P176" i="7"/>
  <c r="O176" i="7"/>
  <c r="N176" i="7"/>
  <c r="M176" i="7"/>
  <c r="L176" i="7"/>
  <c r="K176" i="7"/>
  <c r="J176" i="7"/>
  <c r="I176" i="7"/>
  <c r="H176" i="7"/>
  <c r="G176" i="7"/>
  <c r="F176" i="7"/>
  <c r="D176" i="7"/>
  <c r="C176" i="7"/>
  <c r="B176" i="7"/>
  <c r="FQ175" i="7"/>
  <c r="FO175" i="7"/>
  <c r="FM175" i="7"/>
  <c r="FL175" i="7"/>
  <c r="FJ175" i="7"/>
  <c r="FH175" i="7"/>
  <c r="FG175" i="7"/>
  <c r="FE175" i="7"/>
  <c r="FC175" i="7"/>
  <c r="EZ175" i="7"/>
  <c r="EY175" i="7"/>
  <c r="EX175" i="7"/>
  <c r="EW175" i="7"/>
  <c r="EV175" i="7"/>
  <c r="EU175" i="7"/>
  <c r="ET175" i="7"/>
  <c r="ES175" i="7"/>
  <c r="ER175" i="7"/>
  <c r="EQ175" i="7"/>
  <c r="EP175" i="7"/>
  <c r="EO175" i="7"/>
  <c r="EN175" i="7"/>
  <c r="EM175" i="7"/>
  <c r="EI175" i="7"/>
  <c r="EG175" i="7"/>
  <c r="EE175" i="7"/>
  <c r="EC175" i="7"/>
  <c r="EA175" i="7"/>
  <c r="DY175" i="7"/>
  <c r="DW175" i="7"/>
  <c r="DU175" i="7"/>
  <c r="DS175" i="7"/>
  <c r="DR175" i="7"/>
  <c r="DP175" i="7"/>
  <c r="DN175" i="7"/>
  <c r="DM175" i="7"/>
  <c r="DK175" i="7"/>
  <c r="DI175" i="7"/>
  <c r="DH175" i="7"/>
  <c r="DF175" i="7"/>
  <c r="DD175" i="7"/>
  <c r="DC175" i="7"/>
  <c r="DA175" i="7"/>
  <c r="CY175" i="7"/>
  <c r="CX175" i="7"/>
  <c r="CV175" i="7"/>
  <c r="CT175" i="7"/>
  <c r="CS175" i="7"/>
  <c r="CR175" i="7"/>
  <c r="CQ175" i="7"/>
  <c r="CP175" i="7"/>
  <c r="CO175" i="7"/>
  <c r="CN175" i="7"/>
  <c r="CM175" i="7"/>
  <c r="CL175" i="7"/>
  <c r="CK175" i="7"/>
  <c r="CI175" i="7"/>
  <c r="CJ175" i="7" s="1"/>
  <c r="CH175" i="7"/>
  <c r="CG175" i="7"/>
  <c r="CE175" i="7"/>
  <c r="CF175" i="7" s="1"/>
  <c r="CD175" i="7"/>
  <c r="CC175" i="7"/>
  <c r="CA175" i="7"/>
  <c r="CB175" i="7" s="1"/>
  <c r="BZ175" i="7"/>
  <c r="BY175" i="7"/>
  <c r="BW175" i="7"/>
  <c r="BX175" i="7" s="1"/>
  <c r="BV175" i="7"/>
  <c r="BU175" i="7"/>
  <c r="BS175" i="7"/>
  <c r="BT175" i="7" s="1"/>
  <c r="BR175" i="7"/>
  <c r="BQ175" i="7"/>
  <c r="BO175" i="7"/>
  <c r="BP175" i="7" s="1"/>
  <c r="BN175" i="7"/>
  <c r="BM175" i="7"/>
  <c r="BK175" i="7"/>
  <c r="BL175" i="7" s="1"/>
  <c r="BJ175" i="7"/>
  <c r="BI175" i="7"/>
  <c r="BG175" i="7"/>
  <c r="BH175" i="7" s="1"/>
  <c r="BF175" i="7"/>
  <c r="BE175" i="7"/>
  <c r="BC175" i="7"/>
  <c r="BD175" i="7" s="1"/>
  <c r="BB175" i="7"/>
  <c r="AZ175" i="7"/>
  <c r="AX175" i="7"/>
  <c r="AW175" i="7"/>
  <c r="AV175" i="7"/>
  <c r="AU175" i="7"/>
  <c r="AT175" i="7"/>
  <c r="AS175" i="7"/>
  <c r="AR175" i="7"/>
  <c r="AQ175" i="7"/>
  <c r="AP175" i="7"/>
  <c r="AO175" i="7"/>
  <c r="AN175" i="7"/>
  <c r="AM175" i="7"/>
  <c r="AL175" i="7"/>
  <c r="AK175" i="7"/>
  <c r="AJ175" i="7"/>
  <c r="AI175" i="7"/>
  <c r="AH175" i="7"/>
  <c r="AG175" i="7"/>
  <c r="AF175" i="7"/>
  <c r="AE175" i="7"/>
  <c r="AD175" i="7"/>
  <c r="AC175" i="7"/>
  <c r="AB175" i="7"/>
  <c r="AA175" i="7"/>
  <c r="Z175" i="7"/>
  <c r="Y175" i="7"/>
  <c r="X175" i="7"/>
  <c r="W175" i="7"/>
  <c r="V175" i="7"/>
  <c r="U175" i="7"/>
  <c r="T175" i="7"/>
  <c r="S175" i="7"/>
  <c r="R175" i="7"/>
  <c r="Q175" i="7"/>
  <c r="P175" i="7"/>
  <c r="O175" i="7"/>
  <c r="N175" i="7"/>
  <c r="M175" i="7"/>
  <c r="L175" i="7"/>
  <c r="K175" i="7"/>
  <c r="J175" i="7"/>
  <c r="I175" i="7"/>
  <c r="H175" i="7"/>
  <c r="G175" i="7"/>
  <c r="F175" i="7"/>
  <c r="D175" i="7"/>
  <c r="C175" i="7"/>
  <c r="B175" i="7"/>
  <c r="FQ174" i="7"/>
  <c r="FO174" i="7"/>
  <c r="FM174" i="7"/>
  <c r="FL174" i="7"/>
  <c r="FJ174" i="7"/>
  <c r="FH174" i="7"/>
  <c r="FG174" i="7"/>
  <c r="FE174" i="7"/>
  <c r="FC174" i="7"/>
  <c r="EZ174" i="7"/>
  <c r="EY174" i="7"/>
  <c r="EX174" i="7"/>
  <c r="EW174" i="7"/>
  <c r="EV174" i="7"/>
  <c r="EU174" i="7"/>
  <c r="ET174" i="7"/>
  <c r="ES174" i="7"/>
  <c r="ER174" i="7"/>
  <c r="EQ174" i="7"/>
  <c r="EP174" i="7"/>
  <c r="EO174" i="7"/>
  <c r="EN174" i="7"/>
  <c r="EM174" i="7"/>
  <c r="EI174" i="7"/>
  <c r="EG174" i="7"/>
  <c r="EE174" i="7"/>
  <c r="EC174" i="7"/>
  <c r="EA174" i="7"/>
  <c r="DY174" i="7"/>
  <c r="DW174" i="7"/>
  <c r="DU174" i="7"/>
  <c r="DS174" i="7"/>
  <c r="DR174" i="7"/>
  <c r="DP174" i="7"/>
  <c r="DN174" i="7"/>
  <c r="DM174" i="7"/>
  <c r="DK174" i="7"/>
  <c r="DI174" i="7"/>
  <c r="DH174" i="7"/>
  <c r="DF174" i="7"/>
  <c r="DD174" i="7"/>
  <c r="DC174" i="7"/>
  <c r="DA174" i="7"/>
  <c r="CY174" i="7"/>
  <c r="CX174" i="7"/>
  <c r="CV174" i="7"/>
  <c r="CT174" i="7"/>
  <c r="CS174" i="7"/>
  <c r="CR174" i="7"/>
  <c r="CQ174" i="7"/>
  <c r="CP174" i="7"/>
  <c r="CO174" i="7"/>
  <c r="CN174" i="7"/>
  <c r="CM174" i="7"/>
  <c r="CL174" i="7"/>
  <c r="CK174" i="7"/>
  <c r="CI174" i="7"/>
  <c r="CJ174" i="7" s="1"/>
  <c r="CH174" i="7"/>
  <c r="CG174" i="7"/>
  <c r="CE174" i="7"/>
  <c r="CF174" i="7" s="1"/>
  <c r="CD174" i="7"/>
  <c r="CC174" i="7"/>
  <c r="CA174" i="7"/>
  <c r="CB174" i="7" s="1"/>
  <c r="BZ174" i="7"/>
  <c r="BY174" i="7"/>
  <c r="BW174" i="7"/>
  <c r="BX174" i="7" s="1"/>
  <c r="BV174" i="7"/>
  <c r="BU174" i="7"/>
  <c r="BS174" i="7"/>
  <c r="BT174" i="7" s="1"/>
  <c r="BR174" i="7"/>
  <c r="BQ174" i="7"/>
  <c r="BO174" i="7"/>
  <c r="BP174" i="7" s="1"/>
  <c r="BN174" i="7"/>
  <c r="BM174" i="7"/>
  <c r="BK174" i="7"/>
  <c r="BL174" i="7" s="1"/>
  <c r="BJ174" i="7"/>
  <c r="BI174" i="7"/>
  <c r="BG174" i="7"/>
  <c r="BH174" i="7" s="1"/>
  <c r="BF174" i="7"/>
  <c r="BE174" i="7"/>
  <c r="BC174" i="7"/>
  <c r="BD174" i="7" s="1"/>
  <c r="BB174" i="7"/>
  <c r="AZ174" i="7"/>
  <c r="AX174" i="7"/>
  <c r="AW174" i="7"/>
  <c r="AV174" i="7"/>
  <c r="AU174" i="7"/>
  <c r="AT174" i="7"/>
  <c r="AS174" i="7"/>
  <c r="AR174" i="7"/>
  <c r="AQ174" i="7"/>
  <c r="AP174" i="7"/>
  <c r="AO174" i="7"/>
  <c r="AN174" i="7"/>
  <c r="AM174" i="7"/>
  <c r="AL174" i="7"/>
  <c r="AK174" i="7"/>
  <c r="AJ174" i="7"/>
  <c r="AI174" i="7"/>
  <c r="AH174" i="7"/>
  <c r="AG174" i="7"/>
  <c r="AF174" i="7"/>
  <c r="AE174" i="7"/>
  <c r="AD174" i="7"/>
  <c r="AC174" i="7"/>
  <c r="AB174" i="7"/>
  <c r="AA174" i="7"/>
  <c r="Z174" i="7"/>
  <c r="Y174" i="7"/>
  <c r="X174" i="7"/>
  <c r="W174" i="7"/>
  <c r="V174" i="7"/>
  <c r="U174" i="7"/>
  <c r="T174" i="7"/>
  <c r="S174" i="7"/>
  <c r="R174" i="7"/>
  <c r="Q174" i="7"/>
  <c r="P174" i="7"/>
  <c r="O174" i="7"/>
  <c r="N174" i="7"/>
  <c r="M174" i="7"/>
  <c r="L174" i="7"/>
  <c r="K174" i="7"/>
  <c r="J174" i="7"/>
  <c r="I174" i="7"/>
  <c r="H174" i="7"/>
  <c r="G174" i="7"/>
  <c r="F174" i="7"/>
  <c r="D174" i="7"/>
  <c r="C174" i="7"/>
  <c r="B174" i="7"/>
  <c r="FQ173" i="7"/>
  <c r="FO173" i="7"/>
  <c r="FM173" i="7"/>
  <c r="FL173" i="7"/>
  <c r="FJ173" i="7"/>
  <c r="FH173" i="7"/>
  <c r="FG173" i="7"/>
  <c r="FE173" i="7"/>
  <c r="FC173" i="7"/>
  <c r="EZ173" i="7"/>
  <c r="EY173" i="7"/>
  <c r="EX173" i="7"/>
  <c r="EW173" i="7"/>
  <c r="EV173" i="7"/>
  <c r="EU173" i="7"/>
  <c r="ET173" i="7"/>
  <c r="ES173" i="7"/>
  <c r="ER173" i="7"/>
  <c r="EQ173" i="7"/>
  <c r="EP173" i="7"/>
  <c r="EO173" i="7"/>
  <c r="EN173" i="7"/>
  <c r="EM173" i="7"/>
  <c r="EI173" i="7"/>
  <c r="EG173" i="7"/>
  <c r="EE173" i="7"/>
  <c r="EC173" i="7"/>
  <c r="EA173" i="7"/>
  <c r="DY173" i="7"/>
  <c r="DW173" i="7"/>
  <c r="DU173" i="7"/>
  <c r="DS173" i="7"/>
  <c r="DR173" i="7"/>
  <c r="DP173" i="7"/>
  <c r="DN173" i="7"/>
  <c r="DM173" i="7"/>
  <c r="DK173" i="7"/>
  <c r="DI173" i="7"/>
  <c r="DH173" i="7"/>
  <c r="DF173" i="7"/>
  <c r="DD173" i="7"/>
  <c r="DC173" i="7"/>
  <c r="DA173" i="7"/>
  <c r="CY173" i="7"/>
  <c r="CX173" i="7"/>
  <c r="CV173" i="7"/>
  <c r="CT173" i="7"/>
  <c r="CS173" i="7"/>
  <c r="CR173" i="7"/>
  <c r="CQ173" i="7"/>
  <c r="CP173" i="7"/>
  <c r="CO173" i="7"/>
  <c r="CN173" i="7"/>
  <c r="CM173" i="7"/>
  <c r="CL173" i="7"/>
  <c r="CK173" i="7"/>
  <c r="CI173" i="7"/>
  <c r="CJ173" i="7" s="1"/>
  <c r="CH173" i="7"/>
  <c r="CG173" i="7"/>
  <c r="CE173" i="7"/>
  <c r="CF173" i="7" s="1"/>
  <c r="CD173" i="7"/>
  <c r="CC173" i="7"/>
  <c r="CA173" i="7"/>
  <c r="CB173" i="7" s="1"/>
  <c r="BZ173" i="7"/>
  <c r="BY173" i="7"/>
  <c r="BW173" i="7"/>
  <c r="BX173" i="7" s="1"/>
  <c r="BV173" i="7"/>
  <c r="BU173" i="7"/>
  <c r="BS173" i="7"/>
  <c r="BT173" i="7" s="1"/>
  <c r="BR173" i="7"/>
  <c r="BQ173" i="7"/>
  <c r="BO173" i="7"/>
  <c r="BP173" i="7" s="1"/>
  <c r="BN173" i="7"/>
  <c r="BM173" i="7"/>
  <c r="BK173" i="7"/>
  <c r="BL173" i="7" s="1"/>
  <c r="BJ173" i="7"/>
  <c r="BI173" i="7"/>
  <c r="BG173" i="7"/>
  <c r="BH173" i="7" s="1"/>
  <c r="BF173" i="7"/>
  <c r="BE173" i="7"/>
  <c r="BC173" i="7"/>
  <c r="BD173" i="7" s="1"/>
  <c r="BB173" i="7"/>
  <c r="AZ173" i="7"/>
  <c r="AX173" i="7"/>
  <c r="AW173" i="7"/>
  <c r="AV173" i="7"/>
  <c r="AU173" i="7"/>
  <c r="AT173" i="7"/>
  <c r="AS173" i="7"/>
  <c r="AR173" i="7"/>
  <c r="AQ173" i="7"/>
  <c r="AP173" i="7"/>
  <c r="AO173" i="7"/>
  <c r="AN173" i="7"/>
  <c r="AM173" i="7"/>
  <c r="AL173" i="7"/>
  <c r="AK173" i="7"/>
  <c r="AJ173" i="7"/>
  <c r="AI173" i="7"/>
  <c r="AH173" i="7"/>
  <c r="AG173" i="7"/>
  <c r="AF173" i="7"/>
  <c r="AE173" i="7"/>
  <c r="AD173" i="7"/>
  <c r="AC173" i="7"/>
  <c r="AB173" i="7"/>
  <c r="AA173" i="7"/>
  <c r="Z173" i="7"/>
  <c r="Y173" i="7"/>
  <c r="X173" i="7"/>
  <c r="W173" i="7"/>
  <c r="V173" i="7"/>
  <c r="U173" i="7"/>
  <c r="T173" i="7"/>
  <c r="S173" i="7"/>
  <c r="R173" i="7"/>
  <c r="Q173" i="7"/>
  <c r="P173" i="7"/>
  <c r="O173" i="7"/>
  <c r="N173" i="7"/>
  <c r="M173" i="7"/>
  <c r="L173" i="7"/>
  <c r="K173" i="7"/>
  <c r="J173" i="7"/>
  <c r="I173" i="7"/>
  <c r="H173" i="7"/>
  <c r="G173" i="7"/>
  <c r="F173" i="7"/>
  <c r="D173" i="7"/>
  <c r="C173" i="7"/>
  <c r="B173" i="7"/>
  <c r="FQ172" i="7"/>
  <c r="FO172" i="7"/>
  <c r="FM172" i="7"/>
  <c r="FL172" i="7"/>
  <c r="FJ172" i="7"/>
  <c r="FH172" i="7"/>
  <c r="FG172" i="7"/>
  <c r="FE172" i="7"/>
  <c r="FC172" i="7"/>
  <c r="EZ172" i="7"/>
  <c r="EY172" i="7"/>
  <c r="EX172" i="7"/>
  <c r="EW172" i="7"/>
  <c r="EV172" i="7"/>
  <c r="EU172" i="7"/>
  <c r="ET172" i="7"/>
  <c r="ES172" i="7"/>
  <c r="ER172" i="7"/>
  <c r="EQ172" i="7"/>
  <c r="EP172" i="7"/>
  <c r="EO172" i="7"/>
  <c r="EN172" i="7"/>
  <c r="EM172" i="7"/>
  <c r="EI172" i="7"/>
  <c r="EG172" i="7"/>
  <c r="EE172" i="7"/>
  <c r="EC172" i="7"/>
  <c r="EA172" i="7"/>
  <c r="DY172" i="7"/>
  <c r="DW172" i="7"/>
  <c r="DU172" i="7"/>
  <c r="DS172" i="7"/>
  <c r="DR172" i="7"/>
  <c r="DP172" i="7"/>
  <c r="DN172" i="7"/>
  <c r="DM172" i="7"/>
  <c r="DK172" i="7"/>
  <c r="DI172" i="7"/>
  <c r="DH172" i="7"/>
  <c r="DF172" i="7"/>
  <c r="DD172" i="7"/>
  <c r="DC172" i="7"/>
  <c r="DA172" i="7"/>
  <c r="CY172" i="7"/>
  <c r="CX172" i="7"/>
  <c r="CV172" i="7"/>
  <c r="CT172" i="7"/>
  <c r="CS172" i="7"/>
  <c r="CR172" i="7"/>
  <c r="CQ172" i="7"/>
  <c r="CP172" i="7"/>
  <c r="CO172" i="7"/>
  <c r="CN172" i="7"/>
  <c r="CM172" i="7"/>
  <c r="CL172" i="7"/>
  <c r="CK172" i="7"/>
  <c r="CI172" i="7"/>
  <c r="CJ172" i="7" s="1"/>
  <c r="CH172" i="7"/>
  <c r="CG172" i="7"/>
  <c r="CE172" i="7"/>
  <c r="CF172" i="7" s="1"/>
  <c r="CD172" i="7"/>
  <c r="CC172" i="7"/>
  <c r="CA172" i="7"/>
  <c r="CB172" i="7" s="1"/>
  <c r="BZ172" i="7"/>
  <c r="BY172" i="7"/>
  <c r="BW172" i="7"/>
  <c r="BX172" i="7" s="1"/>
  <c r="BV172" i="7"/>
  <c r="BU172" i="7"/>
  <c r="BS172" i="7"/>
  <c r="BT172" i="7" s="1"/>
  <c r="BR172" i="7"/>
  <c r="BQ172" i="7"/>
  <c r="BO172" i="7"/>
  <c r="BP172" i="7" s="1"/>
  <c r="BN172" i="7"/>
  <c r="BM172" i="7"/>
  <c r="BK172" i="7"/>
  <c r="BL172" i="7" s="1"/>
  <c r="BJ172" i="7"/>
  <c r="BI172" i="7"/>
  <c r="BG172" i="7"/>
  <c r="BH172" i="7" s="1"/>
  <c r="BF172" i="7"/>
  <c r="BE172" i="7"/>
  <c r="BC172" i="7"/>
  <c r="BD172" i="7" s="1"/>
  <c r="BB172" i="7"/>
  <c r="AZ172" i="7"/>
  <c r="AX172" i="7"/>
  <c r="AW172" i="7"/>
  <c r="AV172" i="7"/>
  <c r="AU172" i="7"/>
  <c r="AT172" i="7"/>
  <c r="AS172" i="7"/>
  <c r="AR172" i="7"/>
  <c r="AQ172" i="7"/>
  <c r="AP172" i="7"/>
  <c r="AO172" i="7"/>
  <c r="AN172" i="7"/>
  <c r="AM172" i="7"/>
  <c r="AL172" i="7"/>
  <c r="AK172" i="7"/>
  <c r="AJ172" i="7"/>
  <c r="AI172" i="7"/>
  <c r="AH172" i="7"/>
  <c r="AG172" i="7"/>
  <c r="AF172" i="7"/>
  <c r="AE172" i="7"/>
  <c r="AD172" i="7"/>
  <c r="AC172" i="7"/>
  <c r="AB172" i="7"/>
  <c r="AA172" i="7"/>
  <c r="Z172" i="7"/>
  <c r="Y172" i="7"/>
  <c r="X172" i="7"/>
  <c r="W172" i="7"/>
  <c r="V172" i="7"/>
  <c r="U172" i="7"/>
  <c r="T172" i="7"/>
  <c r="S172" i="7"/>
  <c r="R172" i="7"/>
  <c r="Q172" i="7"/>
  <c r="P172" i="7"/>
  <c r="O172" i="7"/>
  <c r="N172" i="7"/>
  <c r="M172" i="7"/>
  <c r="L172" i="7"/>
  <c r="K172" i="7"/>
  <c r="J172" i="7"/>
  <c r="I172" i="7"/>
  <c r="H172" i="7"/>
  <c r="G172" i="7"/>
  <c r="F172" i="7"/>
  <c r="D172" i="7"/>
  <c r="C172" i="7"/>
  <c r="B172" i="7"/>
  <c r="FQ171" i="7"/>
  <c r="FO171" i="7"/>
  <c r="FM171" i="7"/>
  <c r="FL171" i="7"/>
  <c r="FJ171" i="7"/>
  <c r="FH171" i="7"/>
  <c r="FG171" i="7"/>
  <c r="FE171" i="7"/>
  <c r="FC171" i="7"/>
  <c r="EZ171" i="7"/>
  <c r="EY171" i="7"/>
  <c r="EX171" i="7"/>
  <c r="EW171" i="7"/>
  <c r="EV171" i="7"/>
  <c r="EU171" i="7"/>
  <c r="ET171" i="7"/>
  <c r="ES171" i="7"/>
  <c r="ER171" i="7"/>
  <c r="EQ171" i="7"/>
  <c r="EP171" i="7"/>
  <c r="EO171" i="7"/>
  <c r="EN171" i="7"/>
  <c r="EM171" i="7"/>
  <c r="EI171" i="7"/>
  <c r="EG171" i="7"/>
  <c r="EE171" i="7"/>
  <c r="EC171" i="7"/>
  <c r="EA171" i="7"/>
  <c r="DY171" i="7"/>
  <c r="DW171" i="7"/>
  <c r="DU171" i="7"/>
  <c r="DS171" i="7"/>
  <c r="DR171" i="7"/>
  <c r="DP171" i="7"/>
  <c r="DN171" i="7"/>
  <c r="DM171" i="7"/>
  <c r="DK171" i="7"/>
  <c r="DI171" i="7"/>
  <c r="DH171" i="7"/>
  <c r="DF171" i="7"/>
  <c r="DD171" i="7"/>
  <c r="DC171" i="7"/>
  <c r="DA171" i="7"/>
  <c r="CY171" i="7"/>
  <c r="CX171" i="7"/>
  <c r="CV171" i="7"/>
  <c r="CT171" i="7"/>
  <c r="CS171" i="7"/>
  <c r="CR171" i="7"/>
  <c r="CQ171" i="7"/>
  <c r="CP171" i="7"/>
  <c r="CO171" i="7"/>
  <c r="CN171" i="7"/>
  <c r="CM171" i="7"/>
  <c r="CL171" i="7"/>
  <c r="CK171" i="7"/>
  <c r="CI171" i="7"/>
  <c r="CJ171" i="7" s="1"/>
  <c r="CH171" i="7"/>
  <c r="CG171" i="7"/>
  <c r="CE171" i="7"/>
  <c r="CF171" i="7" s="1"/>
  <c r="CD171" i="7"/>
  <c r="CC171" i="7"/>
  <c r="CA171" i="7"/>
  <c r="CB171" i="7" s="1"/>
  <c r="BZ171" i="7"/>
  <c r="BY171" i="7"/>
  <c r="BW171" i="7"/>
  <c r="BX171" i="7" s="1"/>
  <c r="BV171" i="7"/>
  <c r="BU171" i="7"/>
  <c r="BS171" i="7"/>
  <c r="BT171" i="7" s="1"/>
  <c r="BR171" i="7"/>
  <c r="BQ171" i="7"/>
  <c r="BO171" i="7"/>
  <c r="BP171" i="7" s="1"/>
  <c r="BN171" i="7"/>
  <c r="BM171" i="7"/>
  <c r="BK171" i="7"/>
  <c r="BL171" i="7" s="1"/>
  <c r="BJ171" i="7"/>
  <c r="BI171" i="7"/>
  <c r="BG171" i="7"/>
  <c r="BH171" i="7" s="1"/>
  <c r="BF171" i="7"/>
  <c r="BE171" i="7"/>
  <c r="BC171" i="7"/>
  <c r="BD171" i="7" s="1"/>
  <c r="BB171" i="7"/>
  <c r="AZ171" i="7"/>
  <c r="AX171" i="7"/>
  <c r="AW171" i="7"/>
  <c r="AV171" i="7"/>
  <c r="AU171" i="7"/>
  <c r="AT171" i="7"/>
  <c r="AS171" i="7"/>
  <c r="AR171" i="7"/>
  <c r="AQ171" i="7"/>
  <c r="AP171" i="7"/>
  <c r="AO171" i="7"/>
  <c r="AN171" i="7"/>
  <c r="AM171" i="7"/>
  <c r="AL171" i="7"/>
  <c r="AK171" i="7"/>
  <c r="AJ171" i="7"/>
  <c r="AI171" i="7"/>
  <c r="AH171" i="7"/>
  <c r="AG171" i="7"/>
  <c r="AF171" i="7"/>
  <c r="AE171" i="7"/>
  <c r="AD171" i="7"/>
  <c r="AC171" i="7"/>
  <c r="AB171" i="7"/>
  <c r="AA171" i="7"/>
  <c r="Z171" i="7"/>
  <c r="Y171" i="7"/>
  <c r="X171" i="7"/>
  <c r="W171" i="7"/>
  <c r="V171" i="7"/>
  <c r="U171" i="7"/>
  <c r="T171" i="7"/>
  <c r="S171" i="7"/>
  <c r="R171" i="7"/>
  <c r="Q171" i="7"/>
  <c r="P171" i="7"/>
  <c r="O171" i="7"/>
  <c r="N171" i="7"/>
  <c r="M171" i="7"/>
  <c r="L171" i="7"/>
  <c r="K171" i="7"/>
  <c r="J171" i="7"/>
  <c r="I171" i="7"/>
  <c r="H171" i="7"/>
  <c r="G171" i="7"/>
  <c r="F171" i="7"/>
  <c r="D171" i="7"/>
  <c r="C171" i="7"/>
  <c r="B171" i="7"/>
  <c r="FQ170" i="7"/>
  <c r="FO170" i="7"/>
  <c r="FM170" i="7"/>
  <c r="FL170" i="7"/>
  <c r="FJ170" i="7"/>
  <c r="FH170" i="7"/>
  <c r="FG170" i="7"/>
  <c r="FE170" i="7"/>
  <c r="FC170" i="7"/>
  <c r="EZ170" i="7"/>
  <c r="EY170" i="7"/>
  <c r="EX170" i="7"/>
  <c r="EW170" i="7"/>
  <c r="EV170" i="7"/>
  <c r="EU170" i="7"/>
  <c r="ET170" i="7"/>
  <c r="ES170" i="7"/>
  <c r="ER170" i="7"/>
  <c r="EQ170" i="7"/>
  <c r="EP170" i="7"/>
  <c r="EO170" i="7"/>
  <c r="EN170" i="7"/>
  <c r="EM170" i="7"/>
  <c r="EI170" i="7"/>
  <c r="EG170" i="7"/>
  <c r="EE170" i="7"/>
  <c r="EC170" i="7"/>
  <c r="EA170" i="7"/>
  <c r="DY170" i="7"/>
  <c r="DW170" i="7"/>
  <c r="DU170" i="7"/>
  <c r="DS170" i="7"/>
  <c r="DR170" i="7"/>
  <c r="DP170" i="7"/>
  <c r="DN170" i="7"/>
  <c r="DM170" i="7"/>
  <c r="DK170" i="7"/>
  <c r="DI170" i="7"/>
  <c r="DH170" i="7"/>
  <c r="DF170" i="7"/>
  <c r="DD170" i="7"/>
  <c r="DC170" i="7"/>
  <c r="DA170" i="7"/>
  <c r="CY170" i="7"/>
  <c r="CX170" i="7"/>
  <c r="CV170" i="7"/>
  <c r="CT170" i="7"/>
  <c r="CS170" i="7"/>
  <c r="CR170" i="7"/>
  <c r="CQ170" i="7"/>
  <c r="CP170" i="7"/>
  <c r="CO170" i="7"/>
  <c r="CN170" i="7"/>
  <c r="CM170" i="7"/>
  <c r="CL170" i="7"/>
  <c r="CK170" i="7"/>
  <c r="CI170" i="7"/>
  <c r="CJ170" i="7" s="1"/>
  <c r="CH170" i="7"/>
  <c r="CG170" i="7"/>
  <c r="CE170" i="7"/>
  <c r="CF170" i="7" s="1"/>
  <c r="CD170" i="7"/>
  <c r="CC170" i="7"/>
  <c r="CA170" i="7"/>
  <c r="CB170" i="7" s="1"/>
  <c r="BZ170" i="7"/>
  <c r="BY170" i="7"/>
  <c r="BW170" i="7"/>
  <c r="BX170" i="7" s="1"/>
  <c r="BV170" i="7"/>
  <c r="BU170" i="7"/>
  <c r="BS170" i="7"/>
  <c r="BT170" i="7" s="1"/>
  <c r="BR170" i="7"/>
  <c r="BQ170" i="7"/>
  <c r="BO170" i="7"/>
  <c r="BP170" i="7" s="1"/>
  <c r="BN170" i="7"/>
  <c r="BM170" i="7"/>
  <c r="BK170" i="7"/>
  <c r="BL170" i="7" s="1"/>
  <c r="BJ170" i="7"/>
  <c r="BI170" i="7"/>
  <c r="BG170" i="7"/>
  <c r="BH170" i="7" s="1"/>
  <c r="BF170" i="7"/>
  <c r="BE170" i="7"/>
  <c r="BC170" i="7"/>
  <c r="BD170" i="7" s="1"/>
  <c r="BB170" i="7"/>
  <c r="AZ170" i="7"/>
  <c r="AX170" i="7"/>
  <c r="AW170" i="7"/>
  <c r="AV170" i="7"/>
  <c r="AU170" i="7"/>
  <c r="AT170" i="7"/>
  <c r="AS170" i="7"/>
  <c r="AR170" i="7"/>
  <c r="AQ170" i="7"/>
  <c r="AP170" i="7"/>
  <c r="AO170" i="7"/>
  <c r="AN170" i="7"/>
  <c r="AM170" i="7"/>
  <c r="AL170" i="7"/>
  <c r="AK170" i="7"/>
  <c r="AJ170" i="7"/>
  <c r="AI170" i="7"/>
  <c r="AH170" i="7"/>
  <c r="AG170" i="7"/>
  <c r="AF170" i="7"/>
  <c r="AE170" i="7"/>
  <c r="AD170" i="7"/>
  <c r="AC170" i="7"/>
  <c r="AB170" i="7"/>
  <c r="AA170" i="7"/>
  <c r="Z170" i="7"/>
  <c r="Y170" i="7"/>
  <c r="X170" i="7"/>
  <c r="W170" i="7"/>
  <c r="V170" i="7"/>
  <c r="U170" i="7"/>
  <c r="T170" i="7"/>
  <c r="S170" i="7"/>
  <c r="R170" i="7"/>
  <c r="Q170" i="7"/>
  <c r="P170" i="7"/>
  <c r="O170" i="7"/>
  <c r="N170" i="7"/>
  <c r="M170" i="7"/>
  <c r="L170" i="7"/>
  <c r="K170" i="7"/>
  <c r="J170" i="7"/>
  <c r="I170" i="7"/>
  <c r="H170" i="7"/>
  <c r="G170" i="7"/>
  <c r="F170" i="7"/>
  <c r="D170" i="7"/>
  <c r="C170" i="7"/>
  <c r="B170" i="7"/>
  <c r="FQ169" i="7"/>
  <c r="FO169" i="7"/>
  <c r="FM169" i="7"/>
  <c r="FL169" i="7"/>
  <c r="FJ169" i="7"/>
  <c r="FH169" i="7"/>
  <c r="FG169" i="7"/>
  <c r="FE169" i="7"/>
  <c r="FC169" i="7"/>
  <c r="EZ169" i="7"/>
  <c r="EY169" i="7"/>
  <c r="EX169" i="7"/>
  <c r="EW169" i="7"/>
  <c r="EV169" i="7"/>
  <c r="EU169" i="7"/>
  <c r="ET169" i="7"/>
  <c r="ES169" i="7"/>
  <c r="ER169" i="7"/>
  <c r="EQ169" i="7"/>
  <c r="EP169" i="7"/>
  <c r="EO169" i="7"/>
  <c r="EN169" i="7"/>
  <c r="EM169" i="7"/>
  <c r="EI169" i="7"/>
  <c r="EG169" i="7"/>
  <c r="EE169" i="7"/>
  <c r="EC169" i="7"/>
  <c r="EA169" i="7"/>
  <c r="DY169" i="7"/>
  <c r="DW169" i="7"/>
  <c r="DU169" i="7"/>
  <c r="DS169" i="7"/>
  <c r="DR169" i="7"/>
  <c r="DP169" i="7"/>
  <c r="DN169" i="7"/>
  <c r="DM169" i="7"/>
  <c r="DK169" i="7"/>
  <c r="DI169" i="7"/>
  <c r="DH169" i="7"/>
  <c r="DF169" i="7"/>
  <c r="DD169" i="7"/>
  <c r="DC169" i="7"/>
  <c r="DA169" i="7"/>
  <c r="CY169" i="7"/>
  <c r="CX169" i="7"/>
  <c r="CV169" i="7"/>
  <c r="CT169" i="7"/>
  <c r="CS169" i="7"/>
  <c r="CR169" i="7"/>
  <c r="CQ169" i="7"/>
  <c r="CP169" i="7"/>
  <c r="CO169" i="7"/>
  <c r="CN169" i="7"/>
  <c r="CM169" i="7"/>
  <c r="CL169" i="7"/>
  <c r="CK169" i="7"/>
  <c r="CI169" i="7"/>
  <c r="CJ169" i="7" s="1"/>
  <c r="CH169" i="7"/>
  <c r="CG169" i="7"/>
  <c r="CE169" i="7"/>
  <c r="CF169" i="7" s="1"/>
  <c r="CD169" i="7"/>
  <c r="CC169" i="7"/>
  <c r="CA169" i="7"/>
  <c r="CB169" i="7" s="1"/>
  <c r="BZ169" i="7"/>
  <c r="BY169" i="7"/>
  <c r="BX169" i="7"/>
  <c r="BW169" i="7"/>
  <c r="BV169" i="7"/>
  <c r="BU169" i="7"/>
  <c r="BS169" i="7"/>
  <c r="BT169" i="7" s="1"/>
  <c r="BR169" i="7"/>
  <c r="BQ169" i="7"/>
  <c r="BO169" i="7"/>
  <c r="BP169" i="7" s="1"/>
  <c r="BN169" i="7"/>
  <c r="BM169" i="7"/>
  <c r="BK169" i="7"/>
  <c r="BL169" i="7" s="1"/>
  <c r="BJ169" i="7"/>
  <c r="BI169" i="7"/>
  <c r="BG169" i="7"/>
  <c r="BH169" i="7" s="1"/>
  <c r="BF169" i="7"/>
  <c r="BE169" i="7"/>
  <c r="BC169" i="7"/>
  <c r="BD169" i="7" s="1"/>
  <c r="BB169" i="7"/>
  <c r="AZ169" i="7"/>
  <c r="AX169" i="7"/>
  <c r="AW169" i="7"/>
  <c r="AV169" i="7"/>
  <c r="AU169" i="7"/>
  <c r="AT169" i="7"/>
  <c r="AS169" i="7"/>
  <c r="AR169" i="7"/>
  <c r="AQ169" i="7"/>
  <c r="AP169" i="7"/>
  <c r="AO169" i="7"/>
  <c r="AN169" i="7"/>
  <c r="AM169" i="7"/>
  <c r="AL169" i="7"/>
  <c r="AK169" i="7"/>
  <c r="AJ169" i="7"/>
  <c r="AI169" i="7"/>
  <c r="AH169" i="7"/>
  <c r="AG169" i="7"/>
  <c r="AF169" i="7"/>
  <c r="AE169" i="7"/>
  <c r="AD169" i="7"/>
  <c r="AC169" i="7"/>
  <c r="AB169" i="7"/>
  <c r="AA169" i="7"/>
  <c r="Z169" i="7"/>
  <c r="Y169" i="7"/>
  <c r="X169" i="7"/>
  <c r="W169" i="7"/>
  <c r="V169" i="7"/>
  <c r="U169" i="7"/>
  <c r="T169" i="7"/>
  <c r="S169" i="7"/>
  <c r="R169" i="7"/>
  <c r="Q169" i="7"/>
  <c r="P169" i="7"/>
  <c r="O169" i="7"/>
  <c r="N169" i="7"/>
  <c r="M169" i="7"/>
  <c r="L169" i="7"/>
  <c r="K169" i="7"/>
  <c r="J169" i="7"/>
  <c r="I169" i="7"/>
  <c r="H169" i="7"/>
  <c r="G169" i="7"/>
  <c r="F169" i="7"/>
  <c r="D169" i="7"/>
  <c r="C169" i="7"/>
  <c r="B169" i="7"/>
  <c r="FQ168" i="7"/>
  <c r="FO168" i="7"/>
  <c r="FM168" i="7"/>
  <c r="FL168" i="7"/>
  <c r="FJ168" i="7"/>
  <c r="FH168" i="7"/>
  <c r="FG168" i="7"/>
  <c r="FE168" i="7"/>
  <c r="FC168" i="7"/>
  <c r="EZ168" i="7"/>
  <c r="EY168" i="7"/>
  <c r="EX168" i="7"/>
  <c r="EW168" i="7"/>
  <c r="EV168" i="7"/>
  <c r="EU168" i="7"/>
  <c r="ET168" i="7"/>
  <c r="ES168" i="7"/>
  <c r="ER168" i="7"/>
  <c r="EQ168" i="7"/>
  <c r="EP168" i="7"/>
  <c r="EO168" i="7"/>
  <c r="EN168" i="7"/>
  <c r="EM168" i="7"/>
  <c r="EI168" i="7"/>
  <c r="EG168" i="7"/>
  <c r="EE168" i="7"/>
  <c r="EC168" i="7"/>
  <c r="EA168" i="7"/>
  <c r="DY168" i="7"/>
  <c r="DW168" i="7"/>
  <c r="DU168" i="7"/>
  <c r="DS168" i="7"/>
  <c r="DR168" i="7"/>
  <c r="DP168" i="7"/>
  <c r="DN168" i="7"/>
  <c r="DM168" i="7"/>
  <c r="DK168" i="7"/>
  <c r="DI168" i="7"/>
  <c r="DH168" i="7"/>
  <c r="DF168" i="7"/>
  <c r="DD168" i="7"/>
  <c r="DC168" i="7"/>
  <c r="DA168" i="7"/>
  <c r="CY168" i="7"/>
  <c r="CX168" i="7"/>
  <c r="CV168" i="7"/>
  <c r="CT168" i="7"/>
  <c r="CS168" i="7"/>
  <c r="CR168" i="7"/>
  <c r="CQ168" i="7"/>
  <c r="CP168" i="7"/>
  <c r="CO168" i="7"/>
  <c r="CN168" i="7"/>
  <c r="CM168" i="7"/>
  <c r="CL168" i="7"/>
  <c r="CK168" i="7"/>
  <c r="CI168" i="7"/>
  <c r="CJ168" i="7" s="1"/>
  <c r="CH168" i="7"/>
  <c r="CG168" i="7"/>
  <c r="CE168" i="7"/>
  <c r="CF168" i="7" s="1"/>
  <c r="CD168" i="7"/>
  <c r="CC168" i="7"/>
  <c r="CA168" i="7"/>
  <c r="CB168" i="7" s="1"/>
  <c r="BZ168" i="7"/>
  <c r="BY168" i="7"/>
  <c r="BW168" i="7"/>
  <c r="BX168" i="7" s="1"/>
  <c r="BV168" i="7"/>
  <c r="BU168" i="7"/>
  <c r="BS168" i="7"/>
  <c r="BT168" i="7" s="1"/>
  <c r="BR168" i="7"/>
  <c r="BQ168" i="7"/>
  <c r="BO168" i="7"/>
  <c r="BP168" i="7" s="1"/>
  <c r="BN168" i="7"/>
  <c r="BM168" i="7"/>
  <c r="BK168" i="7"/>
  <c r="BL168" i="7" s="1"/>
  <c r="BJ168" i="7"/>
  <c r="BI168" i="7"/>
  <c r="BG168" i="7"/>
  <c r="BH168" i="7" s="1"/>
  <c r="BF168" i="7"/>
  <c r="BE168" i="7"/>
  <c r="BC168" i="7"/>
  <c r="BD168" i="7" s="1"/>
  <c r="BB168" i="7"/>
  <c r="AZ168" i="7"/>
  <c r="AX168" i="7"/>
  <c r="AW168" i="7"/>
  <c r="AV168" i="7"/>
  <c r="AU168" i="7"/>
  <c r="AT168" i="7"/>
  <c r="AS168" i="7"/>
  <c r="AR168" i="7"/>
  <c r="AQ168" i="7"/>
  <c r="AP168" i="7"/>
  <c r="AO168" i="7"/>
  <c r="AN168" i="7"/>
  <c r="AM168" i="7"/>
  <c r="AL168" i="7"/>
  <c r="AK168" i="7"/>
  <c r="AJ168" i="7"/>
  <c r="AI168" i="7"/>
  <c r="AH168" i="7"/>
  <c r="AG168" i="7"/>
  <c r="AF168" i="7"/>
  <c r="AE168" i="7"/>
  <c r="AD168" i="7"/>
  <c r="AC168" i="7"/>
  <c r="AB168" i="7"/>
  <c r="AA168" i="7"/>
  <c r="Z168" i="7"/>
  <c r="Y168" i="7"/>
  <c r="X168" i="7"/>
  <c r="W168" i="7"/>
  <c r="V168" i="7"/>
  <c r="U168" i="7"/>
  <c r="T168" i="7"/>
  <c r="S168" i="7"/>
  <c r="R168" i="7"/>
  <c r="Q168" i="7"/>
  <c r="P168" i="7"/>
  <c r="O168" i="7"/>
  <c r="N168" i="7"/>
  <c r="M168" i="7"/>
  <c r="L168" i="7"/>
  <c r="K168" i="7"/>
  <c r="J168" i="7"/>
  <c r="I168" i="7"/>
  <c r="H168" i="7"/>
  <c r="G168" i="7"/>
  <c r="F168" i="7"/>
  <c r="D168" i="7"/>
  <c r="C168" i="7"/>
  <c r="B168" i="7"/>
  <c r="FQ167" i="7"/>
  <c r="FO167" i="7"/>
  <c r="FM167" i="7"/>
  <c r="FL167" i="7"/>
  <c r="FJ167" i="7"/>
  <c r="FH167" i="7"/>
  <c r="FG167" i="7"/>
  <c r="FE167" i="7"/>
  <c r="FC167" i="7"/>
  <c r="EZ167" i="7"/>
  <c r="EY167" i="7"/>
  <c r="EX167" i="7"/>
  <c r="EW167" i="7"/>
  <c r="EV167" i="7"/>
  <c r="EU167" i="7"/>
  <c r="ET167" i="7"/>
  <c r="ES167" i="7"/>
  <c r="ER167" i="7"/>
  <c r="EQ167" i="7"/>
  <c r="EP167" i="7"/>
  <c r="EO167" i="7"/>
  <c r="EN167" i="7"/>
  <c r="EM167" i="7"/>
  <c r="EI167" i="7"/>
  <c r="EG167" i="7"/>
  <c r="EE167" i="7"/>
  <c r="EC167" i="7"/>
  <c r="EA167" i="7"/>
  <c r="DY167" i="7"/>
  <c r="DW167" i="7"/>
  <c r="DU167" i="7"/>
  <c r="DS167" i="7"/>
  <c r="DR167" i="7"/>
  <c r="DP167" i="7"/>
  <c r="DN167" i="7"/>
  <c r="DM167" i="7"/>
  <c r="DK167" i="7"/>
  <c r="DI167" i="7"/>
  <c r="DH167" i="7"/>
  <c r="DF167" i="7"/>
  <c r="DD167" i="7"/>
  <c r="DC167" i="7"/>
  <c r="DA167" i="7"/>
  <c r="CY167" i="7"/>
  <c r="CX167" i="7"/>
  <c r="CV167" i="7"/>
  <c r="CT167" i="7"/>
  <c r="CS167" i="7"/>
  <c r="CR167" i="7"/>
  <c r="CQ167" i="7"/>
  <c r="CP167" i="7"/>
  <c r="CO167" i="7"/>
  <c r="CN167" i="7"/>
  <c r="CM167" i="7"/>
  <c r="CL167" i="7"/>
  <c r="CK167" i="7"/>
  <c r="CI167" i="7"/>
  <c r="CJ167" i="7" s="1"/>
  <c r="CH167" i="7"/>
  <c r="CG167" i="7"/>
  <c r="CE167" i="7"/>
  <c r="CF167" i="7" s="1"/>
  <c r="CD167" i="7"/>
  <c r="CC167" i="7"/>
  <c r="CB167" i="7"/>
  <c r="CA167" i="7"/>
  <c r="BZ167" i="7"/>
  <c r="BY167" i="7"/>
  <c r="BW167" i="7"/>
  <c r="BX167" i="7" s="1"/>
  <c r="BV167" i="7"/>
  <c r="BU167" i="7"/>
  <c r="BS167" i="7"/>
  <c r="BT167" i="7" s="1"/>
  <c r="BR167" i="7"/>
  <c r="BQ167" i="7"/>
  <c r="BO167" i="7"/>
  <c r="BP167" i="7" s="1"/>
  <c r="BN167" i="7"/>
  <c r="BM167" i="7"/>
  <c r="BK167" i="7"/>
  <c r="BL167" i="7" s="1"/>
  <c r="BJ167" i="7"/>
  <c r="BI167" i="7"/>
  <c r="BG167" i="7"/>
  <c r="BH167" i="7" s="1"/>
  <c r="BF167" i="7"/>
  <c r="BE167" i="7"/>
  <c r="BC167" i="7"/>
  <c r="BD167" i="7" s="1"/>
  <c r="BB167" i="7"/>
  <c r="AZ167" i="7"/>
  <c r="AX167" i="7"/>
  <c r="AW167" i="7"/>
  <c r="AV167" i="7"/>
  <c r="AU167" i="7"/>
  <c r="AT167" i="7"/>
  <c r="AS167" i="7"/>
  <c r="AR167" i="7"/>
  <c r="AQ167" i="7"/>
  <c r="AP167" i="7"/>
  <c r="AO167" i="7"/>
  <c r="AN167" i="7"/>
  <c r="AM167" i="7"/>
  <c r="AL167" i="7"/>
  <c r="AK167" i="7"/>
  <c r="AJ167" i="7"/>
  <c r="AI167" i="7"/>
  <c r="AH167" i="7"/>
  <c r="AG167" i="7"/>
  <c r="AF167" i="7"/>
  <c r="AE167" i="7"/>
  <c r="AD167" i="7"/>
  <c r="AC167" i="7"/>
  <c r="AB167" i="7"/>
  <c r="AA167" i="7"/>
  <c r="Z167" i="7"/>
  <c r="Y167" i="7"/>
  <c r="X167" i="7"/>
  <c r="W167" i="7"/>
  <c r="V167" i="7"/>
  <c r="U167" i="7"/>
  <c r="T167" i="7"/>
  <c r="S167" i="7"/>
  <c r="R167" i="7"/>
  <c r="Q167" i="7"/>
  <c r="P167" i="7"/>
  <c r="O167" i="7"/>
  <c r="N167" i="7"/>
  <c r="M167" i="7"/>
  <c r="L167" i="7"/>
  <c r="K167" i="7"/>
  <c r="J167" i="7"/>
  <c r="I167" i="7"/>
  <c r="H167" i="7"/>
  <c r="G167" i="7"/>
  <c r="F167" i="7"/>
  <c r="D167" i="7"/>
  <c r="C167" i="7"/>
  <c r="B167" i="7"/>
  <c r="FQ166" i="7"/>
  <c r="FO166" i="7"/>
  <c r="FM166" i="7"/>
  <c r="FL166" i="7"/>
  <c r="FJ166" i="7"/>
  <c r="FH166" i="7"/>
  <c r="FG166" i="7"/>
  <c r="FE166" i="7"/>
  <c r="FC166" i="7"/>
  <c r="EZ166" i="7"/>
  <c r="EY166" i="7"/>
  <c r="EX166" i="7"/>
  <c r="EW166" i="7"/>
  <c r="EV166" i="7"/>
  <c r="EU166" i="7"/>
  <c r="ET166" i="7"/>
  <c r="ES166" i="7"/>
  <c r="ER166" i="7"/>
  <c r="EQ166" i="7"/>
  <c r="EP166" i="7"/>
  <c r="EO166" i="7"/>
  <c r="EN166" i="7"/>
  <c r="EM166" i="7"/>
  <c r="EI166" i="7"/>
  <c r="EG166" i="7"/>
  <c r="EE166" i="7"/>
  <c r="EC166" i="7"/>
  <c r="EA166" i="7"/>
  <c r="DY166" i="7"/>
  <c r="DW166" i="7"/>
  <c r="DU166" i="7"/>
  <c r="DS166" i="7"/>
  <c r="DR166" i="7"/>
  <c r="DP166" i="7"/>
  <c r="DN166" i="7"/>
  <c r="DM166" i="7"/>
  <c r="DK166" i="7"/>
  <c r="DI166" i="7"/>
  <c r="DH166" i="7"/>
  <c r="DF166" i="7"/>
  <c r="DD166" i="7"/>
  <c r="DC166" i="7"/>
  <c r="DA166" i="7"/>
  <c r="CY166" i="7"/>
  <c r="CX166" i="7"/>
  <c r="CV166" i="7"/>
  <c r="CT166" i="7"/>
  <c r="CS166" i="7"/>
  <c r="CR166" i="7"/>
  <c r="CQ166" i="7"/>
  <c r="CP166" i="7"/>
  <c r="CO166" i="7"/>
  <c r="CN166" i="7"/>
  <c r="CM166" i="7"/>
  <c r="CL166" i="7"/>
  <c r="CK166" i="7"/>
  <c r="CI166" i="7"/>
  <c r="CJ166" i="7" s="1"/>
  <c r="CH166" i="7"/>
  <c r="CG166" i="7"/>
  <c r="CE166" i="7"/>
  <c r="CF166" i="7" s="1"/>
  <c r="CD166" i="7"/>
  <c r="CC166" i="7"/>
  <c r="CA166" i="7"/>
  <c r="CB166" i="7" s="1"/>
  <c r="BZ166" i="7"/>
  <c r="BY166" i="7"/>
  <c r="BW166" i="7"/>
  <c r="BX166" i="7" s="1"/>
  <c r="BV166" i="7"/>
  <c r="BU166" i="7"/>
  <c r="BS166" i="7"/>
  <c r="BT166" i="7" s="1"/>
  <c r="BR166" i="7"/>
  <c r="BQ166" i="7"/>
  <c r="BO166" i="7"/>
  <c r="BP166" i="7" s="1"/>
  <c r="BN166" i="7"/>
  <c r="BM166" i="7"/>
  <c r="BK166" i="7"/>
  <c r="BL166" i="7" s="1"/>
  <c r="BJ166" i="7"/>
  <c r="BI166" i="7"/>
  <c r="BG166" i="7"/>
  <c r="BH166" i="7" s="1"/>
  <c r="BF166" i="7"/>
  <c r="BE166" i="7"/>
  <c r="BC166" i="7"/>
  <c r="BD166" i="7" s="1"/>
  <c r="BB166" i="7"/>
  <c r="AZ166" i="7"/>
  <c r="AX166" i="7"/>
  <c r="AW166" i="7"/>
  <c r="AV166" i="7"/>
  <c r="AU166" i="7"/>
  <c r="AT166" i="7"/>
  <c r="AS166" i="7"/>
  <c r="AR166" i="7"/>
  <c r="AQ166" i="7"/>
  <c r="AP166" i="7"/>
  <c r="AO166" i="7"/>
  <c r="AN166" i="7"/>
  <c r="AM166" i="7"/>
  <c r="AL166" i="7"/>
  <c r="AK166" i="7"/>
  <c r="AJ166" i="7"/>
  <c r="AI166" i="7"/>
  <c r="AH166" i="7"/>
  <c r="AG166" i="7"/>
  <c r="AF166" i="7"/>
  <c r="AE166" i="7"/>
  <c r="AD166" i="7"/>
  <c r="AC166" i="7"/>
  <c r="AB166" i="7"/>
  <c r="AA166" i="7"/>
  <c r="Z166" i="7"/>
  <c r="Y166" i="7"/>
  <c r="X166" i="7"/>
  <c r="W166" i="7"/>
  <c r="V166" i="7"/>
  <c r="U166" i="7"/>
  <c r="T166" i="7"/>
  <c r="S166" i="7"/>
  <c r="R166" i="7"/>
  <c r="Q166" i="7"/>
  <c r="P166" i="7"/>
  <c r="O166" i="7"/>
  <c r="N166" i="7"/>
  <c r="M166" i="7"/>
  <c r="L166" i="7"/>
  <c r="K166" i="7"/>
  <c r="J166" i="7"/>
  <c r="I166" i="7"/>
  <c r="H166" i="7"/>
  <c r="G166" i="7"/>
  <c r="F166" i="7"/>
  <c r="D166" i="7"/>
  <c r="C166" i="7"/>
  <c r="B166" i="7"/>
  <c r="FQ165" i="7"/>
  <c r="FO165" i="7"/>
  <c r="FM165" i="7"/>
  <c r="FL165" i="7"/>
  <c r="FJ165" i="7"/>
  <c r="FH165" i="7"/>
  <c r="FG165" i="7"/>
  <c r="FE165" i="7"/>
  <c r="FC165" i="7"/>
  <c r="EZ165" i="7"/>
  <c r="EY165" i="7"/>
  <c r="EX165" i="7"/>
  <c r="EW165" i="7"/>
  <c r="EV165" i="7"/>
  <c r="EU165" i="7"/>
  <c r="ET165" i="7"/>
  <c r="ES165" i="7"/>
  <c r="ER165" i="7"/>
  <c r="EQ165" i="7"/>
  <c r="EP165" i="7"/>
  <c r="EO165" i="7"/>
  <c r="EN165" i="7"/>
  <c r="EM165" i="7"/>
  <c r="EI165" i="7"/>
  <c r="EG165" i="7"/>
  <c r="EE165" i="7"/>
  <c r="EC165" i="7"/>
  <c r="EA165" i="7"/>
  <c r="DY165" i="7"/>
  <c r="DW165" i="7"/>
  <c r="DU165" i="7"/>
  <c r="DS165" i="7"/>
  <c r="DR165" i="7"/>
  <c r="DP165" i="7"/>
  <c r="DN165" i="7"/>
  <c r="DM165" i="7"/>
  <c r="DK165" i="7"/>
  <c r="DI165" i="7"/>
  <c r="DH165" i="7"/>
  <c r="DF165" i="7"/>
  <c r="DD165" i="7"/>
  <c r="DC165" i="7"/>
  <c r="DA165" i="7"/>
  <c r="CY165" i="7"/>
  <c r="CX165" i="7"/>
  <c r="CV165" i="7"/>
  <c r="CT165" i="7"/>
  <c r="CS165" i="7"/>
  <c r="CR165" i="7"/>
  <c r="CQ165" i="7"/>
  <c r="CP165" i="7"/>
  <c r="CO165" i="7"/>
  <c r="CN165" i="7"/>
  <c r="CM165" i="7"/>
  <c r="CL165" i="7"/>
  <c r="CK165" i="7"/>
  <c r="CI165" i="7"/>
  <c r="CJ165" i="7" s="1"/>
  <c r="CH165" i="7"/>
  <c r="CG165" i="7"/>
  <c r="CE165" i="7"/>
  <c r="CF165" i="7" s="1"/>
  <c r="CD165" i="7"/>
  <c r="CC165" i="7"/>
  <c r="CA165" i="7"/>
  <c r="CB165" i="7" s="1"/>
  <c r="BZ165" i="7"/>
  <c r="BY165" i="7"/>
  <c r="BW165" i="7"/>
  <c r="BX165" i="7" s="1"/>
  <c r="BV165" i="7"/>
  <c r="BU165" i="7"/>
  <c r="BS165" i="7"/>
  <c r="BT165" i="7" s="1"/>
  <c r="BR165" i="7"/>
  <c r="BQ165" i="7"/>
  <c r="BO165" i="7"/>
  <c r="BP165" i="7" s="1"/>
  <c r="BN165" i="7"/>
  <c r="BM165" i="7"/>
  <c r="BK165" i="7"/>
  <c r="BL165" i="7" s="1"/>
  <c r="BJ165" i="7"/>
  <c r="BI165" i="7"/>
  <c r="BG165" i="7"/>
  <c r="BH165" i="7" s="1"/>
  <c r="BF165" i="7"/>
  <c r="BE165" i="7"/>
  <c r="BC165" i="7"/>
  <c r="BD165" i="7" s="1"/>
  <c r="BB165" i="7"/>
  <c r="AZ165" i="7"/>
  <c r="AX165" i="7"/>
  <c r="AW165" i="7"/>
  <c r="AV165" i="7"/>
  <c r="AU165" i="7"/>
  <c r="AT165" i="7"/>
  <c r="AS165" i="7"/>
  <c r="AR165" i="7"/>
  <c r="AQ165" i="7"/>
  <c r="AP165" i="7"/>
  <c r="AO165" i="7"/>
  <c r="AN165" i="7"/>
  <c r="AM165" i="7"/>
  <c r="AL165" i="7"/>
  <c r="AK165" i="7"/>
  <c r="AJ165" i="7"/>
  <c r="AI165" i="7"/>
  <c r="AH165" i="7"/>
  <c r="AG165" i="7"/>
  <c r="AF165" i="7"/>
  <c r="AE165" i="7"/>
  <c r="AD165" i="7"/>
  <c r="AC165" i="7"/>
  <c r="AB165" i="7"/>
  <c r="AA165" i="7"/>
  <c r="Z165" i="7"/>
  <c r="Y165" i="7"/>
  <c r="X165" i="7"/>
  <c r="W165" i="7"/>
  <c r="V165" i="7"/>
  <c r="U165" i="7"/>
  <c r="T165" i="7"/>
  <c r="S165" i="7"/>
  <c r="R165" i="7"/>
  <c r="Q165" i="7"/>
  <c r="P165" i="7"/>
  <c r="O165" i="7"/>
  <c r="N165" i="7"/>
  <c r="M165" i="7"/>
  <c r="L165" i="7"/>
  <c r="K165" i="7"/>
  <c r="J165" i="7"/>
  <c r="I165" i="7"/>
  <c r="H165" i="7"/>
  <c r="G165" i="7"/>
  <c r="F165" i="7"/>
  <c r="D165" i="7"/>
  <c r="C165" i="7"/>
  <c r="B165" i="7"/>
  <c r="FQ164" i="7"/>
  <c r="FO164" i="7"/>
  <c r="FM164" i="7"/>
  <c r="FL164" i="7"/>
  <c r="FJ164" i="7"/>
  <c r="FH164" i="7"/>
  <c r="FG164" i="7"/>
  <c r="FE164" i="7"/>
  <c r="FC164" i="7"/>
  <c r="EZ164" i="7"/>
  <c r="EY164" i="7"/>
  <c r="EX164" i="7"/>
  <c r="EW164" i="7"/>
  <c r="EV164" i="7"/>
  <c r="EU164" i="7"/>
  <c r="ET164" i="7"/>
  <c r="ES164" i="7"/>
  <c r="ER164" i="7"/>
  <c r="EQ164" i="7"/>
  <c r="EP164" i="7"/>
  <c r="EO164" i="7"/>
  <c r="EN164" i="7"/>
  <c r="EM164" i="7"/>
  <c r="EI164" i="7"/>
  <c r="EG164" i="7"/>
  <c r="EE164" i="7"/>
  <c r="EC164" i="7"/>
  <c r="EA164" i="7"/>
  <c r="DY164" i="7"/>
  <c r="DW164" i="7"/>
  <c r="DU164" i="7"/>
  <c r="DS164" i="7"/>
  <c r="DR164" i="7"/>
  <c r="DP164" i="7"/>
  <c r="DN164" i="7"/>
  <c r="DM164" i="7"/>
  <c r="DK164" i="7"/>
  <c r="DI164" i="7"/>
  <c r="DH164" i="7"/>
  <c r="DF164" i="7"/>
  <c r="DD164" i="7"/>
  <c r="DC164" i="7"/>
  <c r="DA164" i="7"/>
  <c r="CY164" i="7"/>
  <c r="CX164" i="7"/>
  <c r="CV164" i="7"/>
  <c r="CT164" i="7"/>
  <c r="CS164" i="7"/>
  <c r="CR164" i="7"/>
  <c r="CQ164" i="7"/>
  <c r="CP164" i="7"/>
  <c r="CO164" i="7"/>
  <c r="CN164" i="7"/>
  <c r="CM164" i="7"/>
  <c r="CL164" i="7"/>
  <c r="CK164" i="7"/>
  <c r="CI164" i="7"/>
  <c r="CJ164" i="7" s="1"/>
  <c r="CH164" i="7"/>
  <c r="CG164" i="7"/>
  <c r="CE164" i="7"/>
  <c r="CF164" i="7" s="1"/>
  <c r="CD164" i="7"/>
  <c r="CC164" i="7"/>
  <c r="CA164" i="7"/>
  <c r="CB164" i="7" s="1"/>
  <c r="BZ164" i="7"/>
  <c r="BY164" i="7"/>
  <c r="BW164" i="7"/>
  <c r="BX164" i="7" s="1"/>
  <c r="BV164" i="7"/>
  <c r="BU164" i="7"/>
  <c r="BS164" i="7"/>
  <c r="BT164" i="7" s="1"/>
  <c r="BR164" i="7"/>
  <c r="BQ164" i="7"/>
  <c r="BO164" i="7"/>
  <c r="BP164" i="7" s="1"/>
  <c r="BN164" i="7"/>
  <c r="BM164" i="7"/>
  <c r="BK164" i="7"/>
  <c r="BL164" i="7" s="1"/>
  <c r="BJ164" i="7"/>
  <c r="BI164" i="7"/>
  <c r="BG164" i="7"/>
  <c r="BH164" i="7" s="1"/>
  <c r="BF164" i="7"/>
  <c r="BE164" i="7"/>
  <c r="BC164" i="7"/>
  <c r="BD164" i="7" s="1"/>
  <c r="BB164" i="7"/>
  <c r="AZ164" i="7"/>
  <c r="AX164" i="7"/>
  <c r="AW164" i="7"/>
  <c r="AV164" i="7"/>
  <c r="AU164" i="7"/>
  <c r="AT164" i="7"/>
  <c r="AS164" i="7"/>
  <c r="AR164" i="7"/>
  <c r="AQ164" i="7"/>
  <c r="AP164" i="7"/>
  <c r="AO164" i="7"/>
  <c r="AN164" i="7"/>
  <c r="AM164" i="7"/>
  <c r="AL164" i="7"/>
  <c r="AK164" i="7"/>
  <c r="AJ164" i="7"/>
  <c r="AI164" i="7"/>
  <c r="AH164" i="7"/>
  <c r="AG164" i="7"/>
  <c r="AF164" i="7"/>
  <c r="AE164" i="7"/>
  <c r="AD164" i="7"/>
  <c r="AC164" i="7"/>
  <c r="AB164" i="7"/>
  <c r="AA164" i="7"/>
  <c r="Z164" i="7"/>
  <c r="Y164" i="7"/>
  <c r="X164" i="7"/>
  <c r="W164" i="7"/>
  <c r="V164" i="7"/>
  <c r="U164" i="7"/>
  <c r="T164" i="7"/>
  <c r="S164" i="7"/>
  <c r="R164" i="7"/>
  <c r="Q164" i="7"/>
  <c r="P164" i="7"/>
  <c r="O164" i="7"/>
  <c r="N164" i="7"/>
  <c r="M164" i="7"/>
  <c r="L164" i="7"/>
  <c r="K164" i="7"/>
  <c r="J164" i="7"/>
  <c r="I164" i="7"/>
  <c r="H164" i="7"/>
  <c r="G164" i="7"/>
  <c r="F164" i="7"/>
  <c r="D164" i="7"/>
  <c r="C164" i="7"/>
  <c r="B164" i="7"/>
  <c r="FQ163" i="7"/>
  <c r="FO163" i="7"/>
  <c r="FM163" i="7"/>
  <c r="FL163" i="7"/>
  <c r="FJ163" i="7"/>
  <c r="FH163" i="7"/>
  <c r="FG163" i="7"/>
  <c r="FE163" i="7"/>
  <c r="FC163" i="7"/>
  <c r="EZ163" i="7"/>
  <c r="EY163" i="7"/>
  <c r="EX163" i="7"/>
  <c r="EW163" i="7"/>
  <c r="EV163" i="7"/>
  <c r="EU163" i="7"/>
  <c r="ET163" i="7"/>
  <c r="ES163" i="7"/>
  <c r="ER163" i="7"/>
  <c r="EQ163" i="7"/>
  <c r="EP163" i="7"/>
  <c r="EO163" i="7"/>
  <c r="EN163" i="7"/>
  <c r="EM163" i="7"/>
  <c r="EI163" i="7"/>
  <c r="EG163" i="7"/>
  <c r="EE163" i="7"/>
  <c r="EC163" i="7"/>
  <c r="EA163" i="7"/>
  <c r="DY163" i="7"/>
  <c r="DW163" i="7"/>
  <c r="DU163" i="7"/>
  <c r="DS163" i="7"/>
  <c r="DR163" i="7"/>
  <c r="DP163" i="7"/>
  <c r="DN163" i="7"/>
  <c r="DM163" i="7"/>
  <c r="DK163" i="7"/>
  <c r="DI163" i="7"/>
  <c r="DH163" i="7"/>
  <c r="DF163" i="7"/>
  <c r="DD163" i="7"/>
  <c r="DC163" i="7"/>
  <c r="DA163" i="7"/>
  <c r="CY163" i="7"/>
  <c r="CX163" i="7"/>
  <c r="CV163" i="7"/>
  <c r="CT163" i="7"/>
  <c r="CS163" i="7"/>
  <c r="CR163" i="7"/>
  <c r="CQ163" i="7"/>
  <c r="CP163" i="7"/>
  <c r="CO163" i="7"/>
  <c r="CN163" i="7"/>
  <c r="CM163" i="7"/>
  <c r="CL163" i="7"/>
  <c r="CK163" i="7"/>
  <c r="CI163" i="7"/>
  <c r="CJ163" i="7" s="1"/>
  <c r="CH163" i="7"/>
  <c r="CG163" i="7"/>
  <c r="CE163" i="7"/>
  <c r="CF163" i="7" s="1"/>
  <c r="CD163" i="7"/>
  <c r="CC163" i="7"/>
  <c r="CA163" i="7"/>
  <c r="CB163" i="7" s="1"/>
  <c r="BZ163" i="7"/>
  <c r="BY163" i="7"/>
  <c r="BW163" i="7"/>
  <c r="BX163" i="7" s="1"/>
  <c r="BV163" i="7"/>
  <c r="BU163" i="7"/>
  <c r="BS163" i="7"/>
  <c r="BT163" i="7" s="1"/>
  <c r="BR163" i="7"/>
  <c r="BQ163" i="7"/>
  <c r="BO163" i="7"/>
  <c r="BP163" i="7" s="1"/>
  <c r="BN163" i="7"/>
  <c r="BM163" i="7"/>
  <c r="BK163" i="7"/>
  <c r="BL163" i="7" s="1"/>
  <c r="BJ163" i="7"/>
  <c r="BI163" i="7"/>
  <c r="BG163" i="7"/>
  <c r="BH163" i="7" s="1"/>
  <c r="BF163" i="7"/>
  <c r="BE163" i="7"/>
  <c r="BC163" i="7"/>
  <c r="BD163" i="7" s="1"/>
  <c r="BB163" i="7"/>
  <c r="AZ163" i="7"/>
  <c r="AX163" i="7"/>
  <c r="AW163" i="7"/>
  <c r="AV163" i="7"/>
  <c r="AU163" i="7"/>
  <c r="AT163" i="7"/>
  <c r="AS163" i="7"/>
  <c r="AR163" i="7"/>
  <c r="AQ163" i="7"/>
  <c r="AP163" i="7"/>
  <c r="AO163" i="7"/>
  <c r="AN163" i="7"/>
  <c r="AM163" i="7"/>
  <c r="AL163" i="7"/>
  <c r="AK163" i="7"/>
  <c r="AJ163" i="7"/>
  <c r="AI163" i="7"/>
  <c r="AH163" i="7"/>
  <c r="AG163" i="7"/>
  <c r="AF163" i="7"/>
  <c r="AE163" i="7"/>
  <c r="AD163" i="7"/>
  <c r="AC163" i="7"/>
  <c r="AB163" i="7"/>
  <c r="AA163" i="7"/>
  <c r="Z163" i="7"/>
  <c r="Y163" i="7"/>
  <c r="X163" i="7"/>
  <c r="W163" i="7"/>
  <c r="V163" i="7"/>
  <c r="U163" i="7"/>
  <c r="T163" i="7"/>
  <c r="S163" i="7"/>
  <c r="R163" i="7"/>
  <c r="Q163" i="7"/>
  <c r="P163" i="7"/>
  <c r="O163" i="7"/>
  <c r="N163" i="7"/>
  <c r="M163" i="7"/>
  <c r="L163" i="7"/>
  <c r="K163" i="7"/>
  <c r="J163" i="7"/>
  <c r="I163" i="7"/>
  <c r="H163" i="7"/>
  <c r="G163" i="7"/>
  <c r="F163" i="7"/>
  <c r="D163" i="7"/>
  <c r="C163" i="7"/>
  <c r="B163" i="7"/>
  <c r="FQ162" i="7"/>
  <c r="FO162" i="7"/>
  <c r="FM162" i="7"/>
  <c r="FL162" i="7"/>
  <c r="FJ162" i="7"/>
  <c r="FH162" i="7"/>
  <c r="FG162" i="7"/>
  <c r="FE162" i="7"/>
  <c r="FC162" i="7"/>
  <c r="EZ162" i="7"/>
  <c r="EY162" i="7"/>
  <c r="EX162" i="7"/>
  <c r="EW162" i="7"/>
  <c r="EV162" i="7"/>
  <c r="EU162" i="7"/>
  <c r="ET162" i="7"/>
  <c r="ES162" i="7"/>
  <c r="ER162" i="7"/>
  <c r="EQ162" i="7"/>
  <c r="EP162" i="7"/>
  <c r="EO162" i="7"/>
  <c r="EN162" i="7"/>
  <c r="EM162" i="7"/>
  <c r="EI162" i="7"/>
  <c r="EG162" i="7"/>
  <c r="EE162" i="7"/>
  <c r="EC162" i="7"/>
  <c r="EA162" i="7"/>
  <c r="DY162" i="7"/>
  <c r="DW162" i="7"/>
  <c r="DU162" i="7"/>
  <c r="DS162" i="7"/>
  <c r="DR162" i="7"/>
  <c r="DP162" i="7"/>
  <c r="DN162" i="7"/>
  <c r="DM162" i="7"/>
  <c r="DK162" i="7"/>
  <c r="DI162" i="7"/>
  <c r="DH162" i="7"/>
  <c r="DF162" i="7"/>
  <c r="DD162" i="7"/>
  <c r="DC162" i="7"/>
  <c r="DA162" i="7"/>
  <c r="CY162" i="7"/>
  <c r="CX162" i="7"/>
  <c r="CV162" i="7"/>
  <c r="CT162" i="7"/>
  <c r="CS162" i="7"/>
  <c r="CR162" i="7"/>
  <c r="CQ162" i="7"/>
  <c r="CP162" i="7"/>
  <c r="CO162" i="7"/>
  <c r="CN162" i="7"/>
  <c r="CM162" i="7"/>
  <c r="CL162" i="7"/>
  <c r="CK162" i="7"/>
  <c r="CI162" i="7"/>
  <c r="CJ162" i="7" s="1"/>
  <c r="CH162" i="7"/>
  <c r="CG162" i="7"/>
  <c r="CE162" i="7"/>
  <c r="CF162" i="7" s="1"/>
  <c r="CD162" i="7"/>
  <c r="CC162" i="7"/>
  <c r="CA162" i="7"/>
  <c r="CB162" i="7" s="1"/>
  <c r="BZ162" i="7"/>
  <c r="BY162" i="7"/>
  <c r="BW162" i="7"/>
  <c r="BX162" i="7" s="1"/>
  <c r="BV162" i="7"/>
  <c r="BU162" i="7"/>
  <c r="BS162" i="7"/>
  <c r="BT162" i="7" s="1"/>
  <c r="BR162" i="7"/>
  <c r="BQ162" i="7"/>
  <c r="BO162" i="7"/>
  <c r="BP162" i="7" s="1"/>
  <c r="BN162" i="7"/>
  <c r="BM162" i="7"/>
  <c r="BK162" i="7"/>
  <c r="BL162" i="7" s="1"/>
  <c r="BJ162" i="7"/>
  <c r="BI162" i="7"/>
  <c r="BG162" i="7"/>
  <c r="BH162" i="7" s="1"/>
  <c r="BF162" i="7"/>
  <c r="BE162" i="7"/>
  <c r="BC162" i="7"/>
  <c r="BD162" i="7" s="1"/>
  <c r="BB162" i="7"/>
  <c r="AZ162" i="7"/>
  <c r="AX162" i="7"/>
  <c r="AW162" i="7"/>
  <c r="AV162" i="7"/>
  <c r="AU162" i="7"/>
  <c r="AT162" i="7"/>
  <c r="AS162" i="7"/>
  <c r="AR162" i="7"/>
  <c r="AQ162" i="7"/>
  <c r="AP162" i="7"/>
  <c r="AO162" i="7"/>
  <c r="AN162" i="7"/>
  <c r="AM162" i="7"/>
  <c r="AL162" i="7"/>
  <c r="AK162" i="7"/>
  <c r="AJ162" i="7"/>
  <c r="AI162" i="7"/>
  <c r="AH162" i="7"/>
  <c r="AG162" i="7"/>
  <c r="AF162" i="7"/>
  <c r="AE162" i="7"/>
  <c r="AD162" i="7"/>
  <c r="AC162" i="7"/>
  <c r="AB162" i="7"/>
  <c r="AA162" i="7"/>
  <c r="Z162" i="7"/>
  <c r="Y162" i="7"/>
  <c r="X162" i="7"/>
  <c r="W162" i="7"/>
  <c r="V162" i="7"/>
  <c r="U162" i="7"/>
  <c r="T162" i="7"/>
  <c r="S162" i="7"/>
  <c r="R162" i="7"/>
  <c r="Q162" i="7"/>
  <c r="P162" i="7"/>
  <c r="O162" i="7"/>
  <c r="N162" i="7"/>
  <c r="M162" i="7"/>
  <c r="L162" i="7"/>
  <c r="K162" i="7"/>
  <c r="J162" i="7"/>
  <c r="I162" i="7"/>
  <c r="H162" i="7"/>
  <c r="G162" i="7"/>
  <c r="F162" i="7"/>
  <c r="D162" i="7"/>
  <c r="C162" i="7"/>
  <c r="B162" i="7"/>
  <c r="FQ161" i="7"/>
  <c r="FO161" i="7"/>
  <c r="FM161" i="7"/>
  <c r="FL161" i="7"/>
  <c r="FJ161" i="7"/>
  <c r="FH161" i="7"/>
  <c r="FG161" i="7"/>
  <c r="FE161" i="7"/>
  <c r="FC161" i="7"/>
  <c r="EZ161" i="7"/>
  <c r="EY161" i="7"/>
  <c r="EX161" i="7"/>
  <c r="EW161" i="7"/>
  <c r="EV161" i="7"/>
  <c r="EU161" i="7"/>
  <c r="ET161" i="7"/>
  <c r="ES161" i="7"/>
  <c r="ER161" i="7"/>
  <c r="EQ161" i="7"/>
  <c r="EP161" i="7"/>
  <c r="EO161" i="7"/>
  <c r="EN161" i="7"/>
  <c r="EM161" i="7"/>
  <c r="EI161" i="7"/>
  <c r="EG161" i="7"/>
  <c r="EE161" i="7"/>
  <c r="EC161" i="7"/>
  <c r="EA161" i="7"/>
  <c r="DY161" i="7"/>
  <c r="DW161" i="7"/>
  <c r="DU161" i="7"/>
  <c r="DS161" i="7"/>
  <c r="DR161" i="7"/>
  <c r="DP161" i="7"/>
  <c r="DN161" i="7"/>
  <c r="DM161" i="7"/>
  <c r="DK161" i="7"/>
  <c r="DI161" i="7"/>
  <c r="DH161" i="7"/>
  <c r="DF161" i="7"/>
  <c r="DD161" i="7"/>
  <c r="DC161" i="7"/>
  <c r="DA161" i="7"/>
  <c r="CY161" i="7"/>
  <c r="CX161" i="7"/>
  <c r="CV161" i="7"/>
  <c r="CT161" i="7"/>
  <c r="CS161" i="7"/>
  <c r="CR161" i="7"/>
  <c r="CQ161" i="7"/>
  <c r="CP161" i="7"/>
  <c r="CO161" i="7"/>
  <c r="CN161" i="7"/>
  <c r="CM161" i="7"/>
  <c r="CL161" i="7"/>
  <c r="CK161" i="7"/>
  <c r="CI161" i="7"/>
  <c r="CJ161" i="7" s="1"/>
  <c r="CH161" i="7"/>
  <c r="CG161" i="7"/>
  <c r="CE161" i="7"/>
  <c r="CF161" i="7" s="1"/>
  <c r="CD161" i="7"/>
  <c r="CC161" i="7"/>
  <c r="CB161" i="7"/>
  <c r="CA161" i="7"/>
  <c r="BZ161" i="7"/>
  <c r="BY161" i="7"/>
  <c r="BW161" i="7"/>
  <c r="BX161" i="7" s="1"/>
  <c r="BV161" i="7"/>
  <c r="BU161" i="7"/>
  <c r="BS161" i="7"/>
  <c r="BT161" i="7" s="1"/>
  <c r="BR161" i="7"/>
  <c r="BQ161" i="7"/>
  <c r="BO161" i="7"/>
  <c r="BP161" i="7" s="1"/>
  <c r="BN161" i="7"/>
  <c r="BM161" i="7"/>
  <c r="BK161" i="7"/>
  <c r="BL161" i="7" s="1"/>
  <c r="BJ161" i="7"/>
  <c r="BI161" i="7"/>
  <c r="BG161" i="7"/>
  <c r="BH161" i="7" s="1"/>
  <c r="BF161" i="7"/>
  <c r="BE161" i="7"/>
  <c r="BC161" i="7"/>
  <c r="BD161" i="7" s="1"/>
  <c r="BB161" i="7"/>
  <c r="AZ161" i="7"/>
  <c r="AX161" i="7"/>
  <c r="AW161" i="7"/>
  <c r="AV161" i="7"/>
  <c r="AU161" i="7"/>
  <c r="AT161" i="7"/>
  <c r="AS161" i="7"/>
  <c r="AR161" i="7"/>
  <c r="AQ161" i="7"/>
  <c r="AP161" i="7"/>
  <c r="AO161" i="7"/>
  <c r="AN161" i="7"/>
  <c r="AM161" i="7"/>
  <c r="AL161" i="7"/>
  <c r="AK161" i="7"/>
  <c r="AJ161" i="7"/>
  <c r="AI161" i="7"/>
  <c r="AH161" i="7"/>
  <c r="AG161" i="7"/>
  <c r="AF161" i="7"/>
  <c r="AE161" i="7"/>
  <c r="AD161" i="7"/>
  <c r="AC161" i="7"/>
  <c r="AB161" i="7"/>
  <c r="AA161" i="7"/>
  <c r="Z161" i="7"/>
  <c r="Y161" i="7"/>
  <c r="X161" i="7"/>
  <c r="W161" i="7"/>
  <c r="V161" i="7"/>
  <c r="U161" i="7"/>
  <c r="T161" i="7"/>
  <c r="S161" i="7"/>
  <c r="R161" i="7"/>
  <c r="Q161" i="7"/>
  <c r="P161" i="7"/>
  <c r="O161" i="7"/>
  <c r="N161" i="7"/>
  <c r="M161" i="7"/>
  <c r="L161" i="7"/>
  <c r="K161" i="7"/>
  <c r="J161" i="7"/>
  <c r="I161" i="7"/>
  <c r="H161" i="7"/>
  <c r="G161" i="7"/>
  <c r="F161" i="7"/>
  <c r="D161" i="7"/>
  <c r="C161" i="7"/>
  <c r="B161" i="7"/>
  <c r="FQ160" i="7"/>
  <c r="FO160" i="7"/>
  <c r="FM160" i="7"/>
  <c r="FL160" i="7"/>
  <c r="FJ160" i="7"/>
  <c r="FH160" i="7"/>
  <c r="FG160" i="7"/>
  <c r="FE160" i="7"/>
  <c r="FC160" i="7"/>
  <c r="EZ160" i="7"/>
  <c r="EY160" i="7"/>
  <c r="EX160" i="7"/>
  <c r="EW160" i="7"/>
  <c r="EV160" i="7"/>
  <c r="EU160" i="7"/>
  <c r="ET160" i="7"/>
  <c r="ES160" i="7"/>
  <c r="ER160" i="7"/>
  <c r="EQ160" i="7"/>
  <c r="EP160" i="7"/>
  <c r="EO160" i="7"/>
  <c r="EN160" i="7"/>
  <c r="EM160" i="7"/>
  <c r="EI160" i="7"/>
  <c r="EG160" i="7"/>
  <c r="EE160" i="7"/>
  <c r="EC160" i="7"/>
  <c r="EA160" i="7"/>
  <c r="DY160" i="7"/>
  <c r="DW160" i="7"/>
  <c r="DU160" i="7"/>
  <c r="DS160" i="7"/>
  <c r="DR160" i="7"/>
  <c r="DP160" i="7"/>
  <c r="DN160" i="7"/>
  <c r="DM160" i="7"/>
  <c r="DK160" i="7"/>
  <c r="DI160" i="7"/>
  <c r="DH160" i="7"/>
  <c r="DF160" i="7"/>
  <c r="DD160" i="7"/>
  <c r="DC160" i="7"/>
  <c r="DA160" i="7"/>
  <c r="CY160" i="7"/>
  <c r="CX160" i="7"/>
  <c r="CV160" i="7"/>
  <c r="CT160" i="7"/>
  <c r="CS160" i="7"/>
  <c r="CR160" i="7"/>
  <c r="CQ160" i="7"/>
  <c r="CP160" i="7"/>
  <c r="CO160" i="7"/>
  <c r="CN160" i="7"/>
  <c r="CM160" i="7"/>
  <c r="CL160" i="7"/>
  <c r="CK160" i="7"/>
  <c r="CI160" i="7"/>
  <c r="CJ160" i="7" s="1"/>
  <c r="CH160" i="7"/>
  <c r="CG160" i="7"/>
  <c r="CE160" i="7"/>
  <c r="CF160" i="7" s="1"/>
  <c r="CD160" i="7"/>
  <c r="CC160" i="7"/>
  <c r="CA160" i="7"/>
  <c r="CB160" i="7" s="1"/>
  <c r="BZ160" i="7"/>
  <c r="BY160" i="7"/>
  <c r="BW160" i="7"/>
  <c r="BX160" i="7" s="1"/>
  <c r="BV160" i="7"/>
  <c r="BU160" i="7"/>
  <c r="BS160" i="7"/>
  <c r="BT160" i="7" s="1"/>
  <c r="BR160" i="7"/>
  <c r="BQ160" i="7"/>
  <c r="BO160" i="7"/>
  <c r="BP160" i="7" s="1"/>
  <c r="BN160" i="7"/>
  <c r="BM160" i="7"/>
  <c r="BK160" i="7"/>
  <c r="BL160" i="7" s="1"/>
  <c r="BJ160" i="7"/>
  <c r="BI160" i="7"/>
  <c r="BG160" i="7"/>
  <c r="BH160" i="7" s="1"/>
  <c r="BF160" i="7"/>
  <c r="BE160" i="7"/>
  <c r="BC160" i="7"/>
  <c r="BD160" i="7" s="1"/>
  <c r="BB160" i="7"/>
  <c r="AZ160" i="7"/>
  <c r="AX160" i="7"/>
  <c r="AW160" i="7"/>
  <c r="AV160" i="7"/>
  <c r="AU160" i="7"/>
  <c r="AT160" i="7"/>
  <c r="AS160" i="7"/>
  <c r="AR160" i="7"/>
  <c r="AQ160" i="7"/>
  <c r="AP160" i="7"/>
  <c r="AO160" i="7"/>
  <c r="AN160" i="7"/>
  <c r="AM160" i="7"/>
  <c r="AL160" i="7"/>
  <c r="AK160" i="7"/>
  <c r="AJ160" i="7"/>
  <c r="AI160" i="7"/>
  <c r="AH160" i="7"/>
  <c r="AG160" i="7"/>
  <c r="AF160" i="7"/>
  <c r="AE160" i="7"/>
  <c r="AD160" i="7"/>
  <c r="AC160" i="7"/>
  <c r="AB160" i="7"/>
  <c r="AA160" i="7"/>
  <c r="Z160" i="7"/>
  <c r="Y160" i="7"/>
  <c r="X160" i="7"/>
  <c r="W160" i="7"/>
  <c r="V160" i="7"/>
  <c r="U160" i="7"/>
  <c r="T160" i="7"/>
  <c r="S160" i="7"/>
  <c r="R160" i="7"/>
  <c r="Q160" i="7"/>
  <c r="P160" i="7"/>
  <c r="O160" i="7"/>
  <c r="N160" i="7"/>
  <c r="M160" i="7"/>
  <c r="L160" i="7"/>
  <c r="K160" i="7"/>
  <c r="J160" i="7"/>
  <c r="I160" i="7"/>
  <c r="H160" i="7"/>
  <c r="G160" i="7"/>
  <c r="F160" i="7"/>
  <c r="D160" i="7"/>
  <c r="C160" i="7"/>
  <c r="B160" i="7"/>
  <c r="FQ159" i="7"/>
  <c r="FO159" i="7"/>
  <c r="FM159" i="7"/>
  <c r="FL159" i="7"/>
  <c r="FJ159" i="7"/>
  <c r="FH159" i="7"/>
  <c r="FG159" i="7"/>
  <c r="FE159" i="7"/>
  <c r="FC159" i="7"/>
  <c r="EZ159" i="7"/>
  <c r="EY159" i="7"/>
  <c r="EX159" i="7"/>
  <c r="EW159" i="7"/>
  <c r="EV159" i="7"/>
  <c r="EU159" i="7"/>
  <c r="ET159" i="7"/>
  <c r="ES159" i="7"/>
  <c r="ER159" i="7"/>
  <c r="EQ159" i="7"/>
  <c r="EP159" i="7"/>
  <c r="EO159" i="7"/>
  <c r="EN159" i="7"/>
  <c r="EM159" i="7"/>
  <c r="EI159" i="7"/>
  <c r="EG159" i="7"/>
  <c r="EE159" i="7"/>
  <c r="EC159" i="7"/>
  <c r="EA159" i="7"/>
  <c r="DY159" i="7"/>
  <c r="DW159" i="7"/>
  <c r="DU159" i="7"/>
  <c r="DS159" i="7"/>
  <c r="DR159" i="7"/>
  <c r="DP159" i="7"/>
  <c r="DN159" i="7"/>
  <c r="DM159" i="7"/>
  <c r="DK159" i="7"/>
  <c r="DI159" i="7"/>
  <c r="DH159" i="7"/>
  <c r="DF159" i="7"/>
  <c r="DD159" i="7"/>
  <c r="DC159" i="7"/>
  <c r="DA159" i="7"/>
  <c r="CY159" i="7"/>
  <c r="CX159" i="7"/>
  <c r="CV159" i="7"/>
  <c r="CT159" i="7"/>
  <c r="CS159" i="7"/>
  <c r="CR159" i="7"/>
  <c r="CQ159" i="7"/>
  <c r="CP159" i="7"/>
  <c r="CO159" i="7"/>
  <c r="CN159" i="7"/>
  <c r="CM159" i="7"/>
  <c r="CL159" i="7"/>
  <c r="CK159" i="7"/>
  <c r="CI159" i="7"/>
  <c r="CJ159" i="7" s="1"/>
  <c r="CH159" i="7"/>
  <c r="CG159" i="7"/>
  <c r="CE159" i="7"/>
  <c r="CF159" i="7" s="1"/>
  <c r="CD159" i="7"/>
  <c r="CC159" i="7"/>
  <c r="CA159" i="7"/>
  <c r="CB159" i="7" s="1"/>
  <c r="BZ159" i="7"/>
  <c r="BY159" i="7"/>
  <c r="BW159" i="7"/>
  <c r="BX159" i="7" s="1"/>
  <c r="BV159" i="7"/>
  <c r="BU159" i="7"/>
  <c r="BS159" i="7"/>
  <c r="BT159" i="7" s="1"/>
  <c r="BR159" i="7"/>
  <c r="BQ159" i="7"/>
  <c r="BO159" i="7"/>
  <c r="BP159" i="7" s="1"/>
  <c r="BN159" i="7"/>
  <c r="BM159" i="7"/>
  <c r="BK159" i="7"/>
  <c r="BL159" i="7" s="1"/>
  <c r="BJ159" i="7"/>
  <c r="BI159" i="7"/>
  <c r="BG159" i="7"/>
  <c r="BH159" i="7" s="1"/>
  <c r="BF159" i="7"/>
  <c r="BE159" i="7"/>
  <c r="BC159" i="7"/>
  <c r="BD159" i="7" s="1"/>
  <c r="BB159" i="7"/>
  <c r="AZ159" i="7"/>
  <c r="AX159" i="7"/>
  <c r="AW159" i="7"/>
  <c r="AV159" i="7"/>
  <c r="AU159" i="7"/>
  <c r="AT159" i="7"/>
  <c r="AS159" i="7"/>
  <c r="AR159" i="7"/>
  <c r="AQ159" i="7"/>
  <c r="AP159" i="7"/>
  <c r="AO159" i="7"/>
  <c r="AN159" i="7"/>
  <c r="AM159" i="7"/>
  <c r="AL159" i="7"/>
  <c r="AK159" i="7"/>
  <c r="AJ159" i="7"/>
  <c r="AI159" i="7"/>
  <c r="AH159" i="7"/>
  <c r="AG159" i="7"/>
  <c r="AF159" i="7"/>
  <c r="AE159" i="7"/>
  <c r="AD159" i="7"/>
  <c r="AC159" i="7"/>
  <c r="AB159" i="7"/>
  <c r="AA159" i="7"/>
  <c r="Z159" i="7"/>
  <c r="Y159" i="7"/>
  <c r="X159" i="7"/>
  <c r="W159" i="7"/>
  <c r="V159" i="7"/>
  <c r="U159" i="7"/>
  <c r="T159" i="7"/>
  <c r="S159" i="7"/>
  <c r="R159" i="7"/>
  <c r="Q159" i="7"/>
  <c r="P159" i="7"/>
  <c r="O159" i="7"/>
  <c r="N159" i="7"/>
  <c r="M159" i="7"/>
  <c r="L159" i="7"/>
  <c r="K159" i="7"/>
  <c r="J159" i="7"/>
  <c r="I159" i="7"/>
  <c r="H159" i="7"/>
  <c r="G159" i="7"/>
  <c r="F159" i="7"/>
  <c r="D159" i="7"/>
  <c r="C159" i="7"/>
  <c r="B159" i="7"/>
  <c r="FQ158" i="7"/>
  <c r="FO158" i="7"/>
  <c r="FM158" i="7"/>
  <c r="FL158" i="7"/>
  <c r="FJ158" i="7"/>
  <c r="FH158" i="7"/>
  <c r="FG158" i="7"/>
  <c r="FE158" i="7"/>
  <c r="FC158" i="7"/>
  <c r="EZ158" i="7"/>
  <c r="EY158" i="7"/>
  <c r="EX158" i="7"/>
  <c r="EW158" i="7"/>
  <c r="EV158" i="7"/>
  <c r="EU158" i="7"/>
  <c r="ET158" i="7"/>
  <c r="ES158" i="7"/>
  <c r="ER158" i="7"/>
  <c r="EQ158" i="7"/>
  <c r="EP158" i="7"/>
  <c r="EO158" i="7"/>
  <c r="EN158" i="7"/>
  <c r="EM158" i="7"/>
  <c r="EI158" i="7"/>
  <c r="EG158" i="7"/>
  <c r="EE158" i="7"/>
  <c r="EC158" i="7"/>
  <c r="EA158" i="7"/>
  <c r="DY158" i="7"/>
  <c r="DW158" i="7"/>
  <c r="DU158" i="7"/>
  <c r="DS158" i="7"/>
  <c r="DR158" i="7"/>
  <c r="DP158" i="7"/>
  <c r="DN158" i="7"/>
  <c r="DM158" i="7"/>
  <c r="DK158" i="7"/>
  <c r="DI158" i="7"/>
  <c r="DH158" i="7"/>
  <c r="DF158" i="7"/>
  <c r="DD158" i="7"/>
  <c r="DC158" i="7"/>
  <c r="DA158" i="7"/>
  <c r="CY158" i="7"/>
  <c r="CX158" i="7"/>
  <c r="CV158" i="7"/>
  <c r="CT158" i="7"/>
  <c r="CS158" i="7"/>
  <c r="CR158" i="7"/>
  <c r="CQ158" i="7"/>
  <c r="CP158" i="7"/>
  <c r="CO158" i="7"/>
  <c r="CN158" i="7"/>
  <c r="CM158" i="7"/>
  <c r="CL158" i="7"/>
  <c r="CK158" i="7"/>
  <c r="CI158" i="7"/>
  <c r="CJ158" i="7" s="1"/>
  <c r="CH158" i="7"/>
  <c r="CG158" i="7"/>
  <c r="CE158" i="7"/>
  <c r="CF158" i="7" s="1"/>
  <c r="CD158" i="7"/>
  <c r="CC158" i="7"/>
  <c r="CA158" i="7"/>
  <c r="CB158" i="7" s="1"/>
  <c r="BZ158" i="7"/>
  <c r="BY158" i="7"/>
  <c r="BW158" i="7"/>
  <c r="BX158" i="7" s="1"/>
  <c r="BV158" i="7"/>
  <c r="BU158" i="7"/>
  <c r="BS158" i="7"/>
  <c r="BT158" i="7" s="1"/>
  <c r="BR158" i="7"/>
  <c r="BQ158" i="7"/>
  <c r="BO158" i="7"/>
  <c r="BP158" i="7" s="1"/>
  <c r="BN158" i="7"/>
  <c r="BM158" i="7"/>
  <c r="BK158" i="7"/>
  <c r="BL158" i="7" s="1"/>
  <c r="BJ158" i="7"/>
  <c r="BI158" i="7"/>
  <c r="BG158" i="7"/>
  <c r="BH158" i="7" s="1"/>
  <c r="BF158" i="7"/>
  <c r="BE158" i="7"/>
  <c r="BC158" i="7"/>
  <c r="BD158" i="7" s="1"/>
  <c r="BB158" i="7"/>
  <c r="AZ158" i="7"/>
  <c r="AX158" i="7"/>
  <c r="AW158" i="7"/>
  <c r="AV158" i="7"/>
  <c r="AU158" i="7"/>
  <c r="AT158" i="7"/>
  <c r="AS158" i="7"/>
  <c r="AR158" i="7"/>
  <c r="AQ158" i="7"/>
  <c r="AP158" i="7"/>
  <c r="AO158" i="7"/>
  <c r="AN158" i="7"/>
  <c r="AM158" i="7"/>
  <c r="AL158" i="7"/>
  <c r="AK158" i="7"/>
  <c r="AJ158" i="7"/>
  <c r="AI158" i="7"/>
  <c r="AH158" i="7"/>
  <c r="AG158" i="7"/>
  <c r="AF158" i="7"/>
  <c r="AE158" i="7"/>
  <c r="AD158" i="7"/>
  <c r="AC158" i="7"/>
  <c r="AB158" i="7"/>
  <c r="AA158" i="7"/>
  <c r="Z158" i="7"/>
  <c r="Y158" i="7"/>
  <c r="X158" i="7"/>
  <c r="W158" i="7"/>
  <c r="V158" i="7"/>
  <c r="U158" i="7"/>
  <c r="T158" i="7"/>
  <c r="S158" i="7"/>
  <c r="R158" i="7"/>
  <c r="Q158" i="7"/>
  <c r="P158" i="7"/>
  <c r="O158" i="7"/>
  <c r="N158" i="7"/>
  <c r="M158" i="7"/>
  <c r="L158" i="7"/>
  <c r="K158" i="7"/>
  <c r="J158" i="7"/>
  <c r="I158" i="7"/>
  <c r="H158" i="7"/>
  <c r="G158" i="7"/>
  <c r="F158" i="7"/>
  <c r="D158" i="7"/>
  <c r="C158" i="7"/>
  <c r="B158" i="7"/>
  <c r="FQ157" i="7"/>
  <c r="FO157" i="7"/>
  <c r="FM157" i="7"/>
  <c r="FL157" i="7"/>
  <c r="FJ157" i="7"/>
  <c r="FH157" i="7"/>
  <c r="FG157" i="7"/>
  <c r="FE157" i="7"/>
  <c r="FC157" i="7"/>
  <c r="EZ157" i="7"/>
  <c r="EY157" i="7"/>
  <c r="EX157" i="7"/>
  <c r="EW157" i="7"/>
  <c r="EV157" i="7"/>
  <c r="EU157" i="7"/>
  <c r="ET157" i="7"/>
  <c r="ES157" i="7"/>
  <c r="ER157" i="7"/>
  <c r="EQ157" i="7"/>
  <c r="EP157" i="7"/>
  <c r="EO157" i="7"/>
  <c r="EN157" i="7"/>
  <c r="EM157" i="7"/>
  <c r="EI157" i="7"/>
  <c r="EG157" i="7"/>
  <c r="EE157" i="7"/>
  <c r="EC157" i="7"/>
  <c r="EA157" i="7"/>
  <c r="DY157" i="7"/>
  <c r="DW157" i="7"/>
  <c r="DU157" i="7"/>
  <c r="DS157" i="7"/>
  <c r="DR157" i="7"/>
  <c r="DP157" i="7"/>
  <c r="DN157" i="7"/>
  <c r="DM157" i="7"/>
  <c r="DK157" i="7"/>
  <c r="DI157" i="7"/>
  <c r="DH157" i="7"/>
  <c r="DF157" i="7"/>
  <c r="DD157" i="7"/>
  <c r="DC157" i="7"/>
  <c r="DA157" i="7"/>
  <c r="CY157" i="7"/>
  <c r="CX157" i="7"/>
  <c r="CV157" i="7"/>
  <c r="CT157" i="7"/>
  <c r="CS157" i="7"/>
  <c r="CR157" i="7"/>
  <c r="CQ157" i="7"/>
  <c r="CP157" i="7"/>
  <c r="CO157" i="7"/>
  <c r="CN157" i="7"/>
  <c r="CM157" i="7"/>
  <c r="CL157" i="7"/>
  <c r="CK157" i="7"/>
  <c r="CJ157" i="7"/>
  <c r="CI157" i="7"/>
  <c r="CH157" i="7"/>
  <c r="CG157" i="7"/>
  <c r="CE157" i="7"/>
  <c r="CF157" i="7" s="1"/>
  <c r="CD157" i="7"/>
  <c r="CC157" i="7"/>
  <c r="CA157" i="7"/>
  <c r="CB157" i="7" s="1"/>
  <c r="BZ157" i="7"/>
  <c r="BY157" i="7"/>
  <c r="BW157" i="7"/>
  <c r="BX157" i="7" s="1"/>
  <c r="BV157" i="7"/>
  <c r="BU157" i="7"/>
  <c r="BS157" i="7"/>
  <c r="BT157" i="7" s="1"/>
  <c r="BR157" i="7"/>
  <c r="BQ157" i="7"/>
  <c r="BO157" i="7"/>
  <c r="BP157" i="7" s="1"/>
  <c r="BN157" i="7"/>
  <c r="BM157" i="7"/>
  <c r="BK157" i="7"/>
  <c r="BL157" i="7" s="1"/>
  <c r="BJ157" i="7"/>
  <c r="BI157" i="7"/>
  <c r="BG157" i="7"/>
  <c r="BH157" i="7" s="1"/>
  <c r="BF157" i="7"/>
  <c r="BE157" i="7"/>
  <c r="BC157" i="7"/>
  <c r="BD157" i="7" s="1"/>
  <c r="BB157" i="7"/>
  <c r="AZ157" i="7"/>
  <c r="AX157" i="7"/>
  <c r="AW157" i="7"/>
  <c r="AV157" i="7"/>
  <c r="AU157" i="7"/>
  <c r="AT157" i="7"/>
  <c r="AS157" i="7"/>
  <c r="AR157" i="7"/>
  <c r="AQ157" i="7"/>
  <c r="AP157" i="7"/>
  <c r="AO157" i="7"/>
  <c r="AN157" i="7"/>
  <c r="AM157" i="7"/>
  <c r="AL157" i="7"/>
  <c r="AK157" i="7"/>
  <c r="AJ157" i="7"/>
  <c r="AI157" i="7"/>
  <c r="AH157" i="7"/>
  <c r="AG157" i="7"/>
  <c r="AF157" i="7"/>
  <c r="AE157" i="7"/>
  <c r="AD157" i="7"/>
  <c r="AC157" i="7"/>
  <c r="AB157" i="7"/>
  <c r="AA157" i="7"/>
  <c r="Z157" i="7"/>
  <c r="Y157" i="7"/>
  <c r="X157" i="7"/>
  <c r="W157" i="7"/>
  <c r="V157" i="7"/>
  <c r="U157" i="7"/>
  <c r="T157" i="7"/>
  <c r="S157" i="7"/>
  <c r="R157" i="7"/>
  <c r="Q157" i="7"/>
  <c r="P157" i="7"/>
  <c r="O157" i="7"/>
  <c r="N157" i="7"/>
  <c r="M157" i="7"/>
  <c r="L157" i="7"/>
  <c r="K157" i="7"/>
  <c r="J157" i="7"/>
  <c r="I157" i="7"/>
  <c r="H157" i="7"/>
  <c r="G157" i="7"/>
  <c r="F157" i="7"/>
  <c r="D157" i="7"/>
  <c r="C157" i="7"/>
  <c r="B157" i="7"/>
  <c r="FQ156" i="7"/>
  <c r="FO156" i="7"/>
  <c r="FM156" i="7"/>
  <c r="FL156" i="7"/>
  <c r="FJ156" i="7"/>
  <c r="FH156" i="7"/>
  <c r="FG156" i="7"/>
  <c r="FE156" i="7"/>
  <c r="FC156" i="7"/>
  <c r="EZ156" i="7"/>
  <c r="EY156" i="7"/>
  <c r="EX156" i="7"/>
  <c r="EW156" i="7"/>
  <c r="EV156" i="7"/>
  <c r="EU156" i="7"/>
  <c r="ET156" i="7"/>
  <c r="ES156" i="7"/>
  <c r="ER156" i="7"/>
  <c r="EQ156" i="7"/>
  <c r="EP156" i="7"/>
  <c r="EO156" i="7"/>
  <c r="EN156" i="7"/>
  <c r="EM156" i="7"/>
  <c r="EI156" i="7"/>
  <c r="EG156" i="7"/>
  <c r="EE156" i="7"/>
  <c r="EC156" i="7"/>
  <c r="EA156" i="7"/>
  <c r="DY156" i="7"/>
  <c r="DW156" i="7"/>
  <c r="DU156" i="7"/>
  <c r="DS156" i="7"/>
  <c r="DR156" i="7"/>
  <c r="DP156" i="7"/>
  <c r="DN156" i="7"/>
  <c r="DM156" i="7"/>
  <c r="DK156" i="7"/>
  <c r="DI156" i="7"/>
  <c r="DH156" i="7"/>
  <c r="DF156" i="7"/>
  <c r="DD156" i="7"/>
  <c r="DC156" i="7"/>
  <c r="DA156" i="7"/>
  <c r="CY156" i="7"/>
  <c r="CX156" i="7"/>
  <c r="CV156" i="7"/>
  <c r="CT156" i="7"/>
  <c r="CS156" i="7"/>
  <c r="CR156" i="7"/>
  <c r="CQ156" i="7"/>
  <c r="CP156" i="7"/>
  <c r="CO156" i="7"/>
  <c r="CN156" i="7"/>
  <c r="CM156" i="7"/>
  <c r="CL156" i="7"/>
  <c r="CK156" i="7"/>
  <c r="CI156" i="7"/>
  <c r="CJ156" i="7" s="1"/>
  <c r="CH156" i="7"/>
  <c r="CG156" i="7"/>
  <c r="CE156" i="7"/>
  <c r="CF156" i="7" s="1"/>
  <c r="CD156" i="7"/>
  <c r="CC156" i="7"/>
  <c r="CA156" i="7"/>
  <c r="CB156" i="7" s="1"/>
  <c r="BZ156" i="7"/>
  <c r="BY156" i="7"/>
  <c r="BW156" i="7"/>
  <c r="BX156" i="7" s="1"/>
  <c r="BV156" i="7"/>
  <c r="BU156" i="7"/>
  <c r="BS156" i="7"/>
  <c r="BT156" i="7" s="1"/>
  <c r="BR156" i="7"/>
  <c r="BQ156" i="7"/>
  <c r="BO156" i="7"/>
  <c r="BP156" i="7" s="1"/>
  <c r="BN156" i="7"/>
  <c r="BM156" i="7"/>
  <c r="BK156" i="7"/>
  <c r="BL156" i="7" s="1"/>
  <c r="BJ156" i="7"/>
  <c r="BI156" i="7"/>
  <c r="BG156" i="7"/>
  <c r="BH156" i="7" s="1"/>
  <c r="BF156" i="7"/>
  <c r="BE156" i="7"/>
  <c r="BC156" i="7"/>
  <c r="BD156" i="7" s="1"/>
  <c r="BB156" i="7"/>
  <c r="AZ156" i="7"/>
  <c r="AX156" i="7"/>
  <c r="AW156" i="7"/>
  <c r="AV156" i="7"/>
  <c r="AU156" i="7"/>
  <c r="AT156" i="7"/>
  <c r="AS156" i="7"/>
  <c r="AR156" i="7"/>
  <c r="AQ156" i="7"/>
  <c r="AP156" i="7"/>
  <c r="AO156" i="7"/>
  <c r="AN156" i="7"/>
  <c r="AM156" i="7"/>
  <c r="AL156" i="7"/>
  <c r="AK156" i="7"/>
  <c r="AJ156" i="7"/>
  <c r="AI156" i="7"/>
  <c r="AH156" i="7"/>
  <c r="AG156" i="7"/>
  <c r="AF156" i="7"/>
  <c r="AE156" i="7"/>
  <c r="AD156" i="7"/>
  <c r="AC156" i="7"/>
  <c r="AB156" i="7"/>
  <c r="AA156" i="7"/>
  <c r="Z156" i="7"/>
  <c r="Y156" i="7"/>
  <c r="X156" i="7"/>
  <c r="W156" i="7"/>
  <c r="V156" i="7"/>
  <c r="U156" i="7"/>
  <c r="T156" i="7"/>
  <c r="S156" i="7"/>
  <c r="R156" i="7"/>
  <c r="Q156" i="7"/>
  <c r="P156" i="7"/>
  <c r="O156" i="7"/>
  <c r="N156" i="7"/>
  <c r="M156" i="7"/>
  <c r="L156" i="7"/>
  <c r="K156" i="7"/>
  <c r="J156" i="7"/>
  <c r="I156" i="7"/>
  <c r="H156" i="7"/>
  <c r="G156" i="7"/>
  <c r="F156" i="7"/>
  <c r="D156" i="7"/>
  <c r="C156" i="7"/>
  <c r="B156" i="7"/>
  <c r="FQ155" i="7"/>
  <c r="FO155" i="7"/>
  <c r="FM155" i="7"/>
  <c r="FL155" i="7"/>
  <c r="FJ155" i="7"/>
  <c r="FH155" i="7"/>
  <c r="FG155" i="7"/>
  <c r="FE155" i="7"/>
  <c r="FC155" i="7"/>
  <c r="EZ155" i="7"/>
  <c r="EY155" i="7"/>
  <c r="EX155" i="7"/>
  <c r="EW155" i="7"/>
  <c r="EV155" i="7"/>
  <c r="EU155" i="7"/>
  <c r="ET155" i="7"/>
  <c r="ES155" i="7"/>
  <c r="ER155" i="7"/>
  <c r="EQ155" i="7"/>
  <c r="EP155" i="7"/>
  <c r="EO155" i="7"/>
  <c r="EN155" i="7"/>
  <c r="EM155" i="7"/>
  <c r="EI155" i="7"/>
  <c r="EG155" i="7"/>
  <c r="EE155" i="7"/>
  <c r="EC155" i="7"/>
  <c r="EA155" i="7"/>
  <c r="DY155" i="7"/>
  <c r="DW155" i="7"/>
  <c r="DU155" i="7"/>
  <c r="DS155" i="7"/>
  <c r="DR155" i="7"/>
  <c r="DP155" i="7"/>
  <c r="DN155" i="7"/>
  <c r="DM155" i="7"/>
  <c r="DK155" i="7"/>
  <c r="DI155" i="7"/>
  <c r="DH155" i="7"/>
  <c r="DF155" i="7"/>
  <c r="DD155" i="7"/>
  <c r="DC155" i="7"/>
  <c r="DA155" i="7"/>
  <c r="CY155" i="7"/>
  <c r="CX155" i="7"/>
  <c r="CV155" i="7"/>
  <c r="CT155" i="7"/>
  <c r="CS155" i="7"/>
  <c r="CR155" i="7"/>
  <c r="CQ155" i="7"/>
  <c r="CP155" i="7"/>
  <c r="CO155" i="7"/>
  <c r="CN155" i="7"/>
  <c r="CM155" i="7"/>
  <c r="CL155" i="7"/>
  <c r="CK155" i="7"/>
  <c r="CI155" i="7"/>
  <c r="CJ155" i="7" s="1"/>
  <c r="CH155" i="7"/>
  <c r="CG155" i="7"/>
  <c r="CE155" i="7"/>
  <c r="CF155" i="7" s="1"/>
  <c r="CD155" i="7"/>
  <c r="CC155" i="7"/>
  <c r="CA155" i="7"/>
  <c r="CB155" i="7" s="1"/>
  <c r="BZ155" i="7"/>
  <c r="BY155" i="7"/>
  <c r="BW155" i="7"/>
  <c r="BX155" i="7" s="1"/>
  <c r="BV155" i="7"/>
  <c r="BU155" i="7"/>
  <c r="BS155" i="7"/>
  <c r="BT155" i="7" s="1"/>
  <c r="BR155" i="7"/>
  <c r="BQ155" i="7"/>
  <c r="BO155" i="7"/>
  <c r="BP155" i="7" s="1"/>
  <c r="BN155" i="7"/>
  <c r="BM155" i="7"/>
  <c r="BK155" i="7"/>
  <c r="BL155" i="7" s="1"/>
  <c r="BJ155" i="7"/>
  <c r="BI155" i="7"/>
  <c r="BG155" i="7"/>
  <c r="BH155" i="7" s="1"/>
  <c r="BF155" i="7"/>
  <c r="BE155" i="7"/>
  <c r="BC155" i="7"/>
  <c r="BD155" i="7" s="1"/>
  <c r="BB155" i="7"/>
  <c r="AZ155" i="7"/>
  <c r="AX155" i="7"/>
  <c r="AW155" i="7"/>
  <c r="AV155" i="7"/>
  <c r="AU155" i="7"/>
  <c r="AT155" i="7"/>
  <c r="AS155" i="7"/>
  <c r="AR155" i="7"/>
  <c r="AQ155" i="7"/>
  <c r="AP155" i="7"/>
  <c r="AO155" i="7"/>
  <c r="AN155" i="7"/>
  <c r="AM155" i="7"/>
  <c r="AL155" i="7"/>
  <c r="AK155" i="7"/>
  <c r="AJ155" i="7"/>
  <c r="AI155" i="7"/>
  <c r="AH155" i="7"/>
  <c r="AG155" i="7"/>
  <c r="AF155" i="7"/>
  <c r="AE155" i="7"/>
  <c r="AD155" i="7"/>
  <c r="AC155" i="7"/>
  <c r="AB155" i="7"/>
  <c r="AA155" i="7"/>
  <c r="Z155" i="7"/>
  <c r="Y155" i="7"/>
  <c r="X155" i="7"/>
  <c r="W155" i="7"/>
  <c r="V155" i="7"/>
  <c r="U155" i="7"/>
  <c r="T155" i="7"/>
  <c r="S155" i="7"/>
  <c r="R155" i="7"/>
  <c r="Q155" i="7"/>
  <c r="P155" i="7"/>
  <c r="O155" i="7"/>
  <c r="N155" i="7"/>
  <c r="M155" i="7"/>
  <c r="L155" i="7"/>
  <c r="K155" i="7"/>
  <c r="J155" i="7"/>
  <c r="I155" i="7"/>
  <c r="H155" i="7"/>
  <c r="G155" i="7"/>
  <c r="F155" i="7"/>
  <c r="D155" i="7"/>
  <c r="C155" i="7"/>
  <c r="B155" i="7"/>
  <c r="FQ154" i="7"/>
  <c r="FO154" i="7"/>
  <c r="FM154" i="7"/>
  <c r="FL154" i="7"/>
  <c r="FJ154" i="7"/>
  <c r="FH154" i="7"/>
  <c r="FG154" i="7"/>
  <c r="FE154" i="7"/>
  <c r="FC154" i="7"/>
  <c r="EZ154" i="7"/>
  <c r="EY154" i="7"/>
  <c r="EX154" i="7"/>
  <c r="EW154" i="7"/>
  <c r="EV154" i="7"/>
  <c r="EU154" i="7"/>
  <c r="ET154" i="7"/>
  <c r="ES154" i="7"/>
  <c r="ER154" i="7"/>
  <c r="EQ154" i="7"/>
  <c r="EP154" i="7"/>
  <c r="EO154" i="7"/>
  <c r="EN154" i="7"/>
  <c r="EM154" i="7"/>
  <c r="EI154" i="7"/>
  <c r="EG154" i="7"/>
  <c r="EE154" i="7"/>
  <c r="EC154" i="7"/>
  <c r="EA154" i="7"/>
  <c r="DY154" i="7"/>
  <c r="DW154" i="7"/>
  <c r="DU154" i="7"/>
  <c r="DS154" i="7"/>
  <c r="DR154" i="7"/>
  <c r="DP154" i="7"/>
  <c r="DN154" i="7"/>
  <c r="DM154" i="7"/>
  <c r="DK154" i="7"/>
  <c r="DI154" i="7"/>
  <c r="DH154" i="7"/>
  <c r="DF154" i="7"/>
  <c r="DD154" i="7"/>
  <c r="DC154" i="7"/>
  <c r="DA154" i="7"/>
  <c r="CY154" i="7"/>
  <c r="CX154" i="7"/>
  <c r="CV154" i="7"/>
  <c r="CT154" i="7"/>
  <c r="CS154" i="7"/>
  <c r="CR154" i="7"/>
  <c r="CQ154" i="7"/>
  <c r="CP154" i="7"/>
  <c r="CO154" i="7"/>
  <c r="CN154" i="7"/>
  <c r="CM154" i="7"/>
  <c r="CL154" i="7"/>
  <c r="CK154" i="7"/>
  <c r="CI154" i="7"/>
  <c r="CJ154" i="7" s="1"/>
  <c r="CH154" i="7"/>
  <c r="CG154" i="7"/>
  <c r="CE154" i="7"/>
  <c r="CF154" i="7" s="1"/>
  <c r="CD154" i="7"/>
  <c r="CC154" i="7"/>
  <c r="CA154" i="7"/>
  <c r="CB154" i="7" s="1"/>
  <c r="BZ154" i="7"/>
  <c r="BY154" i="7"/>
  <c r="BW154" i="7"/>
  <c r="BX154" i="7" s="1"/>
  <c r="BV154" i="7"/>
  <c r="BU154" i="7"/>
  <c r="BS154" i="7"/>
  <c r="BT154" i="7" s="1"/>
  <c r="BR154" i="7"/>
  <c r="BQ154" i="7"/>
  <c r="BO154" i="7"/>
  <c r="BP154" i="7" s="1"/>
  <c r="BN154" i="7"/>
  <c r="BM154" i="7"/>
  <c r="BK154" i="7"/>
  <c r="BL154" i="7" s="1"/>
  <c r="BJ154" i="7"/>
  <c r="BI154" i="7"/>
  <c r="BG154" i="7"/>
  <c r="BH154" i="7" s="1"/>
  <c r="BF154" i="7"/>
  <c r="BE154" i="7"/>
  <c r="BC154" i="7"/>
  <c r="BD154" i="7" s="1"/>
  <c r="BB154" i="7"/>
  <c r="AZ154" i="7"/>
  <c r="AX154" i="7"/>
  <c r="AW154" i="7"/>
  <c r="AV154" i="7"/>
  <c r="AU154" i="7"/>
  <c r="AT154" i="7"/>
  <c r="AS154" i="7"/>
  <c r="AR154" i="7"/>
  <c r="AQ154" i="7"/>
  <c r="AP154" i="7"/>
  <c r="AO154" i="7"/>
  <c r="AN154" i="7"/>
  <c r="AM154" i="7"/>
  <c r="AL154" i="7"/>
  <c r="AK154" i="7"/>
  <c r="AJ154" i="7"/>
  <c r="AI154" i="7"/>
  <c r="AH154" i="7"/>
  <c r="AG154" i="7"/>
  <c r="AF154" i="7"/>
  <c r="AE154" i="7"/>
  <c r="AD154" i="7"/>
  <c r="AC154" i="7"/>
  <c r="AB154" i="7"/>
  <c r="AA154" i="7"/>
  <c r="Z154" i="7"/>
  <c r="Y154" i="7"/>
  <c r="X154" i="7"/>
  <c r="W154" i="7"/>
  <c r="V154" i="7"/>
  <c r="U154" i="7"/>
  <c r="T154" i="7"/>
  <c r="S154" i="7"/>
  <c r="R154" i="7"/>
  <c r="Q154" i="7"/>
  <c r="P154" i="7"/>
  <c r="O154" i="7"/>
  <c r="N154" i="7"/>
  <c r="M154" i="7"/>
  <c r="L154" i="7"/>
  <c r="K154" i="7"/>
  <c r="J154" i="7"/>
  <c r="I154" i="7"/>
  <c r="H154" i="7"/>
  <c r="G154" i="7"/>
  <c r="F154" i="7"/>
  <c r="D154" i="7"/>
  <c r="C154" i="7"/>
  <c r="B154" i="7"/>
  <c r="FQ153" i="7"/>
  <c r="FO153" i="7"/>
  <c r="FM153" i="7"/>
  <c r="FL153" i="7"/>
  <c r="FJ153" i="7"/>
  <c r="FH153" i="7"/>
  <c r="FG153" i="7"/>
  <c r="FE153" i="7"/>
  <c r="FC153" i="7"/>
  <c r="EZ153" i="7"/>
  <c r="EY153" i="7"/>
  <c r="EX153" i="7"/>
  <c r="EW153" i="7"/>
  <c r="EV153" i="7"/>
  <c r="EU153" i="7"/>
  <c r="ET153" i="7"/>
  <c r="ES153" i="7"/>
  <c r="ER153" i="7"/>
  <c r="EQ153" i="7"/>
  <c r="EP153" i="7"/>
  <c r="EO153" i="7"/>
  <c r="EN153" i="7"/>
  <c r="EM153" i="7"/>
  <c r="EI153" i="7"/>
  <c r="EG153" i="7"/>
  <c r="EE153" i="7"/>
  <c r="EC153" i="7"/>
  <c r="EA153" i="7"/>
  <c r="DY153" i="7"/>
  <c r="DW153" i="7"/>
  <c r="DU153" i="7"/>
  <c r="DS153" i="7"/>
  <c r="DR153" i="7"/>
  <c r="DP153" i="7"/>
  <c r="DN153" i="7"/>
  <c r="DM153" i="7"/>
  <c r="DK153" i="7"/>
  <c r="DI153" i="7"/>
  <c r="DH153" i="7"/>
  <c r="DF153" i="7"/>
  <c r="DD153" i="7"/>
  <c r="DC153" i="7"/>
  <c r="DA153" i="7"/>
  <c r="CY153" i="7"/>
  <c r="CX153" i="7"/>
  <c r="CV153" i="7"/>
  <c r="CT153" i="7"/>
  <c r="CS153" i="7"/>
  <c r="CR153" i="7"/>
  <c r="CQ153" i="7"/>
  <c r="CP153" i="7"/>
  <c r="CO153" i="7"/>
  <c r="CN153" i="7"/>
  <c r="CM153" i="7"/>
  <c r="CL153" i="7"/>
  <c r="CK153" i="7"/>
  <c r="CI153" i="7"/>
  <c r="CJ153" i="7" s="1"/>
  <c r="CH153" i="7"/>
  <c r="CG153" i="7"/>
  <c r="CE153" i="7"/>
  <c r="CF153" i="7" s="1"/>
  <c r="CD153" i="7"/>
  <c r="CC153" i="7"/>
  <c r="CA153" i="7"/>
  <c r="CB153" i="7" s="1"/>
  <c r="BZ153" i="7"/>
  <c r="BY153" i="7"/>
  <c r="BW153" i="7"/>
  <c r="BX153" i="7" s="1"/>
  <c r="BV153" i="7"/>
  <c r="BU153" i="7"/>
  <c r="BS153" i="7"/>
  <c r="BT153" i="7" s="1"/>
  <c r="BR153" i="7"/>
  <c r="BQ153" i="7"/>
  <c r="BO153" i="7"/>
  <c r="BP153" i="7" s="1"/>
  <c r="BN153" i="7"/>
  <c r="BM153" i="7"/>
  <c r="BK153" i="7"/>
  <c r="BL153" i="7" s="1"/>
  <c r="BJ153" i="7"/>
  <c r="BI153" i="7"/>
  <c r="BG153" i="7"/>
  <c r="BH153" i="7" s="1"/>
  <c r="BF153" i="7"/>
  <c r="BE153" i="7"/>
  <c r="BC153" i="7"/>
  <c r="BD153" i="7" s="1"/>
  <c r="BB153" i="7"/>
  <c r="AZ153" i="7"/>
  <c r="AX153" i="7"/>
  <c r="AW153" i="7"/>
  <c r="AV153" i="7"/>
  <c r="AU153" i="7"/>
  <c r="AT153" i="7"/>
  <c r="AS153" i="7"/>
  <c r="AR153" i="7"/>
  <c r="AQ153" i="7"/>
  <c r="AP153" i="7"/>
  <c r="AO153" i="7"/>
  <c r="AN153" i="7"/>
  <c r="AM153" i="7"/>
  <c r="AL153" i="7"/>
  <c r="AK153" i="7"/>
  <c r="AJ153" i="7"/>
  <c r="AI153" i="7"/>
  <c r="AH153" i="7"/>
  <c r="AG153" i="7"/>
  <c r="AF153" i="7"/>
  <c r="AE153" i="7"/>
  <c r="AD153" i="7"/>
  <c r="AC153" i="7"/>
  <c r="AB153" i="7"/>
  <c r="AA153" i="7"/>
  <c r="Z153" i="7"/>
  <c r="Y153" i="7"/>
  <c r="X153" i="7"/>
  <c r="W153" i="7"/>
  <c r="V153" i="7"/>
  <c r="U153" i="7"/>
  <c r="T153" i="7"/>
  <c r="S153" i="7"/>
  <c r="R153" i="7"/>
  <c r="Q153" i="7"/>
  <c r="P153" i="7"/>
  <c r="O153" i="7"/>
  <c r="N153" i="7"/>
  <c r="M153" i="7"/>
  <c r="L153" i="7"/>
  <c r="K153" i="7"/>
  <c r="J153" i="7"/>
  <c r="I153" i="7"/>
  <c r="H153" i="7"/>
  <c r="G153" i="7"/>
  <c r="F153" i="7"/>
  <c r="D153" i="7"/>
  <c r="C153" i="7"/>
  <c r="B153" i="7"/>
  <c r="FQ152" i="7"/>
  <c r="FO152" i="7"/>
  <c r="FM152" i="7"/>
  <c r="FL152" i="7"/>
  <c r="FJ152" i="7"/>
  <c r="FH152" i="7"/>
  <c r="FG152" i="7"/>
  <c r="FE152" i="7"/>
  <c r="FC152" i="7"/>
  <c r="EZ152" i="7"/>
  <c r="EY152" i="7"/>
  <c r="EX152" i="7"/>
  <c r="EW152" i="7"/>
  <c r="EV152" i="7"/>
  <c r="EU152" i="7"/>
  <c r="ET152" i="7"/>
  <c r="ES152" i="7"/>
  <c r="ER152" i="7"/>
  <c r="EQ152" i="7"/>
  <c r="EP152" i="7"/>
  <c r="EO152" i="7"/>
  <c r="EN152" i="7"/>
  <c r="EM152" i="7"/>
  <c r="EI152" i="7"/>
  <c r="EG152" i="7"/>
  <c r="EE152" i="7"/>
  <c r="EC152" i="7"/>
  <c r="EA152" i="7"/>
  <c r="DY152" i="7"/>
  <c r="DW152" i="7"/>
  <c r="DU152" i="7"/>
  <c r="DS152" i="7"/>
  <c r="DR152" i="7"/>
  <c r="DP152" i="7"/>
  <c r="DN152" i="7"/>
  <c r="DM152" i="7"/>
  <c r="DK152" i="7"/>
  <c r="DI152" i="7"/>
  <c r="DH152" i="7"/>
  <c r="DF152" i="7"/>
  <c r="DD152" i="7"/>
  <c r="DC152" i="7"/>
  <c r="DA152" i="7"/>
  <c r="CY152" i="7"/>
  <c r="CX152" i="7"/>
  <c r="CV152" i="7"/>
  <c r="CT152" i="7"/>
  <c r="CS152" i="7"/>
  <c r="CR152" i="7"/>
  <c r="CQ152" i="7"/>
  <c r="CP152" i="7"/>
  <c r="CO152" i="7"/>
  <c r="CN152" i="7"/>
  <c r="CM152" i="7"/>
  <c r="CL152" i="7"/>
  <c r="CK152" i="7"/>
  <c r="CI152" i="7"/>
  <c r="CJ152" i="7" s="1"/>
  <c r="CH152" i="7"/>
  <c r="CG152" i="7"/>
  <c r="CE152" i="7"/>
  <c r="CF152" i="7" s="1"/>
  <c r="CD152" i="7"/>
  <c r="CC152" i="7"/>
  <c r="CA152" i="7"/>
  <c r="CB152" i="7" s="1"/>
  <c r="BZ152" i="7"/>
  <c r="BY152" i="7"/>
  <c r="BW152" i="7"/>
  <c r="BX152" i="7" s="1"/>
  <c r="BV152" i="7"/>
  <c r="BU152" i="7"/>
  <c r="BS152" i="7"/>
  <c r="BT152" i="7" s="1"/>
  <c r="BR152" i="7"/>
  <c r="BQ152" i="7"/>
  <c r="BO152" i="7"/>
  <c r="BP152" i="7" s="1"/>
  <c r="BN152" i="7"/>
  <c r="BM152" i="7"/>
  <c r="BK152" i="7"/>
  <c r="BL152" i="7" s="1"/>
  <c r="BJ152" i="7"/>
  <c r="BI152" i="7"/>
  <c r="BG152" i="7"/>
  <c r="BH152" i="7" s="1"/>
  <c r="BF152" i="7"/>
  <c r="BE152" i="7"/>
  <c r="BC152" i="7"/>
  <c r="BD152" i="7" s="1"/>
  <c r="BB152" i="7"/>
  <c r="AZ152" i="7"/>
  <c r="AX152" i="7"/>
  <c r="AW152" i="7"/>
  <c r="AV152" i="7"/>
  <c r="AU152" i="7"/>
  <c r="AT152" i="7"/>
  <c r="AS152" i="7"/>
  <c r="AR152" i="7"/>
  <c r="AQ152" i="7"/>
  <c r="AP152" i="7"/>
  <c r="AO152" i="7"/>
  <c r="AN152" i="7"/>
  <c r="AM152" i="7"/>
  <c r="AL152" i="7"/>
  <c r="AK152" i="7"/>
  <c r="AJ152" i="7"/>
  <c r="AI152" i="7"/>
  <c r="AH152" i="7"/>
  <c r="AG152" i="7"/>
  <c r="AF152" i="7"/>
  <c r="AE152" i="7"/>
  <c r="AD152" i="7"/>
  <c r="AC152" i="7"/>
  <c r="AB152" i="7"/>
  <c r="AA152" i="7"/>
  <c r="Z152" i="7"/>
  <c r="Y152" i="7"/>
  <c r="X152" i="7"/>
  <c r="W152" i="7"/>
  <c r="V152" i="7"/>
  <c r="U152" i="7"/>
  <c r="T152" i="7"/>
  <c r="S152" i="7"/>
  <c r="R152" i="7"/>
  <c r="Q152" i="7"/>
  <c r="P152" i="7"/>
  <c r="O152" i="7"/>
  <c r="N152" i="7"/>
  <c r="M152" i="7"/>
  <c r="L152" i="7"/>
  <c r="K152" i="7"/>
  <c r="J152" i="7"/>
  <c r="I152" i="7"/>
  <c r="H152" i="7"/>
  <c r="G152" i="7"/>
  <c r="F152" i="7"/>
  <c r="D152" i="7"/>
  <c r="C152" i="7"/>
  <c r="B152" i="7"/>
  <c r="FQ151" i="7"/>
  <c r="FO151" i="7"/>
  <c r="FM151" i="7"/>
  <c r="FL151" i="7"/>
  <c r="FJ151" i="7"/>
  <c r="FH151" i="7"/>
  <c r="FG151" i="7"/>
  <c r="FE151" i="7"/>
  <c r="FC151" i="7"/>
  <c r="EZ151" i="7"/>
  <c r="EY151" i="7"/>
  <c r="EX151" i="7"/>
  <c r="EW151" i="7"/>
  <c r="EV151" i="7"/>
  <c r="EU151" i="7"/>
  <c r="ET151" i="7"/>
  <c r="ES151" i="7"/>
  <c r="ER151" i="7"/>
  <c r="EQ151" i="7"/>
  <c r="EP151" i="7"/>
  <c r="EO151" i="7"/>
  <c r="EN151" i="7"/>
  <c r="EM151" i="7"/>
  <c r="EI151" i="7"/>
  <c r="EG151" i="7"/>
  <c r="EE151" i="7"/>
  <c r="EC151" i="7"/>
  <c r="EA151" i="7"/>
  <c r="DY151" i="7"/>
  <c r="DW151" i="7"/>
  <c r="DU151" i="7"/>
  <c r="DS151" i="7"/>
  <c r="DR151" i="7"/>
  <c r="DP151" i="7"/>
  <c r="DN151" i="7"/>
  <c r="DM151" i="7"/>
  <c r="DK151" i="7"/>
  <c r="DI151" i="7"/>
  <c r="DH151" i="7"/>
  <c r="DF151" i="7"/>
  <c r="DD151" i="7"/>
  <c r="DC151" i="7"/>
  <c r="DA151" i="7"/>
  <c r="CY151" i="7"/>
  <c r="CX151" i="7"/>
  <c r="CV151" i="7"/>
  <c r="CT151" i="7"/>
  <c r="CS151" i="7"/>
  <c r="CR151" i="7"/>
  <c r="CQ151" i="7"/>
  <c r="CP151" i="7"/>
  <c r="CO151" i="7"/>
  <c r="CN151" i="7"/>
  <c r="CM151" i="7"/>
  <c r="CL151" i="7"/>
  <c r="CK151" i="7"/>
  <c r="CI151" i="7"/>
  <c r="CJ151" i="7" s="1"/>
  <c r="CH151" i="7"/>
  <c r="CG151" i="7"/>
  <c r="CE151" i="7"/>
  <c r="CF151" i="7" s="1"/>
  <c r="CD151" i="7"/>
  <c r="CC151" i="7"/>
  <c r="CA151" i="7"/>
  <c r="CB151" i="7" s="1"/>
  <c r="BZ151" i="7"/>
  <c r="BY151" i="7"/>
  <c r="BW151" i="7"/>
  <c r="BX151" i="7" s="1"/>
  <c r="BV151" i="7"/>
  <c r="BU151" i="7"/>
  <c r="BS151" i="7"/>
  <c r="BT151" i="7" s="1"/>
  <c r="BR151" i="7"/>
  <c r="BQ151" i="7"/>
  <c r="BO151" i="7"/>
  <c r="BP151" i="7" s="1"/>
  <c r="BN151" i="7"/>
  <c r="BM151" i="7"/>
  <c r="BK151" i="7"/>
  <c r="BL151" i="7" s="1"/>
  <c r="BJ151" i="7"/>
  <c r="BI151" i="7"/>
  <c r="BG151" i="7"/>
  <c r="BH151" i="7" s="1"/>
  <c r="BF151" i="7"/>
  <c r="BE151" i="7"/>
  <c r="BC151" i="7"/>
  <c r="BD151" i="7" s="1"/>
  <c r="BB151" i="7"/>
  <c r="AZ151" i="7"/>
  <c r="AX151" i="7"/>
  <c r="AW151" i="7"/>
  <c r="AV151" i="7"/>
  <c r="AU151" i="7"/>
  <c r="AT151" i="7"/>
  <c r="AS151" i="7"/>
  <c r="AR151" i="7"/>
  <c r="AQ151" i="7"/>
  <c r="AP151" i="7"/>
  <c r="AO151" i="7"/>
  <c r="AN151"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F151" i="7"/>
  <c r="D151" i="7"/>
  <c r="C151" i="7"/>
  <c r="B151" i="7"/>
  <c r="FQ150" i="7"/>
  <c r="FO150" i="7"/>
  <c r="FM150" i="7"/>
  <c r="FL150" i="7"/>
  <c r="FJ150" i="7"/>
  <c r="FH150" i="7"/>
  <c r="FG150" i="7"/>
  <c r="FE150" i="7"/>
  <c r="FC150" i="7"/>
  <c r="EZ150" i="7"/>
  <c r="EY150" i="7"/>
  <c r="EX150" i="7"/>
  <c r="EW150" i="7"/>
  <c r="EV150" i="7"/>
  <c r="EU150" i="7"/>
  <c r="ET150" i="7"/>
  <c r="ES150" i="7"/>
  <c r="ER150" i="7"/>
  <c r="EQ150" i="7"/>
  <c r="EP150" i="7"/>
  <c r="EO150" i="7"/>
  <c r="EN150" i="7"/>
  <c r="EM150" i="7"/>
  <c r="EI150" i="7"/>
  <c r="EG150" i="7"/>
  <c r="EE150" i="7"/>
  <c r="EC150" i="7"/>
  <c r="EA150" i="7"/>
  <c r="DY150" i="7"/>
  <c r="DW150" i="7"/>
  <c r="DU150" i="7"/>
  <c r="DS150" i="7"/>
  <c r="DR150" i="7"/>
  <c r="DP150" i="7"/>
  <c r="DN150" i="7"/>
  <c r="DM150" i="7"/>
  <c r="DK150" i="7"/>
  <c r="DI150" i="7"/>
  <c r="DH150" i="7"/>
  <c r="DF150" i="7"/>
  <c r="DD150" i="7"/>
  <c r="DC150" i="7"/>
  <c r="DA150" i="7"/>
  <c r="CY150" i="7"/>
  <c r="CX150" i="7"/>
  <c r="CV150" i="7"/>
  <c r="CT150" i="7"/>
  <c r="CS150" i="7"/>
  <c r="CR150" i="7"/>
  <c r="CQ150" i="7"/>
  <c r="CP150" i="7"/>
  <c r="CO150" i="7"/>
  <c r="CN150" i="7"/>
  <c r="CM150" i="7"/>
  <c r="CL150" i="7"/>
  <c r="CK150" i="7"/>
  <c r="CI150" i="7"/>
  <c r="CJ150" i="7" s="1"/>
  <c r="CH150" i="7"/>
  <c r="CG150" i="7"/>
  <c r="CE150" i="7"/>
  <c r="CF150" i="7" s="1"/>
  <c r="CD150" i="7"/>
  <c r="CC150" i="7"/>
  <c r="CA150" i="7"/>
  <c r="CB150" i="7" s="1"/>
  <c r="BZ150" i="7"/>
  <c r="BY150" i="7"/>
  <c r="BW150" i="7"/>
  <c r="BX150" i="7" s="1"/>
  <c r="BV150" i="7"/>
  <c r="BU150" i="7"/>
  <c r="BS150" i="7"/>
  <c r="BT150" i="7" s="1"/>
  <c r="BR150" i="7"/>
  <c r="BQ150" i="7"/>
  <c r="BO150" i="7"/>
  <c r="BP150" i="7" s="1"/>
  <c r="BN150" i="7"/>
  <c r="BM150" i="7"/>
  <c r="BK150" i="7"/>
  <c r="BL150" i="7" s="1"/>
  <c r="BJ150" i="7"/>
  <c r="BI150" i="7"/>
  <c r="BG150" i="7"/>
  <c r="BH150" i="7" s="1"/>
  <c r="BF150" i="7"/>
  <c r="BE150" i="7"/>
  <c r="BC150" i="7"/>
  <c r="BD150" i="7" s="1"/>
  <c r="BB150" i="7"/>
  <c r="AZ150" i="7"/>
  <c r="AX150" i="7"/>
  <c r="AW150" i="7"/>
  <c r="AV150" i="7"/>
  <c r="AU150" i="7"/>
  <c r="AT150" i="7"/>
  <c r="AS150" i="7"/>
  <c r="AR150" i="7"/>
  <c r="AQ150" i="7"/>
  <c r="AP150" i="7"/>
  <c r="AO150" i="7"/>
  <c r="AN150"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F150" i="7"/>
  <c r="D150" i="7"/>
  <c r="C150" i="7"/>
  <c r="B150" i="7"/>
  <c r="FQ149" i="7"/>
  <c r="FO149" i="7"/>
  <c r="FM149" i="7"/>
  <c r="FL149" i="7"/>
  <c r="FJ149" i="7"/>
  <c r="FH149" i="7"/>
  <c r="FG149" i="7"/>
  <c r="FE149" i="7"/>
  <c r="FC149" i="7"/>
  <c r="EZ149" i="7"/>
  <c r="EY149" i="7"/>
  <c r="EX149" i="7"/>
  <c r="EW149" i="7"/>
  <c r="EV149" i="7"/>
  <c r="EU149" i="7"/>
  <c r="ET149" i="7"/>
  <c r="ES149" i="7"/>
  <c r="ER149" i="7"/>
  <c r="EQ149" i="7"/>
  <c r="EP149" i="7"/>
  <c r="EO149" i="7"/>
  <c r="EN149" i="7"/>
  <c r="EM149" i="7"/>
  <c r="EI149" i="7"/>
  <c r="EG149" i="7"/>
  <c r="EE149" i="7"/>
  <c r="EC149" i="7"/>
  <c r="EA149" i="7"/>
  <c r="DY149" i="7"/>
  <c r="DW149" i="7"/>
  <c r="DU149" i="7"/>
  <c r="DS149" i="7"/>
  <c r="DR149" i="7"/>
  <c r="DP149" i="7"/>
  <c r="DN149" i="7"/>
  <c r="DM149" i="7"/>
  <c r="DK149" i="7"/>
  <c r="DI149" i="7"/>
  <c r="DH149" i="7"/>
  <c r="DF149" i="7"/>
  <c r="DD149" i="7"/>
  <c r="DC149" i="7"/>
  <c r="DA149" i="7"/>
  <c r="CY149" i="7"/>
  <c r="CX149" i="7"/>
  <c r="CV149" i="7"/>
  <c r="CT149" i="7"/>
  <c r="CS149" i="7"/>
  <c r="CR149" i="7"/>
  <c r="CQ149" i="7"/>
  <c r="CP149" i="7"/>
  <c r="CO149" i="7"/>
  <c r="CN149" i="7"/>
  <c r="CM149" i="7"/>
  <c r="CL149" i="7"/>
  <c r="CK149" i="7"/>
  <c r="CI149" i="7"/>
  <c r="CJ149" i="7" s="1"/>
  <c r="CH149" i="7"/>
  <c r="CG149" i="7"/>
  <c r="CE149" i="7"/>
  <c r="CF149" i="7" s="1"/>
  <c r="CD149" i="7"/>
  <c r="CC149" i="7"/>
  <c r="CA149" i="7"/>
  <c r="CB149" i="7" s="1"/>
  <c r="BZ149" i="7"/>
  <c r="BY149" i="7"/>
  <c r="BW149" i="7"/>
  <c r="BX149" i="7" s="1"/>
  <c r="BV149" i="7"/>
  <c r="BU149" i="7"/>
  <c r="BS149" i="7"/>
  <c r="BT149" i="7" s="1"/>
  <c r="BR149" i="7"/>
  <c r="BQ149" i="7"/>
  <c r="BO149" i="7"/>
  <c r="BP149" i="7" s="1"/>
  <c r="BN149" i="7"/>
  <c r="BM149" i="7"/>
  <c r="BK149" i="7"/>
  <c r="BL149" i="7" s="1"/>
  <c r="BJ149" i="7"/>
  <c r="BI149" i="7"/>
  <c r="BG149" i="7"/>
  <c r="BH149" i="7" s="1"/>
  <c r="BF149" i="7"/>
  <c r="BE149" i="7"/>
  <c r="BC149" i="7"/>
  <c r="BD149" i="7" s="1"/>
  <c r="BB149" i="7"/>
  <c r="AZ149" i="7"/>
  <c r="AX149" i="7"/>
  <c r="AW149" i="7"/>
  <c r="AV149" i="7"/>
  <c r="AU149" i="7"/>
  <c r="AT149" i="7"/>
  <c r="AS149" i="7"/>
  <c r="AR149" i="7"/>
  <c r="AQ149" i="7"/>
  <c r="AP149" i="7"/>
  <c r="AO149" i="7"/>
  <c r="AN149" i="7"/>
  <c r="AM149" i="7"/>
  <c r="AL149" i="7"/>
  <c r="AK149" i="7"/>
  <c r="AJ149" i="7"/>
  <c r="AI149" i="7"/>
  <c r="AH149" i="7"/>
  <c r="AG149" i="7"/>
  <c r="AF149" i="7"/>
  <c r="AE149" i="7"/>
  <c r="AD149" i="7"/>
  <c r="AC149" i="7"/>
  <c r="AB149" i="7"/>
  <c r="AA149" i="7"/>
  <c r="Z149" i="7"/>
  <c r="Y149" i="7"/>
  <c r="X149" i="7"/>
  <c r="W149" i="7"/>
  <c r="V149" i="7"/>
  <c r="U149" i="7"/>
  <c r="T149" i="7"/>
  <c r="S149" i="7"/>
  <c r="R149" i="7"/>
  <c r="Q149" i="7"/>
  <c r="P149" i="7"/>
  <c r="O149" i="7"/>
  <c r="N149" i="7"/>
  <c r="M149" i="7"/>
  <c r="L149" i="7"/>
  <c r="K149" i="7"/>
  <c r="J149" i="7"/>
  <c r="I149" i="7"/>
  <c r="H149" i="7"/>
  <c r="G149" i="7"/>
  <c r="F149" i="7"/>
  <c r="D149" i="7"/>
  <c r="C149" i="7"/>
  <c r="B149" i="7"/>
  <c r="FQ148" i="7"/>
  <c r="FO148" i="7"/>
  <c r="FM148" i="7"/>
  <c r="FL148" i="7"/>
  <c r="FJ148" i="7"/>
  <c r="FH148" i="7"/>
  <c r="FG148" i="7"/>
  <c r="FE148" i="7"/>
  <c r="FC148" i="7"/>
  <c r="EZ148" i="7"/>
  <c r="EY148" i="7"/>
  <c r="EX148" i="7"/>
  <c r="EW148" i="7"/>
  <c r="EV148" i="7"/>
  <c r="EU148" i="7"/>
  <c r="ET148" i="7"/>
  <c r="ES148" i="7"/>
  <c r="ER148" i="7"/>
  <c r="EQ148" i="7"/>
  <c r="EP148" i="7"/>
  <c r="EO148" i="7"/>
  <c r="EN148" i="7"/>
  <c r="EM148" i="7"/>
  <c r="EI148" i="7"/>
  <c r="EG148" i="7"/>
  <c r="EE148" i="7"/>
  <c r="EC148" i="7"/>
  <c r="EA148" i="7"/>
  <c r="DY148" i="7"/>
  <c r="DW148" i="7"/>
  <c r="DU148" i="7"/>
  <c r="DS148" i="7"/>
  <c r="DR148" i="7"/>
  <c r="DP148" i="7"/>
  <c r="DN148" i="7"/>
  <c r="DM148" i="7"/>
  <c r="DK148" i="7"/>
  <c r="DI148" i="7"/>
  <c r="DH148" i="7"/>
  <c r="DF148" i="7"/>
  <c r="DD148" i="7"/>
  <c r="DC148" i="7"/>
  <c r="DA148" i="7"/>
  <c r="CY148" i="7"/>
  <c r="CX148" i="7"/>
  <c r="CV148" i="7"/>
  <c r="CT148" i="7"/>
  <c r="CS148" i="7"/>
  <c r="CR148" i="7"/>
  <c r="CQ148" i="7"/>
  <c r="CP148" i="7"/>
  <c r="CO148" i="7"/>
  <c r="CN148" i="7"/>
  <c r="CM148" i="7"/>
  <c r="CL148" i="7"/>
  <c r="CK148" i="7"/>
  <c r="CI148" i="7"/>
  <c r="CJ148" i="7" s="1"/>
  <c r="CH148" i="7"/>
  <c r="CG148" i="7"/>
  <c r="CE148" i="7"/>
  <c r="CF148" i="7" s="1"/>
  <c r="CD148" i="7"/>
  <c r="CC148" i="7"/>
  <c r="CA148" i="7"/>
  <c r="CB148" i="7" s="1"/>
  <c r="BZ148" i="7"/>
  <c r="BY148" i="7"/>
  <c r="BW148" i="7"/>
  <c r="BX148" i="7" s="1"/>
  <c r="BV148" i="7"/>
  <c r="BU148" i="7"/>
  <c r="BS148" i="7"/>
  <c r="BT148" i="7" s="1"/>
  <c r="BR148" i="7"/>
  <c r="BQ148" i="7"/>
  <c r="BO148" i="7"/>
  <c r="BP148" i="7" s="1"/>
  <c r="BN148" i="7"/>
  <c r="BM148" i="7"/>
  <c r="BK148" i="7"/>
  <c r="BL148" i="7" s="1"/>
  <c r="BJ148" i="7"/>
  <c r="BI148" i="7"/>
  <c r="BG148" i="7"/>
  <c r="BH148" i="7" s="1"/>
  <c r="BF148" i="7"/>
  <c r="BE148" i="7"/>
  <c r="BC148" i="7"/>
  <c r="BD148" i="7" s="1"/>
  <c r="BB148" i="7"/>
  <c r="AZ148" i="7"/>
  <c r="AX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J148" i="7"/>
  <c r="I148" i="7"/>
  <c r="H148" i="7"/>
  <c r="G148" i="7"/>
  <c r="F148" i="7"/>
  <c r="D148" i="7"/>
  <c r="C148" i="7"/>
  <c r="B148" i="7"/>
  <c r="FQ147" i="7"/>
  <c r="FO147" i="7"/>
  <c r="FM147" i="7"/>
  <c r="FL147" i="7"/>
  <c r="FJ147" i="7"/>
  <c r="FH147" i="7"/>
  <c r="FG147" i="7"/>
  <c r="FE147" i="7"/>
  <c r="FC147" i="7"/>
  <c r="EZ147" i="7"/>
  <c r="EY147" i="7"/>
  <c r="EX147" i="7"/>
  <c r="EW147" i="7"/>
  <c r="EV147" i="7"/>
  <c r="EU147" i="7"/>
  <c r="ET147" i="7"/>
  <c r="ES147" i="7"/>
  <c r="ER147" i="7"/>
  <c r="EQ147" i="7"/>
  <c r="EP147" i="7"/>
  <c r="EO147" i="7"/>
  <c r="EN147" i="7"/>
  <c r="EM147" i="7"/>
  <c r="EI147" i="7"/>
  <c r="EG147" i="7"/>
  <c r="EE147" i="7"/>
  <c r="EC147" i="7"/>
  <c r="EA147" i="7"/>
  <c r="DY147" i="7"/>
  <c r="DW147" i="7"/>
  <c r="DU147" i="7"/>
  <c r="DS147" i="7"/>
  <c r="DR147" i="7"/>
  <c r="DP147" i="7"/>
  <c r="DN147" i="7"/>
  <c r="DM147" i="7"/>
  <c r="DK147" i="7"/>
  <c r="DI147" i="7"/>
  <c r="DH147" i="7"/>
  <c r="DF147" i="7"/>
  <c r="DD147" i="7"/>
  <c r="DC147" i="7"/>
  <c r="DA147" i="7"/>
  <c r="CY147" i="7"/>
  <c r="CX147" i="7"/>
  <c r="CV147" i="7"/>
  <c r="CT147" i="7"/>
  <c r="CS147" i="7"/>
  <c r="CR147" i="7"/>
  <c r="CQ147" i="7"/>
  <c r="CP147" i="7"/>
  <c r="CO147" i="7"/>
  <c r="CN147" i="7"/>
  <c r="CM147" i="7"/>
  <c r="CL147" i="7"/>
  <c r="CK147" i="7"/>
  <c r="CI147" i="7"/>
  <c r="CJ147" i="7" s="1"/>
  <c r="CH147" i="7"/>
  <c r="CG147" i="7"/>
  <c r="CE147" i="7"/>
  <c r="CF147" i="7" s="1"/>
  <c r="CD147" i="7"/>
  <c r="CC147" i="7"/>
  <c r="CA147" i="7"/>
  <c r="CB147" i="7" s="1"/>
  <c r="BZ147" i="7"/>
  <c r="BY147" i="7"/>
  <c r="BW147" i="7"/>
  <c r="BX147" i="7" s="1"/>
  <c r="BV147" i="7"/>
  <c r="BU147" i="7"/>
  <c r="BS147" i="7"/>
  <c r="BT147" i="7" s="1"/>
  <c r="BR147" i="7"/>
  <c r="BQ147" i="7"/>
  <c r="BO147" i="7"/>
  <c r="BP147" i="7" s="1"/>
  <c r="BN147" i="7"/>
  <c r="BM147" i="7"/>
  <c r="BK147" i="7"/>
  <c r="BL147" i="7" s="1"/>
  <c r="BJ147" i="7"/>
  <c r="BI147" i="7"/>
  <c r="BG147" i="7"/>
  <c r="BH147" i="7" s="1"/>
  <c r="BF147" i="7"/>
  <c r="BE147" i="7"/>
  <c r="BC147" i="7"/>
  <c r="BD147" i="7" s="1"/>
  <c r="BB147" i="7"/>
  <c r="AZ147" i="7"/>
  <c r="AX147" i="7"/>
  <c r="AW147" i="7"/>
  <c r="AV147" i="7"/>
  <c r="AU147" i="7"/>
  <c r="AT147" i="7"/>
  <c r="AS147" i="7"/>
  <c r="AR147" i="7"/>
  <c r="AQ147" i="7"/>
  <c r="AP147" i="7"/>
  <c r="AO147" i="7"/>
  <c r="AN147"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F147" i="7"/>
  <c r="D147" i="7"/>
  <c r="C147" i="7"/>
  <c r="B147" i="7"/>
  <c r="FQ146" i="7"/>
  <c r="FO146" i="7"/>
  <c r="FM146" i="7"/>
  <c r="FL146" i="7"/>
  <c r="FJ146" i="7"/>
  <c r="FH146" i="7"/>
  <c r="FG146" i="7"/>
  <c r="FE146" i="7"/>
  <c r="FC146" i="7"/>
  <c r="EZ146" i="7"/>
  <c r="EY146" i="7"/>
  <c r="EX146" i="7"/>
  <c r="EW146" i="7"/>
  <c r="EV146" i="7"/>
  <c r="EU146" i="7"/>
  <c r="ET146" i="7"/>
  <c r="ES146" i="7"/>
  <c r="ER146" i="7"/>
  <c r="EQ146" i="7"/>
  <c r="EP146" i="7"/>
  <c r="EO146" i="7"/>
  <c r="EN146" i="7"/>
  <c r="EM146" i="7"/>
  <c r="EI146" i="7"/>
  <c r="EG146" i="7"/>
  <c r="EE146" i="7"/>
  <c r="EC146" i="7"/>
  <c r="EA146" i="7"/>
  <c r="DY146" i="7"/>
  <c r="DW146" i="7"/>
  <c r="DU146" i="7"/>
  <c r="DS146" i="7"/>
  <c r="DR146" i="7"/>
  <c r="DP146" i="7"/>
  <c r="DN146" i="7"/>
  <c r="DM146" i="7"/>
  <c r="DK146" i="7"/>
  <c r="DI146" i="7"/>
  <c r="DH146" i="7"/>
  <c r="DF146" i="7"/>
  <c r="DD146" i="7"/>
  <c r="DC146" i="7"/>
  <c r="DA146" i="7"/>
  <c r="CY146" i="7"/>
  <c r="CX146" i="7"/>
  <c r="CV146" i="7"/>
  <c r="CT146" i="7"/>
  <c r="CS146" i="7"/>
  <c r="CR146" i="7"/>
  <c r="CQ146" i="7"/>
  <c r="CP146" i="7"/>
  <c r="CO146" i="7"/>
  <c r="CN146" i="7"/>
  <c r="CM146" i="7"/>
  <c r="CL146" i="7"/>
  <c r="CK146" i="7"/>
  <c r="CI146" i="7"/>
  <c r="CJ146" i="7" s="1"/>
  <c r="CH146" i="7"/>
  <c r="CG146" i="7"/>
  <c r="CE146" i="7"/>
  <c r="CF146" i="7" s="1"/>
  <c r="CD146" i="7"/>
  <c r="CC146" i="7"/>
  <c r="CA146" i="7"/>
  <c r="CB146" i="7" s="1"/>
  <c r="BZ146" i="7"/>
  <c r="BY146" i="7"/>
  <c r="BW146" i="7"/>
  <c r="BX146" i="7" s="1"/>
  <c r="BV146" i="7"/>
  <c r="BU146" i="7"/>
  <c r="BS146" i="7"/>
  <c r="BT146" i="7" s="1"/>
  <c r="BR146" i="7"/>
  <c r="BQ146" i="7"/>
  <c r="BO146" i="7"/>
  <c r="BP146" i="7" s="1"/>
  <c r="BN146" i="7"/>
  <c r="BM146" i="7"/>
  <c r="BK146" i="7"/>
  <c r="BL146" i="7" s="1"/>
  <c r="BJ146" i="7"/>
  <c r="BI146" i="7"/>
  <c r="BG146" i="7"/>
  <c r="BH146" i="7" s="1"/>
  <c r="BF146" i="7"/>
  <c r="BE146" i="7"/>
  <c r="BC146" i="7"/>
  <c r="BD146" i="7" s="1"/>
  <c r="BB146" i="7"/>
  <c r="AZ146" i="7"/>
  <c r="AX146" i="7"/>
  <c r="AW146" i="7"/>
  <c r="AV146" i="7"/>
  <c r="AU146" i="7"/>
  <c r="AT146" i="7"/>
  <c r="AS146" i="7"/>
  <c r="AR146" i="7"/>
  <c r="AQ146" i="7"/>
  <c r="AP146" i="7"/>
  <c r="AO146" i="7"/>
  <c r="AN146"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F146" i="7"/>
  <c r="D146" i="7"/>
  <c r="C146" i="7"/>
  <c r="B146" i="7"/>
  <c r="FQ145" i="7"/>
  <c r="FO145" i="7"/>
  <c r="FM145" i="7"/>
  <c r="FL145" i="7"/>
  <c r="FJ145" i="7"/>
  <c r="FH145" i="7"/>
  <c r="FG145" i="7"/>
  <c r="FE145" i="7"/>
  <c r="FC145" i="7"/>
  <c r="EZ145" i="7"/>
  <c r="EY145" i="7"/>
  <c r="EX145" i="7"/>
  <c r="EW145" i="7"/>
  <c r="EV145" i="7"/>
  <c r="EU145" i="7"/>
  <c r="ET145" i="7"/>
  <c r="ES145" i="7"/>
  <c r="ER145" i="7"/>
  <c r="EQ145" i="7"/>
  <c r="EP145" i="7"/>
  <c r="EO145" i="7"/>
  <c r="EN145" i="7"/>
  <c r="EM145" i="7"/>
  <c r="EI145" i="7"/>
  <c r="EG145" i="7"/>
  <c r="EE145" i="7"/>
  <c r="EC145" i="7"/>
  <c r="EA145" i="7"/>
  <c r="DY145" i="7"/>
  <c r="DW145" i="7"/>
  <c r="DU145" i="7"/>
  <c r="DS145" i="7"/>
  <c r="DR145" i="7"/>
  <c r="DP145" i="7"/>
  <c r="DN145" i="7"/>
  <c r="DM145" i="7"/>
  <c r="DK145" i="7"/>
  <c r="DI145" i="7"/>
  <c r="DH145" i="7"/>
  <c r="DF145" i="7"/>
  <c r="DD145" i="7"/>
  <c r="DC145" i="7"/>
  <c r="DA145" i="7"/>
  <c r="CY145" i="7"/>
  <c r="CX145" i="7"/>
  <c r="CV145" i="7"/>
  <c r="CT145" i="7"/>
  <c r="CS145" i="7"/>
  <c r="CR145" i="7"/>
  <c r="CQ145" i="7"/>
  <c r="CP145" i="7"/>
  <c r="CO145" i="7"/>
  <c r="CN145" i="7"/>
  <c r="CM145" i="7"/>
  <c r="CL145" i="7"/>
  <c r="CK145" i="7"/>
  <c r="CI145" i="7"/>
  <c r="CJ145" i="7" s="1"/>
  <c r="CH145" i="7"/>
  <c r="CG145" i="7"/>
  <c r="CE145" i="7"/>
  <c r="CF145" i="7" s="1"/>
  <c r="CD145" i="7"/>
  <c r="CC145" i="7"/>
  <c r="CA145" i="7"/>
  <c r="CB145" i="7" s="1"/>
  <c r="BZ145" i="7"/>
  <c r="BY145" i="7"/>
  <c r="BW145" i="7"/>
  <c r="BX145" i="7" s="1"/>
  <c r="BV145" i="7"/>
  <c r="BU145" i="7"/>
  <c r="BS145" i="7"/>
  <c r="BT145" i="7" s="1"/>
  <c r="BR145" i="7"/>
  <c r="BQ145" i="7"/>
  <c r="BO145" i="7"/>
  <c r="BP145" i="7" s="1"/>
  <c r="BN145" i="7"/>
  <c r="BM145" i="7"/>
  <c r="BK145" i="7"/>
  <c r="BL145" i="7" s="1"/>
  <c r="BJ145" i="7"/>
  <c r="BI145" i="7"/>
  <c r="BG145" i="7"/>
  <c r="BH145" i="7" s="1"/>
  <c r="BF145" i="7"/>
  <c r="BE145" i="7"/>
  <c r="BC145" i="7"/>
  <c r="BD145" i="7" s="1"/>
  <c r="BB145" i="7"/>
  <c r="AZ145" i="7"/>
  <c r="AX145" i="7"/>
  <c r="AW145" i="7"/>
  <c r="AV145" i="7"/>
  <c r="AU145" i="7"/>
  <c r="AT145" i="7"/>
  <c r="AS145" i="7"/>
  <c r="AR145" i="7"/>
  <c r="AQ145" i="7"/>
  <c r="AP145" i="7"/>
  <c r="AO145" i="7"/>
  <c r="AN145" i="7"/>
  <c r="AM145" i="7"/>
  <c r="AL145" i="7"/>
  <c r="AK145" i="7"/>
  <c r="AJ145" i="7"/>
  <c r="AI145" i="7"/>
  <c r="AH145" i="7"/>
  <c r="AG145" i="7"/>
  <c r="AF145" i="7"/>
  <c r="AE145" i="7"/>
  <c r="AD145" i="7"/>
  <c r="AC145" i="7"/>
  <c r="AB145" i="7"/>
  <c r="AA145" i="7"/>
  <c r="Z145" i="7"/>
  <c r="Y145" i="7"/>
  <c r="X145" i="7"/>
  <c r="W145" i="7"/>
  <c r="V145" i="7"/>
  <c r="U145" i="7"/>
  <c r="T145" i="7"/>
  <c r="S145" i="7"/>
  <c r="R145" i="7"/>
  <c r="Q145" i="7"/>
  <c r="P145" i="7"/>
  <c r="O145" i="7"/>
  <c r="N145" i="7"/>
  <c r="M145" i="7"/>
  <c r="L145" i="7"/>
  <c r="K145" i="7"/>
  <c r="J145" i="7"/>
  <c r="I145" i="7"/>
  <c r="H145" i="7"/>
  <c r="G145" i="7"/>
  <c r="F145" i="7"/>
  <c r="D145" i="7"/>
  <c r="C145" i="7"/>
  <c r="B145" i="7"/>
  <c r="FQ144" i="7"/>
  <c r="FO144" i="7"/>
  <c r="FM144" i="7"/>
  <c r="FL144" i="7"/>
  <c r="FJ144" i="7"/>
  <c r="FH144" i="7"/>
  <c r="FG144" i="7"/>
  <c r="FE144" i="7"/>
  <c r="FC144" i="7"/>
  <c r="EZ144" i="7"/>
  <c r="EY144" i="7"/>
  <c r="EX144" i="7"/>
  <c r="EW144" i="7"/>
  <c r="EV144" i="7"/>
  <c r="EU144" i="7"/>
  <c r="ET144" i="7"/>
  <c r="ES144" i="7"/>
  <c r="ER144" i="7"/>
  <c r="EQ144" i="7"/>
  <c r="EP144" i="7"/>
  <c r="EO144" i="7"/>
  <c r="EN144" i="7"/>
  <c r="EM144" i="7"/>
  <c r="EI144" i="7"/>
  <c r="EG144" i="7"/>
  <c r="EE144" i="7"/>
  <c r="EC144" i="7"/>
  <c r="EA144" i="7"/>
  <c r="DY144" i="7"/>
  <c r="DW144" i="7"/>
  <c r="DU144" i="7"/>
  <c r="DS144" i="7"/>
  <c r="DR144" i="7"/>
  <c r="DP144" i="7"/>
  <c r="DN144" i="7"/>
  <c r="DM144" i="7"/>
  <c r="DK144" i="7"/>
  <c r="DI144" i="7"/>
  <c r="DH144" i="7"/>
  <c r="DF144" i="7"/>
  <c r="DD144" i="7"/>
  <c r="DC144" i="7"/>
  <c r="DA144" i="7"/>
  <c r="CY144" i="7"/>
  <c r="CX144" i="7"/>
  <c r="CV144" i="7"/>
  <c r="CT144" i="7"/>
  <c r="CS144" i="7"/>
  <c r="CR144" i="7"/>
  <c r="CQ144" i="7"/>
  <c r="CP144" i="7"/>
  <c r="CO144" i="7"/>
  <c r="CN144" i="7"/>
  <c r="CM144" i="7"/>
  <c r="CL144" i="7"/>
  <c r="CK144" i="7"/>
  <c r="CI144" i="7"/>
  <c r="CJ144" i="7" s="1"/>
  <c r="CH144" i="7"/>
  <c r="CG144" i="7"/>
  <c r="CE144" i="7"/>
  <c r="CF144" i="7" s="1"/>
  <c r="CD144" i="7"/>
  <c r="CC144" i="7"/>
  <c r="CA144" i="7"/>
  <c r="CB144" i="7" s="1"/>
  <c r="BZ144" i="7"/>
  <c r="BY144" i="7"/>
  <c r="BW144" i="7"/>
  <c r="BX144" i="7" s="1"/>
  <c r="BV144" i="7"/>
  <c r="BU144" i="7"/>
  <c r="BS144" i="7"/>
  <c r="BT144" i="7" s="1"/>
  <c r="BR144" i="7"/>
  <c r="BQ144" i="7"/>
  <c r="BO144" i="7"/>
  <c r="BP144" i="7" s="1"/>
  <c r="BN144" i="7"/>
  <c r="BM144" i="7"/>
  <c r="BK144" i="7"/>
  <c r="BL144" i="7" s="1"/>
  <c r="BJ144" i="7"/>
  <c r="BI144" i="7"/>
  <c r="BG144" i="7"/>
  <c r="BH144" i="7" s="1"/>
  <c r="BF144" i="7"/>
  <c r="BE144" i="7"/>
  <c r="BC144" i="7"/>
  <c r="BD144" i="7" s="1"/>
  <c r="BB144" i="7"/>
  <c r="AZ144" i="7"/>
  <c r="AX144" i="7"/>
  <c r="AW144" i="7"/>
  <c r="AV144" i="7"/>
  <c r="AU144" i="7"/>
  <c r="AT144" i="7"/>
  <c r="AS144" i="7"/>
  <c r="AR144" i="7"/>
  <c r="AQ144" i="7"/>
  <c r="AP144" i="7"/>
  <c r="AO144" i="7"/>
  <c r="AN144" i="7"/>
  <c r="AM144" i="7"/>
  <c r="AL144" i="7"/>
  <c r="AK144" i="7"/>
  <c r="AJ144" i="7"/>
  <c r="AI144" i="7"/>
  <c r="AH144" i="7"/>
  <c r="AG144" i="7"/>
  <c r="AF144" i="7"/>
  <c r="AE144" i="7"/>
  <c r="AD144" i="7"/>
  <c r="AC144" i="7"/>
  <c r="AB144" i="7"/>
  <c r="AA144" i="7"/>
  <c r="Z144" i="7"/>
  <c r="Y144" i="7"/>
  <c r="X144" i="7"/>
  <c r="W144" i="7"/>
  <c r="V144" i="7"/>
  <c r="U144" i="7"/>
  <c r="T144" i="7"/>
  <c r="S144" i="7"/>
  <c r="R144" i="7"/>
  <c r="Q144" i="7"/>
  <c r="P144" i="7"/>
  <c r="O144" i="7"/>
  <c r="N144" i="7"/>
  <c r="M144" i="7"/>
  <c r="L144" i="7"/>
  <c r="K144" i="7"/>
  <c r="J144" i="7"/>
  <c r="I144" i="7"/>
  <c r="H144" i="7"/>
  <c r="G144" i="7"/>
  <c r="F144" i="7"/>
  <c r="D144" i="7"/>
  <c r="C144" i="7"/>
  <c r="B144" i="7"/>
  <c r="FQ143" i="7"/>
  <c r="FO143" i="7"/>
  <c r="FM143" i="7"/>
  <c r="FL143" i="7"/>
  <c r="FJ143" i="7"/>
  <c r="FH143" i="7"/>
  <c r="FG143" i="7"/>
  <c r="FE143" i="7"/>
  <c r="FC143" i="7"/>
  <c r="EZ143" i="7"/>
  <c r="EY143" i="7"/>
  <c r="EX143" i="7"/>
  <c r="EW143" i="7"/>
  <c r="EV143" i="7"/>
  <c r="EU143" i="7"/>
  <c r="ET143" i="7"/>
  <c r="ES143" i="7"/>
  <c r="ER143" i="7"/>
  <c r="EQ143" i="7"/>
  <c r="EP143" i="7"/>
  <c r="EO143" i="7"/>
  <c r="EN143" i="7"/>
  <c r="EM143" i="7"/>
  <c r="EI143" i="7"/>
  <c r="EG143" i="7"/>
  <c r="EE143" i="7"/>
  <c r="EC143" i="7"/>
  <c r="EA143" i="7"/>
  <c r="DY143" i="7"/>
  <c r="DW143" i="7"/>
  <c r="DU143" i="7"/>
  <c r="DS143" i="7"/>
  <c r="DR143" i="7"/>
  <c r="DP143" i="7"/>
  <c r="DN143" i="7"/>
  <c r="DM143" i="7"/>
  <c r="DK143" i="7"/>
  <c r="DI143" i="7"/>
  <c r="DH143" i="7"/>
  <c r="DF143" i="7"/>
  <c r="DD143" i="7"/>
  <c r="DC143" i="7"/>
  <c r="DA143" i="7"/>
  <c r="CY143" i="7"/>
  <c r="CX143" i="7"/>
  <c r="CV143" i="7"/>
  <c r="CT143" i="7"/>
  <c r="CS143" i="7"/>
  <c r="CR143" i="7"/>
  <c r="CQ143" i="7"/>
  <c r="CP143" i="7"/>
  <c r="CO143" i="7"/>
  <c r="CN143" i="7"/>
  <c r="CM143" i="7"/>
  <c r="CL143" i="7"/>
  <c r="CK143" i="7"/>
  <c r="CI143" i="7"/>
  <c r="CJ143" i="7" s="1"/>
  <c r="CH143" i="7"/>
  <c r="CG143" i="7"/>
  <c r="CE143" i="7"/>
  <c r="CF143" i="7" s="1"/>
  <c r="CD143" i="7"/>
  <c r="CC143" i="7"/>
  <c r="CA143" i="7"/>
  <c r="CB143" i="7" s="1"/>
  <c r="BZ143" i="7"/>
  <c r="BY143" i="7"/>
  <c r="BW143" i="7"/>
  <c r="BX143" i="7" s="1"/>
  <c r="BV143" i="7"/>
  <c r="BU143" i="7"/>
  <c r="BS143" i="7"/>
  <c r="BT143" i="7" s="1"/>
  <c r="BR143" i="7"/>
  <c r="BQ143" i="7"/>
  <c r="BO143" i="7"/>
  <c r="BP143" i="7" s="1"/>
  <c r="BN143" i="7"/>
  <c r="BM143" i="7"/>
  <c r="BK143" i="7"/>
  <c r="BL143" i="7" s="1"/>
  <c r="BJ143" i="7"/>
  <c r="BI143" i="7"/>
  <c r="BG143" i="7"/>
  <c r="BH143" i="7" s="1"/>
  <c r="BF143" i="7"/>
  <c r="BE143" i="7"/>
  <c r="BC143" i="7"/>
  <c r="BD143" i="7" s="1"/>
  <c r="BB143" i="7"/>
  <c r="AZ143" i="7"/>
  <c r="AX143" i="7"/>
  <c r="AW143" i="7"/>
  <c r="AV143" i="7"/>
  <c r="AU143" i="7"/>
  <c r="AT143" i="7"/>
  <c r="AS143" i="7"/>
  <c r="AR143" i="7"/>
  <c r="AQ143" i="7"/>
  <c r="AP143" i="7"/>
  <c r="AO143" i="7"/>
  <c r="AN143" i="7"/>
  <c r="AM143" i="7"/>
  <c r="AL143" i="7"/>
  <c r="AK143" i="7"/>
  <c r="AJ143" i="7"/>
  <c r="AI143" i="7"/>
  <c r="AH143" i="7"/>
  <c r="AG143" i="7"/>
  <c r="AF143" i="7"/>
  <c r="AE143" i="7"/>
  <c r="AD143" i="7"/>
  <c r="AC143" i="7"/>
  <c r="AB143" i="7"/>
  <c r="AA143" i="7"/>
  <c r="Z143" i="7"/>
  <c r="Y143" i="7"/>
  <c r="X143" i="7"/>
  <c r="W143" i="7"/>
  <c r="V143" i="7"/>
  <c r="U143" i="7"/>
  <c r="T143" i="7"/>
  <c r="S143" i="7"/>
  <c r="R143" i="7"/>
  <c r="Q143" i="7"/>
  <c r="P143" i="7"/>
  <c r="O143" i="7"/>
  <c r="N143" i="7"/>
  <c r="M143" i="7"/>
  <c r="L143" i="7"/>
  <c r="K143" i="7"/>
  <c r="J143" i="7"/>
  <c r="I143" i="7"/>
  <c r="H143" i="7"/>
  <c r="G143" i="7"/>
  <c r="F143" i="7"/>
  <c r="D143" i="7"/>
  <c r="C143" i="7"/>
  <c r="B143" i="7"/>
  <c r="FQ142" i="7"/>
  <c r="FO142" i="7"/>
  <c r="FM142" i="7"/>
  <c r="FL142" i="7"/>
  <c r="FJ142" i="7"/>
  <c r="FH142" i="7"/>
  <c r="FG142" i="7"/>
  <c r="FE142" i="7"/>
  <c r="FC142" i="7"/>
  <c r="EZ142" i="7"/>
  <c r="EY142" i="7"/>
  <c r="EX142" i="7"/>
  <c r="EW142" i="7"/>
  <c r="EV142" i="7"/>
  <c r="EU142" i="7"/>
  <c r="ET142" i="7"/>
  <c r="ES142" i="7"/>
  <c r="ER142" i="7"/>
  <c r="EQ142" i="7"/>
  <c r="EP142" i="7"/>
  <c r="EO142" i="7"/>
  <c r="EN142" i="7"/>
  <c r="EM142" i="7"/>
  <c r="EI142" i="7"/>
  <c r="EG142" i="7"/>
  <c r="EE142" i="7"/>
  <c r="EC142" i="7"/>
  <c r="EA142" i="7"/>
  <c r="DY142" i="7"/>
  <c r="DW142" i="7"/>
  <c r="DU142" i="7"/>
  <c r="DS142" i="7"/>
  <c r="DR142" i="7"/>
  <c r="DP142" i="7"/>
  <c r="DN142" i="7"/>
  <c r="DM142" i="7"/>
  <c r="DK142" i="7"/>
  <c r="DI142" i="7"/>
  <c r="DH142" i="7"/>
  <c r="DF142" i="7"/>
  <c r="DD142" i="7"/>
  <c r="DC142" i="7"/>
  <c r="DA142" i="7"/>
  <c r="CY142" i="7"/>
  <c r="CX142" i="7"/>
  <c r="CV142" i="7"/>
  <c r="CT142" i="7"/>
  <c r="CS142" i="7"/>
  <c r="CR142" i="7"/>
  <c r="CQ142" i="7"/>
  <c r="CP142" i="7"/>
  <c r="CO142" i="7"/>
  <c r="CN142" i="7"/>
  <c r="CM142" i="7"/>
  <c r="CL142" i="7"/>
  <c r="CK142" i="7"/>
  <c r="CI142" i="7"/>
  <c r="CJ142" i="7" s="1"/>
  <c r="CH142" i="7"/>
  <c r="CG142" i="7"/>
  <c r="CE142" i="7"/>
  <c r="CF142" i="7" s="1"/>
  <c r="CD142" i="7"/>
  <c r="CC142" i="7"/>
  <c r="CA142" i="7"/>
  <c r="CB142" i="7" s="1"/>
  <c r="BZ142" i="7"/>
  <c r="BY142" i="7"/>
  <c r="BW142" i="7"/>
  <c r="BX142" i="7" s="1"/>
  <c r="BV142" i="7"/>
  <c r="BU142" i="7"/>
  <c r="BS142" i="7"/>
  <c r="BT142" i="7" s="1"/>
  <c r="BR142" i="7"/>
  <c r="BQ142" i="7"/>
  <c r="BO142" i="7"/>
  <c r="BP142" i="7" s="1"/>
  <c r="BN142" i="7"/>
  <c r="BM142" i="7"/>
  <c r="BK142" i="7"/>
  <c r="BL142" i="7" s="1"/>
  <c r="BJ142" i="7"/>
  <c r="BI142" i="7"/>
  <c r="BG142" i="7"/>
  <c r="BH142" i="7" s="1"/>
  <c r="BF142" i="7"/>
  <c r="BE142" i="7"/>
  <c r="BC142" i="7"/>
  <c r="BD142" i="7" s="1"/>
  <c r="BB142" i="7"/>
  <c r="AZ142" i="7"/>
  <c r="AX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J142" i="7"/>
  <c r="I142" i="7"/>
  <c r="H142" i="7"/>
  <c r="G142" i="7"/>
  <c r="F142" i="7"/>
  <c r="D142" i="7"/>
  <c r="C142" i="7"/>
  <c r="B142" i="7"/>
  <c r="FQ141" i="7"/>
  <c r="FO141" i="7"/>
  <c r="FM141" i="7"/>
  <c r="FL141" i="7"/>
  <c r="FJ141" i="7"/>
  <c r="FH141" i="7"/>
  <c r="FG141" i="7"/>
  <c r="FE141" i="7"/>
  <c r="FC141" i="7"/>
  <c r="EZ141" i="7"/>
  <c r="EY141" i="7"/>
  <c r="EX141" i="7"/>
  <c r="EW141" i="7"/>
  <c r="EV141" i="7"/>
  <c r="EU141" i="7"/>
  <c r="ET141" i="7"/>
  <c r="ES141" i="7"/>
  <c r="ER141" i="7"/>
  <c r="EQ141" i="7"/>
  <c r="EP141" i="7"/>
  <c r="EO141" i="7"/>
  <c r="EN141" i="7"/>
  <c r="EM141" i="7"/>
  <c r="EI141" i="7"/>
  <c r="EG141" i="7"/>
  <c r="EE141" i="7"/>
  <c r="EC141" i="7"/>
  <c r="EA141" i="7"/>
  <c r="DY141" i="7"/>
  <c r="DW141" i="7"/>
  <c r="DU141" i="7"/>
  <c r="DS141" i="7"/>
  <c r="DR141" i="7"/>
  <c r="DP141" i="7"/>
  <c r="DN141" i="7"/>
  <c r="DM141" i="7"/>
  <c r="DK141" i="7"/>
  <c r="DI141" i="7"/>
  <c r="DH141" i="7"/>
  <c r="DF141" i="7"/>
  <c r="DD141" i="7"/>
  <c r="DC141" i="7"/>
  <c r="DA141" i="7"/>
  <c r="CY141" i="7"/>
  <c r="CX141" i="7"/>
  <c r="CV141" i="7"/>
  <c r="CT141" i="7"/>
  <c r="CS141" i="7"/>
  <c r="CR141" i="7"/>
  <c r="CQ141" i="7"/>
  <c r="CP141" i="7"/>
  <c r="CO141" i="7"/>
  <c r="CN141" i="7"/>
  <c r="CM141" i="7"/>
  <c r="CL141" i="7"/>
  <c r="CK141" i="7"/>
  <c r="CI141" i="7"/>
  <c r="CJ141" i="7" s="1"/>
  <c r="CH141" i="7"/>
  <c r="CG141" i="7"/>
  <c r="CE141" i="7"/>
  <c r="CF141" i="7" s="1"/>
  <c r="CD141" i="7"/>
  <c r="CC141" i="7"/>
  <c r="CA141" i="7"/>
  <c r="CB141" i="7" s="1"/>
  <c r="BZ141" i="7"/>
  <c r="BY141" i="7"/>
  <c r="BW141" i="7"/>
  <c r="BX141" i="7" s="1"/>
  <c r="BV141" i="7"/>
  <c r="BU141" i="7"/>
  <c r="BS141" i="7"/>
  <c r="BT141" i="7" s="1"/>
  <c r="BR141" i="7"/>
  <c r="BQ141" i="7"/>
  <c r="BO141" i="7"/>
  <c r="BP141" i="7" s="1"/>
  <c r="BN141" i="7"/>
  <c r="BM141" i="7"/>
  <c r="BK141" i="7"/>
  <c r="BL141" i="7" s="1"/>
  <c r="BJ141" i="7"/>
  <c r="BI141" i="7"/>
  <c r="BG141" i="7"/>
  <c r="BH141" i="7" s="1"/>
  <c r="BF141" i="7"/>
  <c r="BE141" i="7"/>
  <c r="BC141" i="7"/>
  <c r="BD141" i="7" s="1"/>
  <c r="BB141" i="7"/>
  <c r="AZ141" i="7"/>
  <c r="AX141" i="7"/>
  <c r="AW141" i="7"/>
  <c r="AV141" i="7"/>
  <c r="AU141" i="7"/>
  <c r="AT141" i="7"/>
  <c r="AS141" i="7"/>
  <c r="AR141" i="7"/>
  <c r="AQ141" i="7"/>
  <c r="AP141" i="7"/>
  <c r="AO141" i="7"/>
  <c r="AN141" i="7"/>
  <c r="AM141" i="7"/>
  <c r="AL141" i="7"/>
  <c r="AK141" i="7"/>
  <c r="AJ141" i="7"/>
  <c r="AI141" i="7"/>
  <c r="AH141" i="7"/>
  <c r="AG141" i="7"/>
  <c r="AF141" i="7"/>
  <c r="AE141" i="7"/>
  <c r="AD141" i="7"/>
  <c r="AC141" i="7"/>
  <c r="AB141" i="7"/>
  <c r="AA141" i="7"/>
  <c r="Z141" i="7"/>
  <c r="Y141" i="7"/>
  <c r="X141" i="7"/>
  <c r="W141" i="7"/>
  <c r="V141" i="7"/>
  <c r="U141" i="7"/>
  <c r="T141" i="7"/>
  <c r="S141" i="7"/>
  <c r="R141" i="7"/>
  <c r="Q141" i="7"/>
  <c r="P141" i="7"/>
  <c r="O141" i="7"/>
  <c r="N141" i="7"/>
  <c r="M141" i="7"/>
  <c r="L141" i="7"/>
  <c r="K141" i="7"/>
  <c r="J141" i="7"/>
  <c r="I141" i="7"/>
  <c r="H141" i="7"/>
  <c r="G141" i="7"/>
  <c r="F141" i="7"/>
  <c r="D141" i="7"/>
  <c r="C141" i="7"/>
  <c r="B141" i="7"/>
  <c r="FQ140" i="7"/>
  <c r="FO140" i="7"/>
  <c r="FM140" i="7"/>
  <c r="FL140" i="7"/>
  <c r="FJ140" i="7"/>
  <c r="FH140" i="7"/>
  <c r="FG140" i="7"/>
  <c r="FE140" i="7"/>
  <c r="FC140" i="7"/>
  <c r="EZ140" i="7"/>
  <c r="EY140" i="7"/>
  <c r="EX140" i="7"/>
  <c r="EW140" i="7"/>
  <c r="EV140" i="7"/>
  <c r="EU140" i="7"/>
  <c r="ET140" i="7"/>
  <c r="ES140" i="7"/>
  <c r="ER140" i="7"/>
  <c r="EQ140" i="7"/>
  <c r="EP140" i="7"/>
  <c r="EO140" i="7"/>
  <c r="EN140" i="7"/>
  <c r="EM140" i="7"/>
  <c r="EI140" i="7"/>
  <c r="EG140" i="7"/>
  <c r="EE140" i="7"/>
  <c r="EC140" i="7"/>
  <c r="EA140" i="7"/>
  <c r="DY140" i="7"/>
  <c r="DW140" i="7"/>
  <c r="DU140" i="7"/>
  <c r="DS140" i="7"/>
  <c r="DR140" i="7"/>
  <c r="DP140" i="7"/>
  <c r="DN140" i="7"/>
  <c r="DM140" i="7"/>
  <c r="DK140" i="7"/>
  <c r="DI140" i="7"/>
  <c r="DH140" i="7"/>
  <c r="DF140" i="7"/>
  <c r="DD140" i="7"/>
  <c r="DC140" i="7"/>
  <c r="DA140" i="7"/>
  <c r="CY140" i="7"/>
  <c r="CX140" i="7"/>
  <c r="CV140" i="7"/>
  <c r="CT140" i="7"/>
  <c r="CS140" i="7"/>
  <c r="CR140" i="7"/>
  <c r="CQ140" i="7"/>
  <c r="CP140" i="7"/>
  <c r="CO140" i="7"/>
  <c r="CN140" i="7"/>
  <c r="CM140" i="7"/>
  <c r="CL140" i="7"/>
  <c r="CK140" i="7"/>
  <c r="CI140" i="7"/>
  <c r="CJ140" i="7" s="1"/>
  <c r="CH140" i="7"/>
  <c r="CG140" i="7"/>
  <c r="CE140" i="7"/>
  <c r="CF140" i="7" s="1"/>
  <c r="CD140" i="7"/>
  <c r="CC140" i="7"/>
  <c r="CA140" i="7"/>
  <c r="CB140" i="7" s="1"/>
  <c r="BZ140" i="7"/>
  <c r="BY140" i="7"/>
  <c r="BW140" i="7"/>
  <c r="BX140" i="7" s="1"/>
  <c r="BV140" i="7"/>
  <c r="BU140" i="7"/>
  <c r="BS140" i="7"/>
  <c r="BT140" i="7" s="1"/>
  <c r="BR140" i="7"/>
  <c r="BQ140" i="7"/>
  <c r="BO140" i="7"/>
  <c r="BP140" i="7" s="1"/>
  <c r="BN140" i="7"/>
  <c r="BM140" i="7"/>
  <c r="BK140" i="7"/>
  <c r="BL140" i="7" s="1"/>
  <c r="BJ140" i="7"/>
  <c r="BI140" i="7"/>
  <c r="BG140" i="7"/>
  <c r="BH140" i="7" s="1"/>
  <c r="BF140" i="7"/>
  <c r="BE140" i="7"/>
  <c r="BC140" i="7"/>
  <c r="BD140" i="7" s="1"/>
  <c r="BB140" i="7"/>
  <c r="AZ140" i="7"/>
  <c r="AX140" i="7"/>
  <c r="AW140" i="7"/>
  <c r="AV140" i="7"/>
  <c r="AU140" i="7"/>
  <c r="AT140" i="7"/>
  <c r="AS140" i="7"/>
  <c r="AR140" i="7"/>
  <c r="AQ140" i="7"/>
  <c r="AP140" i="7"/>
  <c r="AO140" i="7"/>
  <c r="AN140" i="7"/>
  <c r="AM140" i="7"/>
  <c r="AL140" i="7"/>
  <c r="AK140" i="7"/>
  <c r="AJ140" i="7"/>
  <c r="AI140" i="7"/>
  <c r="AH140" i="7"/>
  <c r="AG140" i="7"/>
  <c r="AF140" i="7"/>
  <c r="AE140" i="7"/>
  <c r="AD140" i="7"/>
  <c r="AC140" i="7"/>
  <c r="AB140" i="7"/>
  <c r="AA140" i="7"/>
  <c r="Z140" i="7"/>
  <c r="Y140" i="7"/>
  <c r="X140" i="7"/>
  <c r="W140" i="7"/>
  <c r="V140" i="7"/>
  <c r="U140" i="7"/>
  <c r="T140" i="7"/>
  <c r="S140" i="7"/>
  <c r="R140" i="7"/>
  <c r="Q140" i="7"/>
  <c r="P140" i="7"/>
  <c r="O140" i="7"/>
  <c r="N140" i="7"/>
  <c r="M140" i="7"/>
  <c r="L140" i="7"/>
  <c r="K140" i="7"/>
  <c r="J140" i="7"/>
  <c r="I140" i="7"/>
  <c r="H140" i="7"/>
  <c r="G140" i="7"/>
  <c r="F140" i="7"/>
  <c r="D140" i="7"/>
  <c r="C140" i="7"/>
  <c r="B140" i="7"/>
  <c r="FQ139" i="7"/>
  <c r="FO139" i="7"/>
  <c r="FM139" i="7"/>
  <c r="FL139" i="7"/>
  <c r="FJ139" i="7"/>
  <c r="FH139" i="7"/>
  <c r="FG139" i="7"/>
  <c r="FE139" i="7"/>
  <c r="FC139" i="7"/>
  <c r="EZ139" i="7"/>
  <c r="EY139" i="7"/>
  <c r="EX139" i="7"/>
  <c r="EW139" i="7"/>
  <c r="EV139" i="7"/>
  <c r="EU139" i="7"/>
  <c r="ET139" i="7"/>
  <c r="ES139" i="7"/>
  <c r="ER139" i="7"/>
  <c r="EQ139" i="7"/>
  <c r="EP139" i="7"/>
  <c r="EO139" i="7"/>
  <c r="EN139" i="7"/>
  <c r="EM139" i="7"/>
  <c r="EI139" i="7"/>
  <c r="EG139" i="7"/>
  <c r="EE139" i="7"/>
  <c r="EC139" i="7"/>
  <c r="EA139" i="7"/>
  <c r="DY139" i="7"/>
  <c r="DW139" i="7"/>
  <c r="DU139" i="7"/>
  <c r="DS139" i="7"/>
  <c r="DR139" i="7"/>
  <c r="DP139" i="7"/>
  <c r="DN139" i="7"/>
  <c r="DM139" i="7"/>
  <c r="DK139" i="7"/>
  <c r="DI139" i="7"/>
  <c r="DH139" i="7"/>
  <c r="DF139" i="7"/>
  <c r="DD139" i="7"/>
  <c r="DC139" i="7"/>
  <c r="DA139" i="7"/>
  <c r="CY139" i="7"/>
  <c r="CX139" i="7"/>
  <c r="CV139" i="7"/>
  <c r="CT139" i="7"/>
  <c r="CS139" i="7"/>
  <c r="CR139" i="7"/>
  <c r="CQ139" i="7"/>
  <c r="CP139" i="7"/>
  <c r="CO139" i="7"/>
  <c r="CN139" i="7"/>
  <c r="CM139" i="7"/>
  <c r="CL139" i="7"/>
  <c r="CK139" i="7"/>
  <c r="CI139" i="7"/>
  <c r="CJ139" i="7" s="1"/>
  <c r="CH139" i="7"/>
  <c r="CG139" i="7"/>
  <c r="CE139" i="7"/>
  <c r="CF139" i="7" s="1"/>
  <c r="CD139" i="7"/>
  <c r="CC139" i="7"/>
  <c r="CA139" i="7"/>
  <c r="CB139" i="7" s="1"/>
  <c r="BZ139" i="7"/>
  <c r="BY139" i="7"/>
  <c r="BW139" i="7"/>
  <c r="BX139" i="7" s="1"/>
  <c r="BV139" i="7"/>
  <c r="BU139" i="7"/>
  <c r="BS139" i="7"/>
  <c r="BT139" i="7" s="1"/>
  <c r="BR139" i="7"/>
  <c r="BQ139" i="7"/>
  <c r="BO139" i="7"/>
  <c r="BP139" i="7" s="1"/>
  <c r="BN139" i="7"/>
  <c r="BM139" i="7"/>
  <c r="BK139" i="7"/>
  <c r="BL139" i="7" s="1"/>
  <c r="BJ139" i="7"/>
  <c r="BI139" i="7"/>
  <c r="BG139" i="7"/>
  <c r="BH139" i="7" s="1"/>
  <c r="BF139" i="7"/>
  <c r="BE139" i="7"/>
  <c r="BC139" i="7"/>
  <c r="BD139" i="7" s="1"/>
  <c r="BB139" i="7"/>
  <c r="AZ139" i="7"/>
  <c r="AX139" i="7"/>
  <c r="AW139" i="7"/>
  <c r="AV139" i="7"/>
  <c r="AU139" i="7"/>
  <c r="AT139" i="7"/>
  <c r="AS139" i="7"/>
  <c r="AR139" i="7"/>
  <c r="AQ139" i="7"/>
  <c r="AP139" i="7"/>
  <c r="AO139" i="7"/>
  <c r="AN139" i="7"/>
  <c r="AM139" i="7"/>
  <c r="AL139" i="7"/>
  <c r="AK139" i="7"/>
  <c r="AJ139" i="7"/>
  <c r="AI139" i="7"/>
  <c r="AH139" i="7"/>
  <c r="AG139" i="7"/>
  <c r="AF139" i="7"/>
  <c r="AE139" i="7"/>
  <c r="AD139" i="7"/>
  <c r="AC139" i="7"/>
  <c r="AB139" i="7"/>
  <c r="AA139" i="7"/>
  <c r="Z139" i="7"/>
  <c r="Y139" i="7"/>
  <c r="X139" i="7"/>
  <c r="W139" i="7"/>
  <c r="V139" i="7"/>
  <c r="U139" i="7"/>
  <c r="T139" i="7"/>
  <c r="S139" i="7"/>
  <c r="R139" i="7"/>
  <c r="Q139" i="7"/>
  <c r="P139" i="7"/>
  <c r="O139" i="7"/>
  <c r="N139" i="7"/>
  <c r="M139" i="7"/>
  <c r="L139" i="7"/>
  <c r="K139" i="7"/>
  <c r="J139" i="7"/>
  <c r="I139" i="7"/>
  <c r="H139" i="7"/>
  <c r="G139" i="7"/>
  <c r="F139" i="7"/>
  <c r="D139" i="7"/>
  <c r="C139" i="7"/>
  <c r="B139" i="7"/>
  <c r="FQ138" i="7"/>
  <c r="FO138" i="7"/>
  <c r="FM138" i="7"/>
  <c r="FL138" i="7"/>
  <c r="FJ138" i="7"/>
  <c r="FH138" i="7"/>
  <c r="FG138" i="7"/>
  <c r="FE138" i="7"/>
  <c r="FC138" i="7"/>
  <c r="EZ138" i="7"/>
  <c r="EY138" i="7"/>
  <c r="EX138" i="7"/>
  <c r="EW138" i="7"/>
  <c r="EV138" i="7"/>
  <c r="EU138" i="7"/>
  <c r="ET138" i="7"/>
  <c r="ES138" i="7"/>
  <c r="ER138" i="7"/>
  <c r="EQ138" i="7"/>
  <c r="EP138" i="7"/>
  <c r="EO138" i="7"/>
  <c r="EN138" i="7"/>
  <c r="EM138" i="7"/>
  <c r="EI138" i="7"/>
  <c r="EG138" i="7"/>
  <c r="EE138" i="7"/>
  <c r="EC138" i="7"/>
  <c r="EA138" i="7"/>
  <c r="DY138" i="7"/>
  <c r="DW138" i="7"/>
  <c r="DU138" i="7"/>
  <c r="DS138" i="7"/>
  <c r="DR138" i="7"/>
  <c r="DP138" i="7"/>
  <c r="DN138" i="7"/>
  <c r="DM138" i="7"/>
  <c r="DK138" i="7"/>
  <c r="DI138" i="7"/>
  <c r="DH138" i="7"/>
  <c r="DF138" i="7"/>
  <c r="DD138" i="7"/>
  <c r="DC138" i="7"/>
  <c r="DA138" i="7"/>
  <c r="CY138" i="7"/>
  <c r="CX138" i="7"/>
  <c r="CV138" i="7"/>
  <c r="CT138" i="7"/>
  <c r="CS138" i="7"/>
  <c r="CR138" i="7"/>
  <c r="CQ138" i="7"/>
  <c r="CP138" i="7"/>
  <c r="CO138" i="7"/>
  <c r="CN138" i="7"/>
  <c r="CM138" i="7"/>
  <c r="CL138" i="7"/>
  <c r="CK138" i="7"/>
  <c r="CI138" i="7"/>
  <c r="CJ138" i="7" s="1"/>
  <c r="CH138" i="7"/>
  <c r="CG138" i="7"/>
  <c r="CE138" i="7"/>
  <c r="CF138" i="7" s="1"/>
  <c r="CD138" i="7"/>
  <c r="CC138" i="7"/>
  <c r="CA138" i="7"/>
  <c r="CB138" i="7" s="1"/>
  <c r="BZ138" i="7"/>
  <c r="BY138" i="7"/>
  <c r="BW138" i="7"/>
  <c r="BX138" i="7" s="1"/>
  <c r="BV138" i="7"/>
  <c r="BU138" i="7"/>
  <c r="BS138" i="7"/>
  <c r="BT138" i="7" s="1"/>
  <c r="BR138" i="7"/>
  <c r="BQ138" i="7"/>
  <c r="BO138" i="7"/>
  <c r="BP138" i="7" s="1"/>
  <c r="BN138" i="7"/>
  <c r="BM138" i="7"/>
  <c r="BK138" i="7"/>
  <c r="BL138" i="7" s="1"/>
  <c r="BJ138" i="7"/>
  <c r="BI138" i="7"/>
  <c r="BG138" i="7"/>
  <c r="BH138" i="7" s="1"/>
  <c r="BF138" i="7"/>
  <c r="BE138" i="7"/>
  <c r="BC138" i="7"/>
  <c r="BD138" i="7" s="1"/>
  <c r="BB138" i="7"/>
  <c r="AZ138" i="7"/>
  <c r="AX138" i="7"/>
  <c r="AW138" i="7"/>
  <c r="AV138" i="7"/>
  <c r="AU138" i="7"/>
  <c r="AT138" i="7"/>
  <c r="AS138" i="7"/>
  <c r="AR138" i="7"/>
  <c r="AQ138" i="7"/>
  <c r="AP138" i="7"/>
  <c r="AO138" i="7"/>
  <c r="AN138" i="7"/>
  <c r="AM138" i="7"/>
  <c r="AL138" i="7"/>
  <c r="AK138" i="7"/>
  <c r="AJ138" i="7"/>
  <c r="AI138" i="7"/>
  <c r="AH138" i="7"/>
  <c r="AG138" i="7"/>
  <c r="AF138" i="7"/>
  <c r="AE138" i="7"/>
  <c r="AD138" i="7"/>
  <c r="AC138" i="7"/>
  <c r="AB138" i="7"/>
  <c r="AA138" i="7"/>
  <c r="Z138" i="7"/>
  <c r="Y138" i="7"/>
  <c r="X138" i="7"/>
  <c r="W138" i="7"/>
  <c r="V138" i="7"/>
  <c r="U138" i="7"/>
  <c r="T138" i="7"/>
  <c r="S138" i="7"/>
  <c r="R138" i="7"/>
  <c r="Q138" i="7"/>
  <c r="P138" i="7"/>
  <c r="O138" i="7"/>
  <c r="N138" i="7"/>
  <c r="M138" i="7"/>
  <c r="L138" i="7"/>
  <c r="K138" i="7"/>
  <c r="J138" i="7"/>
  <c r="I138" i="7"/>
  <c r="H138" i="7"/>
  <c r="G138" i="7"/>
  <c r="F138" i="7"/>
  <c r="D138" i="7"/>
  <c r="C138" i="7"/>
  <c r="B138" i="7"/>
  <c r="FQ137" i="7"/>
  <c r="FO137" i="7"/>
  <c r="FM137" i="7"/>
  <c r="FL137" i="7"/>
  <c r="FJ137" i="7"/>
  <c r="FH137" i="7"/>
  <c r="FG137" i="7"/>
  <c r="FE137" i="7"/>
  <c r="FC137" i="7"/>
  <c r="EZ137" i="7"/>
  <c r="EY137" i="7"/>
  <c r="EX137" i="7"/>
  <c r="EW137" i="7"/>
  <c r="EV137" i="7"/>
  <c r="EU137" i="7"/>
  <c r="ET137" i="7"/>
  <c r="ES137" i="7"/>
  <c r="ER137" i="7"/>
  <c r="EQ137" i="7"/>
  <c r="EP137" i="7"/>
  <c r="EO137" i="7"/>
  <c r="EN137" i="7"/>
  <c r="EM137" i="7"/>
  <c r="EI137" i="7"/>
  <c r="EG137" i="7"/>
  <c r="EE137" i="7"/>
  <c r="EC137" i="7"/>
  <c r="EA137" i="7"/>
  <c r="DY137" i="7"/>
  <c r="DW137" i="7"/>
  <c r="DU137" i="7"/>
  <c r="DS137" i="7"/>
  <c r="DR137" i="7"/>
  <c r="DP137" i="7"/>
  <c r="DN137" i="7"/>
  <c r="DM137" i="7"/>
  <c r="DK137" i="7"/>
  <c r="DI137" i="7"/>
  <c r="DH137" i="7"/>
  <c r="DF137" i="7"/>
  <c r="DD137" i="7"/>
  <c r="DC137" i="7"/>
  <c r="DA137" i="7"/>
  <c r="CY137" i="7"/>
  <c r="CX137" i="7"/>
  <c r="CV137" i="7"/>
  <c r="CT137" i="7"/>
  <c r="CS137" i="7"/>
  <c r="CR137" i="7"/>
  <c r="CQ137" i="7"/>
  <c r="CP137" i="7"/>
  <c r="CO137" i="7"/>
  <c r="CN137" i="7"/>
  <c r="CM137" i="7"/>
  <c r="CL137" i="7"/>
  <c r="CK137" i="7"/>
  <c r="CI137" i="7"/>
  <c r="CJ137" i="7" s="1"/>
  <c r="CH137" i="7"/>
  <c r="CG137" i="7"/>
  <c r="CE137" i="7"/>
  <c r="CF137" i="7" s="1"/>
  <c r="CD137" i="7"/>
  <c r="CC137" i="7"/>
  <c r="CA137" i="7"/>
  <c r="CB137" i="7" s="1"/>
  <c r="BZ137" i="7"/>
  <c r="BY137" i="7"/>
  <c r="BW137" i="7"/>
  <c r="BX137" i="7" s="1"/>
  <c r="BV137" i="7"/>
  <c r="BU137" i="7"/>
  <c r="BS137" i="7"/>
  <c r="BT137" i="7" s="1"/>
  <c r="BR137" i="7"/>
  <c r="BQ137" i="7"/>
  <c r="BO137" i="7"/>
  <c r="BP137" i="7" s="1"/>
  <c r="BN137" i="7"/>
  <c r="BM137" i="7"/>
  <c r="BK137" i="7"/>
  <c r="BL137" i="7" s="1"/>
  <c r="BJ137" i="7"/>
  <c r="BI137" i="7"/>
  <c r="BG137" i="7"/>
  <c r="BH137" i="7" s="1"/>
  <c r="BF137" i="7"/>
  <c r="BE137" i="7"/>
  <c r="BC137" i="7"/>
  <c r="BD137" i="7" s="1"/>
  <c r="BB137" i="7"/>
  <c r="AZ137" i="7"/>
  <c r="AX137" i="7"/>
  <c r="AW137" i="7"/>
  <c r="AV137" i="7"/>
  <c r="AU137" i="7"/>
  <c r="AT137" i="7"/>
  <c r="AS137" i="7"/>
  <c r="AR137" i="7"/>
  <c r="AQ137" i="7"/>
  <c r="AP137" i="7"/>
  <c r="AO137" i="7"/>
  <c r="AN137" i="7"/>
  <c r="AM137" i="7"/>
  <c r="AL137" i="7"/>
  <c r="AK137" i="7"/>
  <c r="AJ137" i="7"/>
  <c r="AI137" i="7"/>
  <c r="AH137" i="7"/>
  <c r="AG137" i="7"/>
  <c r="AF137" i="7"/>
  <c r="AE137" i="7"/>
  <c r="AD137" i="7"/>
  <c r="AC137" i="7"/>
  <c r="AB137" i="7"/>
  <c r="AA137" i="7"/>
  <c r="Z137" i="7"/>
  <c r="Y137" i="7"/>
  <c r="X137" i="7"/>
  <c r="W137" i="7"/>
  <c r="V137" i="7"/>
  <c r="U137" i="7"/>
  <c r="T137" i="7"/>
  <c r="S137" i="7"/>
  <c r="R137" i="7"/>
  <c r="Q137" i="7"/>
  <c r="P137" i="7"/>
  <c r="O137" i="7"/>
  <c r="N137" i="7"/>
  <c r="M137" i="7"/>
  <c r="L137" i="7"/>
  <c r="K137" i="7"/>
  <c r="J137" i="7"/>
  <c r="I137" i="7"/>
  <c r="H137" i="7"/>
  <c r="G137" i="7"/>
  <c r="F137" i="7"/>
  <c r="D137" i="7"/>
  <c r="C137" i="7"/>
  <c r="B137" i="7"/>
  <c r="FQ136" i="7"/>
  <c r="FO136" i="7"/>
  <c r="FM136" i="7"/>
  <c r="FL136" i="7"/>
  <c r="FJ136" i="7"/>
  <c r="FH136" i="7"/>
  <c r="FG136" i="7"/>
  <c r="FE136" i="7"/>
  <c r="FC136" i="7"/>
  <c r="EZ136" i="7"/>
  <c r="EY136" i="7"/>
  <c r="EX136" i="7"/>
  <c r="EW136" i="7"/>
  <c r="EV136" i="7"/>
  <c r="EU136" i="7"/>
  <c r="ET136" i="7"/>
  <c r="ES136" i="7"/>
  <c r="ER136" i="7"/>
  <c r="EQ136" i="7"/>
  <c r="EP136" i="7"/>
  <c r="EO136" i="7"/>
  <c r="EN136" i="7"/>
  <c r="EM136" i="7"/>
  <c r="EI136" i="7"/>
  <c r="EG136" i="7"/>
  <c r="EE136" i="7"/>
  <c r="EC136" i="7"/>
  <c r="EA136" i="7"/>
  <c r="DY136" i="7"/>
  <c r="DW136" i="7"/>
  <c r="DU136" i="7"/>
  <c r="DS136" i="7"/>
  <c r="DR136" i="7"/>
  <c r="DP136" i="7"/>
  <c r="DN136" i="7"/>
  <c r="DM136" i="7"/>
  <c r="DK136" i="7"/>
  <c r="DI136" i="7"/>
  <c r="DH136" i="7"/>
  <c r="DF136" i="7"/>
  <c r="DD136" i="7"/>
  <c r="DC136" i="7"/>
  <c r="DA136" i="7"/>
  <c r="CY136" i="7"/>
  <c r="CX136" i="7"/>
  <c r="CV136" i="7"/>
  <c r="CT136" i="7"/>
  <c r="CS136" i="7"/>
  <c r="CR136" i="7"/>
  <c r="CQ136" i="7"/>
  <c r="CP136" i="7"/>
  <c r="CO136" i="7"/>
  <c r="CN136" i="7"/>
  <c r="CM136" i="7"/>
  <c r="CL136" i="7"/>
  <c r="CK136" i="7"/>
  <c r="CI136" i="7"/>
  <c r="CJ136" i="7" s="1"/>
  <c r="CH136" i="7"/>
  <c r="CG136" i="7"/>
  <c r="CE136" i="7"/>
  <c r="CF136" i="7" s="1"/>
  <c r="CD136" i="7"/>
  <c r="CC136" i="7"/>
  <c r="CA136" i="7"/>
  <c r="CB136" i="7" s="1"/>
  <c r="BZ136" i="7"/>
  <c r="BY136" i="7"/>
  <c r="BW136" i="7"/>
  <c r="BX136" i="7" s="1"/>
  <c r="BV136" i="7"/>
  <c r="BU136" i="7"/>
  <c r="BS136" i="7"/>
  <c r="BT136" i="7" s="1"/>
  <c r="BR136" i="7"/>
  <c r="BQ136" i="7"/>
  <c r="BO136" i="7"/>
  <c r="BP136" i="7" s="1"/>
  <c r="BN136" i="7"/>
  <c r="BM136" i="7"/>
  <c r="BK136" i="7"/>
  <c r="BL136" i="7" s="1"/>
  <c r="BJ136" i="7"/>
  <c r="BI136" i="7"/>
  <c r="BG136" i="7"/>
  <c r="BH136" i="7" s="1"/>
  <c r="BF136" i="7"/>
  <c r="BE136" i="7"/>
  <c r="BC136" i="7"/>
  <c r="BD136" i="7" s="1"/>
  <c r="BB136" i="7"/>
  <c r="AZ136" i="7"/>
  <c r="AX136" i="7"/>
  <c r="AW136" i="7"/>
  <c r="AV136" i="7"/>
  <c r="AU136" i="7"/>
  <c r="AT136" i="7"/>
  <c r="AS136" i="7"/>
  <c r="AR136" i="7"/>
  <c r="AQ136" i="7"/>
  <c r="AP136" i="7"/>
  <c r="AO136" i="7"/>
  <c r="AN136" i="7"/>
  <c r="AM136" i="7"/>
  <c r="AL136" i="7"/>
  <c r="AK136" i="7"/>
  <c r="AJ136" i="7"/>
  <c r="AI136" i="7"/>
  <c r="AH136" i="7"/>
  <c r="AG136" i="7"/>
  <c r="AF136" i="7"/>
  <c r="AE136" i="7"/>
  <c r="AD136" i="7"/>
  <c r="AC136" i="7"/>
  <c r="AB136" i="7"/>
  <c r="AA136" i="7"/>
  <c r="Z136" i="7"/>
  <c r="Y136" i="7"/>
  <c r="X136" i="7"/>
  <c r="W136" i="7"/>
  <c r="V136" i="7"/>
  <c r="U136" i="7"/>
  <c r="T136" i="7"/>
  <c r="S136" i="7"/>
  <c r="R136" i="7"/>
  <c r="Q136" i="7"/>
  <c r="P136" i="7"/>
  <c r="O136" i="7"/>
  <c r="N136" i="7"/>
  <c r="M136" i="7"/>
  <c r="L136" i="7"/>
  <c r="K136" i="7"/>
  <c r="J136" i="7"/>
  <c r="I136" i="7"/>
  <c r="H136" i="7"/>
  <c r="G136" i="7"/>
  <c r="F136" i="7"/>
  <c r="D136" i="7"/>
  <c r="C136" i="7"/>
  <c r="B136" i="7"/>
  <c r="FQ135" i="7"/>
  <c r="FO135" i="7"/>
  <c r="FM135" i="7"/>
  <c r="FL135" i="7"/>
  <c r="FJ135" i="7"/>
  <c r="FH135" i="7"/>
  <c r="FG135" i="7"/>
  <c r="FE135" i="7"/>
  <c r="FC135" i="7"/>
  <c r="EZ135" i="7"/>
  <c r="EY135" i="7"/>
  <c r="EX135" i="7"/>
  <c r="EW135" i="7"/>
  <c r="EV135" i="7"/>
  <c r="EU135" i="7"/>
  <c r="ET135" i="7"/>
  <c r="ES135" i="7"/>
  <c r="ER135" i="7"/>
  <c r="EQ135" i="7"/>
  <c r="EP135" i="7"/>
  <c r="EO135" i="7"/>
  <c r="EN135" i="7"/>
  <c r="EM135" i="7"/>
  <c r="EI135" i="7"/>
  <c r="EG135" i="7"/>
  <c r="EE135" i="7"/>
  <c r="EC135" i="7"/>
  <c r="EA135" i="7"/>
  <c r="DY135" i="7"/>
  <c r="DW135" i="7"/>
  <c r="DU135" i="7"/>
  <c r="DS135" i="7"/>
  <c r="DR135" i="7"/>
  <c r="DP135" i="7"/>
  <c r="DN135" i="7"/>
  <c r="DM135" i="7"/>
  <c r="DK135" i="7"/>
  <c r="DI135" i="7"/>
  <c r="DH135" i="7"/>
  <c r="DF135" i="7"/>
  <c r="DD135" i="7"/>
  <c r="DC135" i="7"/>
  <c r="DA135" i="7"/>
  <c r="CY135" i="7"/>
  <c r="CX135" i="7"/>
  <c r="CV135" i="7"/>
  <c r="CT135" i="7"/>
  <c r="CS135" i="7"/>
  <c r="CR135" i="7"/>
  <c r="CQ135" i="7"/>
  <c r="CP135" i="7"/>
  <c r="CO135" i="7"/>
  <c r="CN135" i="7"/>
  <c r="CM135" i="7"/>
  <c r="CL135" i="7"/>
  <c r="CK135" i="7"/>
  <c r="CI135" i="7"/>
  <c r="CJ135" i="7" s="1"/>
  <c r="CH135" i="7"/>
  <c r="CG135" i="7"/>
  <c r="CE135" i="7"/>
  <c r="CF135" i="7" s="1"/>
  <c r="CD135" i="7"/>
  <c r="CC135" i="7"/>
  <c r="CA135" i="7"/>
  <c r="CB135" i="7" s="1"/>
  <c r="BZ135" i="7"/>
  <c r="BY135" i="7"/>
  <c r="BW135" i="7"/>
  <c r="BX135" i="7" s="1"/>
  <c r="BV135" i="7"/>
  <c r="BU135" i="7"/>
  <c r="BS135" i="7"/>
  <c r="BT135" i="7" s="1"/>
  <c r="BR135" i="7"/>
  <c r="BQ135" i="7"/>
  <c r="BO135" i="7"/>
  <c r="BP135" i="7" s="1"/>
  <c r="BN135" i="7"/>
  <c r="BM135" i="7"/>
  <c r="BK135" i="7"/>
  <c r="BL135" i="7" s="1"/>
  <c r="BJ135" i="7"/>
  <c r="BI135" i="7"/>
  <c r="BG135" i="7"/>
  <c r="BH135" i="7" s="1"/>
  <c r="BF135" i="7"/>
  <c r="BE135" i="7"/>
  <c r="BC135" i="7"/>
  <c r="BD135" i="7" s="1"/>
  <c r="BB135" i="7"/>
  <c r="AZ135" i="7"/>
  <c r="AX135" i="7"/>
  <c r="AW135" i="7"/>
  <c r="AV135" i="7"/>
  <c r="AU135" i="7"/>
  <c r="AT135" i="7"/>
  <c r="AS135" i="7"/>
  <c r="AR135" i="7"/>
  <c r="AQ135" i="7"/>
  <c r="AP135" i="7"/>
  <c r="AO135" i="7"/>
  <c r="AN135" i="7"/>
  <c r="AM135" i="7"/>
  <c r="AL135" i="7"/>
  <c r="AK135" i="7"/>
  <c r="AJ135" i="7"/>
  <c r="AI135" i="7"/>
  <c r="AH135" i="7"/>
  <c r="AG135" i="7"/>
  <c r="AF135" i="7"/>
  <c r="AE135" i="7"/>
  <c r="AD135" i="7"/>
  <c r="AC135" i="7"/>
  <c r="AB135" i="7"/>
  <c r="AA135" i="7"/>
  <c r="Z135" i="7"/>
  <c r="Y135" i="7"/>
  <c r="X135" i="7"/>
  <c r="W135" i="7"/>
  <c r="V135" i="7"/>
  <c r="U135" i="7"/>
  <c r="T135" i="7"/>
  <c r="S135" i="7"/>
  <c r="R135" i="7"/>
  <c r="Q135" i="7"/>
  <c r="P135" i="7"/>
  <c r="O135" i="7"/>
  <c r="N135" i="7"/>
  <c r="M135" i="7"/>
  <c r="L135" i="7"/>
  <c r="K135" i="7"/>
  <c r="J135" i="7"/>
  <c r="I135" i="7"/>
  <c r="H135" i="7"/>
  <c r="G135" i="7"/>
  <c r="F135" i="7"/>
  <c r="D135" i="7"/>
  <c r="C135" i="7"/>
  <c r="B135" i="7"/>
  <c r="FQ134" i="7"/>
  <c r="FO134" i="7"/>
  <c r="FM134" i="7"/>
  <c r="FL134" i="7"/>
  <c r="FJ134" i="7"/>
  <c r="FH134" i="7"/>
  <c r="FG134" i="7"/>
  <c r="FE134" i="7"/>
  <c r="FC134" i="7"/>
  <c r="EZ134" i="7"/>
  <c r="EY134" i="7"/>
  <c r="EX134" i="7"/>
  <c r="EW134" i="7"/>
  <c r="EV134" i="7"/>
  <c r="EU134" i="7"/>
  <c r="ET134" i="7"/>
  <c r="ES134" i="7"/>
  <c r="ER134" i="7"/>
  <c r="EQ134" i="7"/>
  <c r="EP134" i="7"/>
  <c r="EO134" i="7"/>
  <c r="EN134" i="7"/>
  <c r="EM134" i="7"/>
  <c r="EI134" i="7"/>
  <c r="EG134" i="7"/>
  <c r="EE134" i="7"/>
  <c r="EC134" i="7"/>
  <c r="EA134" i="7"/>
  <c r="DY134" i="7"/>
  <c r="DW134" i="7"/>
  <c r="DU134" i="7"/>
  <c r="DS134" i="7"/>
  <c r="DR134" i="7"/>
  <c r="DP134" i="7"/>
  <c r="DN134" i="7"/>
  <c r="DM134" i="7"/>
  <c r="DK134" i="7"/>
  <c r="DI134" i="7"/>
  <c r="DH134" i="7"/>
  <c r="DF134" i="7"/>
  <c r="DD134" i="7"/>
  <c r="DC134" i="7"/>
  <c r="DA134" i="7"/>
  <c r="CY134" i="7"/>
  <c r="CX134" i="7"/>
  <c r="CV134" i="7"/>
  <c r="CT134" i="7"/>
  <c r="CS134" i="7"/>
  <c r="CR134" i="7"/>
  <c r="CQ134" i="7"/>
  <c r="CP134" i="7"/>
  <c r="CO134" i="7"/>
  <c r="CN134" i="7"/>
  <c r="CM134" i="7"/>
  <c r="CL134" i="7"/>
  <c r="CK134" i="7"/>
  <c r="CI134" i="7"/>
  <c r="CJ134" i="7" s="1"/>
  <c r="CH134" i="7"/>
  <c r="CG134" i="7"/>
  <c r="CE134" i="7"/>
  <c r="CF134" i="7" s="1"/>
  <c r="CD134" i="7"/>
  <c r="CC134" i="7"/>
  <c r="CA134" i="7"/>
  <c r="CB134" i="7" s="1"/>
  <c r="BZ134" i="7"/>
  <c r="BY134" i="7"/>
  <c r="BW134" i="7"/>
  <c r="BX134" i="7" s="1"/>
  <c r="BV134" i="7"/>
  <c r="BU134" i="7"/>
  <c r="BS134" i="7"/>
  <c r="BT134" i="7" s="1"/>
  <c r="BR134" i="7"/>
  <c r="BQ134" i="7"/>
  <c r="BO134" i="7"/>
  <c r="BP134" i="7" s="1"/>
  <c r="BN134" i="7"/>
  <c r="BM134" i="7"/>
  <c r="BK134" i="7"/>
  <c r="BL134" i="7" s="1"/>
  <c r="BJ134" i="7"/>
  <c r="BI134" i="7"/>
  <c r="BG134" i="7"/>
  <c r="BH134" i="7" s="1"/>
  <c r="BF134" i="7"/>
  <c r="BE134" i="7"/>
  <c r="BC134" i="7"/>
  <c r="BD134" i="7" s="1"/>
  <c r="BB134" i="7"/>
  <c r="AZ134" i="7"/>
  <c r="AX134" i="7"/>
  <c r="AW134" i="7"/>
  <c r="AV134" i="7"/>
  <c r="AU134" i="7"/>
  <c r="AT134" i="7"/>
  <c r="AS134" i="7"/>
  <c r="AR134" i="7"/>
  <c r="AQ134" i="7"/>
  <c r="AP134" i="7"/>
  <c r="AO134" i="7"/>
  <c r="AN134" i="7"/>
  <c r="AM134" i="7"/>
  <c r="AL134" i="7"/>
  <c r="AK134" i="7"/>
  <c r="AJ134" i="7"/>
  <c r="AI134" i="7"/>
  <c r="AH134" i="7"/>
  <c r="AG134" i="7"/>
  <c r="AF134" i="7"/>
  <c r="AE134" i="7"/>
  <c r="AD134" i="7"/>
  <c r="AC134" i="7"/>
  <c r="AB134" i="7"/>
  <c r="AA134" i="7"/>
  <c r="Z134" i="7"/>
  <c r="Y134" i="7"/>
  <c r="X134" i="7"/>
  <c r="W134" i="7"/>
  <c r="V134" i="7"/>
  <c r="U134" i="7"/>
  <c r="T134" i="7"/>
  <c r="S134" i="7"/>
  <c r="R134" i="7"/>
  <c r="Q134" i="7"/>
  <c r="P134" i="7"/>
  <c r="O134" i="7"/>
  <c r="N134" i="7"/>
  <c r="M134" i="7"/>
  <c r="L134" i="7"/>
  <c r="K134" i="7"/>
  <c r="J134" i="7"/>
  <c r="I134" i="7"/>
  <c r="H134" i="7"/>
  <c r="G134" i="7"/>
  <c r="F134" i="7"/>
  <c r="D134" i="7"/>
  <c r="C134" i="7"/>
  <c r="B134" i="7"/>
  <c r="FQ133" i="7"/>
  <c r="FO133" i="7"/>
  <c r="FM133" i="7"/>
  <c r="FL133" i="7"/>
  <c r="FJ133" i="7"/>
  <c r="FH133" i="7"/>
  <c r="FG133" i="7"/>
  <c r="FE133" i="7"/>
  <c r="FC133" i="7"/>
  <c r="EZ133" i="7"/>
  <c r="EY133" i="7"/>
  <c r="EX133" i="7"/>
  <c r="EW133" i="7"/>
  <c r="EV133" i="7"/>
  <c r="EU133" i="7"/>
  <c r="ET133" i="7"/>
  <c r="ES133" i="7"/>
  <c r="ER133" i="7"/>
  <c r="EQ133" i="7"/>
  <c r="EP133" i="7"/>
  <c r="EO133" i="7"/>
  <c r="EN133" i="7"/>
  <c r="EM133" i="7"/>
  <c r="EI133" i="7"/>
  <c r="EG133" i="7"/>
  <c r="EE133" i="7"/>
  <c r="EC133" i="7"/>
  <c r="EA133" i="7"/>
  <c r="DY133" i="7"/>
  <c r="DW133" i="7"/>
  <c r="DU133" i="7"/>
  <c r="DS133" i="7"/>
  <c r="DR133" i="7"/>
  <c r="DP133" i="7"/>
  <c r="DN133" i="7"/>
  <c r="DM133" i="7"/>
  <c r="DK133" i="7"/>
  <c r="DI133" i="7"/>
  <c r="DH133" i="7"/>
  <c r="DF133" i="7"/>
  <c r="DD133" i="7"/>
  <c r="DC133" i="7"/>
  <c r="DA133" i="7"/>
  <c r="CY133" i="7"/>
  <c r="CX133" i="7"/>
  <c r="CV133" i="7"/>
  <c r="CT133" i="7"/>
  <c r="CS133" i="7"/>
  <c r="CR133" i="7"/>
  <c r="CQ133" i="7"/>
  <c r="CP133" i="7"/>
  <c r="CO133" i="7"/>
  <c r="CN133" i="7"/>
  <c r="CM133" i="7"/>
  <c r="CL133" i="7"/>
  <c r="CK133" i="7"/>
  <c r="CI133" i="7"/>
  <c r="CJ133" i="7" s="1"/>
  <c r="CH133" i="7"/>
  <c r="CG133" i="7"/>
  <c r="CE133" i="7"/>
  <c r="CF133" i="7" s="1"/>
  <c r="CD133" i="7"/>
  <c r="CC133" i="7"/>
  <c r="CA133" i="7"/>
  <c r="CB133" i="7" s="1"/>
  <c r="BZ133" i="7"/>
  <c r="BY133" i="7"/>
  <c r="BW133" i="7"/>
  <c r="BX133" i="7" s="1"/>
  <c r="BV133" i="7"/>
  <c r="BU133" i="7"/>
  <c r="BS133" i="7"/>
  <c r="BT133" i="7" s="1"/>
  <c r="BR133" i="7"/>
  <c r="BQ133" i="7"/>
  <c r="BO133" i="7"/>
  <c r="BP133" i="7" s="1"/>
  <c r="BN133" i="7"/>
  <c r="BM133" i="7"/>
  <c r="BK133" i="7"/>
  <c r="BL133" i="7" s="1"/>
  <c r="BJ133" i="7"/>
  <c r="BI133" i="7"/>
  <c r="BG133" i="7"/>
  <c r="BH133" i="7" s="1"/>
  <c r="BF133" i="7"/>
  <c r="BE133" i="7"/>
  <c r="BC133" i="7"/>
  <c r="BD133" i="7" s="1"/>
  <c r="BB133" i="7"/>
  <c r="AZ133" i="7"/>
  <c r="AX133" i="7"/>
  <c r="AW133" i="7"/>
  <c r="AV133" i="7"/>
  <c r="AU133" i="7"/>
  <c r="AT133" i="7"/>
  <c r="AS133" i="7"/>
  <c r="AR133" i="7"/>
  <c r="AQ133" i="7"/>
  <c r="AP133" i="7"/>
  <c r="AO133" i="7"/>
  <c r="AN133" i="7"/>
  <c r="AM133" i="7"/>
  <c r="AL133" i="7"/>
  <c r="AK133" i="7"/>
  <c r="AJ133" i="7"/>
  <c r="AI133" i="7"/>
  <c r="AH133" i="7"/>
  <c r="AG133" i="7"/>
  <c r="AF133" i="7"/>
  <c r="AE133" i="7"/>
  <c r="AD133" i="7"/>
  <c r="AC133" i="7"/>
  <c r="AB133" i="7"/>
  <c r="AA133" i="7"/>
  <c r="Z133" i="7"/>
  <c r="Y133" i="7"/>
  <c r="X133" i="7"/>
  <c r="W133" i="7"/>
  <c r="V133" i="7"/>
  <c r="U133" i="7"/>
  <c r="T133" i="7"/>
  <c r="S133" i="7"/>
  <c r="R133" i="7"/>
  <c r="Q133" i="7"/>
  <c r="P133" i="7"/>
  <c r="O133" i="7"/>
  <c r="N133" i="7"/>
  <c r="M133" i="7"/>
  <c r="L133" i="7"/>
  <c r="K133" i="7"/>
  <c r="J133" i="7"/>
  <c r="I133" i="7"/>
  <c r="H133" i="7"/>
  <c r="G133" i="7"/>
  <c r="F133" i="7"/>
  <c r="D133" i="7"/>
  <c r="C133" i="7"/>
  <c r="B133" i="7"/>
  <c r="FQ132" i="7"/>
  <c r="FO132" i="7"/>
  <c r="FM132" i="7"/>
  <c r="FL132" i="7"/>
  <c r="FJ132" i="7"/>
  <c r="FH132" i="7"/>
  <c r="FG132" i="7"/>
  <c r="FE132" i="7"/>
  <c r="FC132" i="7"/>
  <c r="EZ132" i="7"/>
  <c r="EY132" i="7"/>
  <c r="EX132" i="7"/>
  <c r="EW132" i="7"/>
  <c r="EV132" i="7"/>
  <c r="EU132" i="7"/>
  <c r="ET132" i="7"/>
  <c r="ES132" i="7"/>
  <c r="ER132" i="7"/>
  <c r="EQ132" i="7"/>
  <c r="EP132" i="7"/>
  <c r="EO132" i="7"/>
  <c r="EN132" i="7"/>
  <c r="EM132" i="7"/>
  <c r="EI132" i="7"/>
  <c r="EG132" i="7"/>
  <c r="EE132" i="7"/>
  <c r="EC132" i="7"/>
  <c r="EA132" i="7"/>
  <c r="DY132" i="7"/>
  <c r="DW132" i="7"/>
  <c r="DU132" i="7"/>
  <c r="DS132" i="7"/>
  <c r="DR132" i="7"/>
  <c r="DP132" i="7"/>
  <c r="DN132" i="7"/>
  <c r="DM132" i="7"/>
  <c r="DK132" i="7"/>
  <c r="DI132" i="7"/>
  <c r="DH132" i="7"/>
  <c r="DF132" i="7"/>
  <c r="DD132" i="7"/>
  <c r="DC132" i="7"/>
  <c r="DA132" i="7"/>
  <c r="CY132" i="7"/>
  <c r="CX132" i="7"/>
  <c r="CV132" i="7"/>
  <c r="CT132" i="7"/>
  <c r="CS132" i="7"/>
  <c r="CR132" i="7"/>
  <c r="CQ132" i="7"/>
  <c r="CP132" i="7"/>
  <c r="CO132" i="7"/>
  <c r="CN132" i="7"/>
  <c r="CM132" i="7"/>
  <c r="CL132" i="7"/>
  <c r="CK132" i="7"/>
  <c r="CI132" i="7"/>
  <c r="CJ132" i="7" s="1"/>
  <c r="CH132" i="7"/>
  <c r="CG132" i="7"/>
  <c r="CE132" i="7"/>
  <c r="CF132" i="7" s="1"/>
  <c r="CD132" i="7"/>
  <c r="CC132" i="7"/>
  <c r="CA132" i="7"/>
  <c r="CB132" i="7" s="1"/>
  <c r="BZ132" i="7"/>
  <c r="BY132" i="7"/>
  <c r="BW132" i="7"/>
  <c r="BX132" i="7" s="1"/>
  <c r="BV132" i="7"/>
  <c r="BU132" i="7"/>
  <c r="BS132" i="7"/>
  <c r="BT132" i="7" s="1"/>
  <c r="BR132" i="7"/>
  <c r="BQ132" i="7"/>
  <c r="BO132" i="7"/>
  <c r="BP132" i="7" s="1"/>
  <c r="BN132" i="7"/>
  <c r="BM132" i="7"/>
  <c r="BK132" i="7"/>
  <c r="BL132" i="7" s="1"/>
  <c r="BJ132" i="7"/>
  <c r="BI132" i="7"/>
  <c r="BG132" i="7"/>
  <c r="BH132" i="7" s="1"/>
  <c r="BF132" i="7"/>
  <c r="BE132" i="7"/>
  <c r="BC132" i="7"/>
  <c r="BD132" i="7" s="1"/>
  <c r="BB132" i="7"/>
  <c r="AZ132" i="7"/>
  <c r="AX132" i="7"/>
  <c r="AW132" i="7"/>
  <c r="AV132" i="7"/>
  <c r="AU132" i="7"/>
  <c r="AT132" i="7"/>
  <c r="AS132" i="7"/>
  <c r="AR132" i="7"/>
  <c r="AQ132" i="7"/>
  <c r="AP132" i="7"/>
  <c r="AO132" i="7"/>
  <c r="AN132" i="7"/>
  <c r="AM132" i="7"/>
  <c r="AL132" i="7"/>
  <c r="AK132" i="7"/>
  <c r="AJ132" i="7"/>
  <c r="AI132" i="7"/>
  <c r="AH132" i="7"/>
  <c r="AG132" i="7"/>
  <c r="AF132" i="7"/>
  <c r="AE132" i="7"/>
  <c r="AD132" i="7"/>
  <c r="AC132" i="7"/>
  <c r="AB132" i="7"/>
  <c r="AA132" i="7"/>
  <c r="Z132" i="7"/>
  <c r="Y132" i="7"/>
  <c r="X132" i="7"/>
  <c r="W132" i="7"/>
  <c r="V132" i="7"/>
  <c r="U132" i="7"/>
  <c r="T132" i="7"/>
  <c r="S132" i="7"/>
  <c r="R132" i="7"/>
  <c r="Q132" i="7"/>
  <c r="P132" i="7"/>
  <c r="O132" i="7"/>
  <c r="N132" i="7"/>
  <c r="M132" i="7"/>
  <c r="L132" i="7"/>
  <c r="K132" i="7"/>
  <c r="J132" i="7"/>
  <c r="I132" i="7"/>
  <c r="H132" i="7"/>
  <c r="G132" i="7"/>
  <c r="F132" i="7"/>
  <c r="D132" i="7"/>
  <c r="C132" i="7"/>
  <c r="B132" i="7"/>
  <c r="FQ131" i="7"/>
  <c r="FO131" i="7"/>
  <c r="FM131" i="7"/>
  <c r="FL131" i="7"/>
  <c r="FJ131" i="7"/>
  <c r="FH131" i="7"/>
  <c r="FG131" i="7"/>
  <c r="FE131" i="7"/>
  <c r="FC131" i="7"/>
  <c r="EZ131" i="7"/>
  <c r="EY131" i="7"/>
  <c r="EX131" i="7"/>
  <c r="EW131" i="7"/>
  <c r="EV131" i="7"/>
  <c r="EU131" i="7"/>
  <c r="ET131" i="7"/>
  <c r="ES131" i="7"/>
  <c r="ER131" i="7"/>
  <c r="EQ131" i="7"/>
  <c r="EP131" i="7"/>
  <c r="EO131" i="7"/>
  <c r="EN131" i="7"/>
  <c r="EM131" i="7"/>
  <c r="EI131" i="7"/>
  <c r="EG131" i="7"/>
  <c r="EE131" i="7"/>
  <c r="EC131" i="7"/>
  <c r="EA131" i="7"/>
  <c r="DY131" i="7"/>
  <c r="DW131" i="7"/>
  <c r="DU131" i="7"/>
  <c r="DS131" i="7"/>
  <c r="DR131" i="7"/>
  <c r="DP131" i="7"/>
  <c r="DN131" i="7"/>
  <c r="DM131" i="7"/>
  <c r="DK131" i="7"/>
  <c r="DI131" i="7"/>
  <c r="DH131" i="7"/>
  <c r="DF131" i="7"/>
  <c r="DD131" i="7"/>
  <c r="DC131" i="7"/>
  <c r="DA131" i="7"/>
  <c r="CY131" i="7"/>
  <c r="CX131" i="7"/>
  <c r="CV131" i="7"/>
  <c r="CT131" i="7"/>
  <c r="CS131" i="7"/>
  <c r="CR131" i="7"/>
  <c r="CQ131" i="7"/>
  <c r="CP131" i="7"/>
  <c r="CO131" i="7"/>
  <c r="CN131" i="7"/>
  <c r="CM131" i="7"/>
  <c r="CL131" i="7"/>
  <c r="CK131" i="7"/>
  <c r="CI131" i="7"/>
  <c r="CJ131" i="7" s="1"/>
  <c r="CH131" i="7"/>
  <c r="CG131" i="7"/>
  <c r="CE131" i="7"/>
  <c r="CF131" i="7" s="1"/>
  <c r="CD131" i="7"/>
  <c r="CC131" i="7"/>
  <c r="CA131" i="7"/>
  <c r="CB131" i="7" s="1"/>
  <c r="BZ131" i="7"/>
  <c r="BY131" i="7"/>
  <c r="BW131" i="7"/>
  <c r="BX131" i="7" s="1"/>
  <c r="BV131" i="7"/>
  <c r="BU131" i="7"/>
  <c r="BS131" i="7"/>
  <c r="BT131" i="7" s="1"/>
  <c r="BR131" i="7"/>
  <c r="BQ131" i="7"/>
  <c r="BO131" i="7"/>
  <c r="BP131" i="7" s="1"/>
  <c r="BN131" i="7"/>
  <c r="BM131" i="7"/>
  <c r="BK131" i="7"/>
  <c r="BL131" i="7" s="1"/>
  <c r="BJ131" i="7"/>
  <c r="BI131" i="7"/>
  <c r="BG131" i="7"/>
  <c r="BH131" i="7" s="1"/>
  <c r="BF131" i="7"/>
  <c r="BE131" i="7"/>
  <c r="BC131" i="7"/>
  <c r="BD131" i="7" s="1"/>
  <c r="BB131" i="7"/>
  <c r="AZ131" i="7"/>
  <c r="AX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J131" i="7"/>
  <c r="I131" i="7"/>
  <c r="H131" i="7"/>
  <c r="G131" i="7"/>
  <c r="F131" i="7"/>
  <c r="D131" i="7"/>
  <c r="C131" i="7"/>
  <c r="B131" i="7"/>
  <c r="FQ130" i="7"/>
  <c r="FO130" i="7"/>
  <c r="FM130" i="7"/>
  <c r="FL130" i="7"/>
  <c r="FJ130" i="7"/>
  <c r="FH130" i="7"/>
  <c r="FG130" i="7"/>
  <c r="FE130" i="7"/>
  <c r="FC130" i="7"/>
  <c r="EZ130" i="7"/>
  <c r="EY130" i="7"/>
  <c r="EX130" i="7"/>
  <c r="EW130" i="7"/>
  <c r="EV130" i="7"/>
  <c r="EU130" i="7"/>
  <c r="ET130" i="7"/>
  <c r="ES130" i="7"/>
  <c r="ER130" i="7"/>
  <c r="EQ130" i="7"/>
  <c r="EP130" i="7"/>
  <c r="EO130" i="7"/>
  <c r="EN130" i="7"/>
  <c r="EM130" i="7"/>
  <c r="EI130" i="7"/>
  <c r="EG130" i="7"/>
  <c r="EE130" i="7"/>
  <c r="EC130" i="7"/>
  <c r="EA130" i="7"/>
  <c r="DY130" i="7"/>
  <c r="DW130" i="7"/>
  <c r="DU130" i="7"/>
  <c r="DS130" i="7"/>
  <c r="DR130" i="7"/>
  <c r="DP130" i="7"/>
  <c r="DN130" i="7"/>
  <c r="DM130" i="7"/>
  <c r="DK130" i="7"/>
  <c r="DI130" i="7"/>
  <c r="DH130" i="7"/>
  <c r="DF130" i="7"/>
  <c r="DD130" i="7"/>
  <c r="DC130" i="7"/>
  <c r="DA130" i="7"/>
  <c r="CY130" i="7"/>
  <c r="CX130" i="7"/>
  <c r="CV130" i="7"/>
  <c r="CT130" i="7"/>
  <c r="CS130" i="7"/>
  <c r="CR130" i="7"/>
  <c r="CQ130" i="7"/>
  <c r="CP130" i="7"/>
  <c r="CO130" i="7"/>
  <c r="CN130" i="7"/>
  <c r="CM130" i="7"/>
  <c r="CL130" i="7"/>
  <c r="CK130" i="7"/>
  <c r="CI130" i="7"/>
  <c r="CJ130" i="7" s="1"/>
  <c r="CH130" i="7"/>
  <c r="CG130" i="7"/>
  <c r="CE130" i="7"/>
  <c r="CF130" i="7" s="1"/>
  <c r="CD130" i="7"/>
  <c r="CC130" i="7"/>
  <c r="CA130" i="7"/>
  <c r="CB130" i="7" s="1"/>
  <c r="BZ130" i="7"/>
  <c r="BY130" i="7"/>
  <c r="BW130" i="7"/>
  <c r="BX130" i="7" s="1"/>
  <c r="BV130" i="7"/>
  <c r="BU130" i="7"/>
  <c r="BS130" i="7"/>
  <c r="BT130" i="7" s="1"/>
  <c r="BR130" i="7"/>
  <c r="BQ130" i="7"/>
  <c r="BO130" i="7"/>
  <c r="BP130" i="7" s="1"/>
  <c r="BN130" i="7"/>
  <c r="BM130" i="7"/>
  <c r="BK130" i="7"/>
  <c r="BL130" i="7" s="1"/>
  <c r="BJ130" i="7"/>
  <c r="BI130" i="7"/>
  <c r="BG130" i="7"/>
  <c r="BH130" i="7" s="1"/>
  <c r="BF130" i="7"/>
  <c r="BE130" i="7"/>
  <c r="BC130" i="7"/>
  <c r="BD130" i="7" s="1"/>
  <c r="BB130" i="7"/>
  <c r="AZ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Z130" i="7"/>
  <c r="Y130" i="7"/>
  <c r="X130" i="7"/>
  <c r="W130" i="7"/>
  <c r="V130" i="7"/>
  <c r="U130" i="7"/>
  <c r="T130" i="7"/>
  <c r="S130" i="7"/>
  <c r="R130" i="7"/>
  <c r="Q130" i="7"/>
  <c r="P130" i="7"/>
  <c r="O130" i="7"/>
  <c r="N130" i="7"/>
  <c r="M130" i="7"/>
  <c r="L130" i="7"/>
  <c r="K130" i="7"/>
  <c r="J130" i="7"/>
  <c r="I130" i="7"/>
  <c r="H130" i="7"/>
  <c r="G130" i="7"/>
  <c r="F130" i="7"/>
  <c r="D130" i="7"/>
  <c r="C130" i="7"/>
  <c r="B130" i="7"/>
  <c r="FQ129" i="7"/>
  <c r="FO129" i="7"/>
  <c r="FM129" i="7"/>
  <c r="FL129" i="7"/>
  <c r="FJ129" i="7"/>
  <c r="FH129" i="7"/>
  <c r="FG129" i="7"/>
  <c r="FE129" i="7"/>
  <c r="FC129" i="7"/>
  <c r="EZ129" i="7"/>
  <c r="EY129" i="7"/>
  <c r="EX129" i="7"/>
  <c r="EW129" i="7"/>
  <c r="EV129" i="7"/>
  <c r="EU129" i="7"/>
  <c r="ET129" i="7"/>
  <c r="ES129" i="7"/>
  <c r="ER129" i="7"/>
  <c r="EQ129" i="7"/>
  <c r="EP129" i="7"/>
  <c r="EO129" i="7"/>
  <c r="EN129" i="7"/>
  <c r="EM129" i="7"/>
  <c r="EI129" i="7"/>
  <c r="EG129" i="7"/>
  <c r="EE129" i="7"/>
  <c r="EC129" i="7"/>
  <c r="EA129" i="7"/>
  <c r="DY129" i="7"/>
  <c r="DW129" i="7"/>
  <c r="DU129" i="7"/>
  <c r="DS129" i="7"/>
  <c r="DR129" i="7"/>
  <c r="DP129" i="7"/>
  <c r="DN129" i="7"/>
  <c r="DM129" i="7"/>
  <c r="DK129" i="7"/>
  <c r="DI129" i="7"/>
  <c r="DH129" i="7"/>
  <c r="DF129" i="7"/>
  <c r="DD129" i="7"/>
  <c r="DC129" i="7"/>
  <c r="DA129" i="7"/>
  <c r="CY129" i="7"/>
  <c r="CX129" i="7"/>
  <c r="CV129" i="7"/>
  <c r="CT129" i="7"/>
  <c r="CS129" i="7"/>
  <c r="CR129" i="7"/>
  <c r="CQ129" i="7"/>
  <c r="CP129" i="7"/>
  <c r="CO129" i="7"/>
  <c r="CN129" i="7"/>
  <c r="CM129" i="7"/>
  <c r="CL129" i="7"/>
  <c r="CK129" i="7"/>
  <c r="CI129" i="7"/>
  <c r="CJ129" i="7" s="1"/>
  <c r="CH129" i="7"/>
  <c r="CG129" i="7"/>
  <c r="CE129" i="7"/>
  <c r="CF129" i="7" s="1"/>
  <c r="CD129" i="7"/>
  <c r="CC129" i="7"/>
  <c r="CA129" i="7"/>
  <c r="CB129" i="7" s="1"/>
  <c r="BZ129" i="7"/>
  <c r="BY129" i="7"/>
  <c r="BW129" i="7"/>
  <c r="BX129" i="7" s="1"/>
  <c r="BV129" i="7"/>
  <c r="BU129" i="7"/>
  <c r="BS129" i="7"/>
  <c r="BT129" i="7" s="1"/>
  <c r="BR129" i="7"/>
  <c r="BQ129" i="7"/>
  <c r="BO129" i="7"/>
  <c r="BP129" i="7" s="1"/>
  <c r="BN129" i="7"/>
  <c r="BM129" i="7"/>
  <c r="BK129" i="7"/>
  <c r="BL129" i="7" s="1"/>
  <c r="BJ129" i="7"/>
  <c r="BI129" i="7"/>
  <c r="BG129" i="7"/>
  <c r="BH129" i="7" s="1"/>
  <c r="BF129" i="7"/>
  <c r="BE129" i="7"/>
  <c r="BC129" i="7"/>
  <c r="BD129" i="7" s="1"/>
  <c r="BB129" i="7"/>
  <c r="AZ129" i="7"/>
  <c r="AX129" i="7"/>
  <c r="AW129" i="7"/>
  <c r="AV129" i="7"/>
  <c r="AU129" i="7"/>
  <c r="AT129" i="7"/>
  <c r="AS129" i="7"/>
  <c r="AR129" i="7"/>
  <c r="AQ129" i="7"/>
  <c r="AP129" i="7"/>
  <c r="AO129" i="7"/>
  <c r="AN129" i="7"/>
  <c r="AM129" i="7"/>
  <c r="AL129" i="7"/>
  <c r="AK129" i="7"/>
  <c r="AJ129" i="7"/>
  <c r="AI129" i="7"/>
  <c r="AH129" i="7"/>
  <c r="AG129" i="7"/>
  <c r="AF129" i="7"/>
  <c r="AE129" i="7"/>
  <c r="AD129" i="7"/>
  <c r="AC129" i="7"/>
  <c r="AB129" i="7"/>
  <c r="AA129" i="7"/>
  <c r="Z129" i="7"/>
  <c r="Y129" i="7"/>
  <c r="X129" i="7"/>
  <c r="W129" i="7"/>
  <c r="V129" i="7"/>
  <c r="U129" i="7"/>
  <c r="T129" i="7"/>
  <c r="S129" i="7"/>
  <c r="R129" i="7"/>
  <c r="Q129" i="7"/>
  <c r="P129" i="7"/>
  <c r="O129" i="7"/>
  <c r="N129" i="7"/>
  <c r="M129" i="7"/>
  <c r="L129" i="7"/>
  <c r="K129" i="7"/>
  <c r="J129" i="7"/>
  <c r="I129" i="7"/>
  <c r="H129" i="7"/>
  <c r="G129" i="7"/>
  <c r="F129" i="7"/>
  <c r="D129" i="7"/>
  <c r="C129" i="7"/>
  <c r="B129" i="7"/>
  <c r="FQ128" i="7"/>
  <c r="FO128" i="7"/>
  <c r="FM128" i="7"/>
  <c r="FL128" i="7"/>
  <c r="FJ128" i="7"/>
  <c r="FH128" i="7"/>
  <c r="FG128" i="7"/>
  <c r="FE128" i="7"/>
  <c r="FC128" i="7"/>
  <c r="EZ128" i="7"/>
  <c r="EY128" i="7"/>
  <c r="EX128" i="7"/>
  <c r="EW128" i="7"/>
  <c r="EV128" i="7"/>
  <c r="EU128" i="7"/>
  <c r="ET128" i="7"/>
  <c r="ES128" i="7"/>
  <c r="ER128" i="7"/>
  <c r="EQ128" i="7"/>
  <c r="EP128" i="7"/>
  <c r="EO128" i="7"/>
  <c r="EN128" i="7"/>
  <c r="EM128" i="7"/>
  <c r="EI128" i="7"/>
  <c r="EG128" i="7"/>
  <c r="EE128" i="7"/>
  <c r="EC128" i="7"/>
  <c r="EA128" i="7"/>
  <c r="DY128" i="7"/>
  <c r="DW128" i="7"/>
  <c r="DU128" i="7"/>
  <c r="DS128" i="7"/>
  <c r="DR128" i="7"/>
  <c r="DP128" i="7"/>
  <c r="DN128" i="7"/>
  <c r="DM128" i="7"/>
  <c r="DK128" i="7"/>
  <c r="DI128" i="7"/>
  <c r="DH128" i="7"/>
  <c r="DF128" i="7"/>
  <c r="DD128" i="7"/>
  <c r="DC128" i="7"/>
  <c r="DA128" i="7"/>
  <c r="CY128" i="7"/>
  <c r="CX128" i="7"/>
  <c r="CV128" i="7"/>
  <c r="CT128" i="7"/>
  <c r="CS128" i="7"/>
  <c r="CR128" i="7"/>
  <c r="CQ128" i="7"/>
  <c r="CP128" i="7"/>
  <c r="CO128" i="7"/>
  <c r="CN128" i="7"/>
  <c r="CM128" i="7"/>
  <c r="CL128" i="7"/>
  <c r="CK128" i="7"/>
  <c r="CI128" i="7"/>
  <c r="CJ128" i="7" s="1"/>
  <c r="CH128" i="7"/>
  <c r="CG128" i="7"/>
  <c r="CE128" i="7"/>
  <c r="CF128" i="7" s="1"/>
  <c r="CD128" i="7"/>
  <c r="CC128" i="7"/>
  <c r="CA128" i="7"/>
  <c r="CB128" i="7" s="1"/>
  <c r="BZ128" i="7"/>
  <c r="BY128" i="7"/>
  <c r="BW128" i="7"/>
  <c r="BX128" i="7" s="1"/>
  <c r="BV128" i="7"/>
  <c r="BU128" i="7"/>
  <c r="BS128" i="7"/>
  <c r="BT128" i="7" s="1"/>
  <c r="BR128" i="7"/>
  <c r="BQ128" i="7"/>
  <c r="BO128" i="7"/>
  <c r="BP128" i="7" s="1"/>
  <c r="BN128" i="7"/>
  <c r="BM128" i="7"/>
  <c r="BK128" i="7"/>
  <c r="BL128" i="7" s="1"/>
  <c r="BJ128" i="7"/>
  <c r="BI128" i="7"/>
  <c r="BG128" i="7"/>
  <c r="BH128" i="7" s="1"/>
  <c r="BF128" i="7"/>
  <c r="BE128" i="7"/>
  <c r="BC128" i="7"/>
  <c r="BD128" i="7" s="1"/>
  <c r="BB128" i="7"/>
  <c r="AZ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Z128" i="7"/>
  <c r="Y128" i="7"/>
  <c r="X128" i="7"/>
  <c r="W128" i="7"/>
  <c r="V128" i="7"/>
  <c r="U128" i="7"/>
  <c r="T128" i="7"/>
  <c r="S128" i="7"/>
  <c r="R128" i="7"/>
  <c r="Q128" i="7"/>
  <c r="P128" i="7"/>
  <c r="O128" i="7"/>
  <c r="N128" i="7"/>
  <c r="M128" i="7"/>
  <c r="L128" i="7"/>
  <c r="K128" i="7"/>
  <c r="J128" i="7"/>
  <c r="I128" i="7"/>
  <c r="H128" i="7"/>
  <c r="G128" i="7"/>
  <c r="F128" i="7"/>
  <c r="D128" i="7"/>
  <c r="C128" i="7"/>
  <c r="B128" i="7"/>
  <c r="FQ127" i="7"/>
  <c r="FO127" i="7"/>
  <c r="FM127" i="7"/>
  <c r="FL127" i="7"/>
  <c r="FJ127" i="7"/>
  <c r="FH127" i="7"/>
  <c r="FG127" i="7"/>
  <c r="FE127" i="7"/>
  <c r="FC127" i="7"/>
  <c r="EZ127" i="7"/>
  <c r="EY127" i="7"/>
  <c r="EX127" i="7"/>
  <c r="EW127" i="7"/>
  <c r="EV127" i="7"/>
  <c r="EU127" i="7"/>
  <c r="ET127" i="7"/>
  <c r="ES127" i="7"/>
  <c r="ER127" i="7"/>
  <c r="EQ127" i="7"/>
  <c r="EP127" i="7"/>
  <c r="EO127" i="7"/>
  <c r="EN127" i="7"/>
  <c r="EM127" i="7"/>
  <c r="EI127" i="7"/>
  <c r="EG127" i="7"/>
  <c r="EE127" i="7"/>
  <c r="EC127" i="7"/>
  <c r="EA127" i="7"/>
  <c r="DY127" i="7"/>
  <c r="DW127" i="7"/>
  <c r="DU127" i="7"/>
  <c r="DS127" i="7"/>
  <c r="DR127" i="7"/>
  <c r="DP127" i="7"/>
  <c r="DN127" i="7"/>
  <c r="DM127" i="7"/>
  <c r="DK127" i="7"/>
  <c r="DI127" i="7"/>
  <c r="DH127" i="7"/>
  <c r="DF127" i="7"/>
  <c r="DD127" i="7"/>
  <c r="DC127" i="7"/>
  <c r="DA127" i="7"/>
  <c r="CY127" i="7"/>
  <c r="CX127" i="7"/>
  <c r="CV127" i="7"/>
  <c r="CT127" i="7"/>
  <c r="CS127" i="7"/>
  <c r="CR127" i="7"/>
  <c r="CQ127" i="7"/>
  <c r="CP127" i="7"/>
  <c r="CO127" i="7"/>
  <c r="CN127" i="7"/>
  <c r="CM127" i="7"/>
  <c r="CL127" i="7"/>
  <c r="CK127" i="7"/>
  <c r="CI127" i="7"/>
  <c r="CJ127" i="7" s="1"/>
  <c r="CH127" i="7"/>
  <c r="CG127" i="7"/>
  <c r="CE127" i="7"/>
  <c r="CF127" i="7" s="1"/>
  <c r="CD127" i="7"/>
  <c r="CC127" i="7"/>
  <c r="CA127" i="7"/>
  <c r="CB127" i="7" s="1"/>
  <c r="BZ127" i="7"/>
  <c r="BY127" i="7"/>
  <c r="BW127" i="7"/>
  <c r="BX127" i="7" s="1"/>
  <c r="BV127" i="7"/>
  <c r="BU127" i="7"/>
  <c r="BS127" i="7"/>
  <c r="BT127" i="7" s="1"/>
  <c r="BR127" i="7"/>
  <c r="BQ127" i="7"/>
  <c r="BO127" i="7"/>
  <c r="BP127" i="7" s="1"/>
  <c r="BN127" i="7"/>
  <c r="BM127" i="7"/>
  <c r="BK127" i="7"/>
  <c r="BL127" i="7" s="1"/>
  <c r="BJ127" i="7"/>
  <c r="BI127" i="7"/>
  <c r="BG127" i="7"/>
  <c r="BH127" i="7" s="1"/>
  <c r="BF127" i="7"/>
  <c r="BE127" i="7"/>
  <c r="BC127" i="7"/>
  <c r="BD127" i="7" s="1"/>
  <c r="BB127" i="7"/>
  <c r="AZ127" i="7"/>
  <c r="AX127" i="7"/>
  <c r="AW127" i="7"/>
  <c r="AV127" i="7"/>
  <c r="AU127" i="7"/>
  <c r="AT127" i="7"/>
  <c r="AS127" i="7"/>
  <c r="AR127" i="7"/>
  <c r="AQ127" i="7"/>
  <c r="AP127" i="7"/>
  <c r="AO127" i="7"/>
  <c r="AN127" i="7"/>
  <c r="AM127" i="7"/>
  <c r="AL127" i="7"/>
  <c r="AK127" i="7"/>
  <c r="AJ127" i="7"/>
  <c r="AI127" i="7"/>
  <c r="AH127" i="7"/>
  <c r="AG127" i="7"/>
  <c r="AF127" i="7"/>
  <c r="AE127" i="7"/>
  <c r="AD127" i="7"/>
  <c r="AC127" i="7"/>
  <c r="AB127" i="7"/>
  <c r="AA127" i="7"/>
  <c r="Z127" i="7"/>
  <c r="Y127" i="7"/>
  <c r="X127" i="7"/>
  <c r="W127" i="7"/>
  <c r="V127" i="7"/>
  <c r="U127" i="7"/>
  <c r="T127" i="7"/>
  <c r="S127" i="7"/>
  <c r="R127" i="7"/>
  <c r="Q127" i="7"/>
  <c r="P127" i="7"/>
  <c r="O127" i="7"/>
  <c r="N127" i="7"/>
  <c r="M127" i="7"/>
  <c r="L127" i="7"/>
  <c r="K127" i="7"/>
  <c r="J127" i="7"/>
  <c r="I127" i="7"/>
  <c r="H127" i="7"/>
  <c r="G127" i="7"/>
  <c r="F127" i="7"/>
  <c r="D127" i="7"/>
  <c r="C127" i="7"/>
  <c r="B127" i="7"/>
  <c r="FQ126" i="7"/>
  <c r="FO126" i="7"/>
  <c r="FM126" i="7"/>
  <c r="FL126" i="7"/>
  <c r="FJ126" i="7"/>
  <c r="FH126" i="7"/>
  <c r="FG126" i="7"/>
  <c r="FE126" i="7"/>
  <c r="FC126" i="7"/>
  <c r="EZ126" i="7"/>
  <c r="EY126" i="7"/>
  <c r="EX126" i="7"/>
  <c r="EW126" i="7"/>
  <c r="EV126" i="7"/>
  <c r="EU126" i="7"/>
  <c r="ET126" i="7"/>
  <c r="ES126" i="7"/>
  <c r="ER126" i="7"/>
  <c r="EQ126" i="7"/>
  <c r="EP126" i="7"/>
  <c r="EO126" i="7"/>
  <c r="EN126" i="7"/>
  <c r="EM126" i="7"/>
  <c r="EI126" i="7"/>
  <c r="EG126" i="7"/>
  <c r="EE126" i="7"/>
  <c r="EC126" i="7"/>
  <c r="EA126" i="7"/>
  <c r="DY126" i="7"/>
  <c r="DW126" i="7"/>
  <c r="DU126" i="7"/>
  <c r="DS126" i="7"/>
  <c r="DR126" i="7"/>
  <c r="DP126" i="7"/>
  <c r="DN126" i="7"/>
  <c r="DM126" i="7"/>
  <c r="DK126" i="7"/>
  <c r="DI126" i="7"/>
  <c r="DH126" i="7"/>
  <c r="DF126" i="7"/>
  <c r="DD126" i="7"/>
  <c r="DC126" i="7"/>
  <c r="DA126" i="7"/>
  <c r="CY126" i="7"/>
  <c r="CX126" i="7"/>
  <c r="CV126" i="7"/>
  <c r="CT126" i="7"/>
  <c r="CS126" i="7"/>
  <c r="CR126" i="7"/>
  <c r="CQ126" i="7"/>
  <c r="CP126" i="7"/>
  <c r="CO126" i="7"/>
  <c r="CN126" i="7"/>
  <c r="CM126" i="7"/>
  <c r="CL126" i="7"/>
  <c r="CK126" i="7"/>
  <c r="CI126" i="7"/>
  <c r="CJ126" i="7" s="1"/>
  <c r="CH126" i="7"/>
  <c r="CG126" i="7"/>
  <c r="CE126" i="7"/>
  <c r="CF126" i="7" s="1"/>
  <c r="CD126" i="7"/>
  <c r="CC126" i="7"/>
  <c r="CA126" i="7"/>
  <c r="CB126" i="7" s="1"/>
  <c r="BZ126" i="7"/>
  <c r="BY126" i="7"/>
  <c r="BW126" i="7"/>
  <c r="BX126" i="7" s="1"/>
  <c r="BV126" i="7"/>
  <c r="BU126" i="7"/>
  <c r="BS126" i="7"/>
  <c r="BT126" i="7" s="1"/>
  <c r="BR126" i="7"/>
  <c r="BQ126" i="7"/>
  <c r="BO126" i="7"/>
  <c r="BP126" i="7" s="1"/>
  <c r="BN126" i="7"/>
  <c r="BM126" i="7"/>
  <c r="BK126" i="7"/>
  <c r="BL126" i="7" s="1"/>
  <c r="BJ126" i="7"/>
  <c r="BI126" i="7"/>
  <c r="BG126" i="7"/>
  <c r="BH126" i="7" s="1"/>
  <c r="BF126" i="7"/>
  <c r="BE126" i="7"/>
  <c r="BC126" i="7"/>
  <c r="BD126" i="7" s="1"/>
  <c r="BB126" i="7"/>
  <c r="AZ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Z126" i="7"/>
  <c r="Y126" i="7"/>
  <c r="X126" i="7"/>
  <c r="W126" i="7"/>
  <c r="V126" i="7"/>
  <c r="U126" i="7"/>
  <c r="T126" i="7"/>
  <c r="S126" i="7"/>
  <c r="R126" i="7"/>
  <c r="Q126" i="7"/>
  <c r="P126" i="7"/>
  <c r="O126" i="7"/>
  <c r="N126" i="7"/>
  <c r="M126" i="7"/>
  <c r="L126" i="7"/>
  <c r="K126" i="7"/>
  <c r="J126" i="7"/>
  <c r="I126" i="7"/>
  <c r="H126" i="7"/>
  <c r="G126" i="7"/>
  <c r="F126" i="7"/>
  <c r="D126" i="7"/>
  <c r="C126" i="7"/>
  <c r="B126" i="7"/>
  <c r="FQ125" i="7"/>
  <c r="FO125" i="7"/>
  <c r="FM125" i="7"/>
  <c r="FL125" i="7"/>
  <c r="FJ125" i="7"/>
  <c r="FH125" i="7"/>
  <c r="FG125" i="7"/>
  <c r="FE125" i="7"/>
  <c r="FC125" i="7"/>
  <c r="EZ125" i="7"/>
  <c r="EY125" i="7"/>
  <c r="EX125" i="7"/>
  <c r="EW125" i="7"/>
  <c r="EV125" i="7"/>
  <c r="EU125" i="7"/>
  <c r="ET125" i="7"/>
  <c r="ES125" i="7"/>
  <c r="ER125" i="7"/>
  <c r="EQ125" i="7"/>
  <c r="EP125" i="7"/>
  <c r="EO125" i="7"/>
  <c r="EN125" i="7"/>
  <c r="EM125" i="7"/>
  <c r="EI125" i="7"/>
  <c r="EG125" i="7"/>
  <c r="EE125" i="7"/>
  <c r="EC125" i="7"/>
  <c r="EA125" i="7"/>
  <c r="DY125" i="7"/>
  <c r="DW125" i="7"/>
  <c r="DU125" i="7"/>
  <c r="DS125" i="7"/>
  <c r="DR125" i="7"/>
  <c r="DP125" i="7"/>
  <c r="DN125" i="7"/>
  <c r="DM125" i="7"/>
  <c r="DK125" i="7"/>
  <c r="DI125" i="7"/>
  <c r="DH125" i="7"/>
  <c r="DF125" i="7"/>
  <c r="DD125" i="7"/>
  <c r="DC125" i="7"/>
  <c r="DA125" i="7"/>
  <c r="CY125" i="7"/>
  <c r="CX125" i="7"/>
  <c r="CV125" i="7"/>
  <c r="CT125" i="7"/>
  <c r="CS125" i="7"/>
  <c r="CR125" i="7"/>
  <c r="CQ125" i="7"/>
  <c r="CP125" i="7"/>
  <c r="CO125" i="7"/>
  <c r="CN125" i="7"/>
  <c r="CM125" i="7"/>
  <c r="CL125" i="7"/>
  <c r="CK125" i="7"/>
  <c r="CI125" i="7"/>
  <c r="CJ125" i="7" s="1"/>
  <c r="CH125" i="7"/>
  <c r="CG125" i="7"/>
  <c r="CE125" i="7"/>
  <c r="CF125" i="7" s="1"/>
  <c r="CD125" i="7"/>
  <c r="CC125" i="7"/>
  <c r="CA125" i="7"/>
  <c r="CB125" i="7" s="1"/>
  <c r="BZ125" i="7"/>
  <c r="BY125" i="7"/>
  <c r="BW125" i="7"/>
  <c r="BX125" i="7" s="1"/>
  <c r="BV125" i="7"/>
  <c r="BU125" i="7"/>
  <c r="BS125" i="7"/>
  <c r="BT125" i="7" s="1"/>
  <c r="BR125" i="7"/>
  <c r="BQ125" i="7"/>
  <c r="BO125" i="7"/>
  <c r="BP125" i="7" s="1"/>
  <c r="BN125" i="7"/>
  <c r="BM125" i="7"/>
  <c r="BK125" i="7"/>
  <c r="BL125" i="7" s="1"/>
  <c r="BJ125" i="7"/>
  <c r="BI125" i="7"/>
  <c r="BG125" i="7"/>
  <c r="BH125" i="7" s="1"/>
  <c r="BF125" i="7"/>
  <c r="BE125" i="7"/>
  <c r="BC125" i="7"/>
  <c r="BD125" i="7" s="1"/>
  <c r="BB125" i="7"/>
  <c r="AZ125" i="7"/>
  <c r="AX125" i="7"/>
  <c r="AW125" i="7"/>
  <c r="AV125" i="7"/>
  <c r="AU125" i="7"/>
  <c r="AT125" i="7"/>
  <c r="AS125" i="7"/>
  <c r="AR125" i="7"/>
  <c r="AQ125" i="7"/>
  <c r="AP125" i="7"/>
  <c r="AO125" i="7"/>
  <c r="AN125" i="7"/>
  <c r="AM125"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N125" i="7"/>
  <c r="M125" i="7"/>
  <c r="L125" i="7"/>
  <c r="K125" i="7"/>
  <c r="J125" i="7"/>
  <c r="I125" i="7"/>
  <c r="H125" i="7"/>
  <c r="G125" i="7"/>
  <c r="F125" i="7"/>
  <c r="D125" i="7"/>
  <c r="C125" i="7"/>
  <c r="B125" i="7"/>
  <c r="FQ124" i="7"/>
  <c r="FO124" i="7"/>
  <c r="FM124" i="7"/>
  <c r="FL124" i="7"/>
  <c r="FJ124" i="7"/>
  <c r="FH124" i="7"/>
  <c r="FG124" i="7"/>
  <c r="FE124" i="7"/>
  <c r="FC124" i="7"/>
  <c r="EZ124" i="7"/>
  <c r="EY124" i="7"/>
  <c r="EX124" i="7"/>
  <c r="EW124" i="7"/>
  <c r="EV124" i="7"/>
  <c r="EU124" i="7"/>
  <c r="ET124" i="7"/>
  <c r="ES124" i="7"/>
  <c r="ER124" i="7"/>
  <c r="EQ124" i="7"/>
  <c r="EP124" i="7"/>
  <c r="EO124" i="7"/>
  <c r="EN124" i="7"/>
  <c r="EM124" i="7"/>
  <c r="EI124" i="7"/>
  <c r="EG124" i="7"/>
  <c r="EE124" i="7"/>
  <c r="EC124" i="7"/>
  <c r="EA124" i="7"/>
  <c r="DY124" i="7"/>
  <c r="DW124" i="7"/>
  <c r="DU124" i="7"/>
  <c r="DS124" i="7"/>
  <c r="DR124" i="7"/>
  <c r="DP124" i="7"/>
  <c r="DN124" i="7"/>
  <c r="DM124" i="7"/>
  <c r="DK124" i="7"/>
  <c r="DI124" i="7"/>
  <c r="DH124" i="7"/>
  <c r="DF124" i="7"/>
  <c r="DD124" i="7"/>
  <c r="DC124" i="7"/>
  <c r="DA124" i="7"/>
  <c r="CY124" i="7"/>
  <c r="CX124" i="7"/>
  <c r="CV124" i="7"/>
  <c r="CT124" i="7"/>
  <c r="CS124" i="7"/>
  <c r="CR124" i="7"/>
  <c r="CQ124" i="7"/>
  <c r="CP124" i="7"/>
  <c r="CO124" i="7"/>
  <c r="CN124" i="7"/>
  <c r="CM124" i="7"/>
  <c r="CL124" i="7"/>
  <c r="CK124" i="7"/>
  <c r="CI124" i="7"/>
  <c r="CJ124" i="7" s="1"/>
  <c r="CH124" i="7"/>
  <c r="CG124" i="7"/>
  <c r="CE124" i="7"/>
  <c r="CF124" i="7" s="1"/>
  <c r="CD124" i="7"/>
  <c r="CC124" i="7"/>
  <c r="CA124" i="7"/>
  <c r="CB124" i="7" s="1"/>
  <c r="BZ124" i="7"/>
  <c r="BY124" i="7"/>
  <c r="BW124" i="7"/>
  <c r="BX124" i="7" s="1"/>
  <c r="BV124" i="7"/>
  <c r="BU124" i="7"/>
  <c r="BS124" i="7"/>
  <c r="BT124" i="7" s="1"/>
  <c r="BR124" i="7"/>
  <c r="BQ124" i="7"/>
  <c r="BO124" i="7"/>
  <c r="BP124" i="7" s="1"/>
  <c r="BN124" i="7"/>
  <c r="BM124" i="7"/>
  <c r="BK124" i="7"/>
  <c r="BL124" i="7" s="1"/>
  <c r="BJ124" i="7"/>
  <c r="BI124" i="7"/>
  <c r="BG124" i="7"/>
  <c r="BH124" i="7" s="1"/>
  <c r="BF124" i="7"/>
  <c r="BE124" i="7"/>
  <c r="BC124" i="7"/>
  <c r="BD124" i="7" s="1"/>
  <c r="BB124" i="7"/>
  <c r="AZ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D124" i="7"/>
  <c r="C124" i="7"/>
  <c r="B124" i="7"/>
  <c r="FQ123" i="7"/>
  <c r="FO123" i="7"/>
  <c r="FM123" i="7"/>
  <c r="FL123" i="7"/>
  <c r="FJ123" i="7"/>
  <c r="FH123" i="7"/>
  <c r="FG123" i="7"/>
  <c r="FE123" i="7"/>
  <c r="FC123" i="7"/>
  <c r="EZ123" i="7"/>
  <c r="EY123" i="7"/>
  <c r="EX123" i="7"/>
  <c r="EW123" i="7"/>
  <c r="EV123" i="7"/>
  <c r="EU123" i="7"/>
  <c r="ET123" i="7"/>
  <c r="ES123" i="7"/>
  <c r="ER123" i="7"/>
  <c r="EQ123" i="7"/>
  <c r="EP123" i="7"/>
  <c r="EO123" i="7"/>
  <c r="EN123" i="7"/>
  <c r="EM123" i="7"/>
  <c r="EI123" i="7"/>
  <c r="EG123" i="7"/>
  <c r="EE123" i="7"/>
  <c r="EC123" i="7"/>
  <c r="EA123" i="7"/>
  <c r="DY123" i="7"/>
  <c r="DW123" i="7"/>
  <c r="DU123" i="7"/>
  <c r="DS123" i="7"/>
  <c r="DR123" i="7"/>
  <c r="DP123" i="7"/>
  <c r="DN123" i="7"/>
  <c r="DM123" i="7"/>
  <c r="DK123" i="7"/>
  <c r="DI123" i="7"/>
  <c r="DH123" i="7"/>
  <c r="DF123" i="7"/>
  <c r="DD123" i="7"/>
  <c r="DC123" i="7"/>
  <c r="DA123" i="7"/>
  <c r="CY123" i="7"/>
  <c r="CX123" i="7"/>
  <c r="CV123" i="7"/>
  <c r="CT123" i="7"/>
  <c r="CS123" i="7"/>
  <c r="CR123" i="7"/>
  <c r="CQ123" i="7"/>
  <c r="CP123" i="7"/>
  <c r="CO123" i="7"/>
  <c r="CN123" i="7"/>
  <c r="CM123" i="7"/>
  <c r="CL123" i="7"/>
  <c r="CK123" i="7"/>
  <c r="CI123" i="7"/>
  <c r="CJ123" i="7" s="1"/>
  <c r="CH123" i="7"/>
  <c r="CG123" i="7"/>
  <c r="CE123" i="7"/>
  <c r="CF123" i="7" s="1"/>
  <c r="CD123" i="7"/>
  <c r="CC123" i="7"/>
  <c r="CA123" i="7"/>
  <c r="CB123" i="7" s="1"/>
  <c r="BZ123" i="7"/>
  <c r="BY123" i="7"/>
  <c r="BX123" i="7"/>
  <c r="BW123" i="7"/>
  <c r="BV123" i="7"/>
  <c r="BU123" i="7"/>
  <c r="BS123" i="7"/>
  <c r="BT123" i="7" s="1"/>
  <c r="BR123" i="7"/>
  <c r="BQ123" i="7"/>
  <c r="BO123" i="7"/>
  <c r="BP123" i="7" s="1"/>
  <c r="BN123" i="7"/>
  <c r="BM123" i="7"/>
  <c r="BK123" i="7"/>
  <c r="BL123" i="7" s="1"/>
  <c r="BJ123" i="7"/>
  <c r="BI123" i="7"/>
  <c r="BG123" i="7"/>
  <c r="BH123" i="7" s="1"/>
  <c r="BF123" i="7"/>
  <c r="BE123" i="7"/>
  <c r="BC123" i="7"/>
  <c r="BD123" i="7" s="1"/>
  <c r="BB123" i="7"/>
  <c r="AZ123" i="7"/>
  <c r="AX123" i="7"/>
  <c r="AW123" i="7"/>
  <c r="AV123" i="7"/>
  <c r="AU123" i="7"/>
  <c r="AT123" i="7"/>
  <c r="AS123" i="7"/>
  <c r="AR123" i="7"/>
  <c r="AQ123" i="7"/>
  <c r="AP123" i="7"/>
  <c r="AO123" i="7"/>
  <c r="AN123" i="7"/>
  <c r="AM123"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L123" i="7"/>
  <c r="K123" i="7"/>
  <c r="J123" i="7"/>
  <c r="I123" i="7"/>
  <c r="H123" i="7"/>
  <c r="G123" i="7"/>
  <c r="F123" i="7"/>
  <c r="D123" i="7"/>
  <c r="C123" i="7"/>
  <c r="B123" i="7"/>
  <c r="FQ122" i="7"/>
  <c r="FO122" i="7"/>
  <c r="FM122" i="7"/>
  <c r="FL122" i="7"/>
  <c r="FJ122" i="7"/>
  <c r="FH122" i="7"/>
  <c r="FG122" i="7"/>
  <c r="FE122" i="7"/>
  <c r="FC122" i="7"/>
  <c r="EZ122" i="7"/>
  <c r="EY122" i="7"/>
  <c r="EX122" i="7"/>
  <c r="EW122" i="7"/>
  <c r="EV122" i="7"/>
  <c r="EU122" i="7"/>
  <c r="ET122" i="7"/>
  <c r="ES122" i="7"/>
  <c r="ER122" i="7"/>
  <c r="EQ122" i="7"/>
  <c r="EP122" i="7"/>
  <c r="EO122" i="7"/>
  <c r="EN122" i="7"/>
  <c r="EM122" i="7"/>
  <c r="EI122" i="7"/>
  <c r="EG122" i="7"/>
  <c r="EE122" i="7"/>
  <c r="EC122" i="7"/>
  <c r="EA122" i="7"/>
  <c r="DY122" i="7"/>
  <c r="DW122" i="7"/>
  <c r="DU122" i="7"/>
  <c r="DS122" i="7"/>
  <c r="DR122" i="7"/>
  <c r="DP122" i="7"/>
  <c r="DN122" i="7"/>
  <c r="DM122" i="7"/>
  <c r="DK122" i="7"/>
  <c r="DI122" i="7"/>
  <c r="DH122" i="7"/>
  <c r="DF122" i="7"/>
  <c r="DD122" i="7"/>
  <c r="DC122" i="7"/>
  <c r="DA122" i="7"/>
  <c r="CY122" i="7"/>
  <c r="CX122" i="7"/>
  <c r="CV122" i="7"/>
  <c r="CT122" i="7"/>
  <c r="CS122" i="7"/>
  <c r="CR122" i="7"/>
  <c r="CQ122" i="7"/>
  <c r="CP122" i="7"/>
  <c r="CO122" i="7"/>
  <c r="CN122" i="7"/>
  <c r="CM122" i="7"/>
  <c r="CL122" i="7"/>
  <c r="CK122" i="7"/>
  <c r="CI122" i="7"/>
  <c r="CJ122" i="7" s="1"/>
  <c r="CH122" i="7"/>
  <c r="CG122" i="7"/>
  <c r="CE122" i="7"/>
  <c r="CF122" i="7" s="1"/>
  <c r="CD122" i="7"/>
  <c r="CC122" i="7"/>
  <c r="CA122" i="7"/>
  <c r="CB122" i="7" s="1"/>
  <c r="BZ122" i="7"/>
  <c r="BY122" i="7"/>
  <c r="BW122" i="7"/>
  <c r="BX122" i="7" s="1"/>
  <c r="BV122" i="7"/>
  <c r="BU122" i="7"/>
  <c r="BS122" i="7"/>
  <c r="BT122" i="7" s="1"/>
  <c r="BR122" i="7"/>
  <c r="BQ122" i="7"/>
  <c r="BO122" i="7"/>
  <c r="BP122" i="7" s="1"/>
  <c r="BN122" i="7"/>
  <c r="BM122" i="7"/>
  <c r="BK122" i="7"/>
  <c r="BL122" i="7" s="1"/>
  <c r="BJ122" i="7"/>
  <c r="BI122" i="7"/>
  <c r="BG122" i="7"/>
  <c r="BH122" i="7" s="1"/>
  <c r="BF122" i="7"/>
  <c r="BE122" i="7"/>
  <c r="BC122" i="7"/>
  <c r="BD122" i="7" s="1"/>
  <c r="BB122" i="7"/>
  <c r="AZ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K122" i="7"/>
  <c r="J122" i="7"/>
  <c r="I122" i="7"/>
  <c r="H122" i="7"/>
  <c r="G122" i="7"/>
  <c r="F122" i="7"/>
  <c r="D122" i="7"/>
  <c r="C122" i="7"/>
  <c r="B122" i="7"/>
  <c r="FQ121" i="7"/>
  <c r="FO121" i="7"/>
  <c r="FM121" i="7"/>
  <c r="FL121" i="7"/>
  <c r="FJ121" i="7"/>
  <c r="FH121" i="7"/>
  <c r="FG121" i="7"/>
  <c r="FE121" i="7"/>
  <c r="FC121" i="7"/>
  <c r="EZ121" i="7"/>
  <c r="EY121" i="7"/>
  <c r="EX121" i="7"/>
  <c r="EW121" i="7"/>
  <c r="EV121" i="7"/>
  <c r="EU121" i="7"/>
  <c r="ET121" i="7"/>
  <c r="ES121" i="7"/>
  <c r="ER121" i="7"/>
  <c r="EQ121" i="7"/>
  <c r="EP121" i="7"/>
  <c r="EO121" i="7"/>
  <c r="EN121" i="7"/>
  <c r="EM121" i="7"/>
  <c r="EI121" i="7"/>
  <c r="EG121" i="7"/>
  <c r="EE121" i="7"/>
  <c r="EC121" i="7"/>
  <c r="EA121" i="7"/>
  <c r="DY121" i="7"/>
  <c r="DW121" i="7"/>
  <c r="DU121" i="7"/>
  <c r="DS121" i="7"/>
  <c r="DR121" i="7"/>
  <c r="DP121" i="7"/>
  <c r="DN121" i="7"/>
  <c r="DM121" i="7"/>
  <c r="DK121" i="7"/>
  <c r="DI121" i="7"/>
  <c r="DH121" i="7"/>
  <c r="DF121" i="7"/>
  <c r="DD121" i="7"/>
  <c r="DC121" i="7"/>
  <c r="DA121" i="7"/>
  <c r="CY121" i="7"/>
  <c r="CX121" i="7"/>
  <c r="CV121" i="7"/>
  <c r="CT121" i="7"/>
  <c r="CS121" i="7"/>
  <c r="CR121" i="7"/>
  <c r="CQ121" i="7"/>
  <c r="CP121" i="7"/>
  <c r="CO121" i="7"/>
  <c r="CN121" i="7"/>
  <c r="CM121" i="7"/>
  <c r="CL121" i="7"/>
  <c r="CK121" i="7"/>
  <c r="CI121" i="7"/>
  <c r="CJ121" i="7" s="1"/>
  <c r="CH121" i="7"/>
  <c r="CG121" i="7"/>
  <c r="CE121" i="7"/>
  <c r="CF121" i="7" s="1"/>
  <c r="CD121" i="7"/>
  <c r="CC121" i="7"/>
  <c r="CA121" i="7"/>
  <c r="CB121" i="7" s="1"/>
  <c r="BZ121" i="7"/>
  <c r="BY121" i="7"/>
  <c r="BW121" i="7"/>
  <c r="BX121" i="7" s="1"/>
  <c r="BV121" i="7"/>
  <c r="BU121" i="7"/>
  <c r="BS121" i="7"/>
  <c r="BT121" i="7" s="1"/>
  <c r="BR121" i="7"/>
  <c r="BQ121" i="7"/>
  <c r="BO121" i="7"/>
  <c r="BP121" i="7" s="1"/>
  <c r="BN121" i="7"/>
  <c r="BM121" i="7"/>
  <c r="BK121" i="7"/>
  <c r="BL121" i="7" s="1"/>
  <c r="BJ121" i="7"/>
  <c r="BI121" i="7"/>
  <c r="BG121" i="7"/>
  <c r="BH121" i="7" s="1"/>
  <c r="BF121" i="7"/>
  <c r="BE121" i="7"/>
  <c r="BC121" i="7"/>
  <c r="BD121" i="7" s="1"/>
  <c r="BB121" i="7"/>
  <c r="AZ121" i="7"/>
  <c r="AX121" i="7"/>
  <c r="AW121" i="7"/>
  <c r="AV121" i="7"/>
  <c r="AU121" i="7"/>
  <c r="AT121" i="7"/>
  <c r="AS121" i="7"/>
  <c r="AR121" i="7"/>
  <c r="AQ121" i="7"/>
  <c r="AP121" i="7"/>
  <c r="AO121" i="7"/>
  <c r="AN121" i="7"/>
  <c r="AM121"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J121" i="7"/>
  <c r="I121" i="7"/>
  <c r="H121" i="7"/>
  <c r="G121" i="7"/>
  <c r="F121" i="7"/>
  <c r="D121" i="7"/>
  <c r="C121" i="7"/>
  <c r="B121" i="7"/>
  <c r="FQ120" i="7"/>
  <c r="FO120" i="7"/>
  <c r="FM120" i="7"/>
  <c r="FL120" i="7"/>
  <c r="FJ120" i="7"/>
  <c r="FH120" i="7"/>
  <c r="FG120" i="7"/>
  <c r="FE120" i="7"/>
  <c r="FC120" i="7"/>
  <c r="EZ120" i="7"/>
  <c r="EY120" i="7"/>
  <c r="EX120" i="7"/>
  <c r="EW120" i="7"/>
  <c r="EV120" i="7"/>
  <c r="EU120" i="7"/>
  <c r="ET120" i="7"/>
  <c r="ES120" i="7"/>
  <c r="ER120" i="7"/>
  <c r="EQ120" i="7"/>
  <c r="EP120" i="7"/>
  <c r="EO120" i="7"/>
  <c r="EN120" i="7"/>
  <c r="EM120" i="7"/>
  <c r="EI120" i="7"/>
  <c r="EG120" i="7"/>
  <c r="EE120" i="7"/>
  <c r="EC120" i="7"/>
  <c r="EA120" i="7"/>
  <c r="DY120" i="7"/>
  <c r="DW120" i="7"/>
  <c r="DU120" i="7"/>
  <c r="DS120" i="7"/>
  <c r="DR120" i="7"/>
  <c r="DP120" i="7"/>
  <c r="DN120" i="7"/>
  <c r="DM120" i="7"/>
  <c r="DK120" i="7"/>
  <c r="DI120" i="7"/>
  <c r="DH120" i="7"/>
  <c r="DF120" i="7"/>
  <c r="DD120" i="7"/>
  <c r="DC120" i="7"/>
  <c r="DA120" i="7"/>
  <c r="CY120" i="7"/>
  <c r="CX120" i="7"/>
  <c r="CV120" i="7"/>
  <c r="CT120" i="7"/>
  <c r="CS120" i="7"/>
  <c r="CR120" i="7"/>
  <c r="CQ120" i="7"/>
  <c r="CP120" i="7"/>
  <c r="CO120" i="7"/>
  <c r="CN120" i="7"/>
  <c r="CM120" i="7"/>
  <c r="CL120" i="7"/>
  <c r="CK120" i="7"/>
  <c r="CI120" i="7"/>
  <c r="CJ120" i="7" s="1"/>
  <c r="CH120" i="7"/>
  <c r="CG120" i="7"/>
  <c r="CE120" i="7"/>
  <c r="CF120" i="7" s="1"/>
  <c r="CD120" i="7"/>
  <c r="CC120" i="7"/>
  <c r="CA120" i="7"/>
  <c r="CB120" i="7" s="1"/>
  <c r="BZ120" i="7"/>
  <c r="BY120" i="7"/>
  <c r="BW120" i="7"/>
  <c r="BX120" i="7" s="1"/>
  <c r="BV120" i="7"/>
  <c r="BU120" i="7"/>
  <c r="BS120" i="7"/>
  <c r="BT120" i="7" s="1"/>
  <c r="BR120" i="7"/>
  <c r="BQ120" i="7"/>
  <c r="BO120" i="7"/>
  <c r="BP120" i="7" s="1"/>
  <c r="BN120" i="7"/>
  <c r="BM120" i="7"/>
  <c r="BK120" i="7"/>
  <c r="BL120" i="7" s="1"/>
  <c r="BJ120" i="7"/>
  <c r="BI120" i="7"/>
  <c r="BG120" i="7"/>
  <c r="BH120" i="7" s="1"/>
  <c r="BF120" i="7"/>
  <c r="BE120" i="7"/>
  <c r="BC120" i="7"/>
  <c r="BD120" i="7" s="1"/>
  <c r="BB120" i="7"/>
  <c r="AZ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I120" i="7"/>
  <c r="H120" i="7"/>
  <c r="G120" i="7"/>
  <c r="F120" i="7"/>
  <c r="D120" i="7"/>
  <c r="C120" i="7"/>
  <c r="B120" i="7"/>
  <c r="FQ119" i="7"/>
  <c r="FO119" i="7"/>
  <c r="FM119" i="7"/>
  <c r="FL119" i="7"/>
  <c r="FJ119" i="7"/>
  <c r="FH119" i="7"/>
  <c r="FG119" i="7"/>
  <c r="FE119" i="7"/>
  <c r="FC119" i="7"/>
  <c r="EZ119" i="7"/>
  <c r="EY119" i="7"/>
  <c r="EX119" i="7"/>
  <c r="EW119" i="7"/>
  <c r="EV119" i="7"/>
  <c r="EU119" i="7"/>
  <c r="ET119" i="7"/>
  <c r="ES119" i="7"/>
  <c r="ER119" i="7"/>
  <c r="EQ119" i="7"/>
  <c r="EP119" i="7"/>
  <c r="EO119" i="7"/>
  <c r="EN119" i="7"/>
  <c r="EM119" i="7"/>
  <c r="EI119" i="7"/>
  <c r="EG119" i="7"/>
  <c r="EE119" i="7"/>
  <c r="EC119" i="7"/>
  <c r="EA119" i="7"/>
  <c r="DY119" i="7"/>
  <c r="DW119" i="7"/>
  <c r="DU119" i="7"/>
  <c r="DS119" i="7"/>
  <c r="DR119" i="7"/>
  <c r="DP119" i="7"/>
  <c r="DN119" i="7"/>
  <c r="DM119" i="7"/>
  <c r="DK119" i="7"/>
  <c r="DI119" i="7"/>
  <c r="DH119" i="7"/>
  <c r="DF119" i="7"/>
  <c r="DD119" i="7"/>
  <c r="DC119" i="7"/>
  <c r="DA119" i="7"/>
  <c r="CY119" i="7"/>
  <c r="CX119" i="7"/>
  <c r="CV119" i="7"/>
  <c r="CT119" i="7"/>
  <c r="CS119" i="7"/>
  <c r="CR119" i="7"/>
  <c r="CQ119" i="7"/>
  <c r="CP119" i="7"/>
  <c r="CO119" i="7"/>
  <c r="CN119" i="7"/>
  <c r="CM119" i="7"/>
  <c r="CL119" i="7"/>
  <c r="CK119" i="7"/>
  <c r="CI119" i="7"/>
  <c r="CJ119" i="7" s="1"/>
  <c r="CH119" i="7"/>
  <c r="CG119" i="7"/>
  <c r="CE119" i="7"/>
  <c r="CF119" i="7" s="1"/>
  <c r="CD119" i="7"/>
  <c r="CC119" i="7"/>
  <c r="CA119" i="7"/>
  <c r="CB119" i="7" s="1"/>
  <c r="BZ119" i="7"/>
  <c r="BY119" i="7"/>
  <c r="BW119" i="7"/>
  <c r="BX119" i="7" s="1"/>
  <c r="BV119" i="7"/>
  <c r="BU119" i="7"/>
  <c r="BS119" i="7"/>
  <c r="BT119" i="7" s="1"/>
  <c r="BR119" i="7"/>
  <c r="BQ119" i="7"/>
  <c r="BO119" i="7"/>
  <c r="BP119" i="7" s="1"/>
  <c r="BN119" i="7"/>
  <c r="BM119" i="7"/>
  <c r="BK119" i="7"/>
  <c r="BL119" i="7" s="1"/>
  <c r="BJ119" i="7"/>
  <c r="BI119" i="7"/>
  <c r="BG119" i="7"/>
  <c r="BH119" i="7" s="1"/>
  <c r="BF119" i="7"/>
  <c r="BE119" i="7"/>
  <c r="BC119" i="7"/>
  <c r="BD119" i="7" s="1"/>
  <c r="BB119" i="7"/>
  <c r="AZ119" i="7"/>
  <c r="AX119" i="7"/>
  <c r="AW119" i="7"/>
  <c r="AV119" i="7"/>
  <c r="AU119" i="7"/>
  <c r="AT119" i="7"/>
  <c r="AS119" i="7"/>
  <c r="AR119" i="7"/>
  <c r="AQ119" i="7"/>
  <c r="AP119" i="7"/>
  <c r="AO119" i="7"/>
  <c r="AN119" i="7"/>
  <c r="AM119"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H119" i="7"/>
  <c r="G119" i="7"/>
  <c r="F119" i="7"/>
  <c r="D119" i="7"/>
  <c r="C119" i="7"/>
  <c r="B119" i="7"/>
  <c r="FQ118" i="7"/>
  <c r="FO118" i="7"/>
  <c r="FM118" i="7"/>
  <c r="FL118" i="7"/>
  <c r="FJ118" i="7"/>
  <c r="FH118" i="7"/>
  <c r="FG118" i="7"/>
  <c r="FE118" i="7"/>
  <c r="FC118" i="7"/>
  <c r="EZ118" i="7"/>
  <c r="EY118" i="7"/>
  <c r="EX118" i="7"/>
  <c r="EW118" i="7"/>
  <c r="EV118" i="7"/>
  <c r="EU118" i="7"/>
  <c r="ET118" i="7"/>
  <c r="ES118" i="7"/>
  <c r="ER118" i="7"/>
  <c r="EQ118" i="7"/>
  <c r="EP118" i="7"/>
  <c r="EO118" i="7"/>
  <c r="EN118" i="7"/>
  <c r="EM118" i="7"/>
  <c r="EI118" i="7"/>
  <c r="EG118" i="7"/>
  <c r="EE118" i="7"/>
  <c r="EC118" i="7"/>
  <c r="EA118" i="7"/>
  <c r="DY118" i="7"/>
  <c r="DW118" i="7"/>
  <c r="DU118" i="7"/>
  <c r="DS118" i="7"/>
  <c r="DR118" i="7"/>
  <c r="DP118" i="7"/>
  <c r="DN118" i="7"/>
  <c r="DM118" i="7"/>
  <c r="DK118" i="7"/>
  <c r="DI118" i="7"/>
  <c r="DH118" i="7"/>
  <c r="DF118" i="7"/>
  <c r="DD118" i="7"/>
  <c r="DC118" i="7"/>
  <c r="DA118" i="7"/>
  <c r="CY118" i="7"/>
  <c r="CX118" i="7"/>
  <c r="CV118" i="7"/>
  <c r="CT118" i="7"/>
  <c r="CS118" i="7"/>
  <c r="CR118" i="7"/>
  <c r="CQ118" i="7"/>
  <c r="CP118" i="7"/>
  <c r="CO118" i="7"/>
  <c r="CN118" i="7"/>
  <c r="CM118" i="7"/>
  <c r="CL118" i="7"/>
  <c r="CK118" i="7"/>
  <c r="CI118" i="7"/>
  <c r="CJ118" i="7" s="1"/>
  <c r="CH118" i="7"/>
  <c r="CG118" i="7"/>
  <c r="CE118" i="7"/>
  <c r="CF118" i="7" s="1"/>
  <c r="CD118" i="7"/>
  <c r="CC118" i="7"/>
  <c r="CA118" i="7"/>
  <c r="CB118" i="7" s="1"/>
  <c r="BZ118" i="7"/>
  <c r="BY118" i="7"/>
  <c r="BW118" i="7"/>
  <c r="BX118" i="7" s="1"/>
  <c r="BV118" i="7"/>
  <c r="BU118" i="7"/>
  <c r="BS118" i="7"/>
  <c r="BT118" i="7" s="1"/>
  <c r="BR118" i="7"/>
  <c r="BQ118" i="7"/>
  <c r="BO118" i="7"/>
  <c r="BP118" i="7" s="1"/>
  <c r="BN118" i="7"/>
  <c r="BM118" i="7"/>
  <c r="BK118" i="7"/>
  <c r="BL118" i="7" s="1"/>
  <c r="BJ118" i="7"/>
  <c r="BI118" i="7"/>
  <c r="BG118" i="7"/>
  <c r="BH118" i="7" s="1"/>
  <c r="BF118" i="7"/>
  <c r="BE118" i="7"/>
  <c r="BC118" i="7"/>
  <c r="BD118" i="7" s="1"/>
  <c r="BB118" i="7"/>
  <c r="AZ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G118" i="7"/>
  <c r="F118" i="7"/>
  <c r="D118" i="7"/>
  <c r="C118" i="7"/>
  <c r="B118" i="7"/>
  <c r="FQ117" i="7"/>
  <c r="FO117" i="7"/>
  <c r="FM117" i="7"/>
  <c r="FL117" i="7"/>
  <c r="FJ117" i="7"/>
  <c r="FH117" i="7"/>
  <c r="FG117" i="7"/>
  <c r="FE117" i="7"/>
  <c r="FC117" i="7"/>
  <c r="EZ117" i="7"/>
  <c r="EY117" i="7"/>
  <c r="EX117" i="7"/>
  <c r="EW117" i="7"/>
  <c r="EV117" i="7"/>
  <c r="EU117" i="7"/>
  <c r="ET117" i="7"/>
  <c r="ES117" i="7"/>
  <c r="ER117" i="7"/>
  <c r="EQ117" i="7"/>
  <c r="EP117" i="7"/>
  <c r="EO117" i="7"/>
  <c r="EN117" i="7"/>
  <c r="EM117" i="7"/>
  <c r="EI117" i="7"/>
  <c r="EG117" i="7"/>
  <c r="EE117" i="7"/>
  <c r="EC117" i="7"/>
  <c r="EA117" i="7"/>
  <c r="DY117" i="7"/>
  <c r="DW117" i="7"/>
  <c r="DU117" i="7"/>
  <c r="DS117" i="7"/>
  <c r="DR117" i="7"/>
  <c r="DP117" i="7"/>
  <c r="DN117" i="7"/>
  <c r="DM117" i="7"/>
  <c r="DK117" i="7"/>
  <c r="DI117" i="7"/>
  <c r="DH117" i="7"/>
  <c r="DF117" i="7"/>
  <c r="DD117" i="7"/>
  <c r="DC117" i="7"/>
  <c r="DA117" i="7"/>
  <c r="CY117" i="7"/>
  <c r="CX117" i="7"/>
  <c r="CV117" i="7"/>
  <c r="CT117" i="7"/>
  <c r="CS117" i="7"/>
  <c r="CR117" i="7"/>
  <c r="CQ117" i="7"/>
  <c r="CP117" i="7"/>
  <c r="CO117" i="7"/>
  <c r="CN117" i="7"/>
  <c r="CM117" i="7"/>
  <c r="CL117" i="7"/>
  <c r="CK117" i="7"/>
  <c r="CI117" i="7"/>
  <c r="CJ117" i="7" s="1"/>
  <c r="CH117" i="7"/>
  <c r="CG117" i="7"/>
  <c r="CE117" i="7"/>
  <c r="CF117" i="7" s="1"/>
  <c r="CD117" i="7"/>
  <c r="CC117" i="7"/>
  <c r="CA117" i="7"/>
  <c r="CB117" i="7" s="1"/>
  <c r="BZ117" i="7"/>
  <c r="BY117" i="7"/>
  <c r="BW117" i="7"/>
  <c r="BX117" i="7" s="1"/>
  <c r="BV117" i="7"/>
  <c r="BU117" i="7"/>
  <c r="BS117" i="7"/>
  <c r="BT117" i="7" s="1"/>
  <c r="BR117" i="7"/>
  <c r="BQ117" i="7"/>
  <c r="BO117" i="7"/>
  <c r="BP117" i="7" s="1"/>
  <c r="BN117" i="7"/>
  <c r="BM117" i="7"/>
  <c r="BK117" i="7"/>
  <c r="BL117" i="7" s="1"/>
  <c r="BJ117" i="7"/>
  <c r="BI117" i="7"/>
  <c r="BG117" i="7"/>
  <c r="BH117" i="7" s="1"/>
  <c r="BF117" i="7"/>
  <c r="BE117" i="7"/>
  <c r="BC117" i="7"/>
  <c r="BD117" i="7" s="1"/>
  <c r="BB117" i="7"/>
  <c r="AZ117" i="7"/>
  <c r="AX117" i="7"/>
  <c r="AW117" i="7"/>
  <c r="AV117" i="7"/>
  <c r="AU117" i="7"/>
  <c r="AT117" i="7"/>
  <c r="AS117" i="7"/>
  <c r="AR117" i="7"/>
  <c r="AQ117" i="7"/>
  <c r="AP117" i="7"/>
  <c r="AO117" i="7"/>
  <c r="AN117" i="7"/>
  <c r="AM117"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J117" i="7"/>
  <c r="I117" i="7"/>
  <c r="H117" i="7"/>
  <c r="G117" i="7"/>
  <c r="F117" i="7"/>
  <c r="D117" i="7"/>
  <c r="C117" i="7"/>
  <c r="B117" i="7"/>
  <c r="FQ116" i="7"/>
  <c r="FO116" i="7"/>
  <c r="FM116" i="7"/>
  <c r="FL116" i="7"/>
  <c r="FJ116" i="7"/>
  <c r="FH116" i="7"/>
  <c r="FG116" i="7"/>
  <c r="FE116" i="7"/>
  <c r="FC116" i="7"/>
  <c r="EZ116" i="7"/>
  <c r="EY116" i="7"/>
  <c r="EX116" i="7"/>
  <c r="EW116" i="7"/>
  <c r="EV116" i="7"/>
  <c r="EU116" i="7"/>
  <c r="ET116" i="7"/>
  <c r="ES116" i="7"/>
  <c r="ER116" i="7"/>
  <c r="EQ116" i="7"/>
  <c r="EP116" i="7"/>
  <c r="EO116" i="7"/>
  <c r="EN116" i="7"/>
  <c r="EM116" i="7"/>
  <c r="EI116" i="7"/>
  <c r="EG116" i="7"/>
  <c r="EE116" i="7"/>
  <c r="EC116" i="7"/>
  <c r="EA116" i="7"/>
  <c r="DY116" i="7"/>
  <c r="DW116" i="7"/>
  <c r="DU116" i="7"/>
  <c r="DS116" i="7"/>
  <c r="DR116" i="7"/>
  <c r="DP116" i="7"/>
  <c r="DN116" i="7"/>
  <c r="DM116" i="7"/>
  <c r="DK116" i="7"/>
  <c r="DI116" i="7"/>
  <c r="DH116" i="7"/>
  <c r="DF116" i="7"/>
  <c r="DD116" i="7"/>
  <c r="DC116" i="7"/>
  <c r="DA116" i="7"/>
  <c r="CY116" i="7"/>
  <c r="CX116" i="7"/>
  <c r="CV116" i="7"/>
  <c r="CT116" i="7"/>
  <c r="CS116" i="7"/>
  <c r="CR116" i="7"/>
  <c r="CQ116" i="7"/>
  <c r="CP116" i="7"/>
  <c r="CO116" i="7"/>
  <c r="CN116" i="7"/>
  <c r="CM116" i="7"/>
  <c r="CL116" i="7"/>
  <c r="CK116" i="7"/>
  <c r="CI116" i="7"/>
  <c r="CJ116" i="7" s="1"/>
  <c r="CH116" i="7"/>
  <c r="CG116" i="7"/>
  <c r="CE116" i="7"/>
  <c r="CF116" i="7" s="1"/>
  <c r="CD116" i="7"/>
  <c r="CC116" i="7"/>
  <c r="CA116" i="7"/>
  <c r="CB116" i="7" s="1"/>
  <c r="BZ116" i="7"/>
  <c r="BY116" i="7"/>
  <c r="BW116" i="7"/>
  <c r="BX116" i="7" s="1"/>
  <c r="BV116" i="7"/>
  <c r="BU116" i="7"/>
  <c r="BS116" i="7"/>
  <c r="BT116" i="7" s="1"/>
  <c r="BR116" i="7"/>
  <c r="BQ116" i="7"/>
  <c r="BO116" i="7"/>
  <c r="BP116" i="7" s="1"/>
  <c r="BN116" i="7"/>
  <c r="BM116" i="7"/>
  <c r="BK116" i="7"/>
  <c r="BL116" i="7" s="1"/>
  <c r="BJ116" i="7"/>
  <c r="BI116" i="7"/>
  <c r="BG116" i="7"/>
  <c r="BH116" i="7" s="1"/>
  <c r="BF116" i="7"/>
  <c r="BE116" i="7"/>
  <c r="BC116" i="7"/>
  <c r="BD116" i="7" s="1"/>
  <c r="BB116" i="7"/>
  <c r="AZ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H116" i="7"/>
  <c r="G116" i="7"/>
  <c r="F116" i="7"/>
  <c r="D116" i="7"/>
  <c r="C116" i="7"/>
  <c r="B116" i="7"/>
  <c r="FQ115" i="7"/>
  <c r="FO115" i="7"/>
  <c r="FM115" i="7"/>
  <c r="FL115" i="7"/>
  <c r="FJ115" i="7"/>
  <c r="FH115" i="7"/>
  <c r="FG115" i="7"/>
  <c r="FE115" i="7"/>
  <c r="FC115" i="7"/>
  <c r="EZ115" i="7"/>
  <c r="EY115" i="7"/>
  <c r="EX115" i="7"/>
  <c r="EW115" i="7"/>
  <c r="EV115" i="7"/>
  <c r="EU115" i="7"/>
  <c r="ET115" i="7"/>
  <c r="ES115" i="7"/>
  <c r="ER115" i="7"/>
  <c r="EQ115" i="7"/>
  <c r="EP115" i="7"/>
  <c r="EO115" i="7"/>
  <c r="EN115" i="7"/>
  <c r="EM115" i="7"/>
  <c r="EI115" i="7"/>
  <c r="EG115" i="7"/>
  <c r="EE115" i="7"/>
  <c r="EC115" i="7"/>
  <c r="EA115" i="7"/>
  <c r="DY115" i="7"/>
  <c r="DW115" i="7"/>
  <c r="DU115" i="7"/>
  <c r="DS115" i="7"/>
  <c r="DR115" i="7"/>
  <c r="DP115" i="7"/>
  <c r="DN115" i="7"/>
  <c r="DM115" i="7"/>
  <c r="DK115" i="7"/>
  <c r="DI115" i="7"/>
  <c r="DH115" i="7"/>
  <c r="DF115" i="7"/>
  <c r="DD115" i="7"/>
  <c r="DC115" i="7"/>
  <c r="DA115" i="7"/>
  <c r="CY115" i="7"/>
  <c r="CX115" i="7"/>
  <c r="CV115" i="7"/>
  <c r="CT115" i="7"/>
  <c r="CS115" i="7"/>
  <c r="CR115" i="7"/>
  <c r="CQ115" i="7"/>
  <c r="CP115" i="7"/>
  <c r="CO115" i="7"/>
  <c r="CN115" i="7"/>
  <c r="CM115" i="7"/>
  <c r="CL115" i="7"/>
  <c r="CK115" i="7"/>
  <c r="CI115" i="7"/>
  <c r="CJ115" i="7" s="1"/>
  <c r="CH115" i="7"/>
  <c r="CG115" i="7"/>
  <c r="CE115" i="7"/>
  <c r="CF115" i="7" s="1"/>
  <c r="CD115" i="7"/>
  <c r="CC115" i="7"/>
  <c r="CA115" i="7"/>
  <c r="CB115" i="7" s="1"/>
  <c r="BZ115" i="7"/>
  <c r="BY115" i="7"/>
  <c r="BW115" i="7"/>
  <c r="BX115" i="7" s="1"/>
  <c r="BV115" i="7"/>
  <c r="BU115" i="7"/>
  <c r="BS115" i="7"/>
  <c r="BT115" i="7" s="1"/>
  <c r="BR115" i="7"/>
  <c r="BQ115" i="7"/>
  <c r="BO115" i="7"/>
  <c r="BP115" i="7" s="1"/>
  <c r="BN115" i="7"/>
  <c r="BM115" i="7"/>
  <c r="BK115" i="7"/>
  <c r="BL115" i="7" s="1"/>
  <c r="BJ115" i="7"/>
  <c r="BI115" i="7"/>
  <c r="BG115" i="7"/>
  <c r="BH115" i="7" s="1"/>
  <c r="BF115" i="7"/>
  <c r="BE115" i="7"/>
  <c r="BC115" i="7"/>
  <c r="BD115" i="7" s="1"/>
  <c r="BB115" i="7"/>
  <c r="AZ115" i="7"/>
  <c r="AX115" i="7"/>
  <c r="AW115" i="7"/>
  <c r="AV115" i="7"/>
  <c r="AU115" i="7"/>
  <c r="AT115" i="7"/>
  <c r="AS115" i="7"/>
  <c r="AR115" i="7"/>
  <c r="AQ115" i="7"/>
  <c r="AP115" i="7"/>
  <c r="AO115" i="7"/>
  <c r="AN115" i="7"/>
  <c r="AM115"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F115" i="7"/>
  <c r="D115" i="7"/>
  <c r="C115" i="7"/>
  <c r="B115" i="7"/>
  <c r="FQ114" i="7"/>
  <c r="FO114" i="7"/>
  <c r="FM114" i="7"/>
  <c r="FL114" i="7"/>
  <c r="FJ114" i="7"/>
  <c r="FH114" i="7"/>
  <c r="FG114" i="7"/>
  <c r="FE114" i="7"/>
  <c r="FC114" i="7"/>
  <c r="EZ114" i="7"/>
  <c r="EY114" i="7"/>
  <c r="EX114" i="7"/>
  <c r="EW114" i="7"/>
  <c r="EV114" i="7"/>
  <c r="EU114" i="7"/>
  <c r="ET114" i="7"/>
  <c r="ES114" i="7"/>
  <c r="ER114" i="7"/>
  <c r="EQ114" i="7"/>
  <c r="EP114" i="7"/>
  <c r="EO114" i="7"/>
  <c r="EN114" i="7"/>
  <c r="EM114" i="7"/>
  <c r="EI114" i="7"/>
  <c r="EG114" i="7"/>
  <c r="EE114" i="7"/>
  <c r="EC114" i="7"/>
  <c r="EA114" i="7"/>
  <c r="DY114" i="7"/>
  <c r="DW114" i="7"/>
  <c r="DU114" i="7"/>
  <c r="DS114" i="7"/>
  <c r="DR114" i="7"/>
  <c r="DP114" i="7"/>
  <c r="DN114" i="7"/>
  <c r="DM114" i="7"/>
  <c r="DK114" i="7"/>
  <c r="DI114" i="7"/>
  <c r="DH114" i="7"/>
  <c r="DF114" i="7"/>
  <c r="DD114" i="7"/>
  <c r="DC114" i="7"/>
  <c r="DA114" i="7"/>
  <c r="CY114" i="7"/>
  <c r="CX114" i="7"/>
  <c r="CV114" i="7"/>
  <c r="CT114" i="7"/>
  <c r="CS114" i="7"/>
  <c r="CR114" i="7"/>
  <c r="CQ114" i="7"/>
  <c r="CP114" i="7"/>
  <c r="CO114" i="7"/>
  <c r="CN114" i="7"/>
  <c r="CM114" i="7"/>
  <c r="CL114" i="7"/>
  <c r="CK114" i="7"/>
  <c r="CI114" i="7"/>
  <c r="CJ114" i="7" s="1"/>
  <c r="CH114" i="7"/>
  <c r="CG114" i="7"/>
  <c r="CE114" i="7"/>
  <c r="CF114" i="7" s="1"/>
  <c r="CD114" i="7"/>
  <c r="CC114" i="7"/>
  <c r="CA114" i="7"/>
  <c r="CB114" i="7" s="1"/>
  <c r="BZ114" i="7"/>
  <c r="BY114" i="7"/>
  <c r="BW114" i="7"/>
  <c r="BX114" i="7" s="1"/>
  <c r="BV114" i="7"/>
  <c r="BU114" i="7"/>
  <c r="BS114" i="7"/>
  <c r="BT114" i="7" s="1"/>
  <c r="BR114" i="7"/>
  <c r="BQ114" i="7"/>
  <c r="BO114" i="7"/>
  <c r="BP114" i="7" s="1"/>
  <c r="BN114" i="7"/>
  <c r="BM114" i="7"/>
  <c r="BK114" i="7"/>
  <c r="BL114" i="7" s="1"/>
  <c r="BJ114" i="7"/>
  <c r="BI114" i="7"/>
  <c r="BG114" i="7"/>
  <c r="BH114" i="7" s="1"/>
  <c r="BF114" i="7"/>
  <c r="BE114" i="7"/>
  <c r="BC114" i="7"/>
  <c r="BD114" i="7" s="1"/>
  <c r="BB114" i="7"/>
  <c r="AZ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F114" i="7"/>
  <c r="D114" i="7"/>
  <c r="C114" i="7"/>
  <c r="B114" i="7"/>
  <c r="FQ113" i="7"/>
  <c r="FO113" i="7"/>
  <c r="FM113" i="7"/>
  <c r="FL113" i="7"/>
  <c r="FJ113" i="7"/>
  <c r="FH113" i="7"/>
  <c r="FG113" i="7"/>
  <c r="FE113" i="7"/>
  <c r="FC113" i="7"/>
  <c r="EZ113" i="7"/>
  <c r="EY113" i="7"/>
  <c r="EX113" i="7"/>
  <c r="EW113" i="7"/>
  <c r="EV113" i="7"/>
  <c r="EU113" i="7"/>
  <c r="ET113" i="7"/>
  <c r="ES113" i="7"/>
  <c r="ER113" i="7"/>
  <c r="EQ113" i="7"/>
  <c r="EP113" i="7"/>
  <c r="EO113" i="7"/>
  <c r="EN113" i="7"/>
  <c r="EM113" i="7"/>
  <c r="EI113" i="7"/>
  <c r="EG113" i="7"/>
  <c r="EE113" i="7"/>
  <c r="EC113" i="7"/>
  <c r="EA113" i="7"/>
  <c r="DY113" i="7"/>
  <c r="DW113" i="7"/>
  <c r="DU113" i="7"/>
  <c r="DS113" i="7"/>
  <c r="DR113" i="7"/>
  <c r="DP113" i="7"/>
  <c r="DN113" i="7"/>
  <c r="DM113" i="7"/>
  <c r="DK113" i="7"/>
  <c r="DI113" i="7"/>
  <c r="DH113" i="7"/>
  <c r="DF113" i="7"/>
  <c r="DD113" i="7"/>
  <c r="DC113" i="7"/>
  <c r="DA113" i="7"/>
  <c r="CY113" i="7"/>
  <c r="CX113" i="7"/>
  <c r="CV113" i="7"/>
  <c r="CT113" i="7"/>
  <c r="CS113" i="7"/>
  <c r="CR113" i="7"/>
  <c r="CQ113" i="7"/>
  <c r="CP113" i="7"/>
  <c r="CO113" i="7"/>
  <c r="CN113" i="7"/>
  <c r="CM113" i="7"/>
  <c r="CL113" i="7"/>
  <c r="CK113" i="7"/>
  <c r="CI113" i="7"/>
  <c r="CJ113" i="7" s="1"/>
  <c r="CH113" i="7"/>
  <c r="CG113" i="7"/>
  <c r="CE113" i="7"/>
  <c r="CF113" i="7" s="1"/>
  <c r="CD113" i="7"/>
  <c r="CC113" i="7"/>
  <c r="CA113" i="7"/>
  <c r="CB113" i="7" s="1"/>
  <c r="BZ113" i="7"/>
  <c r="BY113" i="7"/>
  <c r="BW113" i="7"/>
  <c r="BX113" i="7" s="1"/>
  <c r="BV113" i="7"/>
  <c r="BU113" i="7"/>
  <c r="BS113" i="7"/>
  <c r="BT113" i="7" s="1"/>
  <c r="BR113" i="7"/>
  <c r="BQ113" i="7"/>
  <c r="BO113" i="7"/>
  <c r="BP113" i="7" s="1"/>
  <c r="BN113" i="7"/>
  <c r="BM113" i="7"/>
  <c r="BK113" i="7"/>
  <c r="BL113" i="7" s="1"/>
  <c r="BJ113" i="7"/>
  <c r="BI113" i="7"/>
  <c r="BG113" i="7"/>
  <c r="BH113" i="7" s="1"/>
  <c r="BF113" i="7"/>
  <c r="BE113" i="7"/>
  <c r="BC113" i="7"/>
  <c r="BD113" i="7" s="1"/>
  <c r="BB113" i="7"/>
  <c r="AZ113" i="7"/>
  <c r="AX113" i="7"/>
  <c r="AW113" i="7"/>
  <c r="AV113" i="7"/>
  <c r="AU113" i="7"/>
  <c r="AT113" i="7"/>
  <c r="AS113" i="7"/>
  <c r="AR113" i="7"/>
  <c r="AQ113" i="7"/>
  <c r="AP113" i="7"/>
  <c r="AO113" i="7"/>
  <c r="AN113" i="7"/>
  <c r="AM113" i="7"/>
  <c r="AL113" i="7"/>
  <c r="AK113" i="7"/>
  <c r="AJ113" i="7"/>
  <c r="AI113" i="7"/>
  <c r="AH113" i="7"/>
  <c r="AG113" i="7"/>
  <c r="AF113" i="7"/>
  <c r="AE113" i="7"/>
  <c r="AD113" i="7"/>
  <c r="AC113" i="7"/>
  <c r="AB113" i="7"/>
  <c r="AA113" i="7"/>
  <c r="Z113" i="7"/>
  <c r="Y113" i="7"/>
  <c r="X113" i="7"/>
  <c r="W113" i="7"/>
  <c r="V113" i="7"/>
  <c r="U113" i="7"/>
  <c r="T113" i="7"/>
  <c r="S113" i="7"/>
  <c r="R113" i="7"/>
  <c r="Q113" i="7"/>
  <c r="P113" i="7"/>
  <c r="O113" i="7"/>
  <c r="N113" i="7"/>
  <c r="M113" i="7"/>
  <c r="L113" i="7"/>
  <c r="K113" i="7"/>
  <c r="J113" i="7"/>
  <c r="I113" i="7"/>
  <c r="H113" i="7"/>
  <c r="G113" i="7"/>
  <c r="F113" i="7"/>
  <c r="D113" i="7"/>
  <c r="C113" i="7"/>
  <c r="B113" i="7"/>
  <c r="FQ112" i="7"/>
  <c r="FO112" i="7"/>
  <c r="FM112" i="7"/>
  <c r="FL112" i="7"/>
  <c r="FJ112" i="7"/>
  <c r="FH112" i="7"/>
  <c r="FG112" i="7"/>
  <c r="FE112" i="7"/>
  <c r="FC112" i="7"/>
  <c r="EZ112" i="7"/>
  <c r="EY112" i="7"/>
  <c r="EX112" i="7"/>
  <c r="EW112" i="7"/>
  <c r="EV112" i="7"/>
  <c r="EU112" i="7"/>
  <c r="ET112" i="7"/>
  <c r="ES112" i="7"/>
  <c r="ER112" i="7"/>
  <c r="EQ112" i="7"/>
  <c r="EP112" i="7"/>
  <c r="EO112" i="7"/>
  <c r="EN112" i="7"/>
  <c r="EM112" i="7"/>
  <c r="EI112" i="7"/>
  <c r="EG112" i="7"/>
  <c r="EE112" i="7"/>
  <c r="EC112" i="7"/>
  <c r="EA112" i="7"/>
  <c r="DY112" i="7"/>
  <c r="DW112" i="7"/>
  <c r="DU112" i="7"/>
  <c r="DS112" i="7"/>
  <c r="DR112" i="7"/>
  <c r="DP112" i="7"/>
  <c r="DN112" i="7"/>
  <c r="DM112" i="7"/>
  <c r="DK112" i="7"/>
  <c r="DI112" i="7"/>
  <c r="DH112" i="7"/>
  <c r="DF112" i="7"/>
  <c r="DD112" i="7"/>
  <c r="DC112" i="7"/>
  <c r="DA112" i="7"/>
  <c r="CY112" i="7"/>
  <c r="CX112" i="7"/>
  <c r="CV112" i="7"/>
  <c r="CT112" i="7"/>
  <c r="CS112" i="7"/>
  <c r="CR112" i="7"/>
  <c r="CQ112" i="7"/>
  <c r="CP112" i="7"/>
  <c r="CO112" i="7"/>
  <c r="CN112" i="7"/>
  <c r="CM112" i="7"/>
  <c r="CL112" i="7"/>
  <c r="CK112" i="7"/>
  <c r="CI112" i="7"/>
  <c r="CJ112" i="7" s="1"/>
  <c r="CH112" i="7"/>
  <c r="CG112" i="7"/>
  <c r="CE112" i="7"/>
  <c r="CF112" i="7" s="1"/>
  <c r="CD112" i="7"/>
  <c r="CC112" i="7"/>
  <c r="CA112" i="7"/>
  <c r="CB112" i="7" s="1"/>
  <c r="BZ112" i="7"/>
  <c r="BY112" i="7"/>
  <c r="BW112" i="7"/>
  <c r="BX112" i="7" s="1"/>
  <c r="BV112" i="7"/>
  <c r="BU112" i="7"/>
  <c r="BS112" i="7"/>
  <c r="BT112" i="7" s="1"/>
  <c r="BR112" i="7"/>
  <c r="BQ112" i="7"/>
  <c r="BO112" i="7"/>
  <c r="BP112" i="7" s="1"/>
  <c r="BN112" i="7"/>
  <c r="BM112" i="7"/>
  <c r="BK112" i="7"/>
  <c r="BL112" i="7" s="1"/>
  <c r="BJ112" i="7"/>
  <c r="BI112" i="7"/>
  <c r="BG112" i="7"/>
  <c r="BH112" i="7" s="1"/>
  <c r="BF112" i="7"/>
  <c r="BE112" i="7"/>
  <c r="BC112" i="7"/>
  <c r="BD112" i="7" s="1"/>
  <c r="BB112" i="7"/>
  <c r="AZ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F112" i="7"/>
  <c r="D112" i="7"/>
  <c r="C112" i="7"/>
  <c r="B112" i="7"/>
  <c r="FQ111" i="7"/>
  <c r="FO111" i="7"/>
  <c r="FM111" i="7"/>
  <c r="FL111" i="7"/>
  <c r="FJ111" i="7"/>
  <c r="FH111" i="7"/>
  <c r="FG111" i="7"/>
  <c r="FE111" i="7"/>
  <c r="FC111" i="7"/>
  <c r="EZ111" i="7"/>
  <c r="EY111" i="7"/>
  <c r="EX111" i="7"/>
  <c r="EW111" i="7"/>
  <c r="EV111" i="7"/>
  <c r="EU111" i="7"/>
  <c r="ET111" i="7"/>
  <c r="ES111" i="7"/>
  <c r="ER111" i="7"/>
  <c r="EQ111" i="7"/>
  <c r="EP111" i="7"/>
  <c r="EO111" i="7"/>
  <c r="EN111" i="7"/>
  <c r="EM111" i="7"/>
  <c r="EI111" i="7"/>
  <c r="EG111" i="7"/>
  <c r="EE111" i="7"/>
  <c r="EC111" i="7"/>
  <c r="EA111" i="7"/>
  <c r="DY111" i="7"/>
  <c r="DW111" i="7"/>
  <c r="DU111" i="7"/>
  <c r="DS111" i="7"/>
  <c r="DR111" i="7"/>
  <c r="DP111" i="7"/>
  <c r="DN111" i="7"/>
  <c r="DM111" i="7"/>
  <c r="DK111" i="7"/>
  <c r="DI111" i="7"/>
  <c r="DH111" i="7"/>
  <c r="DF111" i="7"/>
  <c r="DD111" i="7"/>
  <c r="DC111" i="7"/>
  <c r="DA111" i="7"/>
  <c r="CY111" i="7"/>
  <c r="CX111" i="7"/>
  <c r="CV111" i="7"/>
  <c r="CT111" i="7"/>
  <c r="CS111" i="7"/>
  <c r="CR111" i="7"/>
  <c r="CQ111" i="7"/>
  <c r="CP111" i="7"/>
  <c r="CO111" i="7"/>
  <c r="CN111" i="7"/>
  <c r="CM111" i="7"/>
  <c r="CL111" i="7"/>
  <c r="CK111" i="7"/>
  <c r="CI111" i="7"/>
  <c r="CJ111" i="7" s="1"/>
  <c r="CH111" i="7"/>
  <c r="CG111" i="7"/>
  <c r="CE111" i="7"/>
  <c r="CF111" i="7" s="1"/>
  <c r="CD111" i="7"/>
  <c r="CC111" i="7"/>
  <c r="CA111" i="7"/>
  <c r="CB111" i="7" s="1"/>
  <c r="BZ111" i="7"/>
  <c r="BY111" i="7"/>
  <c r="BW111" i="7"/>
  <c r="BX111" i="7" s="1"/>
  <c r="BV111" i="7"/>
  <c r="BU111" i="7"/>
  <c r="BS111" i="7"/>
  <c r="BT111" i="7" s="1"/>
  <c r="BR111" i="7"/>
  <c r="BQ111" i="7"/>
  <c r="BO111" i="7"/>
  <c r="BP111" i="7" s="1"/>
  <c r="BN111" i="7"/>
  <c r="BM111" i="7"/>
  <c r="BK111" i="7"/>
  <c r="BL111" i="7" s="1"/>
  <c r="BJ111" i="7"/>
  <c r="BI111" i="7"/>
  <c r="BG111" i="7"/>
  <c r="BH111" i="7" s="1"/>
  <c r="BF111" i="7"/>
  <c r="BE111" i="7"/>
  <c r="BC111" i="7"/>
  <c r="BD111" i="7" s="1"/>
  <c r="BB111" i="7"/>
  <c r="AZ111" i="7"/>
  <c r="AX111" i="7"/>
  <c r="AW111" i="7"/>
  <c r="AV111" i="7"/>
  <c r="AU111" i="7"/>
  <c r="AT111" i="7"/>
  <c r="AS111" i="7"/>
  <c r="AR111" i="7"/>
  <c r="AQ111" i="7"/>
  <c r="AP111" i="7"/>
  <c r="AO111" i="7"/>
  <c r="AN111" i="7"/>
  <c r="AM111" i="7"/>
  <c r="AL111" i="7"/>
  <c r="AK111" i="7"/>
  <c r="AJ111" i="7"/>
  <c r="AI111" i="7"/>
  <c r="AH111" i="7"/>
  <c r="AG111" i="7"/>
  <c r="AF111" i="7"/>
  <c r="AE111" i="7"/>
  <c r="AD111" i="7"/>
  <c r="AC111" i="7"/>
  <c r="AB111" i="7"/>
  <c r="AA111" i="7"/>
  <c r="Z111" i="7"/>
  <c r="Y111" i="7"/>
  <c r="X111" i="7"/>
  <c r="W111" i="7"/>
  <c r="V111" i="7"/>
  <c r="U111" i="7"/>
  <c r="T111" i="7"/>
  <c r="S111" i="7"/>
  <c r="R111" i="7"/>
  <c r="Q111" i="7"/>
  <c r="P111" i="7"/>
  <c r="O111" i="7"/>
  <c r="N111" i="7"/>
  <c r="M111" i="7"/>
  <c r="L111" i="7"/>
  <c r="K111" i="7"/>
  <c r="J111" i="7"/>
  <c r="I111" i="7"/>
  <c r="H111" i="7"/>
  <c r="G111" i="7"/>
  <c r="F111" i="7"/>
  <c r="D111" i="7"/>
  <c r="C111" i="7"/>
  <c r="B111" i="7"/>
  <c r="FQ110" i="7"/>
  <c r="FO110" i="7"/>
  <c r="FM110" i="7"/>
  <c r="FL110" i="7"/>
  <c r="FJ110" i="7"/>
  <c r="FH110" i="7"/>
  <c r="FG110" i="7"/>
  <c r="FE110" i="7"/>
  <c r="FC110" i="7"/>
  <c r="EZ110" i="7"/>
  <c r="EY110" i="7"/>
  <c r="EX110" i="7"/>
  <c r="EW110" i="7"/>
  <c r="EV110" i="7"/>
  <c r="EU110" i="7"/>
  <c r="ET110" i="7"/>
  <c r="ES110" i="7"/>
  <c r="ER110" i="7"/>
  <c r="EQ110" i="7"/>
  <c r="EP110" i="7"/>
  <c r="EO110" i="7"/>
  <c r="EN110" i="7"/>
  <c r="EM110" i="7"/>
  <c r="EI110" i="7"/>
  <c r="EG110" i="7"/>
  <c r="EE110" i="7"/>
  <c r="EC110" i="7"/>
  <c r="EA110" i="7"/>
  <c r="DY110" i="7"/>
  <c r="DW110" i="7"/>
  <c r="DU110" i="7"/>
  <c r="DS110" i="7"/>
  <c r="DR110" i="7"/>
  <c r="DP110" i="7"/>
  <c r="DN110" i="7"/>
  <c r="DM110" i="7"/>
  <c r="DK110" i="7"/>
  <c r="DI110" i="7"/>
  <c r="DH110" i="7"/>
  <c r="DF110" i="7"/>
  <c r="DD110" i="7"/>
  <c r="DC110" i="7"/>
  <c r="DA110" i="7"/>
  <c r="CY110" i="7"/>
  <c r="CX110" i="7"/>
  <c r="CV110" i="7"/>
  <c r="CT110" i="7"/>
  <c r="CS110" i="7"/>
  <c r="CR110" i="7"/>
  <c r="CQ110" i="7"/>
  <c r="CP110" i="7"/>
  <c r="CO110" i="7"/>
  <c r="CN110" i="7"/>
  <c r="CM110" i="7"/>
  <c r="CL110" i="7"/>
  <c r="CK110" i="7"/>
  <c r="CI110" i="7"/>
  <c r="CJ110" i="7" s="1"/>
  <c r="CH110" i="7"/>
  <c r="CG110" i="7"/>
  <c r="CE110" i="7"/>
  <c r="CF110" i="7" s="1"/>
  <c r="CD110" i="7"/>
  <c r="CC110" i="7"/>
  <c r="CA110" i="7"/>
  <c r="CB110" i="7" s="1"/>
  <c r="BZ110" i="7"/>
  <c r="BY110" i="7"/>
  <c r="BW110" i="7"/>
  <c r="BX110" i="7" s="1"/>
  <c r="BV110" i="7"/>
  <c r="BU110" i="7"/>
  <c r="BS110" i="7"/>
  <c r="BT110" i="7" s="1"/>
  <c r="BR110" i="7"/>
  <c r="BQ110" i="7"/>
  <c r="BO110" i="7"/>
  <c r="BP110" i="7" s="1"/>
  <c r="BN110" i="7"/>
  <c r="BM110" i="7"/>
  <c r="BK110" i="7"/>
  <c r="BL110" i="7" s="1"/>
  <c r="BJ110" i="7"/>
  <c r="BI110" i="7"/>
  <c r="BG110" i="7"/>
  <c r="BH110" i="7" s="1"/>
  <c r="BF110" i="7"/>
  <c r="BE110" i="7"/>
  <c r="BC110" i="7"/>
  <c r="BD110" i="7" s="1"/>
  <c r="BB110" i="7"/>
  <c r="AZ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Z110" i="7"/>
  <c r="Y110" i="7"/>
  <c r="X110" i="7"/>
  <c r="W110" i="7"/>
  <c r="V110" i="7"/>
  <c r="U110" i="7"/>
  <c r="T110" i="7"/>
  <c r="S110" i="7"/>
  <c r="R110" i="7"/>
  <c r="Q110" i="7"/>
  <c r="P110" i="7"/>
  <c r="O110" i="7"/>
  <c r="N110" i="7"/>
  <c r="M110" i="7"/>
  <c r="L110" i="7"/>
  <c r="K110" i="7"/>
  <c r="J110" i="7"/>
  <c r="I110" i="7"/>
  <c r="H110" i="7"/>
  <c r="G110" i="7"/>
  <c r="F110" i="7"/>
  <c r="D110" i="7"/>
  <c r="B110" i="7"/>
  <c r="FQ109" i="7"/>
  <c r="FO109" i="7"/>
  <c r="FM109" i="7"/>
  <c r="FL109" i="7"/>
  <c r="FJ109" i="7"/>
  <c r="FH109" i="7"/>
  <c r="FG109" i="7"/>
  <c r="FE109" i="7"/>
  <c r="FC109" i="7"/>
  <c r="EZ109" i="7"/>
  <c r="EY109" i="7"/>
  <c r="EX109" i="7"/>
  <c r="EW109" i="7"/>
  <c r="EV109" i="7"/>
  <c r="EU109" i="7"/>
  <c r="ET109" i="7"/>
  <c r="ES109" i="7"/>
  <c r="ER109" i="7"/>
  <c r="EQ109" i="7"/>
  <c r="EP109" i="7"/>
  <c r="EO109" i="7"/>
  <c r="EN109" i="7"/>
  <c r="EM109" i="7"/>
  <c r="EI109" i="7"/>
  <c r="EG109" i="7"/>
  <c r="EE109" i="7"/>
  <c r="EC109" i="7"/>
  <c r="EA109" i="7"/>
  <c r="DY109" i="7"/>
  <c r="DW109" i="7"/>
  <c r="DU109" i="7"/>
  <c r="DS109" i="7"/>
  <c r="DR109" i="7"/>
  <c r="DP109" i="7"/>
  <c r="DN109" i="7"/>
  <c r="DM109" i="7"/>
  <c r="DK109" i="7"/>
  <c r="DI109" i="7"/>
  <c r="DH109" i="7"/>
  <c r="DF109" i="7"/>
  <c r="DD109" i="7"/>
  <c r="DC109" i="7"/>
  <c r="DA109" i="7"/>
  <c r="CY109" i="7"/>
  <c r="CX109" i="7"/>
  <c r="CV109" i="7"/>
  <c r="CT109" i="7"/>
  <c r="CS109" i="7"/>
  <c r="CR109" i="7"/>
  <c r="CQ109" i="7"/>
  <c r="CP109" i="7"/>
  <c r="CO109" i="7"/>
  <c r="CN109" i="7"/>
  <c r="CM109" i="7"/>
  <c r="CL109" i="7"/>
  <c r="CK109" i="7"/>
  <c r="CI109" i="7"/>
  <c r="CJ109" i="7" s="1"/>
  <c r="CH109" i="7"/>
  <c r="CG109" i="7"/>
  <c r="CE109" i="7"/>
  <c r="CF109" i="7" s="1"/>
  <c r="CD109" i="7"/>
  <c r="CC109" i="7"/>
  <c r="CA109" i="7"/>
  <c r="CB109" i="7" s="1"/>
  <c r="BZ109" i="7"/>
  <c r="BY109" i="7"/>
  <c r="BW109" i="7"/>
  <c r="BX109" i="7" s="1"/>
  <c r="BV109" i="7"/>
  <c r="BU109" i="7"/>
  <c r="BS109" i="7"/>
  <c r="BT109" i="7" s="1"/>
  <c r="BR109" i="7"/>
  <c r="BQ109" i="7"/>
  <c r="BO109" i="7"/>
  <c r="BP109" i="7" s="1"/>
  <c r="BN109" i="7"/>
  <c r="BM109" i="7"/>
  <c r="BK109" i="7"/>
  <c r="BL109" i="7" s="1"/>
  <c r="BJ109" i="7"/>
  <c r="BI109" i="7"/>
  <c r="BG109" i="7"/>
  <c r="BH109" i="7" s="1"/>
  <c r="BF109" i="7"/>
  <c r="BE109" i="7"/>
  <c r="BC109" i="7"/>
  <c r="BD109" i="7" s="1"/>
  <c r="BB109" i="7"/>
  <c r="AZ109" i="7"/>
  <c r="AX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Z109" i="7"/>
  <c r="Y109" i="7"/>
  <c r="X109" i="7"/>
  <c r="W109" i="7"/>
  <c r="V109" i="7"/>
  <c r="U109" i="7"/>
  <c r="T109" i="7"/>
  <c r="S109" i="7"/>
  <c r="R109" i="7"/>
  <c r="Q109" i="7"/>
  <c r="P109" i="7"/>
  <c r="O109" i="7"/>
  <c r="N109" i="7"/>
  <c r="M109" i="7"/>
  <c r="L109" i="7"/>
  <c r="K109" i="7"/>
  <c r="J109" i="7"/>
  <c r="I109" i="7"/>
  <c r="H109" i="7"/>
  <c r="G109" i="7"/>
  <c r="F109" i="7"/>
  <c r="D109" i="7"/>
  <c r="B109" i="7"/>
  <c r="FQ108" i="7"/>
  <c r="FO108" i="7"/>
  <c r="FM108" i="7"/>
  <c r="FL108" i="7"/>
  <c r="FJ108" i="7"/>
  <c r="FH108" i="7"/>
  <c r="FG108" i="7"/>
  <c r="FE108" i="7"/>
  <c r="FC108" i="7"/>
  <c r="EZ108" i="7"/>
  <c r="EY108" i="7"/>
  <c r="EX108" i="7"/>
  <c r="EW108" i="7"/>
  <c r="EV108" i="7"/>
  <c r="EU108" i="7"/>
  <c r="ET108" i="7"/>
  <c r="ES108" i="7"/>
  <c r="ER108" i="7"/>
  <c r="EQ108" i="7"/>
  <c r="EP108" i="7"/>
  <c r="EO108" i="7"/>
  <c r="EN108" i="7"/>
  <c r="EM108" i="7"/>
  <c r="EI108" i="7"/>
  <c r="EG108" i="7"/>
  <c r="EE108" i="7"/>
  <c r="EC108" i="7"/>
  <c r="EA108" i="7"/>
  <c r="DY108" i="7"/>
  <c r="DW108" i="7"/>
  <c r="DU108" i="7"/>
  <c r="DS108" i="7"/>
  <c r="DR108" i="7"/>
  <c r="DP108" i="7"/>
  <c r="DN108" i="7"/>
  <c r="DM108" i="7"/>
  <c r="DK108" i="7"/>
  <c r="DI108" i="7"/>
  <c r="DH108" i="7"/>
  <c r="DF108" i="7"/>
  <c r="DD108" i="7"/>
  <c r="DC108" i="7"/>
  <c r="DA108" i="7"/>
  <c r="CY108" i="7"/>
  <c r="CX108" i="7"/>
  <c r="CV108" i="7"/>
  <c r="CT108" i="7"/>
  <c r="CS108" i="7"/>
  <c r="CR108" i="7"/>
  <c r="CQ108" i="7"/>
  <c r="CP108" i="7"/>
  <c r="CO108" i="7"/>
  <c r="CN108" i="7"/>
  <c r="CM108" i="7"/>
  <c r="CL108" i="7"/>
  <c r="CK108" i="7"/>
  <c r="CI108" i="7"/>
  <c r="CJ108" i="7" s="1"/>
  <c r="CH108" i="7"/>
  <c r="CG108" i="7"/>
  <c r="CE108" i="7"/>
  <c r="CF108" i="7" s="1"/>
  <c r="CD108" i="7"/>
  <c r="CC108" i="7"/>
  <c r="CA108" i="7"/>
  <c r="CB108" i="7" s="1"/>
  <c r="BZ108" i="7"/>
  <c r="BY108" i="7"/>
  <c r="BW108" i="7"/>
  <c r="BX108" i="7" s="1"/>
  <c r="BV108" i="7"/>
  <c r="BU108" i="7"/>
  <c r="BS108" i="7"/>
  <c r="BT108" i="7" s="1"/>
  <c r="BR108" i="7"/>
  <c r="BQ108" i="7"/>
  <c r="BO108" i="7"/>
  <c r="BP108" i="7" s="1"/>
  <c r="BN108" i="7"/>
  <c r="BM108" i="7"/>
  <c r="BK108" i="7"/>
  <c r="BL108" i="7" s="1"/>
  <c r="BJ108" i="7"/>
  <c r="BI108" i="7"/>
  <c r="BG108" i="7"/>
  <c r="BH108" i="7" s="1"/>
  <c r="BF108" i="7"/>
  <c r="BE108" i="7"/>
  <c r="BC108" i="7"/>
  <c r="BD108" i="7" s="1"/>
  <c r="BB108" i="7"/>
  <c r="AZ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Z108" i="7"/>
  <c r="Y108" i="7"/>
  <c r="X108" i="7"/>
  <c r="W108" i="7"/>
  <c r="V108" i="7"/>
  <c r="U108" i="7"/>
  <c r="T108" i="7"/>
  <c r="S108" i="7"/>
  <c r="R108" i="7"/>
  <c r="Q108" i="7"/>
  <c r="P108" i="7"/>
  <c r="O108" i="7"/>
  <c r="N108" i="7"/>
  <c r="M108" i="7"/>
  <c r="L108" i="7"/>
  <c r="K108" i="7"/>
  <c r="J108" i="7"/>
  <c r="I108" i="7"/>
  <c r="H108" i="7"/>
  <c r="G108" i="7"/>
  <c r="F108" i="7"/>
  <c r="D108" i="7"/>
  <c r="C108" i="7"/>
  <c r="B108" i="7"/>
  <c r="FQ107" i="7"/>
  <c r="FO107" i="7"/>
  <c r="FM107" i="7"/>
  <c r="FL107" i="7"/>
  <c r="FJ107" i="7"/>
  <c r="FH107" i="7"/>
  <c r="FG107" i="7"/>
  <c r="FE107" i="7"/>
  <c r="FC107" i="7"/>
  <c r="EZ107" i="7"/>
  <c r="EY107" i="7"/>
  <c r="EX107" i="7"/>
  <c r="EW107" i="7"/>
  <c r="EV107" i="7"/>
  <c r="EU107" i="7"/>
  <c r="ET107" i="7"/>
  <c r="ES107" i="7"/>
  <c r="ER107" i="7"/>
  <c r="EQ107" i="7"/>
  <c r="EP107" i="7"/>
  <c r="EO107" i="7"/>
  <c r="EN107" i="7"/>
  <c r="EM107" i="7"/>
  <c r="EI107" i="7"/>
  <c r="EG107" i="7"/>
  <c r="EE107" i="7"/>
  <c r="EC107" i="7"/>
  <c r="EA107" i="7"/>
  <c r="DY107" i="7"/>
  <c r="DW107" i="7"/>
  <c r="DU107" i="7"/>
  <c r="DS107" i="7"/>
  <c r="DR107" i="7"/>
  <c r="DP107" i="7"/>
  <c r="DN107" i="7"/>
  <c r="DM107" i="7"/>
  <c r="DK107" i="7"/>
  <c r="DI107" i="7"/>
  <c r="DH107" i="7"/>
  <c r="DF107" i="7"/>
  <c r="DD107" i="7"/>
  <c r="DC107" i="7"/>
  <c r="DA107" i="7"/>
  <c r="CY107" i="7"/>
  <c r="CX107" i="7"/>
  <c r="CV107" i="7"/>
  <c r="CT107" i="7"/>
  <c r="CS107" i="7"/>
  <c r="CR107" i="7"/>
  <c r="CQ107" i="7"/>
  <c r="CP107" i="7"/>
  <c r="CO107" i="7"/>
  <c r="CN107" i="7"/>
  <c r="CM107" i="7"/>
  <c r="CL107" i="7"/>
  <c r="CK107" i="7"/>
  <c r="CJ107" i="7"/>
  <c r="CI107" i="7"/>
  <c r="CH107" i="7"/>
  <c r="CG107" i="7"/>
  <c r="CE107" i="7"/>
  <c r="CF107" i="7" s="1"/>
  <c r="CD107" i="7"/>
  <c r="CC107" i="7"/>
  <c r="CA107" i="7"/>
  <c r="CB107" i="7" s="1"/>
  <c r="BZ107" i="7"/>
  <c r="BY107" i="7"/>
  <c r="BW107" i="7"/>
  <c r="BX107" i="7" s="1"/>
  <c r="BV107" i="7"/>
  <c r="BU107" i="7"/>
  <c r="BS107" i="7"/>
  <c r="BT107" i="7" s="1"/>
  <c r="BR107" i="7"/>
  <c r="BQ107" i="7"/>
  <c r="BO107" i="7"/>
  <c r="BP107" i="7" s="1"/>
  <c r="BN107" i="7"/>
  <c r="BM107" i="7"/>
  <c r="BK107" i="7"/>
  <c r="BL107" i="7" s="1"/>
  <c r="BJ107" i="7"/>
  <c r="BI107" i="7"/>
  <c r="BG107" i="7"/>
  <c r="BH107" i="7" s="1"/>
  <c r="BF107" i="7"/>
  <c r="BE107" i="7"/>
  <c r="BC107" i="7"/>
  <c r="BD107" i="7" s="1"/>
  <c r="BB107" i="7"/>
  <c r="AZ107" i="7"/>
  <c r="AX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Z107" i="7"/>
  <c r="Y107" i="7"/>
  <c r="X107" i="7"/>
  <c r="W107" i="7"/>
  <c r="V107" i="7"/>
  <c r="U107" i="7"/>
  <c r="T107" i="7"/>
  <c r="S107" i="7"/>
  <c r="R107" i="7"/>
  <c r="Q107" i="7"/>
  <c r="P107" i="7"/>
  <c r="O107" i="7"/>
  <c r="N107" i="7"/>
  <c r="M107" i="7"/>
  <c r="L107" i="7"/>
  <c r="K107" i="7"/>
  <c r="J107" i="7"/>
  <c r="I107" i="7"/>
  <c r="H107" i="7"/>
  <c r="G107" i="7"/>
  <c r="F107" i="7"/>
  <c r="D107" i="7"/>
  <c r="C107" i="7"/>
  <c r="B107" i="7"/>
  <c r="FQ106" i="7"/>
  <c r="FO106" i="7"/>
  <c r="FM106" i="7"/>
  <c r="FL106" i="7"/>
  <c r="FJ106" i="7"/>
  <c r="FH106" i="7"/>
  <c r="FG106" i="7"/>
  <c r="FE106" i="7"/>
  <c r="FC106" i="7"/>
  <c r="EZ106" i="7"/>
  <c r="EY106" i="7"/>
  <c r="EX106" i="7"/>
  <c r="EW106" i="7"/>
  <c r="EV106" i="7"/>
  <c r="EU106" i="7"/>
  <c r="ET106" i="7"/>
  <c r="ES106" i="7"/>
  <c r="ER106" i="7"/>
  <c r="EQ106" i="7"/>
  <c r="EP106" i="7"/>
  <c r="EO106" i="7"/>
  <c r="EN106" i="7"/>
  <c r="EM106" i="7"/>
  <c r="EI106" i="7"/>
  <c r="EG106" i="7"/>
  <c r="EE106" i="7"/>
  <c r="EC106" i="7"/>
  <c r="EA106" i="7"/>
  <c r="DY106" i="7"/>
  <c r="DW106" i="7"/>
  <c r="DU106" i="7"/>
  <c r="DS106" i="7"/>
  <c r="DR106" i="7"/>
  <c r="DP106" i="7"/>
  <c r="DN106" i="7"/>
  <c r="DM106" i="7"/>
  <c r="DK106" i="7"/>
  <c r="DI106" i="7"/>
  <c r="DH106" i="7"/>
  <c r="DF106" i="7"/>
  <c r="DD106" i="7"/>
  <c r="DC106" i="7"/>
  <c r="DA106" i="7"/>
  <c r="CY106" i="7"/>
  <c r="CX106" i="7"/>
  <c r="CV106" i="7"/>
  <c r="CT106" i="7"/>
  <c r="CS106" i="7"/>
  <c r="CR106" i="7"/>
  <c r="CQ106" i="7"/>
  <c r="CP106" i="7"/>
  <c r="CO106" i="7"/>
  <c r="CN106" i="7"/>
  <c r="CM106" i="7"/>
  <c r="CL106" i="7"/>
  <c r="CK106" i="7"/>
  <c r="CI106" i="7"/>
  <c r="CJ106" i="7" s="1"/>
  <c r="CH106" i="7"/>
  <c r="CG106" i="7"/>
  <c r="CE106" i="7"/>
  <c r="CF106" i="7" s="1"/>
  <c r="CD106" i="7"/>
  <c r="CC106" i="7"/>
  <c r="CA106" i="7"/>
  <c r="CB106" i="7" s="1"/>
  <c r="BZ106" i="7"/>
  <c r="BY106" i="7"/>
  <c r="BW106" i="7"/>
  <c r="BX106" i="7" s="1"/>
  <c r="BV106" i="7"/>
  <c r="BU106" i="7"/>
  <c r="BS106" i="7"/>
  <c r="BT106" i="7" s="1"/>
  <c r="BR106" i="7"/>
  <c r="BQ106" i="7"/>
  <c r="BO106" i="7"/>
  <c r="BP106" i="7" s="1"/>
  <c r="BN106" i="7"/>
  <c r="BM106" i="7"/>
  <c r="BK106" i="7"/>
  <c r="BL106" i="7" s="1"/>
  <c r="BJ106" i="7"/>
  <c r="BI106" i="7"/>
  <c r="BG106" i="7"/>
  <c r="BH106" i="7" s="1"/>
  <c r="BF106" i="7"/>
  <c r="BE106" i="7"/>
  <c r="BC106" i="7"/>
  <c r="BD106" i="7" s="1"/>
  <c r="BB106" i="7"/>
  <c r="AZ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Z106" i="7"/>
  <c r="Y106" i="7"/>
  <c r="X106" i="7"/>
  <c r="W106" i="7"/>
  <c r="V106" i="7"/>
  <c r="U106" i="7"/>
  <c r="T106" i="7"/>
  <c r="S106" i="7"/>
  <c r="R106" i="7"/>
  <c r="Q106" i="7"/>
  <c r="P106" i="7"/>
  <c r="O106" i="7"/>
  <c r="N106" i="7"/>
  <c r="M106" i="7"/>
  <c r="L106" i="7"/>
  <c r="K106" i="7"/>
  <c r="J106" i="7"/>
  <c r="I106" i="7"/>
  <c r="H106" i="7"/>
  <c r="G106" i="7"/>
  <c r="F106" i="7"/>
  <c r="D106" i="7"/>
  <c r="C106" i="7"/>
  <c r="B106" i="7"/>
  <c r="FQ105" i="7"/>
  <c r="FO105" i="7"/>
  <c r="FM105" i="7"/>
  <c r="FL105" i="7"/>
  <c r="FJ105" i="7"/>
  <c r="FH105" i="7"/>
  <c r="FG105" i="7"/>
  <c r="FE105" i="7"/>
  <c r="FC105" i="7"/>
  <c r="EZ105" i="7"/>
  <c r="EY105" i="7"/>
  <c r="EX105" i="7"/>
  <c r="EW105" i="7"/>
  <c r="EV105" i="7"/>
  <c r="EU105" i="7"/>
  <c r="ET105" i="7"/>
  <c r="ES105" i="7"/>
  <c r="ER105" i="7"/>
  <c r="EQ105" i="7"/>
  <c r="EP105" i="7"/>
  <c r="EO105" i="7"/>
  <c r="EN105" i="7"/>
  <c r="EM105" i="7"/>
  <c r="EI105" i="7"/>
  <c r="EG105" i="7"/>
  <c r="EE105" i="7"/>
  <c r="EC105" i="7"/>
  <c r="EA105" i="7"/>
  <c r="DY105" i="7"/>
  <c r="DW105" i="7"/>
  <c r="DU105" i="7"/>
  <c r="DS105" i="7"/>
  <c r="DR105" i="7"/>
  <c r="DP105" i="7"/>
  <c r="DN105" i="7"/>
  <c r="DM105" i="7"/>
  <c r="DK105" i="7"/>
  <c r="DI105" i="7"/>
  <c r="DH105" i="7"/>
  <c r="DF105" i="7"/>
  <c r="DD105" i="7"/>
  <c r="DC105" i="7"/>
  <c r="DA105" i="7"/>
  <c r="CY105" i="7"/>
  <c r="CX105" i="7"/>
  <c r="CV105" i="7"/>
  <c r="CT105" i="7"/>
  <c r="CS105" i="7"/>
  <c r="CR105" i="7"/>
  <c r="CQ105" i="7"/>
  <c r="CP105" i="7"/>
  <c r="CO105" i="7"/>
  <c r="CN105" i="7"/>
  <c r="CM105" i="7"/>
  <c r="CL105" i="7"/>
  <c r="CK105" i="7"/>
  <c r="CI105" i="7"/>
  <c r="CJ105" i="7" s="1"/>
  <c r="CH105" i="7"/>
  <c r="CG105" i="7"/>
  <c r="CE105" i="7"/>
  <c r="CF105" i="7" s="1"/>
  <c r="CD105" i="7"/>
  <c r="CC105" i="7"/>
  <c r="CA105" i="7"/>
  <c r="CB105" i="7" s="1"/>
  <c r="BZ105" i="7"/>
  <c r="BY105" i="7"/>
  <c r="BW105" i="7"/>
  <c r="BX105" i="7" s="1"/>
  <c r="BV105" i="7"/>
  <c r="BU105" i="7"/>
  <c r="BS105" i="7"/>
  <c r="BT105" i="7" s="1"/>
  <c r="BR105" i="7"/>
  <c r="BQ105" i="7"/>
  <c r="BO105" i="7"/>
  <c r="BP105" i="7" s="1"/>
  <c r="BN105" i="7"/>
  <c r="BM105" i="7"/>
  <c r="BK105" i="7"/>
  <c r="BL105" i="7" s="1"/>
  <c r="BJ105" i="7"/>
  <c r="BI105" i="7"/>
  <c r="BG105" i="7"/>
  <c r="BH105" i="7" s="1"/>
  <c r="BF105" i="7"/>
  <c r="BE105" i="7"/>
  <c r="BC105" i="7"/>
  <c r="BD105" i="7" s="1"/>
  <c r="BB105" i="7"/>
  <c r="AZ105" i="7"/>
  <c r="AX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D105" i="7"/>
  <c r="C105" i="7"/>
  <c r="B105" i="7"/>
  <c r="FQ104" i="7"/>
  <c r="FO104" i="7"/>
  <c r="FM104" i="7"/>
  <c r="FL104" i="7"/>
  <c r="FJ104" i="7"/>
  <c r="FH104" i="7"/>
  <c r="FG104" i="7"/>
  <c r="FE104" i="7"/>
  <c r="FC104" i="7"/>
  <c r="EZ104" i="7"/>
  <c r="EY104" i="7"/>
  <c r="EX104" i="7"/>
  <c r="EW104" i="7"/>
  <c r="EV104" i="7"/>
  <c r="EU104" i="7"/>
  <c r="ET104" i="7"/>
  <c r="ES104" i="7"/>
  <c r="ER104" i="7"/>
  <c r="EQ104" i="7"/>
  <c r="EP104" i="7"/>
  <c r="EO104" i="7"/>
  <c r="EN104" i="7"/>
  <c r="EM104" i="7"/>
  <c r="EI104" i="7"/>
  <c r="EG104" i="7"/>
  <c r="EE104" i="7"/>
  <c r="EC104" i="7"/>
  <c r="EA104" i="7"/>
  <c r="DY104" i="7"/>
  <c r="DW104" i="7"/>
  <c r="DU104" i="7"/>
  <c r="DS104" i="7"/>
  <c r="DR104" i="7"/>
  <c r="DP104" i="7"/>
  <c r="DN104" i="7"/>
  <c r="DM104" i="7"/>
  <c r="DK104" i="7"/>
  <c r="DI104" i="7"/>
  <c r="DH104" i="7"/>
  <c r="DF104" i="7"/>
  <c r="DD104" i="7"/>
  <c r="DC104" i="7"/>
  <c r="DA104" i="7"/>
  <c r="CY104" i="7"/>
  <c r="CX104" i="7"/>
  <c r="CV104" i="7"/>
  <c r="CT104" i="7"/>
  <c r="CS104" i="7"/>
  <c r="CR104" i="7"/>
  <c r="CQ104" i="7"/>
  <c r="CP104" i="7"/>
  <c r="CO104" i="7"/>
  <c r="CN104" i="7"/>
  <c r="CM104" i="7"/>
  <c r="CL104" i="7"/>
  <c r="CK104" i="7"/>
  <c r="CI104" i="7"/>
  <c r="CJ104" i="7" s="1"/>
  <c r="CH104" i="7"/>
  <c r="CG104" i="7"/>
  <c r="CE104" i="7"/>
  <c r="CF104" i="7" s="1"/>
  <c r="CD104" i="7"/>
  <c r="CC104" i="7"/>
  <c r="CA104" i="7"/>
  <c r="CB104" i="7" s="1"/>
  <c r="BZ104" i="7"/>
  <c r="BY104" i="7"/>
  <c r="BW104" i="7"/>
  <c r="BX104" i="7" s="1"/>
  <c r="BV104" i="7"/>
  <c r="BU104" i="7"/>
  <c r="BS104" i="7"/>
  <c r="BT104" i="7" s="1"/>
  <c r="BR104" i="7"/>
  <c r="BQ104" i="7"/>
  <c r="BO104" i="7"/>
  <c r="BP104" i="7" s="1"/>
  <c r="BN104" i="7"/>
  <c r="BM104" i="7"/>
  <c r="BK104" i="7"/>
  <c r="BL104" i="7" s="1"/>
  <c r="BJ104" i="7"/>
  <c r="BI104" i="7"/>
  <c r="BG104" i="7"/>
  <c r="BH104" i="7" s="1"/>
  <c r="BF104" i="7"/>
  <c r="BE104" i="7"/>
  <c r="BC104" i="7"/>
  <c r="BD104" i="7" s="1"/>
  <c r="BB104" i="7"/>
  <c r="AZ104" i="7"/>
  <c r="AX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D104" i="7"/>
  <c r="C104" i="7"/>
  <c r="B104" i="7"/>
  <c r="FQ103" i="7"/>
  <c r="FO103" i="7"/>
  <c r="FM103" i="7"/>
  <c r="FL103" i="7"/>
  <c r="FJ103" i="7"/>
  <c r="FH103" i="7"/>
  <c r="FG103" i="7"/>
  <c r="FE103" i="7"/>
  <c r="FC103" i="7"/>
  <c r="EZ103" i="7"/>
  <c r="EY103" i="7"/>
  <c r="EX103" i="7"/>
  <c r="EW103" i="7"/>
  <c r="EV103" i="7"/>
  <c r="EU103" i="7"/>
  <c r="ET103" i="7"/>
  <c r="ES103" i="7"/>
  <c r="ER103" i="7"/>
  <c r="EQ103" i="7"/>
  <c r="EP103" i="7"/>
  <c r="EO103" i="7"/>
  <c r="EN103" i="7"/>
  <c r="EM103" i="7"/>
  <c r="EI103" i="7"/>
  <c r="EG103" i="7"/>
  <c r="EE103" i="7"/>
  <c r="EC103" i="7"/>
  <c r="EA103" i="7"/>
  <c r="DY103" i="7"/>
  <c r="DW103" i="7"/>
  <c r="DU103" i="7"/>
  <c r="DS103" i="7"/>
  <c r="DR103" i="7"/>
  <c r="DP103" i="7"/>
  <c r="DN103" i="7"/>
  <c r="DM103" i="7"/>
  <c r="DK103" i="7"/>
  <c r="DI103" i="7"/>
  <c r="DH103" i="7"/>
  <c r="DF103" i="7"/>
  <c r="DD103" i="7"/>
  <c r="DC103" i="7"/>
  <c r="DA103" i="7"/>
  <c r="CY103" i="7"/>
  <c r="CX103" i="7"/>
  <c r="CV103" i="7"/>
  <c r="CT103" i="7"/>
  <c r="CS103" i="7"/>
  <c r="CR103" i="7"/>
  <c r="CQ103" i="7"/>
  <c r="CP103" i="7"/>
  <c r="CO103" i="7"/>
  <c r="CN103" i="7"/>
  <c r="CM103" i="7"/>
  <c r="CL103" i="7"/>
  <c r="CK103" i="7"/>
  <c r="CI103" i="7"/>
  <c r="CJ103" i="7" s="1"/>
  <c r="CH103" i="7"/>
  <c r="CG103" i="7"/>
  <c r="CE103" i="7"/>
  <c r="CF103" i="7" s="1"/>
  <c r="CD103" i="7"/>
  <c r="CC103" i="7"/>
  <c r="CA103" i="7"/>
  <c r="CB103" i="7" s="1"/>
  <c r="BZ103" i="7"/>
  <c r="BY103" i="7"/>
  <c r="BW103" i="7"/>
  <c r="BX103" i="7" s="1"/>
  <c r="BV103" i="7"/>
  <c r="BU103" i="7"/>
  <c r="BS103" i="7"/>
  <c r="BT103" i="7" s="1"/>
  <c r="BR103" i="7"/>
  <c r="BQ103" i="7"/>
  <c r="BO103" i="7"/>
  <c r="BP103" i="7" s="1"/>
  <c r="BN103" i="7"/>
  <c r="BM103" i="7"/>
  <c r="BK103" i="7"/>
  <c r="BL103" i="7" s="1"/>
  <c r="BJ103" i="7"/>
  <c r="BI103" i="7"/>
  <c r="BG103" i="7"/>
  <c r="BH103" i="7" s="1"/>
  <c r="BF103" i="7"/>
  <c r="BE103" i="7"/>
  <c r="BC103" i="7"/>
  <c r="BD103" i="7" s="1"/>
  <c r="BB103" i="7"/>
  <c r="AZ103" i="7"/>
  <c r="AX103" i="7"/>
  <c r="AW103" i="7"/>
  <c r="AV103" i="7"/>
  <c r="AU103" i="7"/>
  <c r="AT103" i="7"/>
  <c r="AS103" i="7"/>
  <c r="AR103" i="7"/>
  <c r="AQ103" i="7"/>
  <c r="AP103" i="7"/>
  <c r="AO103" i="7"/>
  <c r="AN103" i="7"/>
  <c r="AM103"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D103" i="7"/>
  <c r="C103" i="7"/>
  <c r="B103" i="7"/>
  <c r="FQ102" i="7"/>
  <c r="FO102" i="7"/>
  <c r="FM102" i="7"/>
  <c r="FL102" i="7"/>
  <c r="FJ102" i="7"/>
  <c r="FH102" i="7"/>
  <c r="FG102" i="7"/>
  <c r="FE102" i="7"/>
  <c r="FC102" i="7"/>
  <c r="EZ102" i="7"/>
  <c r="EY102" i="7"/>
  <c r="EX102" i="7"/>
  <c r="EW102" i="7"/>
  <c r="EV102" i="7"/>
  <c r="EU102" i="7"/>
  <c r="ET102" i="7"/>
  <c r="ES102" i="7"/>
  <c r="ER102" i="7"/>
  <c r="EQ102" i="7"/>
  <c r="EP102" i="7"/>
  <c r="EO102" i="7"/>
  <c r="EN102" i="7"/>
  <c r="EM102" i="7"/>
  <c r="EI102" i="7"/>
  <c r="EG102" i="7"/>
  <c r="EE102" i="7"/>
  <c r="EC102" i="7"/>
  <c r="EA102" i="7"/>
  <c r="DY102" i="7"/>
  <c r="DW102" i="7"/>
  <c r="DU102" i="7"/>
  <c r="DS102" i="7"/>
  <c r="DR102" i="7"/>
  <c r="DP102" i="7"/>
  <c r="DN102" i="7"/>
  <c r="DM102" i="7"/>
  <c r="DK102" i="7"/>
  <c r="DI102" i="7"/>
  <c r="DH102" i="7"/>
  <c r="DF102" i="7"/>
  <c r="DD102" i="7"/>
  <c r="DC102" i="7"/>
  <c r="DA102" i="7"/>
  <c r="CY102" i="7"/>
  <c r="CX102" i="7"/>
  <c r="CV102" i="7"/>
  <c r="CT102" i="7"/>
  <c r="CS102" i="7"/>
  <c r="CR102" i="7"/>
  <c r="CQ102" i="7"/>
  <c r="CP102" i="7"/>
  <c r="CO102" i="7"/>
  <c r="CN102" i="7"/>
  <c r="CM102" i="7"/>
  <c r="CL102" i="7"/>
  <c r="CK102" i="7"/>
  <c r="CI102" i="7"/>
  <c r="CJ102" i="7" s="1"/>
  <c r="CH102" i="7"/>
  <c r="CG102" i="7"/>
  <c r="CE102" i="7"/>
  <c r="CF102" i="7" s="1"/>
  <c r="CD102" i="7"/>
  <c r="CC102" i="7"/>
  <c r="CA102" i="7"/>
  <c r="CB102" i="7" s="1"/>
  <c r="BZ102" i="7"/>
  <c r="BY102" i="7"/>
  <c r="BW102" i="7"/>
  <c r="BX102" i="7" s="1"/>
  <c r="BV102" i="7"/>
  <c r="BU102" i="7"/>
  <c r="BS102" i="7"/>
  <c r="BT102" i="7" s="1"/>
  <c r="BR102" i="7"/>
  <c r="BQ102" i="7"/>
  <c r="BO102" i="7"/>
  <c r="BP102" i="7" s="1"/>
  <c r="BN102" i="7"/>
  <c r="BM102" i="7"/>
  <c r="BK102" i="7"/>
  <c r="BL102" i="7" s="1"/>
  <c r="BJ102" i="7"/>
  <c r="BI102" i="7"/>
  <c r="BG102" i="7"/>
  <c r="BH102" i="7" s="1"/>
  <c r="BF102" i="7"/>
  <c r="BE102" i="7"/>
  <c r="BC102" i="7"/>
  <c r="BD102" i="7" s="1"/>
  <c r="BB102" i="7"/>
  <c r="AZ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Z102" i="7"/>
  <c r="Y102" i="7"/>
  <c r="X102" i="7"/>
  <c r="W102" i="7"/>
  <c r="V102" i="7"/>
  <c r="U102" i="7"/>
  <c r="T102" i="7"/>
  <c r="S102" i="7"/>
  <c r="R102" i="7"/>
  <c r="Q102" i="7"/>
  <c r="P102" i="7"/>
  <c r="O102" i="7"/>
  <c r="N102" i="7"/>
  <c r="M102" i="7"/>
  <c r="L102" i="7"/>
  <c r="K102" i="7"/>
  <c r="J102" i="7"/>
  <c r="I102" i="7"/>
  <c r="H102" i="7"/>
  <c r="G102" i="7"/>
  <c r="F102" i="7"/>
  <c r="D102" i="7"/>
  <c r="C102" i="7"/>
  <c r="B102" i="7"/>
  <c r="FQ101" i="7"/>
  <c r="FO101" i="7"/>
  <c r="FM101" i="7"/>
  <c r="FL101" i="7"/>
  <c r="FJ101" i="7"/>
  <c r="FH101" i="7"/>
  <c r="FG101" i="7"/>
  <c r="FE101" i="7"/>
  <c r="FC101" i="7"/>
  <c r="EZ101" i="7"/>
  <c r="EY101" i="7"/>
  <c r="EX101" i="7"/>
  <c r="EW101" i="7"/>
  <c r="EV101" i="7"/>
  <c r="EU101" i="7"/>
  <c r="ET101" i="7"/>
  <c r="ES101" i="7"/>
  <c r="ER101" i="7"/>
  <c r="EQ101" i="7"/>
  <c r="EP101" i="7"/>
  <c r="EO101" i="7"/>
  <c r="EN101" i="7"/>
  <c r="EM101" i="7"/>
  <c r="EI101" i="7"/>
  <c r="EG101" i="7"/>
  <c r="EE101" i="7"/>
  <c r="EC101" i="7"/>
  <c r="EA101" i="7"/>
  <c r="DY101" i="7"/>
  <c r="DW101" i="7"/>
  <c r="DU101" i="7"/>
  <c r="DS101" i="7"/>
  <c r="DR101" i="7"/>
  <c r="DP101" i="7"/>
  <c r="DN101" i="7"/>
  <c r="DM101" i="7"/>
  <c r="DK101" i="7"/>
  <c r="DI101" i="7"/>
  <c r="DH101" i="7"/>
  <c r="DF101" i="7"/>
  <c r="DD101" i="7"/>
  <c r="DC101" i="7"/>
  <c r="DA101" i="7"/>
  <c r="CY101" i="7"/>
  <c r="CX101" i="7"/>
  <c r="CV101" i="7"/>
  <c r="CT101" i="7"/>
  <c r="CS101" i="7"/>
  <c r="CR101" i="7"/>
  <c r="CQ101" i="7"/>
  <c r="CP101" i="7"/>
  <c r="CO101" i="7"/>
  <c r="CN101" i="7"/>
  <c r="CM101" i="7"/>
  <c r="CL101" i="7"/>
  <c r="CK101" i="7"/>
  <c r="CI101" i="7"/>
  <c r="CJ101" i="7" s="1"/>
  <c r="CH101" i="7"/>
  <c r="CG101" i="7"/>
  <c r="CE101" i="7"/>
  <c r="CF101" i="7" s="1"/>
  <c r="CD101" i="7"/>
  <c r="CC101" i="7"/>
  <c r="CA101" i="7"/>
  <c r="CB101" i="7" s="1"/>
  <c r="BZ101" i="7"/>
  <c r="BY101" i="7"/>
  <c r="BW101" i="7"/>
  <c r="BX101" i="7" s="1"/>
  <c r="BV101" i="7"/>
  <c r="BU101" i="7"/>
  <c r="BS101" i="7"/>
  <c r="BT101" i="7" s="1"/>
  <c r="BR101" i="7"/>
  <c r="BQ101" i="7"/>
  <c r="BO101" i="7"/>
  <c r="BP101" i="7" s="1"/>
  <c r="BN101" i="7"/>
  <c r="BM101" i="7"/>
  <c r="BK101" i="7"/>
  <c r="BL101" i="7" s="1"/>
  <c r="BJ101" i="7"/>
  <c r="BI101" i="7"/>
  <c r="BG101" i="7"/>
  <c r="BH101" i="7" s="1"/>
  <c r="BF101" i="7"/>
  <c r="BE101" i="7"/>
  <c r="BC101" i="7"/>
  <c r="BD101" i="7" s="1"/>
  <c r="BB101" i="7"/>
  <c r="AZ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Z101" i="7"/>
  <c r="Y101" i="7"/>
  <c r="X101" i="7"/>
  <c r="W101" i="7"/>
  <c r="V101" i="7"/>
  <c r="U101" i="7"/>
  <c r="T101" i="7"/>
  <c r="S101" i="7"/>
  <c r="R101" i="7"/>
  <c r="Q101" i="7"/>
  <c r="P101" i="7"/>
  <c r="O101" i="7"/>
  <c r="N101" i="7"/>
  <c r="M101" i="7"/>
  <c r="L101" i="7"/>
  <c r="K101" i="7"/>
  <c r="J101" i="7"/>
  <c r="I101" i="7"/>
  <c r="H101" i="7"/>
  <c r="G101" i="7"/>
  <c r="F101" i="7"/>
  <c r="D101" i="7"/>
  <c r="C101" i="7"/>
  <c r="B101" i="7"/>
  <c r="FQ100" i="7"/>
  <c r="FO100" i="7"/>
  <c r="FM100" i="7"/>
  <c r="FL100" i="7"/>
  <c r="FJ100" i="7"/>
  <c r="FH100" i="7"/>
  <c r="FG100" i="7"/>
  <c r="FE100" i="7"/>
  <c r="FC100" i="7"/>
  <c r="EZ100" i="7"/>
  <c r="EY100" i="7"/>
  <c r="EX100" i="7"/>
  <c r="EW100" i="7"/>
  <c r="EV100" i="7"/>
  <c r="EU100" i="7"/>
  <c r="ET100" i="7"/>
  <c r="ES100" i="7"/>
  <c r="ER100" i="7"/>
  <c r="EQ100" i="7"/>
  <c r="EP100" i="7"/>
  <c r="EO100" i="7"/>
  <c r="EN100" i="7"/>
  <c r="EM100" i="7"/>
  <c r="EI100" i="7"/>
  <c r="EG100" i="7"/>
  <c r="EE100" i="7"/>
  <c r="EC100" i="7"/>
  <c r="EA100" i="7"/>
  <c r="DY100" i="7"/>
  <c r="DW100" i="7"/>
  <c r="DU100" i="7"/>
  <c r="DS100" i="7"/>
  <c r="DR100" i="7"/>
  <c r="DP100" i="7"/>
  <c r="DN100" i="7"/>
  <c r="DM100" i="7"/>
  <c r="DK100" i="7"/>
  <c r="DI100" i="7"/>
  <c r="DH100" i="7"/>
  <c r="DF100" i="7"/>
  <c r="DD100" i="7"/>
  <c r="DC100" i="7"/>
  <c r="DA100" i="7"/>
  <c r="CY100" i="7"/>
  <c r="CX100" i="7"/>
  <c r="CV100" i="7"/>
  <c r="CT100" i="7"/>
  <c r="CS100" i="7"/>
  <c r="CR100" i="7"/>
  <c r="CQ100" i="7"/>
  <c r="CP100" i="7"/>
  <c r="CO100" i="7"/>
  <c r="CN100" i="7"/>
  <c r="CM100" i="7"/>
  <c r="CL100" i="7"/>
  <c r="CK100" i="7"/>
  <c r="CI100" i="7"/>
  <c r="CJ100" i="7" s="1"/>
  <c r="CH100" i="7"/>
  <c r="CG100" i="7"/>
  <c r="CE100" i="7"/>
  <c r="CF100" i="7" s="1"/>
  <c r="CD100" i="7"/>
  <c r="CC100" i="7"/>
  <c r="CA100" i="7"/>
  <c r="CB100" i="7" s="1"/>
  <c r="BZ100" i="7"/>
  <c r="BY100" i="7"/>
  <c r="BW100" i="7"/>
  <c r="BX100" i="7" s="1"/>
  <c r="BV100" i="7"/>
  <c r="BU100" i="7"/>
  <c r="BS100" i="7"/>
  <c r="BT100" i="7" s="1"/>
  <c r="BR100" i="7"/>
  <c r="BQ100" i="7"/>
  <c r="BO100" i="7"/>
  <c r="BP100" i="7" s="1"/>
  <c r="BN100" i="7"/>
  <c r="BM100" i="7"/>
  <c r="BK100" i="7"/>
  <c r="BL100" i="7" s="1"/>
  <c r="BJ100" i="7"/>
  <c r="BI100" i="7"/>
  <c r="BG100" i="7"/>
  <c r="BH100" i="7" s="1"/>
  <c r="BF100" i="7"/>
  <c r="BE100" i="7"/>
  <c r="BC100" i="7"/>
  <c r="BD100" i="7" s="1"/>
  <c r="BB100" i="7"/>
  <c r="AZ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Z100" i="7"/>
  <c r="Y100" i="7"/>
  <c r="X100" i="7"/>
  <c r="W100" i="7"/>
  <c r="V100" i="7"/>
  <c r="U100" i="7"/>
  <c r="T100" i="7"/>
  <c r="S100" i="7"/>
  <c r="R100" i="7"/>
  <c r="Q100" i="7"/>
  <c r="P100" i="7"/>
  <c r="O100" i="7"/>
  <c r="N100" i="7"/>
  <c r="M100" i="7"/>
  <c r="L100" i="7"/>
  <c r="K100" i="7"/>
  <c r="J100" i="7"/>
  <c r="I100" i="7"/>
  <c r="H100" i="7"/>
  <c r="G100" i="7"/>
  <c r="F100" i="7"/>
  <c r="D100" i="7"/>
  <c r="C100" i="7"/>
  <c r="B100" i="7"/>
  <c r="FQ99" i="7"/>
  <c r="FO99" i="7"/>
  <c r="FM99" i="7"/>
  <c r="FL99" i="7"/>
  <c r="FJ99" i="7"/>
  <c r="FH99" i="7"/>
  <c r="FG99" i="7"/>
  <c r="FE99" i="7"/>
  <c r="FC99" i="7"/>
  <c r="EZ99" i="7"/>
  <c r="EY99" i="7"/>
  <c r="EX99" i="7"/>
  <c r="EW99" i="7"/>
  <c r="EV99" i="7"/>
  <c r="EU99" i="7"/>
  <c r="ET99" i="7"/>
  <c r="ES99" i="7"/>
  <c r="ER99" i="7"/>
  <c r="EQ99" i="7"/>
  <c r="EP99" i="7"/>
  <c r="EO99" i="7"/>
  <c r="EN99" i="7"/>
  <c r="EM99" i="7"/>
  <c r="EI99" i="7"/>
  <c r="EG99" i="7"/>
  <c r="EE99" i="7"/>
  <c r="EC99" i="7"/>
  <c r="EA99" i="7"/>
  <c r="DY99" i="7"/>
  <c r="DW99" i="7"/>
  <c r="DU99" i="7"/>
  <c r="DS99" i="7"/>
  <c r="DR99" i="7"/>
  <c r="DP99" i="7"/>
  <c r="DN99" i="7"/>
  <c r="DM99" i="7"/>
  <c r="DK99" i="7"/>
  <c r="DI99" i="7"/>
  <c r="DH99" i="7"/>
  <c r="DF99" i="7"/>
  <c r="DD99" i="7"/>
  <c r="DC99" i="7"/>
  <c r="DA99" i="7"/>
  <c r="CY99" i="7"/>
  <c r="CX99" i="7"/>
  <c r="CV99" i="7"/>
  <c r="CT99" i="7"/>
  <c r="CS99" i="7"/>
  <c r="CR99" i="7"/>
  <c r="CQ99" i="7"/>
  <c r="CP99" i="7"/>
  <c r="CO99" i="7"/>
  <c r="CN99" i="7"/>
  <c r="CM99" i="7"/>
  <c r="CL99" i="7"/>
  <c r="CK99" i="7"/>
  <c r="CI99" i="7"/>
  <c r="CJ99" i="7" s="1"/>
  <c r="CH99" i="7"/>
  <c r="CG99" i="7"/>
  <c r="CE99" i="7"/>
  <c r="CF99" i="7" s="1"/>
  <c r="CD99" i="7"/>
  <c r="CC99" i="7"/>
  <c r="CA99" i="7"/>
  <c r="CB99" i="7" s="1"/>
  <c r="BZ99" i="7"/>
  <c r="BY99" i="7"/>
  <c r="BW99" i="7"/>
  <c r="BX99" i="7" s="1"/>
  <c r="BV99" i="7"/>
  <c r="BU99" i="7"/>
  <c r="BS99" i="7"/>
  <c r="BT99" i="7" s="1"/>
  <c r="BR99" i="7"/>
  <c r="BQ99" i="7"/>
  <c r="BO99" i="7"/>
  <c r="BP99" i="7" s="1"/>
  <c r="BN99" i="7"/>
  <c r="BM99" i="7"/>
  <c r="BK99" i="7"/>
  <c r="BL99" i="7" s="1"/>
  <c r="BJ99" i="7"/>
  <c r="BI99" i="7"/>
  <c r="BG99" i="7"/>
  <c r="BH99" i="7" s="1"/>
  <c r="BF99" i="7"/>
  <c r="BE99" i="7"/>
  <c r="BC99" i="7"/>
  <c r="BD99" i="7" s="1"/>
  <c r="BB99" i="7"/>
  <c r="AZ99" i="7"/>
  <c r="AX99" i="7"/>
  <c r="AW99" i="7"/>
  <c r="AV99" i="7"/>
  <c r="AU99" i="7"/>
  <c r="AT99" i="7"/>
  <c r="AS99" i="7"/>
  <c r="AR99" i="7"/>
  <c r="AQ99" i="7"/>
  <c r="AP99" i="7"/>
  <c r="AO99" i="7"/>
  <c r="AN99" i="7"/>
  <c r="AM99" i="7"/>
  <c r="AL99" i="7"/>
  <c r="AK99" i="7"/>
  <c r="AJ99" i="7"/>
  <c r="AI99" i="7"/>
  <c r="AH99" i="7"/>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D99" i="7"/>
  <c r="C99" i="7"/>
  <c r="B99" i="7"/>
  <c r="FQ98" i="7"/>
  <c r="FO98" i="7"/>
  <c r="FM98" i="7"/>
  <c r="FL98" i="7"/>
  <c r="FJ98" i="7"/>
  <c r="FH98" i="7"/>
  <c r="FG98" i="7"/>
  <c r="FE98" i="7"/>
  <c r="FC98" i="7"/>
  <c r="EZ98" i="7"/>
  <c r="EY98" i="7"/>
  <c r="EX98" i="7"/>
  <c r="EW98" i="7"/>
  <c r="EV98" i="7"/>
  <c r="EU98" i="7"/>
  <c r="ET98" i="7"/>
  <c r="ES98" i="7"/>
  <c r="ER98" i="7"/>
  <c r="EQ98" i="7"/>
  <c r="EP98" i="7"/>
  <c r="EO98" i="7"/>
  <c r="EN98" i="7"/>
  <c r="EM98" i="7"/>
  <c r="EI98" i="7"/>
  <c r="EG98" i="7"/>
  <c r="EE98" i="7"/>
  <c r="EC98" i="7"/>
  <c r="EA98" i="7"/>
  <c r="DY98" i="7"/>
  <c r="DW98" i="7"/>
  <c r="DU98" i="7"/>
  <c r="DS98" i="7"/>
  <c r="DR98" i="7"/>
  <c r="DP98" i="7"/>
  <c r="DN98" i="7"/>
  <c r="DM98" i="7"/>
  <c r="DK98" i="7"/>
  <c r="DI98" i="7"/>
  <c r="DH98" i="7"/>
  <c r="DF98" i="7"/>
  <c r="DD98" i="7"/>
  <c r="DC98" i="7"/>
  <c r="DA98" i="7"/>
  <c r="CY98" i="7"/>
  <c r="CX98" i="7"/>
  <c r="CV98" i="7"/>
  <c r="CT98" i="7"/>
  <c r="CS98" i="7"/>
  <c r="CR98" i="7"/>
  <c r="CQ98" i="7"/>
  <c r="CP98" i="7"/>
  <c r="CO98" i="7"/>
  <c r="CN98" i="7"/>
  <c r="CM98" i="7"/>
  <c r="CL98" i="7"/>
  <c r="CK98" i="7"/>
  <c r="CI98" i="7"/>
  <c r="CJ98" i="7" s="1"/>
  <c r="CH98" i="7"/>
  <c r="CG98" i="7"/>
  <c r="CE98" i="7"/>
  <c r="CF98" i="7" s="1"/>
  <c r="CD98" i="7"/>
  <c r="CC98" i="7"/>
  <c r="CA98" i="7"/>
  <c r="CB98" i="7" s="1"/>
  <c r="BZ98" i="7"/>
  <c r="BY98" i="7"/>
  <c r="BW98" i="7"/>
  <c r="BX98" i="7" s="1"/>
  <c r="BV98" i="7"/>
  <c r="BU98" i="7"/>
  <c r="BS98" i="7"/>
  <c r="BT98" i="7" s="1"/>
  <c r="BR98" i="7"/>
  <c r="BQ98" i="7"/>
  <c r="BO98" i="7"/>
  <c r="BP98" i="7" s="1"/>
  <c r="BN98" i="7"/>
  <c r="BM98" i="7"/>
  <c r="BK98" i="7"/>
  <c r="BL98" i="7" s="1"/>
  <c r="BJ98" i="7"/>
  <c r="BI98" i="7"/>
  <c r="BG98" i="7"/>
  <c r="BH98" i="7" s="1"/>
  <c r="BF98" i="7"/>
  <c r="BE98" i="7"/>
  <c r="BC98" i="7"/>
  <c r="BD98" i="7" s="1"/>
  <c r="BB98" i="7"/>
  <c r="AZ98" i="7"/>
  <c r="AX98" i="7"/>
  <c r="AW98" i="7"/>
  <c r="AV98" i="7"/>
  <c r="AU98" i="7"/>
  <c r="AT98" i="7"/>
  <c r="AS98" i="7"/>
  <c r="AR98" i="7"/>
  <c r="AQ98" i="7"/>
  <c r="AP98" i="7"/>
  <c r="AO98" i="7"/>
  <c r="AN98" i="7"/>
  <c r="AM98" i="7"/>
  <c r="AL98" i="7"/>
  <c r="AK98" i="7"/>
  <c r="AJ98" i="7"/>
  <c r="AI98" i="7"/>
  <c r="AH98" i="7"/>
  <c r="AG98" i="7"/>
  <c r="AF98" i="7"/>
  <c r="AE98" i="7"/>
  <c r="AD98" i="7"/>
  <c r="AC98" i="7"/>
  <c r="AB98" i="7"/>
  <c r="AA98" i="7"/>
  <c r="Z98" i="7"/>
  <c r="Y98" i="7"/>
  <c r="X98" i="7"/>
  <c r="W98" i="7"/>
  <c r="V98" i="7"/>
  <c r="U98" i="7"/>
  <c r="T98" i="7"/>
  <c r="S98" i="7"/>
  <c r="R98" i="7"/>
  <c r="Q98" i="7"/>
  <c r="P98" i="7"/>
  <c r="O98" i="7"/>
  <c r="N98" i="7"/>
  <c r="M98" i="7"/>
  <c r="L98" i="7"/>
  <c r="K98" i="7"/>
  <c r="J98" i="7"/>
  <c r="I98" i="7"/>
  <c r="H98" i="7"/>
  <c r="G98" i="7"/>
  <c r="F98" i="7"/>
  <c r="D98" i="7"/>
  <c r="C98" i="7"/>
  <c r="B98" i="7"/>
  <c r="FQ97" i="7"/>
  <c r="FO97" i="7"/>
  <c r="FM97" i="7"/>
  <c r="FL97" i="7"/>
  <c r="FJ97" i="7"/>
  <c r="FH97" i="7"/>
  <c r="FG97" i="7"/>
  <c r="FE97" i="7"/>
  <c r="FC97" i="7"/>
  <c r="EZ97" i="7"/>
  <c r="EY97" i="7"/>
  <c r="EX97" i="7"/>
  <c r="EW97" i="7"/>
  <c r="EV97" i="7"/>
  <c r="EU97" i="7"/>
  <c r="ET97" i="7"/>
  <c r="ES97" i="7"/>
  <c r="ER97" i="7"/>
  <c r="EQ97" i="7"/>
  <c r="EP97" i="7"/>
  <c r="EO97" i="7"/>
  <c r="EN97" i="7"/>
  <c r="EM97" i="7"/>
  <c r="EI97" i="7"/>
  <c r="EG97" i="7"/>
  <c r="EE97" i="7"/>
  <c r="EC97" i="7"/>
  <c r="EA97" i="7"/>
  <c r="DY97" i="7"/>
  <c r="DW97" i="7"/>
  <c r="DU97" i="7"/>
  <c r="DS97" i="7"/>
  <c r="DR97" i="7"/>
  <c r="DP97" i="7"/>
  <c r="DN97" i="7"/>
  <c r="DM97" i="7"/>
  <c r="DK97" i="7"/>
  <c r="DI97" i="7"/>
  <c r="DH97" i="7"/>
  <c r="DF97" i="7"/>
  <c r="DD97" i="7"/>
  <c r="DC97" i="7"/>
  <c r="DA97" i="7"/>
  <c r="CY97" i="7"/>
  <c r="CX97" i="7"/>
  <c r="CV97" i="7"/>
  <c r="CT97" i="7"/>
  <c r="CS97" i="7"/>
  <c r="CR97" i="7"/>
  <c r="CQ97" i="7"/>
  <c r="CP97" i="7"/>
  <c r="CO97" i="7"/>
  <c r="CN97" i="7"/>
  <c r="CM97" i="7"/>
  <c r="CL97" i="7"/>
  <c r="CK97" i="7"/>
  <c r="CI97" i="7"/>
  <c r="CJ97" i="7" s="1"/>
  <c r="CH97" i="7"/>
  <c r="CG97" i="7"/>
  <c r="CE97" i="7"/>
  <c r="CF97" i="7" s="1"/>
  <c r="CD97" i="7"/>
  <c r="CC97" i="7"/>
  <c r="CA97" i="7"/>
  <c r="CB97" i="7" s="1"/>
  <c r="BZ97" i="7"/>
  <c r="BY97" i="7"/>
  <c r="BW97" i="7"/>
  <c r="BX97" i="7" s="1"/>
  <c r="BV97" i="7"/>
  <c r="BU97" i="7"/>
  <c r="BS97" i="7"/>
  <c r="BT97" i="7" s="1"/>
  <c r="BR97" i="7"/>
  <c r="BQ97" i="7"/>
  <c r="BO97" i="7"/>
  <c r="BP97" i="7" s="1"/>
  <c r="BN97" i="7"/>
  <c r="BM97" i="7"/>
  <c r="BK97" i="7"/>
  <c r="BL97" i="7" s="1"/>
  <c r="BJ97" i="7"/>
  <c r="BI97" i="7"/>
  <c r="BG97" i="7"/>
  <c r="BH97" i="7" s="1"/>
  <c r="BF97" i="7"/>
  <c r="BE97" i="7"/>
  <c r="BC97" i="7"/>
  <c r="BD97" i="7" s="1"/>
  <c r="BB97" i="7"/>
  <c r="AZ97" i="7"/>
  <c r="AX97" i="7"/>
  <c r="AW97" i="7"/>
  <c r="AV97" i="7"/>
  <c r="AU97" i="7"/>
  <c r="AT97" i="7"/>
  <c r="AS97" i="7"/>
  <c r="AR97" i="7"/>
  <c r="AQ97" i="7"/>
  <c r="AP97" i="7"/>
  <c r="AO97" i="7"/>
  <c r="AN97" i="7"/>
  <c r="AM97" i="7"/>
  <c r="AL97" i="7"/>
  <c r="AK97" i="7"/>
  <c r="AJ97" i="7"/>
  <c r="AI97" i="7"/>
  <c r="AH97" i="7"/>
  <c r="AG97" i="7"/>
  <c r="AF97" i="7"/>
  <c r="AE97" i="7"/>
  <c r="AD97" i="7"/>
  <c r="AC97" i="7"/>
  <c r="AB97" i="7"/>
  <c r="AA97" i="7"/>
  <c r="Z97" i="7"/>
  <c r="Y97" i="7"/>
  <c r="X97" i="7"/>
  <c r="W97" i="7"/>
  <c r="V97" i="7"/>
  <c r="U97" i="7"/>
  <c r="T97" i="7"/>
  <c r="S97" i="7"/>
  <c r="R97" i="7"/>
  <c r="Q97" i="7"/>
  <c r="P97" i="7"/>
  <c r="O97" i="7"/>
  <c r="N97" i="7"/>
  <c r="M97" i="7"/>
  <c r="L97" i="7"/>
  <c r="K97" i="7"/>
  <c r="J97" i="7"/>
  <c r="I97" i="7"/>
  <c r="H97" i="7"/>
  <c r="G97" i="7"/>
  <c r="F97" i="7"/>
  <c r="D97" i="7"/>
  <c r="C97" i="7"/>
  <c r="B97" i="7"/>
  <c r="FQ96" i="7"/>
  <c r="FO96" i="7"/>
  <c r="FM96" i="7"/>
  <c r="FL96" i="7"/>
  <c r="FJ96" i="7"/>
  <c r="FH96" i="7"/>
  <c r="FG96" i="7"/>
  <c r="FE96" i="7"/>
  <c r="FC96" i="7"/>
  <c r="EZ96" i="7"/>
  <c r="EY96" i="7"/>
  <c r="EX96" i="7"/>
  <c r="EW96" i="7"/>
  <c r="EV96" i="7"/>
  <c r="EU96" i="7"/>
  <c r="ET96" i="7"/>
  <c r="ES96" i="7"/>
  <c r="ER96" i="7"/>
  <c r="EQ96" i="7"/>
  <c r="EP96" i="7"/>
  <c r="EO96" i="7"/>
  <c r="EN96" i="7"/>
  <c r="EM96" i="7"/>
  <c r="EI96" i="7"/>
  <c r="EG96" i="7"/>
  <c r="EE96" i="7"/>
  <c r="EC96" i="7"/>
  <c r="EA96" i="7"/>
  <c r="DY96" i="7"/>
  <c r="DW96" i="7"/>
  <c r="DU96" i="7"/>
  <c r="DS96" i="7"/>
  <c r="DR96" i="7"/>
  <c r="DP96" i="7"/>
  <c r="DN96" i="7"/>
  <c r="DM96" i="7"/>
  <c r="DK96" i="7"/>
  <c r="DI96" i="7"/>
  <c r="DH96" i="7"/>
  <c r="DF96" i="7"/>
  <c r="DD96" i="7"/>
  <c r="DC96" i="7"/>
  <c r="DA96" i="7"/>
  <c r="CY96" i="7"/>
  <c r="CX96" i="7"/>
  <c r="CV96" i="7"/>
  <c r="CT96" i="7"/>
  <c r="CS96" i="7"/>
  <c r="CR96" i="7"/>
  <c r="CQ96" i="7"/>
  <c r="CP96" i="7"/>
  <c r="CO96" i="7"/>
  <c r="CN96" i="7"/>
  <c r="CM96" i="7"/>
  <c r="CL96" i="7"/>
  <c r="CK96" i="7"/>
  <c r="CI96" i="7"/>
  <c r="CJ96" i="7" s="1"/>
  <c r="CH96" i="7"/>
  <c r="CG96" i="7"/>
  <c r="CE96" i="7"/>
  <c r="CF96" i="7" s="1"/>
  <c r="CD96" i="7"/>
  <c r="CC96" i="7"/>
  <c r="CA96" i="7"/>
  <c r="CB96" i="7" s="1"/>
  <c r="BZ96" i="7"/>
  <c r="BY96" i="7"/>
  <c r="BW96" i="7"/>
  <c r="BX96" i="7" s="1"/>
  <c r="BV96" i="7"/>
  <c r="BU96" i="7"/>
  <c r="BS96" i="7"/>
  <c r="BT96" i="7" s="1"/>
  <c r="BR96" i="7"/>
  <c r="BQ96" i="7"/>
  <c r="BO96" i="7"/>
  <c r="BP96" i="7" s="1"/>
  <c r="BN96" i="7"/>
  <c r="BM96" i="7"/>
  <c r="BK96" i="7"/>
  <c r="BL96" i="7" s="1"/>
  <c r="BJ96" i="7"/>
  <c r="BI96" i="7"/>
  <c r="BG96" i="7"/>
  <c r="BH96" i="7" s="1"/>
  <c r="BF96" i="7"/>
  <c r="BE96" i="7"/>
  <c r="BC96" i="7"/>
  <c r="BD96" i="7" s="1"/>
  <c r="BB96" i="7"/>
  <c r="AZ96" i="7"/>
  <c r="AX96" i="7"/>
  <c r="AW96" i="7"/>
  <c r="AV96" i="7"/>
  <c r="AU96" i="7"/>
  <c r="AT96" i="7"/>
  <c r="AS96" i="7"/>
  <c r="AR96" i="7"/>
  <c r="AQ96" i="7"/>
  <c r="AP96" i="7"/>
  <c r="AO96" i="7"/>
  <c r="AN96" i="7"/>
  <c r="AM96" i="7"/>
  <c r="AL96" i="7"/>
  <c r="AK96" i="7"/>
  <c r="AJ96" i="7"/>
  <c r="AI96" i="7"/>
  <c r="AH96" i="7"/>
  <c r="AG96" i="7"/>
  <c r="AF96" i="7"/>
  <c r="AE96" i="7"/>
  <c r="AD96" i="7"/>
  <c r="AC96" i="7"/>
  <c r="AB96" i="7"/>
  <c r="AA96" i="7"/>
  <c r="Z96" i="7"/>
  <c r="Y96" i="7"/>
  <c r="X96" i="7"/>
  <c r="W96" i="7"/>
  <c r="V96" i="7"/>
  <c r="U96" i="7"/>
  <c r="T96" i="7"/>
  <c r="S96" i="7"/>
  <c r="R96" i="7"/>
  <c r="Q96" i="7"/>
  <c r="P96" i="7"/>
  <c r="O96" i="7"/>
  <c r="N96" i="7"/>
  <c r="M96" i="7"/>
  <c r="L96" i="7"/>
  <c r="K96" i="7"/>
  <c r="J96" i="7"/>
  <c r="I96" i="7"/>
  <c r="H96" i="7"/>
  <c r="G96" i="7"/>
  <c r="F96" i="7"/>
  <c r="D96" i="7"/>
  <c r="C96" i="7"/>
  <c r="B96" i="7"/>
  <c r="FQ95" i="7"/>
  <c r="FO95" i="7"/>
  <c r="FM95" i="7"/>
  <c r="FL95" i="7"/>
  <c r="FJ95" i="7"/>
  <c r="FH95" i="7"/>
  <c r="FG95" i="7"/>
  <c r="FE95" i="7"/>
  <c r="FC95" i="7"/>
  <c r="EZ95" i="7"/>
  <c r="EY95" i="7"/>
  <c r="EX95" i="7"/>
  <c r="EW95" i="7"/>
  <c r="EV95" i="7"/>
  <c r="EU95" i="7"/>
  <c r="ET95" i="7"/>
  <c r="ES95" i="7"/>
  <c r="ER95" i="7"/>
  <c r="EQ95" i="7"/>
  <c r="EP95" i="7"/>
  <c r="EO95" i="7"/>
  <c r="EN95" i="7"/>
  <c r="EM95" i="7"/>
  <c r="EI95" i="7"/>
  <c r="EG95" i="7"/>
  <c r="EE95" i="7"/>
  <c r="EC95" i="7"/>
  <c r="EA95" i="7"/>
  <c r="DY95" i="7"/>
  <c r="DW95" i="7"/>
  <c r="DU95" i="7"/>
  <c r="DS95" i="7"/>
  <c r="DR95" i="7"/>
  <c r="DP95" i="7"/>
  <c r="DN95" i="7"/>
  <c r="DM95" i="7"/>
  <c r="DK95" i="7"/>
  <c r="DI95" i="7"/>
  <c r="DH95" i="7"/>
  <c r="DF95" i="7"/>
  <c r="DD95" i="7"/>
  <c r="DC95" i="7"/>
  <c r="DA95" i="7"/>
  <c r="CY95" i="7"/>
  <c r="CX95" i="7"/>
  <c r="CV95" i="7"/>
  <c r="CT95" i="7"/>
  <c r="CS95" i="7"/>
  <c r="CR95" i="7"/>
  <c r="CQ95" i="7"/>
  <c r="CP95" i="7"/>
  <c r="CO95" i="7"/>
  <c r="CN95" i="7"/>
  <c r="CM95" i="7"/>
  <c r="CL95" i="7"/>
  <c r="CK95" i="7"/>
  <c r="CI95" i="7"/>
  <c r="CJ95" i="7" s="1"/>
  <c r="CH95" i="7"/>
  <c r="CG95" i="7"/>
  <c r="CE95" i="7"/>
  <c r="CF95" i="7" s="1"/>
  <c r="CD95" i="7"/>
  <c r="CC95" i="7"/>
  <c r="CA95" i="7"/>
  <c r="CB95" i="7" s="1"/>
  <c r="BZ95" i="7"/>
  <c r="BY95" i="7"/>
  <c r="BW95" i="7"/>
  <c r="BX95" i="7" s="1"/>
  <c r="BV95" i="7"/>
  <c r="BU95" i="7"/>
  <c r="BS95" i="7"/>
  <c r="BT95" i="7" s="1"/>
  <c r="BR95" i="7"/>
  <c r="BQ95" i="7"/>
  <c r="BO95" i="7"/>
  <c r="BP95" i="7" s="1"/>
  <c r="BN95" i="7"/>
  <c r="BM95" i="7"/>
  <c r="BK95" i="7"/>
  <c r="BL95" i="7" s="1"/>
  <c r="BJ95" i="7"/>
  <c r="BI95" i="7"/>
  <c r="BG95" i="7"/>
  <c r="BH95" i="7" s="1"/>
  <c r="BF95" i="7"/>
  <c r="BE95" i="7"/>
  <c r="BC95" i="7"/>
  <c r="BD95" i="7" s="1"/>
  <c r="BB95" i="7"/>
  <c r="AZ95" i="7"/>
  <c r="AX95" i="7"/>
  <c r="AW95" i="7"/>
  <c r="AV95" i="7"/>
  <c r="AU95" i="7"/>
  <c r="AT95" i="7"/>
  <c r="AS95" i="7"/>
  <c r="AR95" i="7"/>
  <c r="AQ95" i="7"/>
  <c r="AP95" i="7"/>
  <c r="AO95" i="7"/>
  <c r="AN95" i="7"/>
  <c r="AM95" i="7"/>
  <c r="AL95" i="7"/>
  <c r="AK95" i="7"/>
  <c r="AJ95" i="7"/>
  <c r="AI95" i="7"/>
  <c r="AH95"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D95" i="7"/>
  <c r="C95" i="7"/>
  <c r="B95" i="7"/>
  <c r="FQ94" i="7"/>
  <c r="FO94" i="7"/>
  <c r="FM94" i="7"/>
  <c r="FL94" i="7"/>
  <c r="FJ94" i="7"/>
  <c r="FH94" i="7"/>
  <c r="FG94" i="7"/>
  <c r="FE94" i="7"/>
  <c r="FC94" i="7"/>
  <c r="EZ94" i="7"/>
  <c r="EY94" i="7"/>
  <c r="EX94" i="7"/>
  <c r="EW94" i="7"/>
  <c r="EV94" i="7"/>
  <c r="EU94" i="7"/>
  <c r="ET94" i="7"/>
  <c r="ES94" i="7"/>
  <c r="ER94" i="7"/>
  <c r="EQ94" i="7"/>
  <c r="EP94" i="7"/>
  <c r="EO94" i="7"/>
  <c r="EN94" i="7"/>
  <c r="EM94" i="7"/>
  <c r="EI94" i="7"/>
  <c r="EG94" i="7"/>
  <c r="EE94" i="7"/>
  <c r="EC94" i="7"/>
  <c r="EA94" i="7"/>
  <c r="DY94" i="7"/>
  <c r="DW94" i="7"/>
  <c r="DU94" i="7"/>
  <c r="DS94" i="7"/>
  <c r="DR94" i="7"/>
  <c r="DP94" i="7"/>
  <c r="DN94" i="7"/>
  <c r="DM94" i="7"/>
  <c r="DK94" i="7"/>
  <c r="DI94" i="7"/>
  <c r="DH94" i="7"/>
  <c r="DF94" i="7"/>
  <c r="DD94" i="7"/>
  <c r="DC94" i="7"/>
  <c r="DA94" i="7"/>
  <c r="CY94" i="7"/>
  <c r="CX94" i="7"/>
  <c r="CV94" i="7"/>
  <c r="CT94" i="7"/>
  <c r="CS94" i="7"/>
  <c r="CR94" i="7"/>
  <c r="CQ94" i="7"/>
  <c r="CP94" i="7"/>
  <c r="CO94" i="7"/>
  <c r="CN94" i="7"/>
  <c r="CM94" i="7"/>
  <c r="CL94" i="7"/>
  <c r="CK94" i="7"/>
  <c r="CI94" i="7"/>
  <c r="CJ94" i="7" s="1"/>
  <c r="CH94" i="7"/>
  <c r="CG94" i="7"/>
  <c r="CE94" i="7"/>
  <c r="CF94" i="7" s="1"/>
  <c r="CD94" i="7"/>
  <c r="CC94" i="7"/>
  <c r="CA94" i="7"/>
  <c r="CB94" i="7" s="1"/>
  <c r="BZ94" i="7"/>
  <c r="BY94" i="7"/>
  <c r="BW94" i="7"/>
  <c r="BX94" i="7" s="1"/>
  <c r="BV94" i="7"/>
  <c r="BU94" i="7"/>
  <c r="BS94" i="7"/>
  <c r="BT94" i="7" s="1"/>
  <c r="BR94" i="7"/>
  <c r="BQ94" i="7"/>
  <c r="BO94" i="7"/>
  <c r="BP94" i="7" s="1"/>
  <c r="BN94" i="7"/>
  <c r="BM94" i="7"/>
  <c r="BK94" i="7"/>
  <c r="BL94" i="7" s="1"/>
  <c r="BJ94" i="7"/>
  <c r="BI94" i="7"/>
  <c r="BG94" i="7"/>
  <c r="BH94" i="7" s="1"/>
  <c r="BF94" i="7"/>
  <c r="BE94" i="7"/>
  <c r="BC94" i="7"/>
  <c r="BD94" i="7" s="1"/>
  <c r="BB94" i="7"/>
  <c r="AZ94" i="7"/>
  <c r="AX94" i="7"/>
  <c r="AW94" i="7"/>
  <c r="AV94" i="7"/>
  <c r="AU94" i="7"/>
  <c r="AT94" i="7"/>
  <c r="AS94" i="7"/>
  <c r="AR94" i="7"/>
  <c r="AQ94" i="7"/>
  <c r="AP94" i="7"/>
  <c r="AO94" i="7"/>
  <c r="AN94" i="7"/>
  <c r="AM94" i="7"/>
  <c r="AL94" i="7"/>
  <c r="AK94" i="7"/>
  <c r="AJ94" i="7"/>
  <c r="AI94" i="7"/>
  <c r="AH94" i="7"/>
  <c r="AG94" i="7"/>
  <c r="AF94" i="7"/>
  <c r="AE94" i="7"/>
  <c r="AD94" i="7"/>
  <c r="AC94" i="7"/>
  <c r="AB94" i="7"/>
  <c r="AA94" i="7"/>
  <c r="Z94" i="7"/>
  <c r="Y94" i="7"/>
  <c r="X94" i="7"/>
  <c r="W94" i="7"/>
  <c r="V94" i="7"/>
  <c r="U94" i="7"/>
  <c r="T94" i="7"/>
  <c r="S94" i="7"/>
  <c r="R94" i="7"/>
  <c r="Q94" i="7"/>
  <c r="P94" i="7"/>
  <c r="O94" i="7"/>
  <c r="N94" i="7"/>
  <c r="M94" i="7"/>
  <c r="L94" i="7"/>
  <c r="K94" i="7"/>
  <c r="J94" i="7"/>
  <c r="I94" i="7"/>
  <c r="H94" i="7"/>
  <c r="G94" i="7"/>
  <c r="F94" i="7"/>
  <c r="D94" i="7"/>
  <c r="C94" i="7"/>
  <c r="B94" i="7"/>
  <c r="FQ93" i="7"/>
  <c r="FO93" i="7"/>
  <c r="FM93" i="7"/>
  <c r="FL93" i="7"/>
  <c r="FJ93" i="7"/>
  <c r="FH93" i="7"/>
  <c r="FG93" i="7"/>
  <c r="FE93" i="7"/>
  <c r="FC93" i="7"/>
  <c r="EZ93" i="7"/>
  <c r="EY93" i="7"/>
  <c r="EX93" i="7"/>
  <c r="EW93" i="7"/>
  <c r="EV93" i="7"/>
  <c r="EU93" i="7"/>
  <c r="ET93" i="7"/>
  <c r="ES93" i="7"/>
  <c r="ER93" i="7"/>
  <c r="EQ93" i="7"/>
  <c r="EP93" i="7"/>
  <c r="EO93" i="7"/>
  <c r="EN93" i="7"/>
  <c r="EM93" i="7"/>
  <c r="EI93" i="7"/>
  <c r="EG93" i="7"/>
  <c r="EE93" i="7"/>
  <c r="EC93" i="7"/>
  <c r="EA93" i="7"/>
  <c r="DY93" i="7"/>
  <c r="DW93" i="7"/>
  <c r="DU93" i="7"/>
  <c r="DS93" i="7"/>
  <c r="DR93" i="7"/>
  <c r="DP93" i="7"/>
  <c r="DN93" i="7"/>
  <c r="DM93" i="7"/>
  <c r="DK93" i="7"/>
  <c r="DI93" i="7"/>
  <c r="DH93" i="7"/>
  <c r="DF93" i="7"/>
  <c r="DD93" i="7"/>
  <c r="DC93" i="7"/>
  <c r="DA93" i="7"/>
  <c r="CY93" i="7"/>
  <c r="CX93" i="7"/>
  <c r="CV93" i="7"/>
  <c r="CT93" i="7"/>
  <c r="CS93" i="7"/>
  <c r="CR93" i="7"/>
  <c r="CQ93" i="7"/>
  <c r="CP93" i="7"/>
  <c r="CO93" i="7"/>
  <c r="CN93" i="7"/>
  <c r="CM93" i="7"/>
  <c r="CL93" i="7"/>
  <c r="CK93" i="7"/>
  <c r="CI93" i="7"/>
  <c r="CJ93" i="7" s="1"/>
  <c r="CH93" i="7"/>
  <c r="CG93" i="7"/>
  <c r="CE93" i="7"/>
  <c r="CF93" i="7" s="1"/>
  <c r="CD93" i="7"/>
  <c r="CC93" i="7"/>
  <c r="CA93" i="7"/>
  <c r="CB93" i="7" s="1"/>
  <c r="BZ93" i="7"/>
  <c r="BY93" i="7"/>
  <c r="BW93" i="7"/>
  <c r="BX93" i="7" s="1"/>
  <c r="BV93" i="7"/>
  <c r="BU93" i="7"/>
  <c r="BS93" i="7"/>
  <c r="BT93" i="7" s="1"/>
  <c r="BR93" i="7"/>
  <c r="BQ93" i="7"/>
  <c r="BO93" i="7"/>
  <c r="BP93" i="7" s="1"/>
  <c r="BN93" i="7"/>
  <c r="BM93" i="7"/>
  <c r="BK93" i="7"/>
  <c r="BL93" i="7" s="1"/>
  <c r="BJ93" i="7"/>
  <c r="BI93" i="7"/>
  <c r="BG93" i="7"/>
  <c r="BH93" i="7" s="1"/>
  <c r="BF93" i="7"/>
  <c r="BE93" i="7"/>
  <c r="BC93" i="7"/>
  <c r="BD93" i="7" s="1"/>
  <c r="BB93" i="7"/>
  <c r="AZ93" i="7"/>
  <c r="AX93" i="7"/>
  <c r="AW93" i="7"/>
  <c r="AV93" i="7"/>
  <c r="AU93" i="7"/>
  <c r="AT93" i="7"/>
  <c r="AS93" i="7"/>
  <c r="AR93" i="7"/>
  <c r="AQ93" i="7"/>
  <c r="AP93" i="7"/>
  <c r="AO93" i="7"/>
  <c r="AN93" i="7"/>
  <c r="AM93" i="7"/>
  <c r="AL93" i="7"/>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F93" i="7"/>
  <c r="D93" i="7"/>
  <c r="C93" i="7"/>
  <c r="B93" i="7"/>
  <c r="FQ92" i="7"/>
  <c r="FO92" i="7"/>
  <c r="FM92" i="7"/>
  <c r="FL92" i="7"/>
  <c r="FJ92" i="7"/>
  <c r="FH92" i="7"/>
  <c r="FG92" i="7"/>
  <c r="FE92" i="7"/>
  <c r="FC92" i="7"/>
  <c r="EZ92" i="7"/>
  <c r="EY92" i="7"/>
  <c r="EX92" i="7"/>
  <c r="EW92" i="7"/>
  <c r="EV92" i="7"/>
  <c r="EU92" i="7"/>
  <c r="ET92" i="7"/>
  <c r="ES92" i="7"/>
  <c r="ER92" i="7"/>
  <c r="EQ92" i="7"/>
  <c r="EP92" i="7"/>
  <c r="EO92" i="7"/>
  <c r="EN92" i="7"/>
  <c r="EM92" i="7"/>
  <c r="EI92" i="7"/>
  <c r="EG92" i="7"/>
  <c r="EE92" i="7"/>
  <c r="EC92" i="7"/>
  <c r="EA92" i="7"/>
  <c r="DY92" i="7"/>
  <c r="DW92" i="7"/>
  <c r="DU92" i="7"/>
  <c r="DS92" i="7"/>
  <c r="DR92" i="7"/>
  <c r="DP92" i="7"/>
  <c r="DN92" i="7"/>
  <c r="DM92" i="7"/>
  <c r="DK92" i="7"/>
  <c r="DI92" i="7"/>
  <c r="DH92" i="7"/>
  <c r="DF92" i="7"/>
  <c r="DD92" i="7"/>
  <c r="DC92" i="7"/>
  <c r="DA92" i="7"/>
  <c r="CY92" i="7"/>
  <c r="CX92" i="7"/>
  <c r="CV92" i="7"/>
  <c r="CT92" i="7"/>
  <c r="CS92" i="7"/>
  <c r="CR92" i="7"/>
  <c r="CQ92" i="7"/>
  <c r="CP92" i="7"/>
  <c r="CO92" i="7"/>
  <c r="CN92" i="7"/>
  <c r="CM92" i="7"/>
  <c r="CL92" i="7"/>
  <c r="CK92" i="7"/>
  <c r="CI92" i="7"/>
  <c r="CJ92" i="7" s="1"/>
  <c r="CH92" i="7"/>
  <c r="CG92" i="7"/>
  <c r="CE92" i="7"/>
  <c r="CF92" i="7" s="1"/>
  <c r="CD92" i="7"/>
  <c r="CC92" i="7"/>
  <c r="CA92" i="7"/>
  <c r="CB92" i="7" s="1"/>
  <c r="BZ92" i="7"/>
  <c r="BY92" i="7"/>
  <c r="BW92" i="7"/>
  <c r="BX92" i="7" s="1"/>
  <c r="BV92" i="7"/>
  <c r="BU92" i="7"/>
  <c r="BS92" i="7"/>
  <c r="BT92" i="7" s="1"/>
  <c r="BR92" i="7"/>
  <c r="BQ92" i="7"/>
  <c r="BO92" i="7"/>
  <c r="BP92" i="7" s="1"/>
  <c r="BN92" i="7"/>
  <c r="BM92" i="7"/>
  <c r="BK92" i="7"/>
  <c r="BL92" i="7" s="1"/>
  <c r="BJ92" i="7"/>
  <c r="BI92" i="7"/>
  <c r="BG92" i="7"/>
  <c r="BH92" i="7" s="1"/>
  <c r="BF92" i="7"/>
  <c r="BE92" i="7"/>
  <c r="BC92" i="7"/>
  <c r="BD92" i="7" s="1"/>
  <c r="BB92" i="7"/>
  <c r="AZ92" i="7"/>
  <c r="AX92" i="7"/>
  <c r="AW92" i="7"/>
  <c r="AV92" i="7"/>
  <c r="AU92" i="7"/>
  <c r="AT92" i="7"/>
  <c r="AS92" i="7"/>
  <c r="AR92" i="7"/>
  <c r="AQ92" i="7"/>
  <c r="AP92" i="7"/>
  <c r="AO92" i="7"/>
  <c r="AN92" i="7"/>
  <c r="AM92" i="7"/>
  <c r="AL92" i="7"/>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F92" i="7"/>
  <c r="D92" i="7"/>
  <c r="C92" i="7"/>
  <c r="B92" i="7"/>
  <c r="FQ91" i="7"/>
  <c r="FO91" i="7"/>
  <c r="FM91" i="7"/>
  <c r="FL91" i="7"/>
  <c r="FJ91" i="7"/>
  <c r="FH91" i="7"/>
  <c r="FG91" i="7"/>
  <c r="FE91" i="7"/>
  <c r="FC91" i="7"/>
  <c r="EZ91" i="7"/>
  <c r="EY91" i="7"/>
  <c r="EX91" i="7"/>
  <c r="EW91" i="7"/>
  <c r="EV91" i="7"/>
  <c r="EU91" i="7"/>
  <c r="ET91" i="7"/>
  <c r="ES91" i="7"/>
  <c r="ER91" i="7"/>
  <c r="EQ91" i="7"/>
  <c r="EP91" i="7"/>
  <c r="EO91" i="7"/>
  <c r="EN91" i="7"/>
  <c r="EM91" i="7"/>
  <c r="EI91" i="7"/>
  <c r="EG91" i="7"/>
  <c r="EE91" i="7"/>
  <c r="EC91" i="7"/>
  <c r="EA91" i="7"/>
  <c r="DY91" i="7"/>
  <c r="DW91" i="7"/>
  <c r="DU91" i="7"/>
  <c r="DS91" i="7"/>
  <c r="DR91" i="7"/>
  <c r="DP91" i="7"/>
  <c r="DN91" i="7"/>
  <c r="DM91" i="7"/>
  <c r="DK91" i="7"/>
  <c r="DI91" i="7"/>
  <c r="DH91" i="7"/>
  <c r="DF91" i="7"/>
  <c r="DD91" i="7"/>
  <c r="DC91" i="7"/>
  <c r="DA91" i="7"/>
  <c r="CY91" i="7"/>
  <c r="CX91" i="7"/>
  <c r="CV91" i="7"/>
  <c r="CT91" i="7"/>
  <c r="CS91" i="7"/>
  <c r="CR91" i="7"/>
  <c r="CQ91" i="7"/>
  <c r="CP91" i="7"/>
  <c r="CO91" i="7"/>
  <c r="CN91" i="7"/>
  <c r="CM91" i="7"/>
  <c r="CL91" i="7"/>
  <c r="CK91" i="7"/>
  <c r="CI91" i="7"/>
  <c r="CJ91" i="7" s="1"/>
  <c r="CH91" i="7"/>
  <c r="CG91" i="7"/>
  <c r="CE91" i="7"/>
  <c r="CF91" i="7" s="1"/>
  <c r="CD91" i="7"/>
  <c r="CC91" i="7"/>
  <c r="CA91" i="7"/>
  <c r="CB91" i="7" s="1"/>
  <c r="BZ91" i="7"/>
  <c r="BY91" i="7"/>
  <c r="BW91" i="7"/>
  <c r="BX91" i="7" s="1"/>
  <c r="BV91" i="7"/>
  <c r="BU91" i="7"/>
  <c r="BS91" i="7"/>
  <c r="BT91" i="7" s="1"/>
  <c r="BR91" i="7"/>
  <c r="BQ91" i="7"/>
  <c r="BO91" i="7"/>
  <c r="BP91" i="7" s="1"/>
  <c r="BN91" i="7"/>
  <c r="BM91" i="7"/>
  <c r="BK91" i="7"/>
  <c r="BL91" i="7" s="1"/>
  <c r="BJ91" i="7"/>
  <c r="BI91" i="7"/>
  <c r="BG91" i="7"/>
  <c r="BH91" i="7" s="1"/>
  <c r="BF91" i="7"/>
  <c r="BE91" i="7"/>
  <c r="BC91" i="7"/>
  <c r="BD91" i="7" s="1"/>
  <c r="BB91" i="7"/>
  <c r="AZ91" i="7"/>
  <c r="AX91" i="7"/>
  <c r="AW91" i="7"/>
  <c r="AV91" i="7"/>
  <c r="AU91" i="7"/>
  <c r="AT91" i="7"/>
  <c r="AS91" i="7"/>
  <c r="AR91" i="7"/>
  <c r="AQ91" i="7"/>
  <c r="AP91" i="7"/>
  <c r="AO91" i="7"/>
  <c r="AN91" i="7"/>
  <c r="AM91" i="7"/>
  <c r="AL91" i="7"/>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D91" i="7"/>
  <c r="C91" i="7"/>
  <c r="B91" i="7"/>
  <c r="FQ90" i="7"/>
  <c r="FO90" i="7"/>
  <c r="FM90" i="7"/>
  <c r="FL90" i="7"/>
  <c r="FJ90" i="7"/>
  <c r="FH90" i="7"/>
  <c r="FG90" i="7"/>
  <c r="FE90" i="7"/>
  <c r="FC90" i="7"/>
  <c r="EZ90" i="7"/>
  <c r="EY90" i="7"/>
  <c r="EX90" i="7"/>
  <c r="EW90" i="7"/>
  <c r="EV90" i="7"/>
  <c r="EU90" i="7"/>
  <c r="ET90" i="7"/>
  <c r="ES90" i="7"/>
  <c r="ER90" i="7"/>
  <c r="EQ90" i="7"/>
  <c r="EP90" i="7"/>
  <c r="EO90" i="7"/>
  <c r="EN90" i="7"/>
  <c r="EM90" i="7"/>
  <c r="EI90" i="7"/>
  <c r="EG90" i="7"/>
  <c r="EE90" i="7"/>
  <c r="EC90" i="7"/>
  <c r="EA90" i="7"/>
  <c r="DY90" i="7"/>
  <c r="DW90" i="7"/>
  <c r="DU90" i="7"/>
  <c r="DS90" i="7"/>
  <c r="DR90" i="7"/>
  <c r="DP90" i="7"/>
  <c r="DN90" i="7"/>
  <c r="DM90" i="7"/>
  <c r="DK90" i="7"/>
  <c r="DI90" i="7"/>
  <c r="DH90" i="7"/>
  <c r="DF90" i="7"/>
  <c r="DD90" i="7"/>
  <c r="DC90" i="7"/>
  <c r="DA90" i="7"/>
  <c r="CY90" i="7"/>
  <c r="CX90" i="7"/>
  <c r="CV90" i="7"/>
  <c r="CT90" i="7"/>
  <c r="CS90" i="7"/>
  <c r="CR90" i="7"/>
  <c r="CQ90" i="7"/>
  <c r="CP90" i="7"/>
  <c r="CO90" i="7"/>
  <c r="CN90" i="7"/>
  <c r="CM90" i="7"/>
  <c r="CL90" i="7"/>
  <c r="CK90" i="7"/>
  <c r="CI90" i="7"/>
  <c r="CJ90" i="7" s="1"/>
  <c r="CH90" i="7"/>
  <c r="CG90" i="7"/>
  <c r="CE90" i="7"/>
  <c r="CF90" i="7" s="1"/>
  <c r="CD90" i="7"/>
  <c r="CC90" i="7"/>
  <c r="CA90" i="7"/>
  <c r="CB90" i="7" s="1"/>
  <c r="BZ90" i="7"/>
  <c r="BY90" i="7"/>
  <c r="BW90" i="7"/>
  <c r="BX90" i="7" s="1"/>
  <c r="BV90" i="7"/>
  <c r="BU90" i="7"/>
  <c r="BS90" i="7"/>
  <c r="BT90" i="7" s="1"/>
  <c r="BR90" i="7"/>
  <c r="BQ90" i="7"/>
  <c r="BO90" i="7"/>
  <c r="BP90" i="7" s="1"/>
  <c r="BN90" i="7"/>
  <c r="BM90" i="7"/>
  <c r="BK90" i="7"/>
  <c r="BL90" i="7" s="1"/>
  <c r="BJ90" i="7"/>
  <c r="BI90" i="7"/>
  <c r="BG90" i="7"/>
  <c r="BH90" i="7" s="1"/>
  <c r="BF90" i="7"/>
  <c r="BE90" i="7"/>
  <c r="BC90" i="7"/>
  <c r="BD90" i="7" s="1"/>
  <c r="BB90" i="7"/>
  <c r="AZ90" i="7"/>
  <c r="AX90" i="7"/>
  <c r="AW90" i="7"/>
  <c r="AV90" i="7"/>
  <c r="AU90" i="7"/>
  <c r="AT90" i="7"/>
  <c r="AS90" i="7"/>
  <c r="AR90" i="7"/>
  <c r="AQ90" i="7"/>
  <c r="AP90" i="7"/>
  <c r="AO90" i="7"/>
  <c r="AN90" i="7"/>
  <c r="AM90" i="7"/>
  <c r="AL90" i="7"/>
  <c r="AK90" i="7"/>
  <c r="AJ90" i="7"/>
  <c r="AI90" i="7"/>
  <c r="AH90" i="7"/>
  <c r="AG90" i="7"/>
  <c r="AF90" i="7"/>
  <c r="AE90" i="7"/>
  <c r="AD90" i="7"/>
  <c r="AC90" i="7"/>
  <c r="AB90" i="7"/>
  <c r="AA90" i="7"/>
  <c r="Z90" i="7"/>
  <c r="Y90" i="7"/>
  <c r="X90" i="7"/>
  <c r="W90" i="7"/>
  <c r="V90" i="7"/>
  <c r="U90" i="7"/>
  <c r="T90" i="7"/>
  <c r="S90" i="7"/>
  <c r="R90" i="7"/>
  <c r="Q90" i="7"/>
  <c r="P90" i="7"/>
  <c r="O90" i="7"/>
  <c r="N90" i="7"/>
  <c r="M90" i="7"/>
  <c r="L90" i="7"/>
  <c r="K90" i="7"/>
  <c r="J90" i="7"/>
  <c r="I90" i="7"/>
  <c r="H90" i="7"/>
  <c r="G90" i="7"/>
  <c r="F90" i="7"/>
  <c r="D90" i="7"/>
  <c r="C90" i="7"/>
  <c r="B90" i="7"/>
  <c r="FQ89" i="7"/>
  <c r="FO89" i="7"/>
  <c r="FM89" i="7"/>
  <c r="FL89" i="7"/>
  <c r="FJ89" i="7"/>
  <c r="FH89" i="7"/>
  <c r="FG89" i="7"/>
  <c r="FE89" i="7"/>
  <c r="FC89" i="7"/>
  <c r="EZ89" i="7"/>
  <c r="EY89" i="7"/>
  <c r="EX89" i="7"/>
  <c r="EW89" i="7"/>
  <c r="EV89" i="7"/>
  <c r="EU89" i="7"/>
  <c r="ET89" i="7"/>
  <c r="ES89" i="7"/>
  <c r="ER89" i="7"/>
  <c r="EQ89" i="7"/>
  <c r="EP89" i="7"/>
  <c r="EO89" i="7"/>
  <c r="EN89" i="7"/>
  <c r="EM89" i="7"/>
  <c r="EI89" i="7"/>
  <c r="EG89" i="7"/>
  <c r="EE89" i="7"/>
  <c r="EC89" i="7"/>
  <c r="EA89" i="7"/>
  <c r="DY89" i="7"/>
  <c r="DW89" i="7"/>
  <c r="DU89" i="7"/>
  <c r="DS89" i="7"/>
  <c r="DR89" i="7"/>
  <c r="DP89" i="7"/>
  <c r="DN89" i="7"/>
  <c r="DM89" i="7"/>
  <c r="DK89" i="7"/>
  <c r="DI89" i="7"/>
  <c r="DH89" i="7"/>
  <c r="DF89" i="7"/>
  <c r="DD89" i="7"/>
  <c r="DC89" i="7"/>
  <c r="DA89" i="7"/>
  <c r="CY89" i="7"/>
  <c r="CX89" i="7"/>
  <c r="CV89" i="7"/>
  <c r="CT89" i="7"/>
  <c r="CS89" i="7"/>
  <c r="CR89" i="7"/>
  <c r="CQ89" i="7"/>
  <c r="CP89" i="7"/>
  <c r="CO89" i="7"/>
  <c r="CN89" i="7"/>
  <c r="CM89" i="7"/>
  <c r="CL89" i="7"/>
  <c r="CK89" i="7"/>
  <c r="CI89" i="7"/>
  <c r="CJ89" i="7" s="1"/>
  <c r="CH89" i="7"/>
  <c r="CG89" i="7"/>
  <c r="CE89" i="7"/>
  <c r="CF89" i="7" s="1"/>
  <c r="CD89" i="7"/>
  <c r="CC89" i="7"/>
  <c r="CA89" i="7"/>
  <c r="CB89" i="7" s="1"/>
  <c r="BZ89" i="7"/>
  <c r="BY89" i="7"/>
  <c r="BW89" i="7"/>
  <c r="BX89" i="7" s="1"/>
  <c r="BV89" i="7"/>
  <c r="BU89" i="7"/>
  <c r="BS89" i="7"/>
  <c r="BT89" i="7" s="1"/>
  <c r="BR89" i="7"/>
  <c r="BQ89" i="7"/>
  <c r="BO89" i="7"/>
  <c r="BP89" i="7" s="1"/>
  <c r="BN89" i="7"/>
  <c r="BM89" i="7"/>
  <c r="BK89" i="7"/>
  <c r="BL89" i="7" s="1"/>
  <c r="BJ89" i="7"/>
  <c r="BI89" i="7"/>
  <c r="BG89" i="7"/>
  <c r="BH89" i="7" s="1"/>
  <c r="BF89" i="7"/>
  <c r="BE89" i="7"/>
  <c r="BC89" i="7"/>
  <c r="BD89" i="7" s="1"/>
  <c r="BB89" i="7"/>
  <c r="AZ89" i="7"/>
  <c r="AX89" i="7"/>
  <c r="AW89" i="7"/>
  <c r="AV89" i="7"/>
  <c r="AU89" i="7"/>
  <c r="AT89" i="7"/>
  <c r="AS89" i="7"/>
  <c r="AR89" i="7"/>
  <c r="AQ89" i="7"/>
  <c r="AP89" i="7"/>
  <c r="AO89" i="7"/>
  <c r="AN89" i="7"/>
  <c r="AM89" i="7"/>
  <c r="AL89" i="7"/>
  <c r="AK89" i="7"/>
  <c r="AJ89" i="7"/>
  <c r="AI89" i="7"/>
  <c r="AH89" i="7"/>
  <c r="AG89" i="7"/>
  <c r="AF89" i="7"/>
  <c r="AE89" i="7"/>
  <c r="AD89" i="7"/>
  <c r="AC89" i="7"/>
  <c r="AB89" i="7"/>
  <c r="AA89" i="7"/>
  <c r="Z89" i="7"/>
  <c r="Y89" i="7"/>
  <c r="X89" i="7"/>
  <c r="W89" i="7"/>
  <c r="V89" i="7"/>
  <c r="U89" i="7"/>
  <c r="T89" i="7"/>
  <c r="S89" i="7"/>
  <c r="R89" i="7"/>
  <c r="Q89" i="7"/>
  <c r="P89" i="7"/>
  <c r="O89" i="7"/>
  <c r="N89" i="7"/>
  <c r="M89" i="7"/>
  <c r="L89" i="7"/>
  <c r="K89" i="7"/>
  <c r="J89" i="7"/>
  <c r="I89" i="7"/>
  <c r="H89" i="7"/>
  <c r="G89" i="7"/>
  <c r="F89" i="7"/>
  <c r="D89" i="7"/>
  <c r="C89" i="7"/>
  <c r="B89" i="7"/>
  <c r="FQ88" i="7"/>
  <c r="FO88" i="7"/>
  <c r="FM88" i="7"/>
  <c r="FL88" i="7"/>
  <c r="FJ88" i="7"/>
  <c r="FH88" i="7"/>
  <c r="FG88" i="7"/>
  <c r="FE88" i="7"/>
  <c r="FC88" i="7"/>
  <c r="EZ88" i="7"/>
  <c r="EY88" i="7"/>
  <c r="EX88" i="7"/>
  <c r="EW88" i="7"/>
  <c r="EV88" i="7"/>
  <c r="EU88" i="7"/>
  <c r="ET88" i="7"/>
  <c r="ES88" i="7"/>
  <c r="ER88" i="7"/>
  <c r="EQ88" i="7"/>
  <c r="EP88" i="7"/>
  <c r="EO88" i="7"/>
  <c r="EN88" i="7"/>
  <c r="EM88" i="7"/>
  <c r="EI88" i="7"/>
  <c r="EG88" i="7"/>
  <c r="EE88" i="7"/>
  <c r="EC88" i="7"/>
  <c r="EA88" i="7"/>
  <c r="DY88" i="7"/>
  <c r="DW88" i="7"/>
  <c r="DU88" i="7"/>
  <c r="DS88" i="7"/>
  <c r="DR88" i="7"/>
  <c r="DP88" i="7"/>
  <c r="DN88" i="7"/>
  <c r="DM88" i="7"/>
  <c r="DK88" i="7"/>
  <c r="DI88" i="7"/>
  <c r="DH88" i="7"/>
  <c r="DF88" i="7"/>
  <c r="DD88" i="7"/>
  <c r="DC88" i="7"/>
  <c r="DA88" i="7"/>
  <c r="CY88" i="7"/>
  <c r="CX88" i="7"/>
  <c r="CV88" i="7"/>
  <c r="CT88" i="7"/>
  <c r="CS88" i="7"/>
  <c r="CR88" i="7"/>
  <c r="CQ88" i="7"/>
  <c r="CP88" i="7"/>
  <c r="CO88" i="7"/>
  <c r="CN88" i="7"/>
  <c r="CM88" i="7"/>
  <c r="CL88" i="7"/>
  <c r="CK88" i="7"/>
  <c r="CI88" i="7"/>
  <c r="CJ88" i="7" s="1"/>
  <c r="CH88" i="7"/>
  <c r="CG88" i="7"/>
  <c r="CE88" i="7"/>
  <c r="CF88" i="7" s="1"/>
  <c r="CD88" i="7"/>
  <c r="CC88" i="7"/>
  <c r="CA88" i="7"/>
  <c r="CB88" i="7" s="1"/>
  <c r="BZ88" i="7"/>
  <c r="BY88" i="7"/>
  <c r="BW88" i="7"/>
  <c r="BX88" i="7" s="1"/>
  <c r="BV88" i="7"/>
  <c r="BU88" i="7"/>
  <c r="BS88" i="7"/>
  <c r="BT88" i="7" s="1"/>
  <c r="BR88" i="7"/>
  <c r="BQ88" i="7"/>
  <c r="BO88" i="7"/>
  <c r="BP88" i="7" s="1"/>
  <c r="BN88" i="7"/>
  <c r="BM88" i="7"/>
  <c r="BK88" i="7"/>
  <c r="BL88" i="7" s="1"/>
  <c r="BJ88" i="7"/>
  <c r="BI88" i="7"/>
  <c r="BG88" i="7"/>
  <c r="BH88" i="7" s="1"/>
  <c r="BF88" i="7"/>
  <c r="BE88" i="7"/>
  <c r="BC88" i="7"/>
  <c r="BD88" i="7" s="1"/>
  <c r="BB88" i="7"/>
  <c r="AZ88" i="7"/>
  <c r="AX88" i="7"/>
  <c r="AW88" i="7"/>
  <c r="AV88" i="7"/>
  <c r="AU88" i="7"/>
  <c r="AT88" i="7"/>
  <c r="AS88" i="7"/>
  <c r="AR88" i="7"/>
  <c r="AQ88" i="7"/>
  <c r="AP88" i="7"/>
  <c r="AO88" i="7"/>
  <c r="AN88" i="7"/>
  <c r="AM88" i="7"/>
  <c r="AL88" i="7"/>
  <c r="AK88" i="7"/>
  <c r="AJ88" i="7"/>
  <c r="AI88" i="7"/>
  <c r="AH88" i="7"/>
  <c r="AG88" i="7"/>
  <c r="AF88" i="7"/>
  <c r="AE88" i="7"/>
  <c r="AD88" i="7"/>
  <c r="AC88" i="7"/>
  <c r="AB88" i="7"/>
  <c r="AA88" i="7"/>
  <c r="Z88" i="7"/>
  <c r="Y88" i="7"/>
  <c r="X88" i="7"/>
  <c r="W88" i="7"/>
  <c r="V88" i="7"/>
  <c r="U88" i="7"/>
  <c r="T88" i="7"/>
  <c r="S88" i="7"/>
  <c r="R88" i="7"/>
  <c r="Q88" i="7"/>
  <c r="P88" i="7"/>
  <c r="O88" i="7"/>
  <c r="N88" i="7"/>
  <c r="M88" i="7"/>
  <c r="L88" i="7"/>
  <c r="K88" i="7"/>
  <c r="J88" i="7"/>
  <c r="I88" i="7"/>
  <c r="H88" i="7"/>
  <c r="G88" i="7"/>
  <c r="F88" i="7"/>
  <c r="D88" i="7"/>
  <c r="C88" i="7"/>
  <c r="B88" i="7"/>
  <c r="FQ87" i="7"/>
  <c r="FO87" i="7"/>
  <c r="FM87" i="7"/>
  <c r="FL87" i="7"/>
  <c r="FJ87" i="7"/>
  <c r="FH87" i="7"/>
  <c r="FG87" i="7"/>
  <c r="FE87" i="7"/>
  <c r="FC87" i="7"/>
  <c r="EZ87" i="7"/>
  <c r="EY87" i="7"/>
  <c r="EX87" i="7"/>
  <c r="EW87" i="7"/>
  <c r="EV87" i="7"/>
  <c r="EU87" i="7"/>
  <c r="ET87" i="7"/>
  <c r="ES87" i="7"/>
  <c r="ER87" i="7"/>
  <c r="EQ87" i="7"/>
  <c r="EP87" i="7"/>
  <c r="EO87" i="7"/>
  <c r="EN87" i="7"/>
  <c r="EM87" i="7"/>
  <c r="EI87" i="7"/>
  <c r="EG87" i="7"/>
  <c r="EE87" i="7"/>
  <c r="EC87" i="7"/>
  <c r="EA87" i="7"/>
  <c r="DY87" i="7"/>
  <c r="DW87" i="7"/>
  <c r="DU87" i="7"/>
  <c r="DS87" i="7"/>
  <c r="DR87" i="7"/>
  <c r="DP87" i="7"/>
  <c r="DN87" i="7"/>
  <c r="DM87" i="7"/>
  <c r="DK87" i="7"/>
  <c r="DI87" i="7"/>
  <c r="DH87" i="7"/>
  <c r="DF87" i="7"/>
  <c r="DD87" i="7"/>
  <c r="DC87" i="7"/>
  <c r="DA87" i="7"/>
  <c r="CY87" i="7"/>
  <c r="CX87" i="7"/>
  <c r="CV87" i="7"/>
  <c r="CT87" i="7"/>
  <c r="CS87" i="7"/>
  <c r="CR87" i="7"/>
  <c r="CQ87" i="7"/>
  <c r="CP87" i="7"/>
  <c r="CO87" i="7"/>
  <c r="CN87" i="7"/>
  <c r="CM87" i="7"/>
  <c r="CL87" i="7"/>
  <c r="CK87" i="7"/>
  <c r="CI87" i="7"/>
  <c r="CJ87" i="7" s="1"/>
  <c r="CH87" i="7"/>
  <c r="CG87" i="7"/>
  <c r="CE87" i="7"/>
  <c r="CF87" i="7" s="1"/>
  <c r="CD87" i="7"/>
  <c r="CC87" i="7"/>
  <c r="CA87" i="7"/>
  <c r="CB87" i="7" s="1"/>
  <c r="BZ87" i="7"/>
  <c r="BY87" i="7"/>
  <c r="BW87" i="7"/>
  <c r="BX87" i="7" s="1"/>
  <c r="BV87" i="7"/>
  <c r="BU87" i="7"/>
  <c r="BS87" i="7"/>
  <c r="BT87" i="7" s="1"/>
  <c r="BR87" i="7"/>
  <c r="BQ87" i="7"/>
  <c r="BO87" i="7"/>
  <c r="BP87" i="7" s="1"/>
  <c r="BN87" i="7"/>
  <c r="BM87" i="7"/>
  <c r="BK87" i="7"/>
  <c r="BL87" i="7" s="1"/>
  <c r="BJ87" i="7"/>
  <c r="BI87" i="7"/>
  <c r="BG87" i="7"/>
  <c r="BH87" i="7" s="1"/>
  <c r="BF87" i="7"/>
  <c r="BE87" i="7"/>
  <c r="BC87" i="7"/>
  <c r="BD87" i="7" s="1"/>
  <c r="BB87" i="7"/>
  <c r="AZ87" i="7"/>
  <c r="AX87" i="7"/>
  <c r="AW87" i="7"/>
  <c r="AV87" i="7"/>
  <c r="AU87" i="7"/>
  <c r="AT87" i="7"/>
  <c r="AS87" i="7"/>
  <c r="AR87" i="7"/>
  <c r="AQ87" i="7"/>
  <c r="AP87" i="7"/>
  <c r="AO87" i="7"/>
  <c r="AN87" i="7"/>
  <c r="AM87" i="7"/>
  <c r="AL87" i="7"/>
  <c r="AK87" i="7"/>
  <c r="AJ87" i="7"/>
  <c r="AI87" i="7"/>
  <c r="AH87"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D87" i="7"/>
  <c r="C87" i="7"/>
  <c r="B87" i="7"/>
  <c r="FQ86" i="7"/>
  <c r="FO86" i="7"/>
  <c r="FM86" i="7"/>
  <c r="FL86" i="7"/>
  <c r="FJ86" i="7"/>
  <c r="FH86" i="7"/>
  <c r="FG86" i="7"/>
  <c r="FE86" i="7"/>
  <c r="FC86" i="7"/>
  <c r="EZ86" i="7"/>
  <c r="EY86" i="7"/>
  <c r="EX86" i="7"/>
  <c r="EW86" i="7"/>
  <c r="EV86" i="7"/>
  <c r="EU86" i="7"/>
  <c r="ET86" i="7"/>
  <c r="ES86" i="7"/>
  <c r="ER86" i="7"/>
  <c r="EQ86" i="7"/>
  <c r="EP86" i="7"/>
  <c r="EO86" i="7"/>
  <c r="EN86" i="7"/>
  <c r="EM86" i="7"/>
  <c r="EI86" i="7"/>
  <c r="EG86" i="7"/>
  <c r="EE86" i="7"/>
  <c r="EC86" i="7"/>
  <c r="EA86" i="7"/>
  <c r="DY86" i="7"/>
  <c r="DW86" i="7"/>
  <c r="DU86" i="7"/>
  <c r="DS86" i="7"/>
  <c r="DR86" i="7"/>
  <c r="DP86" i="7"/>
  <c r="DN86" i="7"/>
  <c r="DM86" i="7"/>
  <c r="DK86" i="7"/>
  <c r="DI86" i="7"/>
  <c r="DH86" i="7"/>
  <c r="DF86" i="7"/>
  <c r="DD86" i="7"/>
  <c r="DC86" i="7"/>
  <c r="DA86" i="7"/>
  <c r="CY86" i="7"/>
  <c r="CX86" i="7"/>
  <c r="CV86" i="7"/>
  <c r="CT86" i="7"/>
  <c r="CS86" i="7"/>
  <c r="CR86" i="7"/>
  <c r="CQ86" i="7"/>
  <c r="CP86" i="7"/>
  <c r="CO86" i="7"/>
  <c r="CN86" i="7"/>
  <c r="CM86" i="7"/>
  <c r="CL86" i="7"/>
  <c r="CK86" i="7"/>
  <c r="CI86" i="7"/>
  <c r="CJ86" i="7" s="1"/>
  <c r="CH86" i="7"/>
  <c r="CG86" i="7"/>
  <c r="CE86" i="7"/>
  <c r="CF86" i="7" s="1"/>
  <c r="CD86" i="7"/>
  <c r="CC86" i="7"/>
  <c r="CA86" i="7"/>
  <c r="CB86" i="7" s="1"/>
  <c r="BZ86" i="7"/>
  <c r="BY86" i="7"/>
  <c r="BW86" i="7"/>
  <c r="BX86" i="7" s="1"/>
  <c r="BV86" i="7"/>
  <c r="BU86" i="7"/>
  <c r="BS86" i="7"/>
  <c r="BT86" i="7" s="1"/>
  <c r="BR86" i="7"/>
  <c r="BQ86" i="7"/>
  <c r="BO86" i="7"/>
  <c r="BP86" i="7" s="1"/>
  <c r="BN86" i="7"/>
  <c r="BM86" i="7"/>
  <c r="BK86" i="7"/>
  <c r="BL86" i="7" s="1"/>
  <c r="BJ86" i="7"/>
  <c r="BI86" i="7"/>
  <c r="BG86" i="7"/>
  <c r="BH86" i="7" s="1"/>
  <c r="BF86" i="7"/>
  <c r="BE86" i="7"/>
  <c r="BC86" i="7"/>
  <c r="BD86" i="7" s="1"/>
  <c r="BB86" i="7"/>
  <c r="AZ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D86" i="7"/>
  <c r="C86" i="7"/>
  <c r="B86" i="7"/>
  <c r="FQ85" i="7"/>
  <c r="FO85" i="7"/>
  <c r="FM85" i="7"/>
  <c r="FL85" i="7"/>
  <c r="FJ85" i="7"/>
  <c r="FH85" i="7"/>
  <c r="FG85" i="7"/>
  <c r="FE85" i="7"/>
  <c r="FC85" i="7"/>
  <c r="EZ85" i="7"/>
  <c r="EY85" i="7"/>
  <c r="EX85" i="7"/>
  <c r="EW85" i="7"/>
  <c r="EV85" i="7"/>
  <c r="EU85" i="7"/>
  <c r="ET85" i="7"/>
  <c r="ES85" i="7"/>
  <c r="ER85" i="7"/>
  <c r="EQ85" i="7"/>
  <c r="EP85" i="7"/>
  <c r="EO85" i="7"/>
  <c r="EN85" i="7"/>
  <c r="EM85" i="7"/>
  <c r="EI85" i="7"/>
  <c r="EG85" i="7"/>
  <c r="EE85" i="7"/>
  <c r="EC85" i="7"/>
  <c r="EA85" i="7"/>
  <c r="DY85" i="7"/>
  <c r="DW85" i="7"/>
  <c r="DU85" i="7"/>
  <c r="DS85" i="7"/>
  <c r="DR85" i="7"/>
  <c r="DP85" i="7"/>
  <c r="DN85" i="7"/>
  <c r="DM85" i="7"/>
  <c r="DK85" i="7"/>
  <c r="DI85" i="7"/>
  <c r="DH85" i="7"/>
  <c r="DF85" i="7"/>
  <c r="DD85" i="7"/>
  <c r="DC85" i="7"/>
  <c r="DA85" i="7"/>
  <c r="CY85" i="7"/>
  <c r="CX85" i="7"/>
  <c r="CV85" i="7"/>
  <c r="CT85" i="7"/>
  <c r="CS85" i="7"/>
  <c r="CR85" i="7"/>
  <c r="CQ85" i="7"/>
  <c r="CP85" i="7"/>
  <c r="CO85" i="7"/>
  <c r="CN85" i="7"/>
  <c r="CM85" i="7"/>
  <c r="CL85" i="7"/>
  <c r="CK85" i="7"/>
  <c r="CI85" i="7"/>
  <c r="CJ85" i="7" s="1"/>
  <c r="CH85" i="7"/>
  <c r="CG85" i="7"/>
  <c r="CE85" i="7"/>
  <c r="CF85" i="7" s="1"/>
  <c r="CD85" i="7"/>
  <c r="CC85" i="7"/>
  <c r="CA85" i="7"/>
  <c r="CB85" i="7" s="1"/>
  <c r="BZ85" i="7"/>
  <c r="BY85" i="7"/>
  <c r="BW85" i="7"/>
  <c r="BX85" i="7" s="1"/>
  <c r="BV85" i="7"/>
  <c r="BU85" i="7"/>
  <c r="BS85" i="7"/>
  <c r="BT85" i="7" s="1"/>
  <c r="BR85" i="7"/>
  <c r="BQ85" i="7"/>
  <c r="BO85" i="7"/>
  <c r="BP85" i="7" s="1"/>
  <c r="BN85" i="7"/>
  <c r="BM85" i="7"/>
  <c r="BK85" i="7"/>
  <c r="BL85" i="7" s="1"/>
  <c r="BJ85" i="7"/>
  <c r="BI85" i="7"/>
  <c r="BG85" i="7"/>
  <c r="BH85" i="7" s="1"/>
  <c r="BF85" i="7"/>
  <c r="BE85" i="7"/>
  <c r="BC85" i="7"/>
  <c r="BD85" i="7" s="1"/>
  <c r="BB85" i="7"/>
  <c r="AZ85" i="7"/>
  <c r="AX85" i="7"/>
  <c r="AW85" i="7"/>
  <c r="AV85" i="7"/>
  <c r="AU85" i="7"/>
  <c r="AT85" i="7"/>
  <c r="AS85" i="7"/>
  <c r="AR85" i="7"/>
  <c r="AQ85" i="7"/>
  <c r="AP85" i="7"/>
  <c r="AO85" i="7"/>
  <c r="AN85" i="7"/>
  <c r="AM85" i="7"/>
  <c r="AL85" i="7"/>
  <c r="AK85" i="7"/>
  <c r="AJ85" i="7"/>
  <c r="AI85" i="7"/>
  <c r="AH85" i="7"/>
  <c r="AG85" i="7"/>
  <c r="AF85" i="7"/>
  <c r="AE85" i="7"/>
  <c r="AD85" i="7"/>
  <c r="AC85" i="7"/>
  <c r="AB85" i="7"/>
  <c r="AA85" i="7"/>
  <c r="Z85" i="7"/>
  <c r="Y85" i="7"/>
  <c r="X85" i="7"/>
  <c r="W85" i="7"/>
  <c r="V85" i="7"/>
  <c r="U85" i="7"/>
  <c r="T85" i="7"/>
  <c r="S85" i="7"/>
  <c r="R85" i="7"/>
  <c r="Q85" i="7"/>
  <c r="P85" i="7"/>
  <c r="O85" i="7"/>
  <c r="N85" i="7"/>
  <c r="M85" i="7"/>
  <c r="L85" i="7"/>
  <c r="K85" i="7"/>
  <c r="J85" i="7"/>
  <c r="I85" i="7"/>
  <c r="H85" i="7"/>
  <c r="G85" i="7"/>
  <c r="F85" i="7"/>
  <c r="D85" i="7"/>
  <c r="C85" i="7"/>
  <c r="B85" i="7"/>
  <c r="FQ84" i="7"/>
  <c r="FO84" i="7"/>
  <c r="FM84" i="7"/>
  <c r="FL84" i="7"/>
  <c r="FJ84" i="7"/>
  <c r="FH84" i="7"/>
  <c r="FG84" i="7"/>
  <c r="FE84" i="7"/>
  <c r="FC84" i="7"/>
  <c r="EZ84" i="7"/>
  <c r="EY84" i="7"/>
  <c r="EX84" i="7"/>
  <c r="EW84" i="7"/>
  <c r="EV84" i="7"/>
  <c r="EU84" i="7"/>
  <c r="ET84" i="7"/>
  <c r="ES84" i="7"/>
  <c r="ER84" i="7"/>
  <c r="EQ84" i="7"/>
  <c r="EP84" i="7"/>
  <c r="EO84" i="7"/>
  <c r="EN84" i="7"/>
  <c r="EM84" i="7"/>
  <c r="EI84" i="7"/>
  <c r="EG84" i="7"/>
  <c r="EE84" i="7"/>
  <c r="EC84" i="7"/>
  <c r="EA84" i="7"/>
  <c r="DY84" i="7"/>
  <c r="DW84" i="7"/>
  <c r="DU84" i="7"/>
  <c r="DS84" i="7"/>
  <c r="DR84" i="7"/>
  <c r="DP84" i="7"/>
  <c r="DN84" i="7"/>
  <c r="DM84" i="7"/>
  <c r="DK84" i="7"/>
  <c r="DI84" i="7"/>
  <c r="DH84" i="7"/>
  <c r="DF84" i="7"/>
  <c r="DD84" i="7"/>
  <c r="DC84" i="7"/>
  <c r="DA84" i="7"/>
  <c r="CY84" i="7"/>
  <c r="CX84" i="7"/>
  <c r="CV84" i="7"/>
  <c r="CT84" i="7"/>
  <c r="CS84" i="7"/>
  <c r="CR84" i="7"/>
  <c r="CQ84" i="7"/>
  <c r="CP84" i="7"/>
  <c r="CO84" i="7"/>
  <c r="CN84" i="7"/>
  <c r="CM84" i="7"/>
  <c r="CL84" i="7"/>
  <c r="CK84" i="7"/>
  <c r="CI84" i="7"/>
  <c r="CJ84" i="7" s="1"/>
  <c r="CH84" i="7"/>
  <c r="CG84" i="7"/>
  <c r="CE84" i="7"/>
  <c r="CF84" i="7" s="1"/>
  <c r="CD84" i="7"/>
  <c r="CC84" i="7"/>
  <c r="CA84" i="7"/>
  <c r="CB84" i="7" s="1"/>
  <c r="BZ84" i="7"/>
  <c r="BY84" i="7"/>
  <c r="BW84" i="7"/>
  <c r="BX84" i="7" s="1"/>
  <c r="BV84" i="7"/>
  <c r="BU84" i="7"/>
  <c r="BS84" i="7"/>
  <c r="BT84" i="7" s="1"/>
  <c r="BR84" i="7"/>
  <c r="BQ84" i="7"/>
  <c r="BO84" i="7"/>
  <c r="BP84" i="7" s="1"/>
  <c r="BN84" i="7"/>
  <c r="BM84" i="7"/>
  <c r="BK84" i="7"/>
  <c r="BL84" i="7" s="1"/>
  <c r="BJ84" i="7"/>
  <c r="BI84" i="7"/>
  <c r="BG84" i="7"/>
  <c r="BH84" i="7" s="1"/>
  <c r="BF84" i="7"/>
  <c r="BE84" i="7"/>
  <c r="BC84" i="7"/>
  <c r="BD84" i="7" s="1"/>
  <c r="BB84" i="7"/>
  <c r="AZ84" i="7"/>
  <c r="AX84" i="7"/>
  <c r="AW84" i="7"/>
  <c r="AV84" i="7"/>
  <c r="AU84" i="7"/>
  <c r="AT84" i="7"/>
  <c r="AS84" i="7"/>
  <c r="AR84" i="7"/>
  <c r="AQ84" i="7"/>
  <c r="AP84" i="7"/>
  <c r="AO84" i="7"/>
  <c r="AN84" i="7"/>
  <c r="AM84" i="7"/>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D84" i="7"/>
  <c r="C84" i="7"/>
  <c r="B84" i="7"/>
  <c r="FQ83" i="7"/>
  <c r="FO83" i="7"/>
  <c r="FM83" i="7"/>
  <c r="FL83" i="7"/>
  <c r="FJ83" i="7"/>
  <c r="FH83" i="7"/>
  <c r="FG83" i="7"/>
  <c r="FE83" i="7"/>
  <c r="FC83" i="7"/>
  <c r="EZ83" i="7"/>
  <c r="EY83" i="7"/>
  <c r="EX83" i="7"/>
  <c r="EW83" i="7"/>
  <c r="EV83" i="7"/>
  <c r="EU83" i="7"/>
  <c r="ET83" i="7"/>
  <c r="ES83" i="7"/>
  <c r="ER83" i="7"/>
  <c r="EQ83" i="7"/>
  <c r="EP83" i="7"/>
  <c r="EO83" i="7"/>
  <c r="EN83" i="7"/>
  <c r="EM83" i="7"/>
  <c r="EI83" i="7"/>
  <c r="EG83" i="7"/>
  <c r="EE83" i="7"/>
  <c r="EC83" i="7"/>
  <c r="EA83" i="7"/>
  <c r="DY83" i="7"/>
  <c r="DW83" i="7"/>
  <c r="DU83" i="7"/>
  <c r="DS83" i="7"/>
  <c r="DR83" i="7"/>
  <c r="DP83" i="7"/>
  <c r="DN83" i="7"/>
  <c r="DM83" i="7"/>
  <c r="DK83" i="7"/>
  <c r="DI83" i="7"/>
  <c r="DH83" i="7"/>
  <c r="DF83" i="7"/>
  <c r="DD83" i="7"/>
  <c r="DC83" i="7"/>
  <c r="DA83" i="7"/>
  <c r="CY83" i="7"/>
  <c r="CX83" i="7"/>
  <c r="CV83" i="7"/>
  <c r="CT83" i="7"/>
  <c r="CS83" i="7"/>
  <c r="CR83" i="7"/>
  <c r="CQ83" i="7"/>
  <c r="CP83" i="7"/>
  <c r="CO83" i="7"/>
  <c r="CN83" i="7"/>
  <c r="CM83" i="7"/>
  <c r="CL83" i="7"/>
  <c r="CK83" i="7"/>
  <c r="CI83" i="7"/>
  <c r="CJ83" i="7" s="1"/>
  <c r="CH83" i="7"/>
  <c r="CG83" i="7"/>
  <c r="CE83" i="7"/>
  <c r="CF83" i="7" s="1"/>
  <c r="CD83" i="7"/>
  <c r="CC83" i="7"/>
  <c r="CA83" i="7"/>
  <c r="CB83" i="7" s="1"/>
  <c r="BZ83" i="7"/>
  <c r="BY83" i="7"/>
  <c r="BW83" i="7"/>
  <c r="BX83" i="7" s="1"/>
  <c r="BV83" i="7"/>
  <c r="BU83" i="7"/>
  <c r="BS83" i="7"/>
  <c r="BT83" i="7" s="1"/>
  <c r="BR83" i="7"/>
  <c r="BQ83" i="7"/>
  <c r="BO83" i="7"/>
  <c r="BP83" i="7" s="1"/>
  <c r="BN83" i="7"/>
  <c r="BM83" i="7"/>
  <c r="BK83" i="7"/>
  <c r="BL83" i="7" s="1"/>
  <c r="BJ83" i="7"/>
  <c r="BI83" i="7"/>
  <c r="BG83" i="7"/>
  <c r="BH83" i="7" s="1"/>
  <c r="BF83" i="7"/>
  <c r="BE83" i="7"/>
  <c r="BC83" i="7"/>
  <c r="BD83" i="7" s="1"/>
  <c r="BB83" i="7"/>
  <c r="AZ83" i="7"/>
  <c r="AX83" i="7"/>
  <c r="AW83" i="7"/>
  <c r="AV83" i="7"/>
  <c r="AU83" i="7"/>
  <c r="AT83" i="7"/>
  <c r="AS83" i="7"/>
  <c r="AR83" i="7"/>
  <c r="AQ83" i="7"/>
  <c r="AP83" i="7"/>
  <c r="AO83" i="7"/>
  <c r="AN83" i="7"/>
  <c r="AM83" i="7"/>
  <c r="AL83"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D83" i="7"/>
  <c r="C83" i="7"/>
  <c r="B83" i="7"/>
  <c r="FQ82" i="7"/>
  <c r="FO82" i="7"/>
  <c r="FM82" i="7"/>
  <c r="FL82" i="7"/>
  <c r="FJ82" i="7"/>
  <c r="FH82" i="7"/>
  <c r="FG82" i="7"/>
  <c r="FE82" i="7"/>
  <c r="FC82" i="7"/>
  <c r="EZ82" i="7"/>
  <c r="EY82" i="7"/>
  <c r="EX82" i="7"/>
  <c r="EW82" i="7"/>
  <c r="EV82" i="7"/>
  <c r="EU82" i="7"/>
  <c r="ET82" i="7"/>
  <c r="ES82" i="7"/>
  <c r="ER82" i="7"/>
  <c r="EQ82" i="7"/>
  <c r="EP82" i="7"/>
  <c r="EO82" i="7"/>
  <c r="EN82" i="7"/>
  <c r="EM82" i="7"/>
  <c r="EI82" i="7"/>
  <c r="EG82" i="7"/>
  <c r="EE82" i="7"/>
  <c r="EC82" i="7"/>
  <c r="EA82" i="7"/>
  <c r="DY82" i="7"/>
  <c r="DW82" i="7"/>
  <c r="DU82" i="7"/>
  <c r="DS82" i="7"/>
  <c r="DR82" i="7"/>
  <c r="DP82" i="7"/>
  <c r="DN82" i="7"/>
  <c r="DM82" i="7"/>
  <c r="DK82" i="7"/>
  <c r="DI82" i="7"/>
  <c r="DH82" i="7"/>
  <c r="DF82" i="7"/>
  <c r="DD82" i="7"/>
  <c r="DC82" i="7"/>
  <c r="DA82" i="7"/>
  <c r="CY82" i="7"/>
  <c r="CX82" i="7"/>
  <c r="CV82" i="7"/>
  <c r="CT82" i="7"/>
  <c r="CS82" i="7"/>
  <c r="CR82" i="7"/>
  <c r="CQ82" i="7"/>
  <c r="CP82" i="7"/>
  <c r="CO82" i="7"/>
  <c r="CN82" i="7"/>
  <c r="CM82" i="7"/>
  <c r="CL82" i="7"/>
  <c r="CK82" i="7"/>
  <c r="CI82" i="7"/>
  <c r="CJ82" i="7" s="1"/>
  <c r="CH82" i="7"/>
  <c r="CG82" i="7"/>
  <c r="CE82" i="7"/>
  <c r="CF82" i="7" s="1"/>
  <c r="CD82" i="7"/>
  <c r="CC82" i="7"/>
  <c r="CA82" i="7"/>
  <c r="CB82" i="7" s="1"/>
  <c r="BZ82" i="7"/>
  <c r="BY82" i="7"/>
  <c r="BW82" i="7"/>
  <c r="BX82" i="7" s="1"/>
  <c r="BV82" i="7"/>
  <c r="BU82" i="7"/>
  <c r="BS82" i="7"/>
  <c r="BT82" i="7" s="1"/>
  <c r="BR82" i="7"/>
  <c r="BQ82" i="7"/>
  <c r="BO82" i="7"/>
  <c r="BP82" i="7" s="1"/>
  <c r="BN82" i="7"/>
  <c r="BM82" i="7"/>
  <c r="BK82" i="7"/>
  <c r="BL82" i="7" s="1"/>
  <c r="BJ82" i="7"/>
  <c r="BI82" i="7"/>
  <c r="BG82" i="7"/>
  <c r="BH82" i="7" s="1"/>
  <c r="BF82" i="7"/>
  <c r="BE82" i="7"/>
  <c r="BC82" i="7"/>
  <c r="BD82" i="7" s="1"/>
  <c r="BB82" i="7"/>
  <c r="AZ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D82" i="7"/>
  <c r="C82" i="7"/>
  <c r="B82" i="7"/>
  <c r="FQ81" i="7"/>
  <c r="FO81" i="7"/>
  <c r="FM81" i="7"/>
  <c r="FL81" i="7"/>
  <c r="FJ81" i="7"/>
  <c r="FH81" i="7"/>
  <c r="FG81" i="7"/>
  <c r="FE81" i="7"/>
  <c r="FC81" i="7"/>
  <c r="EZ81" i="7"/>
  <c r="EY81" i="7"/>
  <c r="EX81" i="7"/>
  <c r="EW81" i="7"/>
  <c r="EV81" i="7"/>
  <c r="EU81" i="7"/>
  <c r="ET81" i="7"/>
  <c r="ES81" i="7"/>
  <c r="ER81" i="7"/>
  <c r="EQ81" i="7"/>
  <c r="EP81" i="7"/>
  <c r="EO81" i="7"/>
  <c r="EN81" i="7"/>
  <c r="EM81" i="7"/>
  <c r="EI81" i="7"/>
  <c r="EG81" i="7"/>
  <c r="EE81" i="7"/>
  <c r="EC81" i="7"/>
  <c r="EA81" i="7"/>
  <c r="DY81" i="7"/>
  <c r="DW81" i="7"/>
  <c r="DU81" i="7"/>
  <c r="DS81" i="7"/>
  <c r="DR81" i="7"/>
  <c r="DP81" i="7"/>
  <c r="DN81" i="7"/>
  <c r="DM81" i="7"/>
  <c r="DK81" i="7"/>
  <c r="DI81" i="7"/>
  <c r="DH81" i="7"/>
  <c r="DF81" i="7"/>
  <c r="DD81" i="7"/>
  <c r="DC81" i="7"/>
  <c r="DA81" i="7"/>
  <c r="CY81" i="7"/>
  <c r="CX81" i="7"/>
  <c r="CV81" i="7"/>
  <c r="CT81" i="7"/>
  <c r="CS81" i="7"/>
  <c r="CR81" i="7"/>
  <c r="CQ81" i="7"/>
  <c r="CP81" i="7"/>
  <c r="CO81" i="7"/>
  <c r="CN81" i="7"/>
  <c r="CM81" i="7"/>
  <c r="CL81" i="7"/>
  <c r="CK81" i="7"/>
  <c r="CI81" i="7"/>
  <c r="CJ81" i="7" s="1"/>
  <c r="CH81" i="7"/>
  <c r="CG81" i="7"/>
  <c r="CE81" i="7"/>
  <c r="CF81" i="7" s="1"/>
  <c r="CD81" i="7"/>
  <c r="CC81" i="7"/>
  <c r="CA81" i="7"/>
  <c r="CB81" i="7" s="1"/>
  <c r="BZ81" i="7"/>
  <c r="BY81" i="7"/>
  <c r="BW81" i="7"/>
  <c r="BX81" i="7" s="1"/>
  <c r="BV81" i="7"/>
  <c r="BU81" i="7"/>
  <c r="BS81" i="7"/>
  <c r="BT81" i="7" s="1"/>
  <c r="BR81" i="7"/>
  <c r="BQ81" i="7"/>
  <c r="BO81" i="7"/>
  <c r="BP81" i="7" s="1"/>
  <c r="BN81" i="7"/>
  <c r="BM81" i="7"/>
  <c r="BK81" i="7"/>
  <c r="BL81" i="7" s="1"/>
  <c r="BJ81" i="7"/>
  <c r="BI81" i="7"/>
  <c r="BG81" i="7"/>
  <c r="BH81" i="7" s="1"/>
  <c r="BF81" i="7"/>
  <c r="BE81" i="7"/>
  <c r="BC81" i="7"/>
  <c r="BD81" i="7" s="1"/>
  <c r="BB81" i="7"/>
  <c r="AZ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D81" i="7"/>
  <c r="C81" i="7"/>
  <c r="B81" i="7"/>
  <c r="FQ80" i="7"/>
  <c r="FO80" i="7"/>
  <c r="FM80" i="7"/>
  <c r="FL80" i="7"/>
  <c r="FJ80" i="7"/>
  <c r="FH80" i="7"/>
  <c r="FG80" i="7"/>
  <c r="FE80" i="7"/>
  <c r="FC80" i="7"/>
  <c r="EZ80" i="7"/>
  <c r="EY80" i="7"/>
  <c r="EX80" i="7"/>
  <c r="EW80" i="7"/>
  <c r="EV80" i="7"/>
  <c r="EU80" i="7"/>
  <c r="ET80" i="7"/>
  <c r="ES80" i="7"/>
  <c r="ER80" i="7"/>
  <c r="EQ80" i="7"/>
  <c r="EP80" i="7"/>
  <c r="EO80" i="7"/>
  <c r="EN80" i="7"/>
  <c r="EM80" i="7"/>
  <c r="EI80" i="7"/>
  <c r="EG80" i="7"/>
  <c r="EE80" i="7"/>
  <c r="EC80" i="7"/>
  <c r="EA80" i="7"/>
  <c r="DY80" i="7"/>
  <c r="DW80" i="7"/>
  <c r="DU80" i="7"/>
  <c r="DS80" i="7"/>
  <c r="DR80" i="7"/>
  <c r="DP80" i="7"/>
  <c r="DN80" i="7"/>
  <c r="DM80" i="7"/>
  <c r="DK80" i="7"/>
  <c r="DI80" i="7"/>
  <c r="DH80" i="7"/>
  <c r="DF80" i="7"/>
  <c r="DD80" i="7"/>
  <c r="DC80" i="7"/>
  <c r="DA80" i="7"/>
  <c r="CY80" i="7"/>
  <c r="CX80" i="7"/>
  <c r="CV80" i="7"/>
  <c r="CT80" i="7"/>
  <c r="CS80" i="7"/>
  <c r="CR80" i="7"/>
  <c r="CQ80" i="7"/>
  <c r="CP80" i="7"/>
  <c r="CO80" i="7"/>
  <c r="CN80" i="7"/>
  <c r="CM80" i="7"/>
  <c r="CL80" i="7"/>
  <c r="CK80" i="7"/>
  <c r="CI80" i="7"/>
  <c r="CJ80" i="7" s="1"/>
  <c r="CH80" i="7"/>
  <c r="CG80" i="7"/>
  <c r="CE80" i="7"/>
  <c r="CF80" i="7" s="1"/>
  <c r="CD80" i="7"/>
  <c r="CC80" i="7"/>
  <c r="CA80" i="7"/>
  <c r="CB80" i="7" s="1"/>
  <c r="BZ80" i="7"/>
  <c r="BY80" i="7"/>
  <c r="BW80" i="7"/>
  <c r="BX80" i="7" s="1"/>
  <c r="BV80" i="7"/>
  <c r="BU80" i="7"/>
  <c r="BS80" i="7"/>
  <c r="BT80" i="7" s="1"/>
  <c r="BR80" i="7"/>
  <c r="BQ80" i="7"/>
  <c r="BO80" i="7"/>
  <c r="BP80" i="7" s="1"/>
  <c r="BN80" i="7"/>
  <c r="BM80" i="7"/>
  <c r="BK80" i="7"/>
  <c r="BL80" i="7" s="1"/>
  <c r="BJ80" i="7"/>
  <c r="BI80" i="7"/>
  <c r="BG80" i="7"/>
  <c r="BH80" i="7" s="1"/>
  <c r="BF80" i="7"/>
  <c r="BE80" i="7"/>
  <c r="BC80" i="7"/>
  <c r="BD80" i="7" s="1"/>
  <c r="BB80" i="7"/>
  <c r="AZ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D80" i="7"/>
  <c r="C80" i="7"/>
  <c r="B80" i="7"/>
  <c r="FQ79" i="7"/>
  <c r="FO79" i="7"/>
  <c r="FM79" i="7"/>
  <c r="FL79" i="7"/>
  <c r="FJ79" i="7"/>
  <c r="FH79" i="7"/>
  <c r="FG79" i="7"/>
  <c r="FE79" i="7"/>
  <c r="FC79" i="7"/>
  <c r="EZ79" i="7"/>
  <c r="EY79" i="7"/>
  <c r="EX79" i="7"/>
  <c r="EW79" i="7"/>
  <c r="EV79" i="7"/>
  <c r="EU79" i="7"/>
  <c r="ET79" i="7"/>
  <c r="ES79" i="7"/>
  <c r="ER79" i="7"/>
  <c r="EQ79" i="7"/>
  <c r="EP79" i="7"/>
  <c r="EO79" i="7"/>
  <c r="EN79" i="7"/>
  <c r="EM79" i="7"/>
  <c r="EI79" i="7"/>
  <c r="EG79" i="7"/>
  <c r="EE79" i="7"/>
  <c r="EC79" i="7"/>
  <c r="EA79" i="7"/>
  <c r="DY79" i="7"/>
  <c r="DW79" i="7"/>
  <c r="DU79" i="7"/>
  <c r="DS79" i="7"/>
  <c r="DR79" i="7"/>
  <c r="DP79" i="7"/>
  <c r="DN79" i="7"/>
  <c r="DM79" i="7"/>
  <c r="DK79" i="7"/>
  <c r="DI79" i="7"/>
  <c r="DH79" i="7"/>
  <c r="DF79" i="7"/>
  <c r="DD79" i="7"/>
  <c r="DC79" i="7"/>
  <c r="DA79" i="7"/>
  <c r="CY79" i="7"/>
  <c r="CX79" i="7"/>
  <c r="CV79" i="7"/>
  <c r="CT79" i="7"/>
  <c r="CS79" i="7"/>
  <c r="CR79" i="7"/>
  <c r="CQ79" i="7"/>
  <c r="CP79" i="7"/>
  <c r="CO79" i="7"/>
  <c r="CN79" i="7"/>
  <c r="CM79" i="7"/>
  <c r="CL79" i="7"/>
  <c r="CK79" i="7"/>
  <c r="CI79" i="7"/>
  <c r="CJ79" i="7" s="1"/>
  <c r="CH79" i="7"/>
  <c r="CG79" i="7"/>
  <c r="CE79" i="7"/>
  <c r="CF79" i="7" s="1"/>
  <c r="CD79" i="7"/>
  <c r="CC79" i="7"/>
  <c r="CA79" i="7"/>
  <c r="CB79" i="7" s="1"/>
  <c r="BZ79" i="7"/>
  <c r="BY79" i="7"/>
  <c r="BW79" i="7"/>
  <c r="BX79" i="7" s="1"/>
  <c r="BV79" i="7"/>
  <c r="BU79" i="7"/>
  <c r="BS79" i="7"/>
  <c r="BT79" i="7" s="1"/>
  <c r="BR79" i="7"/>
  <c r="BQ79" i="7"/>
  <c r="BO79" i="7"/>
  <c r="BP79" i="7" s="1"/>
  <c r="BN79" i="7"/>
  <c r="BM79" i="7"/>
  <c r="BK79" i="7"/>
  <c r="BL79" i="7" s="1"/>
  <c r="BJ79" i="7"/>
  <c r="BI79" i="7"/>
  <c r="BG79" i="7"/>
  <c r="BH79" i="7" s="1"/>
  <c r="BF79" i="7"/>
  <c r="BE79" i="7"/>
  <c r="BC79" i="7"/>
  <c r="BD79" i="7" s="1"/>
  <c r="BB79" i="7"/>
  <c r="AZ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D79" i="7"/>
  <c r="C79" i="7"/>
  <c r="B79" i="7"/>
  <c r="FQ78" i="7"/>
  <c r="FO78" i="7"/>
  <c r="FM78" i="7"/>
  <c r="FL78" i="7"/>
  <c r="FJ78" i="7"/>
  <c r="FH78" i="7"/>
  <c r="FG78" i="7"/>
  <c r="FE78" i="7"/>
  <c r="FC78" i="7"/>
  <c r="EZ78" i="7"/>
  <c r="EY78" i="7"/>
  <c r="EX78" i="7"/>
  <c r="EW78" i="7"/>
  <c r="EV78" i="7"/>
  <c r="EU78" i="7"/>
  <c r="ET78" i="7"/>
  <c r="ES78" i="7"/>
  <c r="ER78" i="7"/>
  <c r="EQ78" i="7"/>
  <c r="EP78" i="7"/>
  <c r="EO78" i="7"/>
  <c r="EN78" i="7"/>
  <c r="EM78" i="7"/>
  <c r="EI78" i="7"/>
  <c r="EG78" i="7"/>
  <c r="EE78" i="7"/>
  <c r="EC78" i="7"/>
  <c r="EA78" i="7"/>
  <c r="DY78" i="7"/>
  <c r="DW78" i="7"/>
  <c r="DU78" i="7"/>
  <c r="DS78" i="7"/>
  <c r="DR78" i="7"/>
  <c r="DP78" i="7"/>
  <c r="DN78" i="7"/>
  <c r="DM78" i="7"/>
  <c r="DK78" i="7"/>
  <c r="DI78" i="7"/>
  <c r="DH78" i="7"/>
  <c r="DF78" i="7"/>
  <c r="DD78" i="7"/>
  <c r="DC78" i="7"/>
  <c r="DA78" i="7"/>
  <c r="CY78" i="7"/>
  <c r="CX78" i="7"/>
  <c r="CV78" i="7"/>
  <c r="CT78" i="7"/>
  <c r="CS78" i="7"/>
  <c r="CR78" i="7"/>
  <c r="CQ78" i="7"/>
  <c r="CP78" i="7"/>
  <c r="CO78" i="7"/>
  <c r="CN78" i="7"/>
  <c r="CM78" i="7"/>
  <c r="CL78" i="7"/>
  <c r="CK78" i="7"/>
  <c r="CI78" i="7"/>
  <c r="CJ78" i="7" s="1"/>
  <c r="CH78" i="7"/>
  <c r="CG78" i="7"/>
  <c r="CE78" i="7"/>
  <c r="CF78" i="7" s="1"/>
  <c r="CD78" i="7"/>
  <c r="CC78" i="7"/>
  <c r="CA78" i="7"/>
  <c r="CB78" i="7" s="1"/>
  <c r="BZ78" i="7"/>
  <c r="BY78" i="7"/>
  <c r="BW78" i="7"/>
  <c r="BX78" i="7" s="1"/>
  <c r="BV78" i="7"/>
  <c r="BU78" i="7"/>
  <c r="BS78" i="7"/>
  <c r="BT78" i="7" s="1"/>
  <c r="BR78" i="7"/>
  <c r="BQ78" i="7"/>
  <c r="BO78" i="7"/>
  <c r="BP78" i="7" s="1"/>
  <c r="BN78" i="7"/>
  <c r="BM78" i="7"/>
  <c r="BK78" i="7"/>
  <c r="BL78" i="7" s="1"/>
  <c r="BJ78" i="7"/>
  <c r="BI78" i="7"/>
  <c r="BG78" i="7"/>
  <c r="BH78" i="7" s="1"/>
  <c r="BF78" i="7"/>
  <c r="BE78" i="7"/>
  <c r="BC78" i="7"/>
  <c r="BD78" i="7" s="1"/>
  <c r="BB78" i="7"/>
  <c r="AZ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D78" i="7"/>
  <c r="C78" i="7"/>
  <c r="B78" i="7"/>
  <c r="FQ77" i="7"/>
  <c r="FO77" i="7"/>
  <c r="FM77" i="7"/>
  <c r="FL77" i="7"/>
  <c r="FJ77" i="7"/>
  <c r="FH77" i="7"/>
  <c r="FG77" i="7"/>
  <c r="FE77" i="7"/>
  <c r="FC77" i="7"/>
  <c r="EZ77" i="7"/>
  <c r="EY77" i="7"/>
  <c r="EX77" i="7"/>
  <c r="EW77" i="7"/>
  <c r="EV77" i="7"/>
  <c r="EU77" i="7"/>
  <c r="ET77" i="7"/>
  <c r="ES77" i="7"/>
  <c r="ER77" i="7"/>
  <c r="EQ77" i="7"/>
  <c r="EP77" i="7"/>
  <c r="EO77" i="7"/>
  <c r="EN77" i="7"/>
  <c r="EM77" i="7"/>
  <c r="EI77" i="7"/>
  <c r="EG77" i="7"/>
  <c r="EE77" i="7"/>
  <c r="EC77" i="7"/>
  <c r="EA77" i="7"/>
  <c r="DY77" i="7"/>
  <c r="DW77" i="7"/>
  <c r="DU77" i="7"/>
  <c r="DS77" i="7"/>
  <c r="DR77" i="7"/>
  <c r="DP77" i="7"/>
  <c r="DN77" i="7"/>
  <c r="DM77" i="7"/>
  <c r="DK77" i="7"/>
  <c r="DI77" i="7"/>
  <c r="DH77" i="7"/>
  <c r="DF77" i="7"/>
  <c r="DD77" i="7"/>
  <c r="DC77" i="7"/>
  <c r="DA77" i="7"/>
  <c r="CY77" i="7"/>
  <c r="CX77" i="7"/>
  <c r="CV77" i="7"/>
  <c r="CT77" i="7"/>
  <c r="CS77" i="7"/>
  <c r="CR77" i="7"/>
  <c r="CQ77" i="7"/>
  <c r="CP77" i="7"/>
  <c r="CO77" i="7"/>
  <c r="CN77" i="7"/>
  <c r="CM77" i="7"/>
  <c r="CL77" i="7"/>
  <c r="CK77" i="7"/>
  <c r="CI77" i="7"/>
  <c r="CJ77" i="7" s="1"/>
  <c r="CH77" i="7"/>
  <c r="CG77" i="7"/>
  <c r="CE77" i="7"/>
  <c r="CF77" i="7" s="1"/>
  <c r="CD77" i="7"/>
  <c r="CC77" i="7"/>
  <c r="CA77" i="7"/>
  <c r="CB77" i="7" s="1"/>
  <c r="BZ77" i="7"/>
  <c r="BY77" i="7"/>
  <c r="BW77" i="7"/>
  <c r="BX77" i="7" s="1"/>
  <c r="BV77" i="7"/>
  <c r="BU77" i="7"/>
  <c r="BS77" i="7"/>
  <c r="BT77" i="7" s="1"/>
  <c r="BR77" i="7"/>
  <c r="BQ77" i="7"/>
  <c r="BO77" i="7"/>
  <c r="BP77" i="7" s="1"/>
  <c r="BN77" i="7"/>
  <c r="BM77" i="7"/>
  <c r="BK77" i="7"/>
  <c r="BL77" i="7" s="1"/>
  <c r="BJ77" i="7"/>
  <c r="BI77" i="7"/>
  <c r="BG77" i="7"/>
  <c r="BH77" i="7" s="1"/>
  <c r="BF77" i="7"/>
  <c r="BE77" i="7"/>
  <c r="BC77" i="7"/>
  <c r="BD77" i="7" s="1"/>
  <c r="BB77" i="7"/>
  <c r="AZ77" i="7"/>
  <c r="AX77" i="7"/>
  <c r="AW77" i="7"/>
  <c r="AV77" i="7"/>
  <c r="AU77" i="7"/>
  <c r="AT77" i="7"/>
  <c r="AS77" i="7"/>
  <c r="AR77" i="7"/>
  <c r="AQ77" i="7"/>
  <c r="AP77" i="7"/>
  <c r="AO77" i="7"/>
  <c r="AN77" i="7"/>
  <c r="AM77" i="7"/>
  <c r="AL77" i="7"/>
  <c r="AK77" i="7"/>
  <c r="AJ77" i="7"/>
  <c r="AI77" i="7"/>
  <c r="AH77" i="7"/>
  <c r="AG77" i="7"/>
  <c r="AF77" i="7"/>
  <c r="AE77" i="7"/>
  <c r="AD77" i="7"/>
  <c r="AC77" i="7"/>
  <c r="AB77" i="7"/>
  <c r="AA77" i="7"/>
  <c r="Z77" i="7"/>
  <c r="Y77" i="7"/>
  <c r="X77" i="7"/>
  <c r="W77" i="7"/>
  <c r="V77" i="7"/>
  <c r="U77" i="7"/>
  <c r="T77" i="7"/>
  <c r="S77" i="7"/>
  <c r="R77" i="7"/>
  <c r="Q77" i="7"/>
  <c r="P77" i="7"/>
  <c r="O77" i="7"/>
  <c r="N77" i="7"/>
  <c r="M77" i="7"/>
  <c r="L77" i="7"/>
  <c r="K77" i="7"/>
  <c r="J77" i="7"/>
  <c r="I77" i="7"/>
  <c r="H77" i="7"/>
  <c r="G77" i="7"/>
  <c r="F77" i="7"/>
  <c r="D77" i="7"/>
  <c r="C77" i="7"/>
  <c r="B77" i="7"/>
  <c r="FQ76" i="7"/>
  <c r="FO76" i="7"/>
  <c r="FM76" i="7"/>
  <c r="FL76" i="7"/>
  <c r="FJ76" i="7"/>
  <c r="FH76" i="7"/>
  <c r="FG76" i="7"/>
  <c r="FE76" i="7"/>
  <c r="FC76" i="7"/>
  <c r="EZ76" i="7"/>
  <c r="EY76" i="7"/>
  <c r="EX76" i="7"/>
  <c r="EW76" i="7"/>
  <c r="EV76" i="7"/>
  <c r="EU76" i="7"/>
  <c r="ET76" i="7"/>
  <c r="ES76" i="7"/>
  <c r="ER76" i="7"/>
  <c r="EQ76" i="7"/>
  <c r="EP76" i="7"/>
  <c r="EO76" i="7"/>
  <c r="EN76" i="7"/>
  <c r="EM76" i="7"/>
  <c r="EI76" i="7"/>
  <c r="EG76" i="7"/>
  <c r="EE76" i="7"/>
  <c r="EC76" i="7"/>
  <c r="EA76" i="7"/>
  <c r="DY76" i="7"/>
  <c r="DW76" i="7"/>
  <c r="DU76" i="7"/>
  <c r="DS76" i="7"/>
  <c r="DR76" i="7"/>
  <c r="DP76" i="7"/>
  <c r="DN76" i="7"/>
  <c r="DM76" i="7"/>
  <c r="DK76" i="7"/>
  <c r="DI76" i="7"/>
  <c r="DH76" i="7"/>
  <c r="DF76" i="7"/>
  <c r="DD76" i="7"/>
  <c r="DC76" i="7"/>
  <c r="DA76" i="7"/>
  <c r="CY76" i="7"/>
  <c r="CX76" i="7"/>
  <c r="CV76" i="7"/>
  <c r="CT76" i="7"/>
  <c r="CS76" i="7"/>
  <c r="CR76" i="7"/>
  <c r="CQ76" i="7"/>
  <c r="CP76" i="7"/>
  <c r="CO76" i="7"/>
  <c r="CN76" i="7"/>
  <c r="CM76" i="7"/>
  <c r="CL76" i="7"/>
  <c r="CK76" i="7"/>
  <c r="CI76" i="7"/>
  <c r="CJ76" i="7" s="1"/>
  <c r="CH76" i="7"/>
  <c r="CG76" i="7"/>
  <c r="CE76" i="7"/>
  <c r="CF76" i="7" s="1"/>
  <c r="CD76" i="7"/>
  <c r="CC76" i="7"/>
  <c r="CA76" i="7"/>
  <c r="CB76" i="7" s="1"/>
  <c r="BZ76" i="7"/>
  <c r="BY76" i="7"/>
  <c r="BW76" i="7"/>
  <c r="BX76" i="7" s="1"/>
  <c r="BV76" i="7"/>
  <c r="BU76" i="7"/>
  <c r="BS76" i="7"/>
  <c r="BT76" i="7" s="1"/>
  <c r="BR76" i="7"/>
  <c r="BQ76" i="7"/>
  <c r="BO76" i="7"/>
  <c r="BP76" i="7" s="1"/>
  <c r="BN76" i="7"/>
  <c r="BM76" i="7"/>
  <c r="BK76" i="7"/>
  <c r="BL76" i="7" s="1"/>
  <c r="BJ76" i="7"/>
  <c r="BI76" i="7"/>
  <c r="BG76" i="7"/>
  <c r="BH76" i="7" s="1"/>
  <c r="BF76" i="7"/>
  <c r="BE76" i="7"/>
  <c r="BC76" i="7"/>
  <c r="BD76" i="7" s="1"/>
  <c r="BB76" i="7"/>
  <c r="AZ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Y76" i="7"/>
  <c r="X76" i="7"/>
  <c r="W76" i="7"/>
  <c r="V76" i="7"/>
  <c r="U76" i="7"/>
  <c r="T76" i="7"/>
  <c r="S76" i="7"/>
  <c r="R76" i="7"/>
  <c r="Q76" i="7"/>
  <c r="P76" i="7"/>
  <c r="O76" i="7"/>
  <c r="N76" i="7"/>
  <c r="M76" i="7"/>
  <c r="L76" i="7"/>
  <c r="K76" i="7"/>
  <c r="J76" i="7"/>
  <c r="I76" i="7"/>
  <c r="H76" i="7"/>
  <c r="G76" i="7"/>
  <c r="F76" i="7"/>
  <c r="D76" i="7"/>
  <c r="C76" i="7"/>
  <c r="B76" i="7"/>
  <c r="FQ75" i="7"/>
  <c r="FO75" i="7"/>
  <c r="FM75" i="7"/>
  <c r="FL75" i="7"/>
  <c r="FJ75" i="7"/>
  <c r="FH75" i="7"/>
  <c r="FG75" i="7"/>
  <c r="FE75" i="7"/>
  <c r="FC75" i="7"/>
  <c r="EZ75" i="7"/>
  <c r="EY75" i="7"/>
  <c r="EX75" i="7"/>
  <c r="EW75" i="7"/>
  <c r="EV75" i="7"/>
  <c r="EU75" i="7"/>
  <c r="ET75" i="7"/>
  <c r="ES75" i="7"/>
  <c r="ER75" i="7"/>
  <c r="EQ75" i="7"/>
  <c r="EP75" i="7"/>
  <c r="EO75" i="7"/>
  <c r="EN75" i="7"/>
  <c r="EM75" i="7"/>
  <c r="EI75" i="7"/>
  <c r="EG75" i="7"/>
  <c r="EE75" i="7"/>
  <c r="EC75" i="7"/>
  <c r="EA75" i="7"/>
  <c r="DY75" i="7"/>
  <c r="DW75" i="7"/>
  <c r="DU75" i="7"/>
  <c r="DS75" i="7"/>
  <c r="DR75" i="7"/>
  <c r="DP75" i="7"/>
  <c r="DN75" i="7"/>
  <c r="DM75" i="7"/>
  <c r="DK75" i="7"/>
  <c r="DI75" i="7"/>
  <c r="DH75" i="7"/>
  <c r="DF75" i="7"/>
  <c r="DD75" i="7"/>
  <c r="DC75" i="7"/>
  <c r="DA75" i="7"/>
  <c r="CY75" i="7"/>
  <c r="CX75" i="7"/>
  <c r="CV75" i="7"/>
  <c r="CT75" i="7"/>
  <c r="CS75" i="7"/>
  <c r="CR75" i="7"/>
  <c r="CQ75" i="7"/>
  <c r="CP75" i="7"/>
  <c r="CO75" i="7"/>
  <c r="CN75" i="7"/>
  <c r="CM75" i="7"/>
  <c r="CL75" i="7"/>
  <c r="CK75" i="7"/>
  <c r="CI75" i="7"/>
  <c r="CJ75" i="7" s="1"/>
  <c r="CH75" i="7"/>
  <c r="CG75" i="7"/>
  <c r="CE75" i="7"/>
  <c r="CF75" i="7" s="1"/>
  <c r="CD75" i="7"/>
  <c r="CC75" i="7"/>
  <c r="CA75" i="7"/>
  <c r="CB75" i="7" s="1"/>
  <c r="BZ75" i="7"/>
  <c r="BY75" i="7"/>
  <c r="BW75" i="7"/>
  <c r="BX75" i="7" s="1"/>
  <c r="BV75" i="7"/>
  <c r="BU75" i="7"/>
  <c r="BS75" i="7"/>
  <c r="BT75" i="7" s="1"/>
  <c r="BR75" i="7"/>
  <c r="BQ75" i="7"/>
  <c r="BO75" i="7"/>
  <c r="BP75" i="7" s="1"/>
  <c r="BN75" i="7"/>
  <c r="BM75" i="7"/>
  <c r="BK75" i="7"/>
  <c r="BL75" i="7" s="1"/>
  <c r="BJ75" i="7"/>
  <c r="BI75" i="7"/>
  <c r="BG75" i="7"/>
  <c r="BH75" i="7" s="1"/>
  <c r="BF75" i="7"/>
  <c r="BE75" i="7"/>
  <c r="BC75" i="7"/>
  <c r="BD75" i="7" s="1"/>
  <c r="BB75" i="7"/>
  <c r="AZ75" i="7"/>
  <c r="AX75" i="7"/>
  <c r="AW75" i="7"/>
  <c r="AV75" i="7"/>
  <c r="AU75" i="7"/>
  <c r="AT75" i="7"/>
  <c r="AS75" i="7"/>
  <c r="AR75" i="7"/>
  <c r="AQ75" i="7"/>
  <c r="AP75" i="7"/>
  <c r="AO75" i="7"/>
  <c r="AN75" i="7"/>
  <c r="AM75" i="7"/>
  <c r="AL75" i="7"/>
  <c r="AK75" i="7"/>
  <c r="AJ75" i="7"/>
  <c r="AI75" i="7"/>
  <c r="AH75" i="7"/>
  <c r="AG75" i="7"/>
  <c r="AF75" i="7"/>
  <c r="AE75" i="7"/>
  <c r="AD75" i="7"/>
  <c r="AC75" i="7"/>
  <c r="AB75" i="7"/>
  <c r="AA75" i="7"/>
  <c r="Z75" i="7"/>
  <c r="Y75" i="7"/>
  <c r="X75" i="7"/>
  <c r="W75" i="7"/>
  <c r="V75" i="7"/>
  <c r="U75" i="7"/>
  <c r="T75" i="7"/>
  <c r="S75" i="7"/>
  <c r="R75" i="7"/>
  <c r="Q75" i="7"/>
  <c r="P75" i="7"/>
  <c r="O75" i="7"/>
  <c r="N75" i="7"/>
  <c r="M75" i="7"/>
  <c r="L75" i="7"/>
  <c r="K75" i="7"/>
  <c r="J75" i="7"/>
  <c r="I75" i="7"/>
  <c r="H75" i="7"/>
  <c r="G75" i="7"/>
  <c r="F75" i="7"/>
  <c r="D75" i="7"/>
  <c r="C75" i="7"/>
  <c r="B75" i="7"/>
  <c r="FQ74" i="7"/>
  <c r="FO74" i="7"/>
  <c r="FM74" i="7"/>
  <c r="FL74" i="7"/>
  <c r="FJ74" i="7"/>
  <c r="FH74" i="7"/>
  <c r="FG74" i="7"/>
  <c r="FE74" i="7"/>
  <c r="FC74" i="7"/>
  <c r="EZ74" i="7"/>
  <c r="EY74" i="7"/>
  <c r="EX74" i="7"/>
  <c r="EW74" i="7"/>
  <c r="EV74" i="7"/>
  <c r="EU74" i="7"/>
  <c r="ET74" i="7"/>
  <c r="ES74" i="7"/>
  <c r="ER74" i="7"/>
  <c r="EQ74" i="7"/>
  <c r="EP74" i="7"/>
  <c r="EO74" i="7"/>
  <c r="EN74" i="7"/>
  <c r="EM74" i="7"/>
  <c r="EI74" i="7"/>
  <c r="EG74" i="7"/>
  <c r="EE74" i="7"/>
  <c r="EC74" i="7"/>
  <c r="EA74" i="7"/>
  <c r="DY74" i="7"/>
  <c r="DW74" i="7"/>
  <c r="DU74" i="7"/>
  <c r="DS74" i="7"/>
  <c r="DR74" i="7"/>
  <c r="DP74" i="7"/>
  <c r="DN74" i="7"/>
  <c r="DM74" i="7"/>
  <c r="DK74" i="7"/>
  <c r="DI74" i="7"/>
  <c r="DH74" i="7"/>
  <c r="DF74" i="7"/>
  <c r="DD74" i="7"/>
  <c r="DC74" i="7"/>
  <c r="DA74" i="7"/>
  <c r="CY74" i="7"/>
  <c r="CX74" i="7"/>
  <c r="CV74" i="7"/>
  <c r="CT74" i="7"/>
  <c r="CS74" i="7"/>
  <c r="CR74" i="7"/>
  <c r="CQ74" i="7"/>
  <c r="CP74" i="7"/>
  <c r="CO74" i="7"/>
  <c r="CN74" i="7"/>
  <c r="CM74" i="7"/>
  <c r="CL74" i="7"/>
  <c r="CK74" i="7"/>
  <c r="CI74" i="7"/>
  <c r="CJ74" i="7" s="1"/>
  <c r="CH74" i="7"/>
  <c r="CG74" i="7"/>
  <c r="CE74" i="7"/>
  <c r="CF74" i="7" s="1"/>
  <c r="CD74" i="7"/>
  <c r="CC74" i="7"/>
  <c r="CA74" i="7"/>
  <c r="CB74" i="7" s="1"/>
  <c r="BZ74" i="7"/>
  <c r="BY74" i="7"/>
  <c r="BW74" i="7"/>
  <c r="BX74" i="7" s="1"/>
  <c r="BV74" i="7"/>
  <c r="BU74" i="7"/>
  <c r="BS74" i="7"/>
  <c r="BT74" i="7" s="1"/>
  <c r="BR74" i="7"/>
  <c r="BQ74" i="7"/>
  <c r="BO74" i="7"/>
  <c r="BP74" i="7" s="1"/>
  <c r="BN74" i="7"/>
  <c r="BM74" i="7"/>
  <c r="BK74" i="7"/>
  <c r="BL74" i="7" s="1"/>
  <c r="BJ74" i="7"/>
  <c r="BI74" i="7"/>
  <c r="BG74" i="7"/>
  <c r="BH74" i="7" s="1"/>
  <c r="BF74" i="7"/>
  <c r="BE74" i="7"/>
  <c r="BC74" i="7"/>
  <c r="BD74" i="7" s="1"/>
  <c r="BB74" i="7"/>
  <c r="AZ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D74" i="7"/>
  <c r="C74" i="7"/>
  <c r="B74" i="7"/>
  <c r="FQ73" i="7"/>
  <c r="FO73" i="7"/>
  <c r="FM73" i="7"/>
  <c r="FL73" i="7"/>
  <c r="FJ73" i="7"/>
  <c r="FH73" i="7"/>
  <c r="FG73" i="7"/>
  <c r="FE73" i="7"/>
  <c r="FC73" i="7"/>
  <c r="EZ73" i="7"/>
  <c r="EY73" i="7"/>
  <c r="EX73" i="7"/>
  <c r="EW73" i="7"/>
  <c r="EV73" i="7"/>
  <c r="EU73" i="7"/>
  <c r="ET73" i="7"/>
  <c r="ES73" i="7"/>
  <c r="ER73" i="7"/>
  <c r="EQ73" i="7"/>
  <c r="EP73" i="7"/>
  <c r="EO73" i="7"/>
  <c r="EN73" i="7"/>
  <c r="EM73" i="7"/>
  <c r="EI73" i="7"/>
  <c r="EG73" i="7"/>
  <c r="EE73" i="7"/>
  <c r="EC73" i="7"/>
  <c r="EA73" i="7"/>
  <c r="DY73" i="7"/>
  <c r="DW73" i="7"/>
  <c r="DU73" i="7"/>
  <c r="DS73" i="7"/>
  <c r="DR73" i="7"/>
  <c r="DP73" i="7"/>
  <c r="DN73" i="7"/>
  <c r="DM73" i="7"/>
  <c r="DK73" i="7"/>
  <c r="DI73" i="7"/>
  <c r="DH73" i="7"/>
  <c r="DF73" i="7"/>
  <c r="DD73" i="7"/>
  <c r="DC73" i="7"/>
  <c r="DA73" i="7"/>
  <c r="CY73" i="7"/>
  <c r="CX73" i="7"/>
  <c r="CV73" i="7"/>
  <c r="CT73" i="7"/>
  <c r="CS73" i="7"/>
  <c r="CR73" i="7"/>
  <c r="CQ73" i="7"/>
  <c r="CP73" i="7"/>
  <c r="CO73" i="7"/>
  <c r="CN73" i="7"/>
  <c r="CM73" i="7"/>
  <c r="CL73" i="7"/>
  <c r="CK73" i="7"/>
  <c r="CI73" i="7"/>
  <c r="CJ73" i="7" s="1"/>
  <c r="CH73" i="7"/>
  <c r="CG73" i="7"/>
  <c r="CE73" i="7"/>
  <c r="CF73" i="7" s="1"/>
  <c r="CD73" i="7"/>
  <c r="CC73" i="7"/>
  <c r="CA73" i="7"/>
  <c r="CB73" i="7" s="1"/>
  <c r="BZ73" i="7"/>
  <c r="BY73" i="7"/>
  <c r="BW73" i="7"/>
  <c r="BX73" i="7" s="1"/>
  <c r="BV73" i="7"/>
  <c r="BU73" i="7"/>
  <c r="BS73" i="7"/>
  <c r="BT73" i="7" s="1"/>
  <c r="BR73" i="7"/>
  <c r="BQ73" i="7"/>
  <c r="BO73" i="7"/>
  <c r="BP73" i="7" s="1"/>
  <c r="BN73" i="7"/>
  <c r="BM73" i="7"/>
  <c r="BK73" i="7"/>
  <c r="BL73" i="7" s="1"/>
  <c r="BJ73" i="7"/>
  <c r="BI73" i="7"/>
  <c r="BG73" i="7"/>
  <c r="BH73" i="7" s="1"/>
  <c r="BF73" i="7"/>
  <c r="BE73" i="7"/>
  <c r="BC73" i="7"/>
  <c r="BD73" i="7" s="1"/>
  <c r="BB73" i="7"/>
  <c r="AZ73" i="7"/>
  <c r="AX73" i="7"/>
  <c r="AW73" i="7"/>
  <c r="AV73" i="7"/>
  <c r="AU73" i="7"/>
  <c r="AT73" i="7"/>
  <c r="AS73" i="7"/>
  <c r="AR73" i="7"/>
  <c r="AQ73" i="7"/>
  <c r="AP73" i="7"/>
  <c r="AO73" i="7"/>
  <c r="AN73" i="7"/>
  <c r="AM73" i="7"/>
  <c r="AL73"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F73" i="7"/>
  <c r="D73" i="7"/>
  <c r="C73" i="7"/>
  <c r="B73" i="7"/>
  <c r="FQ72" i="7"/>
  <c r="FO72" i="7"/>
  <c r="FM72" i="7"/>
  <c r="FL72" i="7"/>
  <c r="FJ72" i="7"/>
  <c r="FH72" i="7"/>
  <c r="FG72" i="7"/>
  <c r="FE72" i="7"/>
  <c r="FC72" i="7"/>
  <c r="EZ72" i="7"/>
  <c r="EY72" i="7"/>
  <c r="EX72" i="7"/>
  <c r="EW72" i="7"/>
  <c r="EV72" i="7"/>
  <c r="EU72" i="7"/>
  <c r="ET72" i="7"/>
  <c r="ES72" i="7"/>
  <c r="ER72" i="7"/>
  <c r="EQ72" i="7"/>
  <c r="EP72" i="7"/>
  <c r="EO72" i="7"/>
  <c r="EN72" i="7"/>
  <c r="EM72" i="7"/>
  <c r="EI72" i="7"/>
  <c r="EG72" i="7"/>
  <c r="EE72" i="7"/>
  <c r="EC72" i="7"/>
  <c r="EA72" i="7"/>
  <c r="DY72" i="7"/>
  <c r="DW72" i="7"/>
  <c r="DU72" i="7"/>
  <c r="DS72" i="7"/>
  <c r="DR72" i="7"/>
  <c r="DP72" i="7"/>
  <c r="DN72" i="7"/>
  <c r="DM72" i="7"/>
  <c r="DK72" i="7"/>
  <c r="DI72" i="7"/>
  <c r="DH72" i="7"/>
  <c r="DF72" i="7"/>
  <c r="DD72" i="7"/>
  <c r="DC72" i="7"/>
  <c r="DA72" i="7"/>
  <c r="CY72" i="7"/>
  <c r="CX72" i="7"/>
  <c r="CV72" i="7"/>
  <c r="CT72" i="7"/>
  <c r="CS72" i="7"/>
  <c r="CR72" i="7"/>
  <c r="CQ72" i="7"/>
  <c r="CP72" i="7"/>
  <c r="CO72" i="7"/>
  <c r="CN72" i="7"/>
  <c r="CM72" i="7"/>
  <c r="CL72" i="7"/>
  <c r="CK72" i="7"/>
  <c r="CI72" i="7"/>
  <c r="CJ72" i="7" s="1"/>
  <c r="CH72" i="7"/>
  <c r="CG72" i="7"/>
  <c r="CE72" i="7"/>
  <c r="CF72" i="7" s="1"/>
  <c r="CD72" i="7"/>
  <c r="CC72" i="7"/>
  <c r="CA72" i="7"/>
  <c r="CB72" i="7" s="1"/>
  <c r="BZ72" i="7"/>
  <c r="BY72" i="7"/>
  <c r="BW72" i="7"/>
  <c r="BX72" i="7" s="1"/>
  <c r="BV72" i="7"/>
  <c r="BU72" i="7"/>
  <c r="BS72" i="7"/>
  <c r="BT72" i="7" s="1"/>
  <c r="BR72" i="7"/>
  <c r="BQ72" i="7"/>
  <c r="BO72" i="7"/>
  <c r="BP72" i="7" s="1"/>
  <c r="BN72" i="7"/>
  <c r="BM72" i="7"/>
  <c r="BK72" i="7"/>
  <c r="BL72" i="7" s="1"/>
  <c r="BJ72" i="7"/>
  <c r="BI72" i="7"/>
  <c r="BG72" i="7"/>
  <c r="BH72" i="7" s="1"/>
  <c r="BF72" i="7"/>
  <c r="BE72" i="7"/>
  <c r="BC72" i="7"/>
  <c r="BD72" i="7" s="1"/>
  <c r="BB72" i="7"/>
  <c r="AZ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D72" i="7"/>
  <c r="C72" i="7"/>
  <c r="B72" i="7"/>
  <c r="FQ71" i="7"/>
  <c r="FO71" i="7"/>
  <c r="FM71" i="7"/>
  <c r="FL71" i="7"/>
  <c r="FJ71" i="7"/>
  <c r="FH71" i="7"/>
  <c r="FG71" i="7"/>
  <c r="FE71" i="7"/>
  <c r="FC71" i="7"/>
  <c r="EZ71" i="7"/>
  <c r="EY71" i="7"/>
  <c r="EX71" i="7"/>
  <c r="EW71" i="7"/>
  <c r="EV71" i="7"/>
  <c r="EU71" i="7"/>
  <c r="ET71" i="7"/>
  <c r="ES71" i="7"/>
  <c r="ER71" i="7"/>
  <c r="EQ71" i="7"/>
  <c r="EP71" i="7"/>
  <c r="EO71" i="7"/>
  <c r="EN71" i="7"/>
  <c r="EM71" i="7"/>
  <c r="EI71" i="7"/>
  <c r="EG71" i="7"/>
  <c r="EE71" i="7"/>
  <c r="EC71" i="7"/>
  <c r="EA71" i="7"/>
  <c r="DY71" i="7"/>
  <c r="DW71" i="7"/>
  <c r="DU71" i="7"/>
  <c r="DS71" i="7"/>
  <c r="DR71" i="7"/>
  <c r="DP71" i="7"/>
  <c r="DN71" i="7"/>
  <c r="DM71" i="7"/>
  <c r="DK71" i="7"/>
  <c r="DI71" i="7"/>
  <c r="DH71" i="7"/>
  <c r="DF71" i="7"/>
  <c r="DD71" i="7"/>
  <c r="DC71" i="7"/>
  <c r="DA71" i="7"/>
  <c r="CY71" i="7"/>
  <c r="CX71" i="7"/>
  <c r="CV71" i="7"/>
  <c r="CT71" i="7"/>
  <c r="CS71" i="7"/>
  <c r="CR71" i="7"/>
  <c r="CQ71" i="7"/>
  <c r="CP71" i="7"/>
  <c r="CO71" i="7"/>
  <c r="CN71" i="7"/>
  <c r="CM71" i="7"/>
  <c r="CL71" i="7"/>
  <c r="CK71" i="7"/>
  <c r="CI71" i="7"/>
  <c r="CJ71" i="7" s="1"/>
  <c r="CH71" i="7"/>
  <c r="CG71" i="7"/>
  <c r="CE71" i="7"/>
  <c r="CF71" i="7" s="1"/>
  <c r="CD71" i="7"/>
  <c r="CC71" i="7"/>
  <c r="CA71" i="7"/>
  <c r="CB71" i="7" s="1"/>
  <c r="BZ71" i="7"/>
  <c r="BY71" i="7"/>
  <c r="BW71" i="7"/>
  <c r="BX71" i="7" s="1"/>
  <c r="BV71" i="7"/>
  <c r="BU71" i="7"/>
  <c r="BS71" i="7"/>
  <c r="BT71" i="7" s="1"/>
  <c r="BR71" i="7"/>
  <c r="BQ71" i="7"/>
  <c r="BO71" i="7"/>
  <c r="BP71" i="7" s="1"/>
  <c r="BN71" i="7"/>
  <c r="BM71" i="7"/>
  <c r="BK71" i="7"/>
  <c r="BL71" i="7" s="1"/>
  <c r="BJ71" i="7"/>
  <c r="BI71" i="7"/>
  <c r="BG71" i="7"/>
  <c r="BH71" i="7" s="1"/>
  <c r="BF71" i="7"/>
  <c r="BE71" i="7"/>
  <c r="BC71" i="7"/>
  <c r="BD71" i="7" s="1"/>
  <c r="BB71" i="7"/>
  <c r="AZ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D71" i="7"/>
  <c r="C71" i="7"/>
  <c r="B71" i="7"/>
  <c r="FQ70" i="7"/>
  <c r="FO70" i="7"/>
  <c r="FM70" i="7"/>
  <c r="FL70" i="7"/>
  <c r="FJ70" i="7"/>
  <c r="FH70" i="7"/>
  <c r="FG70" i="7"/>
  <c r="FE70" i="7"/>
  <c r="FC70" i="7"/>
  <c r="EZ70" i="7"/>
  <c r="EY70" i="7"/>
  <c r="EX70" i="7"/>
  <c r="EW70" i="7"/>
  <c r="EV70" i="7"/>
  <c r="EU70" i="7"/>
  <c r="ET70" i="7"/>
  <c r="ES70" i="7"/>
  <c r="ER70" i="7"/>
  <c r="EQ70" i="7"/>
  <c r="EP70" i="7"/>
  <c r="EO70" i="7"/>
  <c r="EN70" i="7"/>
  <c r="EM70" i="7"/>
  <c r="EI70" i="7"/>
  <c r="EG70" i="7"/>
  <c r="EE70" i="7"/>
  <c r="EC70" i="7"/>
  <c r="EA70" i="7"/>
  <c r="DY70" i="7"/>
  <c r="DW70" i="7"/>
  <c r="DU70" i="7"/>
  <c r="DS70" i="7"/>
  <c r="DR70" i="7"/>
  <c r="DP70" i="7"/>
  <c r="DN70" i="7"/>
  <c r="DM70" i="7"/>
  <c r="DK70" i="7"/>
  <c r="DI70" i="7"/>
  <c r="DH70" i="7"/>
  <c r="DF70" i="7"/>
  <c r="DD70" i="7"/>
  <c r="DC70" i="7"/>
  <c r="DA70" i="7"/>
  <c r="CY70" i="7"/>
  <c r="CX70" i="7"/>
  <c r="CV70" i="7"/>
  <c r="CT70" i="7"/>
  <c r="CS70" i="7"/>
  <c r="CR70" i="7"/>
  <c r="CQ70" i="7"/>
  <c r="CP70" i="7"/>
  <c r="CO70" i="7"/>
  <c r="CN70" i="7"/>
  <c r="CM70" i="7"/>
  <c r="CL70" i="7"/>
  <c r="CK70" i="7"/>
  <c r="CI70" i="7"/>
  <c r="CJ70" i="7" s="1"/>
  <c r="CH70" i="7"/>
  <c r="CG70" i="7"/>
  <c r="CE70" i="7"/>
  <c r="CF70" i="7" s="1"/>
  <c r="CD70" i="7"/>
  <c r="CC70" i="7"/>
  <c r="CA70" i="7"/>
  <c r="CB70" i="7" s="1"/>
  <c r="BZ70" i="7"/>
  <c r="BY70" i="7"/>
  <c r="BW70" i="7"/>
  <c r="BX70" i="7" s="1"/>
  <c r="BV70" i="7"/>
  <c r="BU70" i="7"/>
  <c r="BS70" i="7"/>
  <c r="BT70" i="7" s="1"/>
  <c r="BR70" i="7"/>
  <c r="BQ70" i="7"/>
  <c r="BO70" i="7"/>
  <c r="BP70" i="7" s="1"/>
  <c r="BN70" i="7"/>
  <c r="BM70" i="7"/>
  <c r="BK70" i="7"/>
  <c r="BL70" i="7" s="1"/>
  <c r="BJ70" i="7"/>
  <c r="BI70" i="7"/>
  <c r="BG70" i="7"/>
  <c r="BH70" i="7" s="1"/>
  <c r="BF70" i="7"/>
  <c r="BE70" i="7"/>
  <c r="BC70" i="7"/>
  <c r="BD70" i="7" s="1"/>
  <c r="BB70" i="7"/>
  <c r="AZ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D70" i="7"/>
  <c r="C70" i="7"/>
  <c r="B70" i="7"/>
  <c r="FQ69" i="7"/>
  <c r="FO69" i="7"/>
  <c r="FM69" i="7"/>
  <c r="FL69" i="7"/>
  <c r="FJ69" i="7"/>
  <c r="FH69" i="7"/>
  <c r="FG69" i="7"/>
  <c r="FE69" i="7"/>
  <c r="FC69" i="7"/>
  <c r="EZ69" i="7"/>
  <c r="EY69" i="7"/>
  <c r="EX69" i="7"/>
  <c r="EW69" i="7"/>
  <c r="EV69" i="7"/>
  <c r="EU69" i="7"/>
  <c r="ET69" i="7"/>
  <c r="ES69" i="7"/>
  <c r="ER69" i="7"/>
  <c r="EQ69" i="7"/>
  <c r="EP69" i="7"/>
  <c r="EO69" i="7"/>
  <c r="EN69" i="7"/>
  <c r="EM69" i="7"/>
  <c r="EI69" i="7"/>
  <c r="EG69" i="7"/>
  <c r="EE69" i="7"/>
  <c r="EC69" i="7"/>
  <c r="EA69" i="7"/>
  <c r="DY69" i="7"/>
  <c r="DW69" i="7"/>
  <c r="DU69" i="7"/>
  <c r="DS69" i="7"/>
  <c r="DR69" i="7"/>
  <c r="DP69" i="7"/>
  <c r="DN69" i="7"/>
  <c r="DM69" i="7"/>
  <c r="DK69" i="7"/>
  <c r="DI69" i="7"/>
  <c r="DH69" i="7"/>
  <c r="DF69" i="7"/>
  <c r="DD69" i="7"/>
  <c r="DC69" i="7"/>
  <c r="DA69" i="7"/>
  <c r="CY69" i="7"/>
  <c r="CX69" i="7"/>
  <c r="CV69" i="7"/>
  <c r="CT69" i="7"/>
  <c r="CS69" i="7"/>
  <c r="CR69" i="7"/>
  <c r="CQ69" i="7"/>
  <c r="CP69" i="7"/>
  <c r="CO69" i="7"/>
  <c r="CN69" i="7"/>
  <c r="CM69" i="7"/>
  <c r="CL69" i="7"/>
  <c r="CK69" i="7"/>
  <c r="CI69" i="7"/>
  <c r="CJ69" i="7" s="1"/>
  <c r="CH69" i="7"/>
  <c r="CG69" i="7"/>
  <c r="CE69" i="7"/>
  <c r="CF69" i="7" s="1"/>
  <c r="CD69" i="7"/>
  <c r="CC69" i="7"/>
  <c r="CA69" i="7"/>
  <c r="CB69" i="7" s="1"/>
  <c r="BZ69" i="7"/>
  <c r="BY69" i="7"/>
  <c r="BW69" i="7"/>
  <c r="BX69" i="7" s="1"/>
  <c r="BV69" i="7"/>
  <c r="BU69" i="7"/>
  <c r="BS69" i="7"/>
  <c r="BT69" i="7" s="1"/>
  <c r="BR69" i="7"/>
  <c r="BQ69" i="7"/>
  <c r="BO69" i="7"/>
  <c r="BP69" i="7" s="1"/>
  <c r="BN69" i="7"/>
  <c r="BM69" i="7"/>
  <c r="BK69" i="7"/>
  <c r="BL69" i="7" s="1"/>
  <c r="BJ69" i="7"/>
  <c r="BI69" i="7"/>
  <c r="BG69" i="7"/>
  <c r="BH69" i="7" s="1"/>
  <c r="BF69" i="7"/>
  <c r="BE69" i="7"/>
  <c r="BC69" i="7"/>
  <c r="BD69" i="7" s="1"/>
  <c r="BB69" i="7"/>
  <c r="AZ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D69" i="7"/>
  <c r="C69" i="7"/>
  <c r="B69" i="7"/>
  <c r="FQ68" i="7"/>
  <c r="FO68" i="7"/>
  <c r="FM68" i="7"/>
  <c r="FL68" i="7"/>
  <c r="FJ68" i="7"/>
  <c r="FH68" i="7"/>
  <c r="FG68" i="7"/>
  <c r="FE68" i="7"/>
  <c r="FC68" i="7"/>
  <c r="EZ68" i="7"/>
  <c r="EY68" i="7"/>
  <c r="EX68" i="7"/>
  <c r="EW68" i="7"/>
  <c r="EV68" i="7"/>
  <c r="EU68" i="7"/>
  <c r="ET68" i="7"/>
  <c r="ES68" i="7"/>
  <c r="ER68" i="7"/>
  <c r="EQ68" i="7"/>
  <c r="EP68" i="7"/>
  <c r="EO68" i="7"/>
  <c r="EN68" i="7"/>
  <c r="EM68" i="7"/>
  <c r="EI68" i="7"/>
  <c r="EG68" i="7"/>
  <c r="EE68" i="7"/>
  <c r="EC68" i="7"/>
  <c r="EA68" i="7"/>
  <c r="DY68" i="7"/>
  <c r="DW68" i="7"/>
  <c r="DU68" i="7"/>
  <c r="DS68" i="7"/>
  <c r="DR68" i="7"/>
  <c r="DP68" i="7"/>
  <c r="DN68" i="7"/>
  <c r="DM68" i="7"/>
  <c r="DK68" i="7"/>
  <c r="DI68" i="7"/>
  <c r="DH68" i="7"/>
  <c r="DF68" i="7"/>
  <c r="DD68" i="7"/>
  <c r="DC68" i="7"/>
  <c r="DA68" i="7"/>
  <c r="CY68" i="7"/>
  <c r="CX68" i="7"/>
  <c r="CV68" i="7"/>
  <c r="CT68" i="7"/>
  <c r="CS68" i="7"/>
  <c r="CR68" i="7"/>
  <c r="CQ68" i="7"/>
  <c r="CP68" i="7"/>
  <c r="CO68" i="7"/>
  <c r="CN68" i="7"/>
  <c r="CM68" i="7"/>
  <c r="CL68" i="7"/>
  <c r="CK68" i="7"/>
  <c r="CI68" i="7"/>
  <c r="CJ68" i="7" s="1"/>
  <c r="CH68" i="7"/>
  <c r="CG68" i="7"/>
  <c r="CE68" i="7"/>
  <c r="CF68" i="7" s="1"/>
  <c r="CD68" i="7"/>
  <c r="CC68" i="7"/>
  <c r="CA68" i="7"/>
  <c r="CB68" i="7" s="1"/>
  <c r="BZ68" i="7"/>
  <c r="BY68" i="7"/>
  <c r="BW68" i="7"/>
  <c r="BX68" i="7" s="1"/>
  <c r="BV68" i="7"/>
  <c r="BU68" i="7"/>
  <c r="BS68" i="7"/>
  <c r="BT68" i="7" s="1"/>
  <c r="BR68" i="7"/>
  <c r="BQ68" i="7"/>
  <c r="BO68" i="7"/>
  <c r="BP68" i="7" s="1"/>
  <c r="BN68" i="7"/>
  <c r="BM68" i="7"/>
  <c r="BK68" i="7"/>
  <c r="BL68" i="7" s="1"/>
  <c r="BJ68" i="7"/>
  <c r="BI68" i="7"/>
  <c r="BG68" i="7"/>
  <c r="BH68" i="7" s="1"/>
  <c r="BF68" i="7"/>
  <c r="BE68" i="7"/>
  <c r="BC68" i="7"/>
  <c r="BD68" i="7" s="1"/>
  <c r="BB68" i="7"/>
  <c r="AZ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D68" i="7"/>
  <c r="C68" i="7"/>
  <c r="B68" i="7"/>
  <c r="FQ67" i="7"/>
  <c r="FO67" i="7"/>
  <c r="FM67" i="7"/>
  <c r="FL67" i="7"/>
  <c r="FJ67" i="7"/>
  <c r="FH67" i="7"/>
  <c r="FG67" i="7"/>
  <c r="FE67" i="7"/>
  <c r="FC67" i="7"/>
  <c r="EZ67" i="7"/>
  <c r="EY67" i="7"/>
  <c r="EX67" i="7"/>
  <c r="EW67" i="7"/>
  <c r="EV67" i="7"/>
  <c r="EU67" i="7"/>
  <c r="ET67" i="7"/>
  <c r="ES67" i="7"/>
  <c r="ER67" i="7"/>
  <c r="EQ67" i="7"/>
  <c r="EP67" i="7"/>
  <c r="EO67" i="7"/>
  <c r="EN67" i="7"/>
  <c r="EM67" i="7"/>
  <c r="EI67" i="7"/>
  <c r="EG67" i="7"/>
  <c r="EE67" i="7"/>
  <c r="EC67" i="7"/>
  <c r="EA67" i="7"/>
  <c r="DY67" i="7"/>
  <c r="DW67" i="7"/>
  <c r="DU67" i="7"/>
  <c r="DS67" i="7"/>
  <c r="DR67" i="7"/>
  <c r="DP67" i="7"/>
  <c r="DN67" i="7"/>
  <c r="DM67" i="7"/>
  <c r="DK67" i="7"/>
  <c r="DI67" i="7"/>
  <c r="DH67" i="7"/>
  <c r="DF67" i="7"/>
  <c r="DD67" i="7"/>
  <c r="DC67" i="7"/>
  <c r="DA67" i="7"/>
  <c r="CY67" i="7"/>
  <c r="CX67" i="7"/>
  <c r="CV67" i="7"/>
  <c r="CT67" i="7"/>
  <c r="CS67" i="7"/>
  <c r="CR67" i="7"/>
  <c r="CQ67" i="7"/>
  <c r="CP67" i="7"/>
  <c r="CO67" i="7"/>
  <c r="CN67" i="7"/>
  <c r="CM67" i="7"/>
  <c r="CL67" i="7"/>
  <c r="CK67" i="7"/>
  <c r="CI67" i="7"/>
  <c r="CJ67" i="7" s="1"/>
  <c r="CH67" i="7"/>
  <c r="CG67" i="7"/>
  <c r="CE67" i="7"/>
  <c r="CF67" i="7" s="1"/>
  <c r="CD67" i="7"/>
  <c r="CC67" i="7"/>
  <c r="CA67" i="7"/>
  <c r="CB67" i="7" s="1"/>
  <c r="BZ67" i="7"/>
  <c r="BY67" i="7"/>
  <c r="BW67" i="7"/>
  <c r="BX67" i="7" s="1"/>
  <c r="BV67" i="7"/>
  <c r="BU67" i="7"/>
  <c r="BS67" i="7"/>
  <c r="BT67" i="7" s="1"/>
  <c r="BR67" i="7"/>
  <c r="BQ67" i="7"/>
  <c r="BO67" i="7"/>
  <c r="BP67" i="7" s="1"/>
  <c r="BN67" i="7"/>
  <c r="BM67" i="7"/>
  <c r="BK67" i="7"/>
  <c r="BL67" i="7" s="1"/>
  <c r="BJ67" i="7"/>
  <c r="BI67" i="7"/>
  <c r="BG67" i="7"/>
  <c r="BH67" i="7" s="1"/>
  <c r="BF67" i="7"/>
  <c r="BE67" i="7"/>
  <c r="BC67" i="7"/>
  <c r="BD67" i="7" s="1"/>
  <c r="BB67" i="7"/>
  <c r="AZ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D67" i="7"/>
  <c r="C67" i="7"/>
  <c r="B67" i="7"/>
  <c r="FQ66" i="7"/>
  <c r="FO66" i="7"/>
  <c r="FM66" i="7"/>
  <c r="FL66" i="7"/>
  <c r="FJ66" i="7"/>
  <c r="FH66" i="7"/>
  <c r="FG66" i="7"/>
  <c r="FE66" i="7"/>
  <c r="FC66" i="7"/>
  <c r="EZ66" i="7"/>
  <c r="EY66" i="7"/>
  <c r="EX66" i="7"/>
  <c r="EW66" i="7"/>
  <c r="EV66" i="7"/>
  <c r="EU66" i="7"/>
  <c r="ET66" i="7"/>
  <c r="ES66" i="7"/>
  <c r="ER66" i="7"/>
  <c r="EQ66" i="7"/>
  <c r="EP66" i="7"/>
  <c r="EO66" i="7"/>
  <c r="EN66" i="7"/>
  <c r="EM66" i="7"/>
  <c r="EI66" i="7"/>
  <c r="EG66" i="7"/>
  <c r="EE66" i="7"/>
  <c r="EC66" i="7"/>
  <c r="EA66" i="7"/>
  <c r="DY66" i="7"/>
  <c r="DW66" i="7"/>
  <c r="DU66" i="7"/>
  <c r="DS66" i="7"/>
  <c r="DR66" i="7"/>
  <c r="DP66" i="7"/>
  <c r="DN66" i="7"/>
  <c r="DM66" i="7"/>
  <c r="DK66" i="7"/>
  <c r="DI66" i="7"/>
  <c r="DH66" i="7"/>
  <c r="DF66" i="7"/>
  <c r="DD66" i="7"/>
  <c r="DC66" i="7"/>
  <c r="DA66" i="7"/>
  <c r="CY66" i="7"/>
  <c r="CX66" i="7"/>
  <c r="CV66" i="7"/>
  <c r="CT66" i="7"/>
  <c r="CS66" i="7"/>
  <c r="CR66" i="7"/>
  <c r="CQ66" i="7"/>
  <c r="CP66" i="7"/>
  <c r="CO66" i="7"/>
  <c r="CN66" i="7"/>
  <c r="CM66" i="7"/>
  <c r="CL66" i="7"/>
  <c r="CK66" i="7"/>
  <c r="CI66" i="7"/>
  <c r="CJ66" i="7" s="1"/>
  <c r="CH66" i="7"/>
  <c r="CG66" i="7"/>
  <c r="CE66" i="7"/>
  <c r="CF66" i="7" s="1"/>
  <c r="CD66" i="7"/>
  <c r="CC66" i="7"/>
  <c r="CA66" i="7"/>
  <c r="CB66" i="7" s="1"/>
  <c r="BZ66" i="7"/>
  <c r="BY66" i="7"/>
  <c r="BW66" i="7"/>
  <c r="BX66" i="7" s="1"/>
  <c r="BV66" i="7"/>
  <c r="BU66" i="7"/>
  <c r="BS66" i="7"/>
  <c r="BT66" i="7" s="1"/>
  <c r="BR66" i="7"/>
  <c r="BQ66" i="7"/>
  <c r="BO66" i="7"/>
  <c r="BP66" i="7" s="1"/>
  <c r="BN66" i="7"/>
  <c r="BM66" i="7"/>
  <c r="BK66" i="7"/>
  <c r="BL66" i="7" s="1"/>
  <c r="BJ66" i="7"/>
  <c r="BI66" i="7"/>
  <c r="BG66" i="7"/>
  <c r="BH66" i="7" s="1"/>
  <c r="BF66" i="7"/>
  <c r="BE66" i="7"/>
  <c r="BC66" i="7"/>
  <c r="BD66" i="7" s="1"/>
  <c r="BB66" i="7"/>
  <c r="AZ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D66" i="7"/>
  <c r="C66" i="7"/>
  <c r="B66" i="7"/>
  <c r="FQ65" i="7"/>
  <c r="FO65" i="7"/>
  <c r="FM65" i="7"/>
  <c r="FL65" i="7"/>
  <c r="FJ65" i="7"/>
  <c r="FH65" i="7"/>
  <c r="FG65" i="7"/>
  <c r="FE65" i="7"/>
  <c r="FC65" i="7"/>
  <c r="EZ65" i="7"/>
  <c r="EY65" i="7"/>
  <c r="EX65" i="7"/>
  <c r="EW65" i="7"/>
  <c r="EV65" i="7"/>
  <c r="EU65" i="7"/>
  <c r="ET65" i="7"/>
  <c r="ES65" i="7"/>
  <c r="ER65" i="7"/>
  <c r="EQ65" i="7"/>
  <c r="EP65" i="7"/>
  <c r="EO65" i="7"/>
  <c r="EN65" i="7"/>
  <c r="EM65" i="7"/>
  <c r="EI65" i="7"/>
  <c r="EG65" i="7"/>
  <c r="EE65" i="7"/>
  <c r="EC65" i="7"/>
  <c r="EA65" i="7"/>
  <c r="DY65" i="7"/>
  <c r="DW65" i="7"/>
  <c r="DU65" i="7"/>
  <c r="DS65" i="7"/>
  <c r="DR65" i="7"/>
  <c r="DP65" i="7"/>
  <c r="DN65" i="7"/>
  <c r="DM65" i="7"/>
  <c r="DK65" i="7"/>
  <c r="DI65" i="7"/>
  <c r="DH65" i="7"/>
  <c r="DF65" i="7"/>
  <c r="DD65" i="7"/>
  <c r="DC65" i="7"/>
  <c r="CY65" i="7"/>
  <c r="CX65" i="7"/>
  <c r="CT65" i="7"/>
  <c r="CS65" i="7"/>
  <c r="CR65" i="7"/>
  <c r="CQ65" i="7"/>
  <c r="CP65" i="7"/>
  <c r="CO65" i="7"/>
  <c r="CN65" i="7"/>
  <c r="CM65" i="7"/>
  <c r="CL65" i="7"/>
  <c r="CK65" i="7"/>
  <c r="CI65" i="7"/>
  <c r="CJ65" i="7" s="1"/>
  <c r="CH65" i="7"/>
  <c r="CG65" i="7"/>
  <c r="CE65" i="7"/>
  <c r="CF65" i="7" s="1"/>
  <c r="CD65" i="7"/>
  <c r="CC65" i="7"/>
  <c r="CA65" i="7"/>
  <c r="CB65" i="7" s="1"/>
  <c r="BZ65" i="7"/>
  <c r="BY65" i="7"/>
  <c r="BW65" i="7"/>
  <c r="BX65" i="7" s="1"/>
  <c r="BV65" i="7"/>
  <c r="BU65" i="7"/>
  <c r="BS65" i="7"/>
  <c r="BT65" i="7" s="1"/>
  <c r="BR65" i="7"/>
  <c r="BQ65" i="7"/>
  <c r="BO65" i="7"/>
  <c r="BP65" i="7" s="1"/>
  <c r="BN65" i="7"/>
  <c r="BM65" i="7"/>
  <c r="BK65" i="7"/>
  <c r="BL65" i="7" s="1"/>
  <c r="BJ65" i="7"/>
  <c r="BI65" i="7"/>
  <c r="BG65" i="7"/>
  <c r="BH65" i="7" s="1"/>
  <c r="BF65" i="7"/>
  <c r="BE65" i="7"/>
  <c r="BC65" i="7"/>
  <c r="BD65" i="7" s="1"/>
  <c r="BB65" i="7"/>
  <c r="AZ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D65" i="7"/>
  <c r="C65" i="7"/>
  <c r="B65" i="7"/>
  <c r="FQ64" i="7"/>
  <c r="FO64" i="7"/>
  <c r="FM64" i="7"/>
  <c r="FL64" i="7"/>
  <c r="FJ64" i="7"/>
  <c r="FH64" i="7"/>
  <c r="FG64" i="7"/>
  <c r="FE64" i="7"/>
  <c r="FC64" i="7"/>
  <c r="EZ64" i="7"/>
  <c r="EY64" i="7"/>
  <c r="EX64" i="7"/>
  <c r="EW64" i="7"/>
  <c r="EV64" i="7"/>
  <c r="EU64" i="7"/>
  <c r="ET64" i="7"/>
  <c r="ES64" i="7"/>
  <c r="ER64" i="7"/>
  <c r="EQ64" i="7"/>
  <c r="EP64" i="7"/>
  <c r="EO64" i="7"/>
  <c r="EN64" i="7"/>
  <c r="EM64" i="7"/>
  <c r="EI64" i="7"/>
  <c r="EG64" i="7"/>
  <c r="EE64" i="7"/>
  <c r="EC64" i="7"/>
  <c r="EA64" i="7"/>
  <c r="DY64" i="7"/>
  <c r="DW64" i="7"/>
  <c r="DU64" i="7"/>
  <c r="DS64" i="7"/>
  <c r="DR64" i="7"/>
  <c r="DP64" i="7"/>
  <c r="DN64" i="7"/>
  <c r="DM64" i="7"/>
  <c r="DK64" i="7"/>
  <c r="DI64" i="7"/>
  <c r="DH64" i="7"/>
  <c r="DF64" i="7"/>
  <c r="DD64" i="7"/>
  <c r="DC64" i="7"/>
  <c r="CY64" i="7"/>
  <c r="CX64" i="7"/>
  <c r="CT64" i="7"/>
  <c r="CS64" i="7"/>
  <c r="CR64" i="7"/>
  <c r="CQ64" i="7"/>
  <c r="CP64" i="7"/>
  <c r="CO64" i="7"/>
  <c r="CN64" i="7"/>
  <c r="CM64" i="7"/>
  <c r="CL64" i="7"/>
  <c r="CK64" i="7"/>
  <c r="CI64" i="7"/>
  <c r="CJ64" i="7" s="1"/>
  <c r="CH64" i="7"/>
  <c r="CG64" i="7"/>
  <c r="CE64" i="7"/>
  <c r="CF64" i="7" s="1"/>
  <c r="CD64" i="7"/>
  <c r="CC64" i="7"/>
  <c r="CA64" i="7"/>
  <c r="CB64" i="7" s="1"/>
  <c r="BZ64" i="7"/>
  <c r="BY64" i="7"/>
  <c r="BW64" i="7"/>
  <c r="BX64" i="7" s="1"/>
  <c r="BV64" i="7"/>
  <c r="BU64" i="7"/>
  <c r="BS64" i="7"/>
  <c r="BT64" i="7" s="1"/>
  <c r="BR64" i="7"/>
  <c r="BQ64" i="7"/>
  <c r="BO64" i="7"/>
  <c r="BP64" i="7" s="1"/>
  <c r="BN64" i="7"/>
  <c r="BM64" i="7"/>
  <c r="BK64" i="7"/>
  <c r="BL64" i="7" s="1"/>
  <c r="BJ64" i="7"/>
  <c r="BI64" i="7"/>
  <c r="BG64" i="7"/>
  <c r="BH64" i="7" s="1"/>
  <c r="BF64" i="7"/>
  <c r="BE64" i="7"/>
  <c r="BC64" i="7"/>
  <c r="BD64" i="7" s="1"/>
  <c r="BB64" i="7"/>
  <c r="AZ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D64" i="7"/>
  <c r="C64" i="7"/>
  <c r="B64" i="7"/>
  <c r="FQ63" i="7"/>
  <c r="FO63" i="7"/>
  <c r="FM63" i="7"/>
  <c r="FL63" i="7"/>
  <c r="FJ63" i="7"/>
  <c r="FH63" i="7"/>
  <c r="FG63" i="7"/>
  <c r="FE63" i="7"/>
  <c r="FC63" i="7"/>
  <c r="EZ63" i="7"/>
  <c r="EY63" i="7"/>
  <c r="EX63" i="7"/>
  <c r="EW63" i="7"/>
  <c r="EV63" i="7"/>
  <c r="EU63" i="7"/>
  <c r="ET63" i="7"/>
  <c r="ES63" i="7"/>
  <c r="ER63" i="7"/>
  <c r="EQ63" i="7"/>
  <c r="EP63" i="7"/>
  <c r="EO63" i="7"/>
  <c r="EN63" i="7"/>
  <c r="EM63" i="7"/>
  <c r="EI63" i="7"/>
  <c r="EG63" i="7"/>
  <c r="EE63" i="7"/>
  <c r="EC63" i="7"/>
  <c r="EA63" i="7"/>
  <c r="DY63" i="7"/>
  <c r="DW63" i="7"/>
  <c r="DU63" i="7"/>
  <c r="DS63" i="7"/>
  <c r="DR63" i="7"/>
  <c r="DP63" i="7"/>
  <c r="DN63" i="7"/>
  <c r="DM63" i="7"/>
  <c r="DK63" i="7"/>
  <c r="DI63" i="7"/>
  <c r="DH63" i="7"/>
  <c r="DF63" i="7"/>
  <c r="DD63" i="7"/>
  <c r="DC63" i="7"/>
  <c r="CY63" i="7"/>
  <c r="CX63" i="7"/>
  <c r="CT63" i="7"/>
  <c r="CS63" i="7"/>
  <c r="CR63" i="7"/>
  <c r="CQ63" i="7"/>
  <c r="CP63" i="7"/>
  <c r="CO63" i="7"/>
  <c r="CN63" i="7"/>
  <c r="CM63" i="7"/>
  <c r="CL63" i="7"/>
  <c r="CK63" i="7"/>
  <c r="CI63" i="7"/>
  <c r="CJ63" i="7" s="1"/>
  <c r="CH63" i="7"/>
  <c r="CG63" i="7"/>
  <c r="CE63" i="7"/>
  <c r="CF63" i="7" s="1"/>
  <c r="CD63" i="7"/>
  <c r="CC63" i="7"/>
  <c r="CA63" i="7"/>
  <c r="CB63" i="7" s="1"/>
  <c r="BZ63" i="7"/>
  <c r="BY63" i="7"/>
  <c r="BW63" i="7"/>
  <c r="BX63" i="7" s="1"/>
  <c r="BV63" i="7"/>
  <c r="BU63" i="7"/>
  <c r="BS63" i="7"/>
  <c r="BT63" i="7" s="1"/>
  <c r="BR63" i="7"/>
  <c r="BQ63" i="7"/>
  <c r="BO63" i="7"/>
  <c r="BP63" i="7" s="1"/>
  <c r="BN63" i="7"/>
  <c r="BM63" i="7"/>
  <c r="BK63" i="7"/>
  <c r="BL63" i="7" s="1"/>
  <c r="BJ63" i="7"/>
  <c r="BI63" i="7"/>
  <c r="BG63" i="7"/>
  <c r="BH63" i="7" s="1"/>
  <c r="BF63" i="7"/>
  <c r="BE63" i="7"/>
  <c r="BC63" i="7"/>
  <c r="BD63" i="7" s="1"/>
  <c r="BB63" i="7"/>
  <c r="AZ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D63" i="7"/>
  <c r="C63" i="7"/>
  <c r="B63" i="7"/>
  <c r="FQ62" i="7"/>
  <c r="FO62" i="7"/>
  <c r="FM62" i="7"/>
  <c r="FL62" i="7"/>
  <c r="FJ62" i="7"/>
  <c r="FH62" i="7"/>
  <c r="FG62" i="7"/>
  <c r="FE62" i="7"/>
  <c r="FC62" i="7"/>
  <c r="EZ62" i="7"/>
  <c r="EY62" i="7"/>
  <c r="EX62" i="7"/>
  <c r="EW62" i="7"/>
  <c r="EV62" i="7"/>
  <c r="EU62" i="7"/>
  <c r="ET62" i="7"/>
  <c r="ES62" i="7"/>
  <c r="ER62" i="7"/>
  <c r="EQ62" i="7"/>
  <c r="EP62" i="7"/>
  <c r="EO62" i="7"/>
  <c r="EN62" i="7"/>
  <c r="EM62" i="7"/>
  <c r="EI62" i="7"/>
  <c r="EG62" i="7"/>
  <c r="EE62" i="7"/>
  <c r="EC62" i="7"/>
  <c r="EA62" i="7"/>
  <c r="DY62" i="7"/>
  <c r="DW62" i="7"/>
  <c r="DU62" i="7"/>
  <c r="DS62" i="7"/>
  <c r="DR62" i="7"/>
  <c r="DP62" i="7"/>
  <c r="DN62" i="7"/>
  <c r="DM62" i="7"/>
  <c r="DK62" i="7"/>
  <c r="DI62" i="7"/>
  <c r="DH62" i="7"/>
  <c r="DF62" i="7"/>
  <c r="DD62" i="7"/>
  <c r="DC62" i="7"/>
  <c r="CY62" i="7"/>
  <c r="CX62" i="7"/>
  <c r="CT62" i="7"/>
  <c r="CS62" i="7"/>
  <c r="CR62" i="7"/>
  <c r="CQ62" i="7"/>
  <c r="CP62" i="7"/>
  <c r="CO62" i="7"/>
  <c r="CN62" i="7"/>
  <c r="CM62" i="7"/>
  <c r="CL62" i="7"/>
  <c r="CK62" i="7"/>
  <c r="CI62" i="7"/>
  <c r="CJ62" i="7" s="1"/>
  <c r="CH62" i="7"/>
  <c r="CG62" i="7"/>
  <c r="CE62" i="7"/>
  <c r="CF62" i="7" s="1"/>
  <c r="CD62" i="7"/>
  <c r="CC62" i="7"/>
  <c r="CA62" i="7"/>
  <c r="CB62" i="7" s="1"/>
  <c r="BZ62" i="7"/>
  <c r="BY62" i="7"/>
  <c r="BW62" i="7"/>
  <c r="BX62" i="7" s="1"/>
  <c r="BV62" i="7"/>
  <c r="BU62" i="7"/>
  <c r="BS62" i="7"/>
  <c r="BT62" i="7" s="1"/>
  <c r="BR62" i="7"/>
  <c r="BQ62" i="7"/>
  <c r="BO62" i="7"/>
  <c r="BP62" i="7" s="1"/>
  <c r="BN62" i="7"/>
  <c r="BM62" i="7"/>
  <c r="BK62" i="7"/>
  <c r="BL62" i="7" s="1"/>
  <c r="BJ62" i="7"/>
  <c r="BI62" i="7"/>
  <c r="BG62" i="7"/>
  <c r="BH62" i="7" s="1"/>
  <c r="BF62" i="7"/>
  <c r="BE62" i="7"/>
  <c r="BC62" i="7"/>
  <c r="BD62" i="7" s="1"/>
  <c r="BB62" i="7"/>
  <c r="AZ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D62" i="7"/>
  <c r="C62" i="7"/>
  <c r="B62" i="7"/>
  <c r="FQ61" i="7"/>
  <c r="FO61" i="7"/>
  <c r="FM61" i="7"/>
  <c r="FL61" i="7"/>
  <c r="FJ61" i="7"/>
  <c r="FH61" i="7"/>
  <c r="FG61" i="7"/>
  <c r="FE61" i="7"/>
  <c r="FC61" i="7"/>
  <c r="EZ61" i="7"/>
  <c r="EY61" i="7"/>
  <c r="EX61" i="7"/>
  <c r="EW61" i="7"/>
  <c r="EV61" i="7"/>
  <c r="EU61" i="7"/>
  <c r="ET61" i="7"/>
  <c r="ES61" i="7"/>
  <c r="ER61" i="7"/>
  <c r="EQ61" i="7"/>
  <c r="EP61" i="7"/>
  <c r="EO61" i="7"/>
  <c r="EN61" i="7"/>
  <c r="EM61" i="7"/>
  <c r="EI61" i="7"/>
  <c r="EG61" i="7"/>
  <c r="EE61" i="7"/>
  <c r="EC61" i="7"/>
  <c r="EA61" i="7"/>
  <c r="DY61" i="7"/>
  <c r="DW61" i="7"/>
  <c r="DU61" i="7"/>
  <c r="DS61" i="7"/>
  <c r="DR61" i="7"/>
  <c r="DP61" i="7"/>
  <c r="DN61" i="7"/>
  <c r="DM61" i="7"/>
  <c r="DK61" i="7"/>
  <c r="DI61" i="7"/>
  <c r="DH61" i="7"/>
  <c r="DF61" i="7"/>
  <c r="DD61" i="7"/>
  <c r="DC61" i="7"/>
  <c r="DA61" i="7"/>
  <c r="CY61" i="7"/>
  <c r="CX61" i="7"/>
  <c r="CV61" i="7"/>
  <c r="CT61" i="7"/>
  <c r="CS61" i="7"/>
  <c r="CR61" i="7"/>
  <c r="CQ61" i="7"/>
  <c r="CP61" i="7"/>
  <c r="CO61" i="7"/>
  <c r="CN61" i="7"/>
  <c r="CM61" i="7"/>
  <c r="CL61" i="7"/>
  <c r="CK61" i="7"/>
  <c r="CI61" i="7"/>
  <c r="CJ61" i="7" s="1"/>
  <c r="CH61" i="7"/>
  <c r="CG61" i="7"/>
  <c r="CE61" i="7"/>
  <c r="CF61" i="7" s="1"/>
  <c r="CD61" i="7"/>
  <c r="CC61" i="7"/>
  <c r="CA61" i="7"/>
  <c r="CB61" i="7" s="1"/>
  <c r="BZ61" i="7"/>
  <c r="BY61" i="7"/>
  <c r="BW61" i="7"/>
  <c r="BX61" i="7" s="1"/>
  <c r="BV61" i="7"/>
  <c r="BU61" i="7"/>
  <c r="BS61" i="7"/>
  <c r="BT61" i="7" s="1"/>
  <c r="BR61" i="7"/>
  <c r="BQ61" i="7"/>
  <c r="BO61" i="7"/>
  <c r="BP61" i="7" s="1"/>
  <c r="BN61" i="7"/>
  <c r="BM61" i="7"/>
  <c r="BK61" i="7"/>
  <c r="BL61" i="7" s="1"/>
  <c r="BJ61" i="7"/>
  <c r="BI61" i="7"/>
  <c r="BG61" i="7"/>
  <c r="BH61" i="7" s="1"/>
  <c r="BF61" i="7"/>
  <c r="BE61" i="7"/>
  <c r="BC61" i="7"/>
  <c r="BD61" i="7" s="1"/>
  <c r="BB61" i="7"/>
  <c r="AZ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D61" i="7"/>
  <c r="C61" i="7"/>
  <c r="B61" i="7"/>
  <c r="FQ60" i="7"/>
  <c r="FO60" i="7"/>
  <c r="FM60" i="7"/>
  <c r="FL60" i="7"/>
  <c r="FJ60" i="7"/>
  <c r="FH60" i="7"/>
  <c r="FG60" i="7"/>
  <c r="FE60" i="7"/>
  <c r="FC60" i="7"/>
  <c r="EZ60" i="7"/>
  <c r="EY60" i="7"/>
  <c r="EX60" i="7"/>
  <c r="EW60" i="7"/>
  <c r="EV60" i="7"/>
  <c r="EU60" i="7"/>
  <c r="ET60" i="7"/>
  <c r="ES60" i="7"/>
  <c r="ER60" i="7"/>
  <c r="EQ60" i="7"/>
  <c r="EP60" i="7"/>
  <c r="EO60" i="7"/>
  <c r="EN60" i="7"/>
  <c r="EM60" i="7"/>
  <c r="EI60" i="7"/>
  <c r="EG60" i="7"/>
  <c r="EE60" i="7"/>
  <c r="EC60" i="7"/>
  <c r="EA60" i="7"/>
  <c r="DY60" i="7"/>
  <c r="DW60" i="7"/>
  <c r="DU60" i="7"/>
  <c r="DS60" i="7"/>
  <c r="DR60" i="7"/>
  <c r="DP60" i="7"/>
  <c r="DN60" i="7"/>
  <c r="DM60" i="7"/>
  <c r="DK60" i="7"/>
  <c r="DI60" i="7"/>
  <c r="DH60" i="7"/>
  <c r="DF60" i="7"/>
  <c r="DD60" i="7"/>
  <c r="DC60" i="7"/>
  <c r="CY60" i="7"/>
  <c r="CX60" i="7"/>
  <c r="CT60" i="7"/>
  <c r="CS60" i="7"/>
  <c r="CR60" i="7"/>
  <c r="CQ60" i="7"/>
  <c r="CP60" i="7"/>
  <c r="CO60" i="7"/>
  <c r="CN60" i="7"/>
  <c r="CM60" i="7"/>
  <c r="CL60" i="7"/>
  <c r="CK60" i="7"/>
  <c r="CI60" i="7"/>
  <c r="CJ60" i="7" s="1"/>
  <c r="CH60" i="7"/>
  <c r="CG60" i="7"/>
  <c r="CE60" i="7"/>
  <c r="CF60" i="7" s="1"/>
  <c r="CD60" i="7"/>
  <c r="CC60" i="7"/>
  <c r="CA60" i="7"/>
  <c r="CB60" i="7" s="1"/>
  <c r="BZ60" i="7"/>
  <c r="BY60" i="7"/>
  <c r="BW60" i="7"/>
  <c r="BX60" i="7" s="1"/>
  <c r="BV60" i="7"/>
  <c r="BU60" i="7"/>
  <c r="BS60" i="7"/>
  <c r="BT60" i="7" s="1"/>
  <c r="BR60" i="7"/>
  <c r="BQ60" i="7"/>
  <c r="BO60" i="7"/>
  <c r="BP60" i="7" s="1"/>
  <c r="BN60" i="7"/>
  <c r="BM60" i="7"/>
  <c r="BK60" i="7"/>
  <c r="BL60" i="7" s="1"/>
  <c r="BJ60" i="7"/>
  <c r="BI60" i="7"/>
  <c r="BG60" i="7"/>
  <c r="BH60" i="7" s="1"/>
  <c r="BF60" i="7"/>
  <c r="BE60" i="7"/>
  <c r="BC60" i="7"/>
  <c r="BD60" i="7" s="1"/>
  <c r="BB60" i="7"/>
  <c r="AZ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D60" i="7"/>
  <c r="C60" i="7"/>
  <c r="B60" i="7"/>
  <c r="FQ59" i="7"/>
  <c r="FO59" i="7"/>
  <c r="FM59" i="7"/>
  <c r="FL59" i="7"/>
  <c r="FJ59" i="7"/>
  <c r="FH59" i="7"/>
  <c r="FG59" i="7"/>
  <c r="FE59" i="7"/>
  <c r="FC59" i="7"/>
  <c r="EZ59" i="7"/>
  <c r="EY59" i="7"/>
  <c r="EX59" i="7"/>
  <c r="EW59" i="7"/>
  <c r="EV59" i="7"/>
  <c r="EU59" i="7"/>
  <c r="ET59" i="7"/>
  <c r="ES59" i="7"/>
  <c r="ER59" i="7"/>
  <c r="EQ59" i="7"/>
  <c r="EP59" i="7"/>
  <c r="EO59" i="7"/>
  <c r="EN59" i="7"/>
  <c r="EM59" i="7"/>
  <c r="EI59" i="7"/>
  <c r="EG59" i="7"/>
  <c r="EE59" i="7"/>
  <c r="EC59" i="7"/>
  <c r="EA59" i="7"/>
  <c r="DY59" i="7"/>
  <c r="DW59" i="7"/>
  <c r="DU59" i="7"/>
  <c r="DS59" i="7"/>
  <c r="DR59" i="7"/>
  <c r="DP59" i="7"/>
  <c r="DN59" i="7"/>
  <c r="DM59" i="7"/>
  <c r="DK59" i="7"/>
  <c r="DI59" i="7"/>
  <c r="DH59" i="7"/>
  <c r="DF59" i="7"/>
  <c r="DD59" i="7"/>
  <c r="DC59" i="7"/>
  <c r="CY59" i="7"/>
  <c r="CX59" i="7"/>
  <c r="CT59" i="7"/>
  <c r="CS59" i="7"/>
  <c r="CR59" i="7"/>
  <c r="CQ59" i="7"/>
  <c r="CP59" i="7"/>
  <c r="CO59" i="7"/>
  <c r="CN59" i="7"/>
  <c r="CM59" i="7"/>
  <c r="CL59" i="7"/>
  <c r="CK59" i="7"/>
  <c r="CI59" i="7"/>
  <c r="CJ59" i="7" s="1"/>
  <c r="CH59" i="7"/>
  <c r="CG59" i="7"/>
  <c r="CE59" i="7"/>
  <c r="CF59" i="7" s="1"/>
  <c r="CD59" i="7"/>
  <c r="CC59" i="7"/>
  <c r="CA59" i="7"/>
  <c r="CB59" i="7" s="1"/>
  <c r="BZ59" i="7"/>
  <c r="BY59" i="7"/>
  <c r="BW59" i="7"/>
  <c r="BX59" i="7" s="1"/>
  <c r="BV59" i="7"/>
  <c r="BU59" i="7"/>
  <c r="BS59" i="7"/>
  <c r="BT59" i="7" s="1"/>
  <c r="BR59" i="7"/>
  <c r="BQ59" i="7"/>
  <c r="BO59" i="7"/>
  <c r="BP59" i="7" s="1"/>
  <c r="BN59" i="7"/>
  <c r="BM59" i="7"/>
  <c r="BK59" i="7"/>
  <c r="BL59" i="7" s="1"/>
  <c r="BJ59" i="7"/>
  <c r="BI59" i="7"/>
  <c r="BG59" i="7"/>
  <c r="BH59" i="7" s="1"/>
  <c r="BF59" i="7"/>
  <c r="BE59" i="7"/>
  <c r="BC59" i="7"/>
  <c r="BD59" i="7" s="1"/>
  <c r="BB59" i="7"/>
  <c r="AZ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D59" i="7"/>
  <c r="C59" i="7"/>
  <c r="B59" i="7"/>
  <c r="FQ58" i="7"/>
  <c r="FO58" i="7"/>
  <c r="FM58" i="7"/>
  <c r="FL58" i="7"/>
  <c r="FJ58" i="7"/>
  <c r="FH58" i="7"/>
  <c r="FG58" i="7"/>
  <c r="FE58" i="7"/>
  <c r="FC58" i="7"/>
  <c r="EZ58" i="7"/>
  <c r="EY58" i="7"/>
  <c r="EX58" i="7"/>
  <c r="EW58" i="7"/>
  <c r="EV58" i="7"/>
  <c r="EU58" i="7"/>
  <c r="ET58" i="7"/>
  <c r="ES58" i="7"/>
  <c r="ER58" i="7"/>
  <c r="EQ58" i="7"/>
  <c r="EP58" i="7"/>
  <c r="EO58" i="7"/>
  <c r="EN58" i="7"/>
  <c r="EM58" i="7"/>
  <c r="EI58" i="7"/>
  <c r="EG58" i="7"/>
  <c r="EE58" i="7"/>
  <c r="EC58" i="7"/>
  <c r="EA58" i="7"/>
  <c r="DY58" i="7"/>
  <c r="DW58" i="7"/>
  <c r="DU58" i="7"/>
  <c r="DS58" i="7"/>
  <c r="DR58" i="7"/>
  <c r="DP58" i="7"/>
  <c r="DN58" i="7"/>
  <c r="DM58" i="7"/>
  <c r="DK58" i="7"/>
  <c r="DI58" i="7"/>
  <c r="DH58" i="7"/>
  <c r="DF58" i="7"/>
  <c r="DD58" i="7"/>
  <c r="DC58" i="7"/>
  <c r="CY58" i="7"/>
  <c r="CX58" i="7"/>
  <c r="CT58" i="7"/>
  <c r="CS58" i="7"/>
  <c r="CR58" i="7"/>
  <c r="CQ58" i="7"/>
  <c r="CP58" i="7"/>
  <c r="CO58" i="7"/>
  <c r="CN58" i="7"/>
  <c r="CM58" i="7"/>
  <c r="CL58" i="7"/>
  <c r="CK58" i="7"/>
  <c r="CI58" i="7"/>
  <c r="CJ58" i="7" s="1"/>
  <c r="CH58" i="7"/>
  <c r="CG58" i="7"/>
  <c r="CE58" i="7"/>
  <c r="CF58" i="7" s="1"/>
  <c r="CD58" i="7"/>
  <c r="CC58" i="7"/>
  <c r="CA58" i="7"/>
  <c r="CB58" i="7" s="1"/>
  <c r="BZ58" i="7"/>
  <c r="BY58" i="7"/>
  <c r="BW58" i="7"/>
  <c r="BX58" i="7" s="1"/>
  <c r="BV58" i="7"/>
  <c r="BU58" i="7"/>
  <c r="BS58" i="7"/>
  <c r="BT58" i="7" s="1"/>
  <c r="BR58" i="7"/>
  <c r="BQ58" i="7"/>
  <c r="BO58" i="7"/>
  <c r="BP58" i="7" s="1"/>
  <c r="BN58" i="7"/>
  <c r="BM58" i="7"/>
  <c r="BK58" i="7"/>
  <c r="BL58" i="7" s="1"/>
  <c r="BJ58" i="7"/>
  <c r="BI58" i="7"/>
  <c r="BG58" i="7"/>
  <c r="BH58" i="7" s="1"/>
  <c r="BF58" i="7"/>
  <c r="BE58" i="7"/>
  <c r="BC58" i="7"/>
  <c r="BD58" i="7" s="1"/>
  <c r="BB58" i="7"/>
  <c r="AZ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D58" i="7"/>
  <c r="C58" i="7"/>
  <c r="B58" i="7"/>
  <c r="FQ57" i="7"/>
  <c r="FO57" i="7"/>
  <c r="FM57" i="7"/>
  <c r="FL57" i="7"/>
  <c r="FJ57" i="7"/>
  <c r="FH57" i="7"/>
  <c r="FG57" i="7"/>
  <c r="FE57" i="7"/>
  <c r="FC57" i="7"/>
  <c r="EZ57" i="7"/>
  <c r="EY57" i="7"/>
  <c r="EX57" i="7"/>
  <c r="EW57" i="7"/>
  <c r="EV57" i="7"/>
  <c r="EU57" i="7"/>
  <c r="ET57" i="7"/>
  <c r="ES57" i="7"/>
  <c r="ER57" i="7"/>
  <c r="EQ57" i="7"/>
  <c r="EP57" i="7"/>
  <c r="EO57" i="7"/>
  <c r="EN57" i="7"/>
  <c r="EM57" i="7"/>
  <c r="EI57" i="7"/>
  <c r="EG57" i="7"/>
  <c r="EE57" i="7"/>
  <c r="EC57" i="7"/>
  <c r="EA57" i="7"/>
  <c r="DY57" i="7"/>
  <c r="DW57" i="7"/>
  <c r="DU57" i="7"/>
  <c r="DS57" i="7"/>
  <c r="DR57" i="7"/>
  <c r="DP57" i="7"/>
  <c r="DN57" i="7"/>
  <c r="DM57" i="7"/>
  <c r="DK57" i="7"/>
  <c r="DI57" i="7"/>
  <c r="DH57" i="7"/>
  <c r="DF57" i="7"/>
  <c r="DD57" i="7"/>
  <c r="DC57" i="7"/>
  <c r="DA57" i="7"/>
  <c r="CY57" i="7"/>
  <c r="CX57" i="7"/>
  <c r="CV57" i="7"/>
  <c r="CT57" i="7"/>
  <c r="CS57" i="7"/>
  <c r="CR57" i="7"/>
  <c r="CQ57" i="7"/>
  <c r="CP57" i="7"/>
  <c r="CO57" i="7"/>
  <c r="CN57" i="7"/>
  <c r="CM57" i="7"/>
  <c r="CL57" i="7"/>
  <c r="CK57" i="7"/>
  <c r="CI57" i="7"/>
  <c r="CJ57" i="7" s="1"/>
  <c r="CH57" i="7"/>
  <c r="CG57" i="7"/>
  <c r="CE57" i="7"/>
  <c r="CF57" i="7" s="1"/>
  <c r="CD57" i="7"/>
  <c r="CC57" i="7"/>
  <c r="CA57" i="7"/>
  <c r="CB57" i="7" s="1"/>
  <c r="BZ57" i="7"/>
  <c r="BY57" i="7"/>
  <c r="BW57" i="7"/>
  <c r="BX57" i="7" s="1"/>
  <c r="BV57" i="7"/>
  <c r="BU57" i="7"/>
  <c r="BS57" i="7"/>
  <c r="BT57" i="7" s="1"/>
  <c r="BR57" i="7"/>
  <c r="BQ57" i="7"/>
  <c r="BO57" i="7"/>
  <c r="BP57" i="7" s="1"/>
  <c r="BN57" i="7"/>
  <c r="BM57" i="7"/>
  <c r="BK57" i="7"/>
  <c r="BL57" i="7" s="1"/>
  <c r="BJ57" i="7"/>
  <c r="BI57" i="7"/>
  <c r="BG57" i="7"/>
  <c r="BH57" i="7" s="1"/>
  <c r="BF57" i="7"/>
  <c r="BE57" i="7"/>
  <c r="BC57" i="7"/>
  <c r="BD57" i="7" s="1"/>
  <c r="BB57" i="7"/>
  <c r="AZ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D57" i="7"/>
  <c r="C57" i="7"/>
  <c r="B57" i="7"/>
  <c r="FQ56" i="7"/>
  <c r="FO56" i="7"/>
  <c r="FM56" i="7"/>
  <c r="FL56" i="7"/>
  <c r="FJ56" i="7"/>
  <c r="FH56" i="7"/>
  <c r="FG56" i="7"/>
  <c r="FE56" i="7"/>
  <c r="FC56" i="7"/>
  <c r="EZ56" i="7"/>
  <c r="EY56" i="7"/>
  <c r="EX56" i="7"/>
  <c r="EW56" i="7"/>
  <c r="EV56" i="7"/>
  <c r="EU56" i="7"/>
  <c r="ET56" i="7"/>
  <c r="ES56" i="7"/>
  <c r="ER56" i="7"/>
  <c r="EQ56" i="7"/>
  <c r="EP56" i="7"/>
  <c r="EO56" i="7"/>
  <c r="EN56" i="7"/>
  <c r="EM56" i="7"/>
  <c r="EI56" i="7"/>
  <c r="EG56" i="7"/>
  <c r="EE56" i="7"/>
  <c r="EC56" i="7"/>
  <c r="EA56" i="7"/>
  <c r="DY56" i="7"/>
  <c r="DW56" i="7"/>
  <c r="DU56" i="7"/>
  <c r="DS56" i="7"/>
  <c r="DR56" i="7"/>
  <c r="DP56" i="7"/>
  <c r="DN56" i="7"/>
  <c r="DM56" i="7"/>
  <c r="DK56" i="7"/>
  <c r="DI56" i="7"/>
  <c r="DH56" i="7"/>
  <c r="DF56" i="7"/>
  <c r="DD56" i="7"/>
  <c r="DC56" i="7"/>
  <c r="DA56" i="7"/>
  <c r="CY56" i="7"/>
  <c r="CX56" i="7"/>
  <c r="CV56" i="7"/>
  <c r="CT56" i="7"/>
  <c r="CS56" i="7"/>
  <c r="CR56" i="7"/>
  <c r="CQ56" i="7"/>
  <c r="CP56" i="7"/>
  <c r="CO56" i="7"/>
  <c r="CN56" i="7"/>
  <c r="CM56" i="7"/>
  <c r="CL56" i="7"/>
  <c r="CK56" i="7"/>
  <c r="CI56" i="7"/>
  <c r="CJ56" i="7" s="1"/>
  <c r="CH56" i="7"/>
  <c r="CG56" i="7"/>
  <c r="CE56" i="7"/>
  <c r="CF56" i="7" s="1"/>
  <c r="CD56" i="7"/>
  <c r="CC56" i="7"/>
  <c r="CA56" i="7"/>
  <c r="CB56" i="7" s="1"/>
  <c r="BZ56" i="7"/>
  <c r="BY56" i="7"/>
  <c r="BW56" i="7"/>
  <c r="BX56" i="7" s="1"/>
  <c r="BV56" i="7"/>
  <c r="BU56" i="7"/>
  <c r="BS56" i="7"/>
  <c r="BT56" i="7" s="1"/>
  <c r="BR56" i="7"/>
  <c r="BQ56" i="7"/>
  <c r="BO56" i="7"/>
  <c r="BP56" i="7" s="1"/>
  <c r="BN56" i="7"/>
  <c r="BM56" i="7"/>
  <c r="BK56" i="7"/>
  <c r="BL56" i="7" s="1"/>
  <c r="BJ56" i="7"/>
  <c r="BI56" i="7"/>
  <c r="BG56" i="7"/>
  <c r="BH56" i="7" s="1"/>
  <c r="BF56" i="7"/>
  <c r="BE56" i="7"/>
  <c r="BC56" i="7"/>
  <c r="BD56" i="7" s="1"/>
  <c r="BB56" i="7"/>
  <c r="AZ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D56" i="7"/>
  <c r="C56" i="7"/>
  <c r="B56" i="7"/>
  <c r="FQ55" i="7"/>
  <c r="FO55" i="7"/>
  <c r="FM55" i="7"/>
  <c r="FL55" i="7"/>
  <c r="FJ55" i="7"/>
  <c r="FH55" i="7"/>
  <c r="FG55" i="7"/>
  <c r="FE55" i="7"/>
  <c r="FC55" i="7"/>
  <c r="EZ55" i="7"/>
  <c r="EY55" i="7"/>
  <c r="EX55" i="7"/>
  <c r="EW55" i="7"/>
  <c r="EV55" i="7"/>
  <c r="EU55" i="7"/>
  <c r="ET55" i="7"/>
  <c r="ES55" i="7"/>
  <c r="ER55" i="7"/>
  <c r="EQ55" i="7"/>
  <c r="EP55" i="7"/>
  <c r="EO55" i="7"/>
  <c r="EN55" i="7"/>
  <c r="EM55" i="7"/>
  <c r="EI55" i="7"/>
  <c r="EG55" i="7"/>
  <c r="EE55" i="7"/>
  <c r="EC55" i="7"/>
  <c r="EA55" i="7"/>
  <c r="DY55" i="7"/>
  <c r="DW55" i="7"/>
  <c r="DU55" i="7"/>
  <c r="DS55" i="7"/>
  <c r="DR55" i="7"/>
  <c r="DP55" i="7"/>
  <c r="DN55" i="7"/>
  <c r="DM55" i="7"/>
  <c r="DK55" i="7"/>
  <c r="DI55" i="7"/>
  <c r="DH55" i="7"/>
  <c r="DF55" i="7"/>
  <c r="DD55" i="7"/>
  <c r="DC55" i="7"/>
  <c r="DA55" i="7"/>
  <c r="CY55" i="7"/>
  <c r="CX55" i="7"/>
  <c r="CV55" i="7"/>
  <c r="CT55" i="7"/>
  <c r="CS55" i="7"/>
  <c r="CR55" i="7"/>
  <c r="CQ55" i="7"/>
  <c r="CP55" i="7"/>
  <c r="CO55" i="7"/>
  <c r="CN55" i="7"/>
  <c r="CM55" i="7"/>
  <c r="CL55" i="7"/>
  <c r="CK55" i="7"/>
  <c r="CI55" i="7"/>
  <c r="CJ55" i="7" s="1"/>
  <c r="CH55" i="7"/>
  <c r="CG55" i="7"/>
  <c r="CE55" i="7"/>
  <c r="CF55" i="7" s="1"/>
  <c r="CD55" i="7"/>
  <c r="CC55" i="7"/>
  <c r="CA55" i="7"/>
  <c r="CB55" i="7" s="1"/>
  <c r="BZ55" i="7"/>
  <c r="BY55" i="7"/>
  <c r="BW55" i="7"/>
  <c r="BX55" i="7" s="1"/>
  <c r="BV55" i="7"/>
  <c r="BU55" i="7"/>
  <c r="BS55" i="7"/>
  <c r="BT55" i="7" s="1"/>
  <c r="BR55" i="7"/>
  <c r="BQ55" i="7"/>
  <c r="BO55" i="7"/>
  <c r="BP55" i="7" s="1"/>
  <c r="BN55" i="7"/>
  <c r="BM55" i="7"/>
  <c r="BK55" i="7"/>
  <c r="BL55" i="7" s="1"/>
  <c r="BJ55" i="7"/>
  <c r="BI55" i="7"/>
  <c r="BG55" i="7"/>
  <c r="BH55" i="7" s="1"/>
  <c r="BF55" i="7"/>
  <c r="BE55" i="7"/>
  <c r="BC55" i="7"/>
  <c r="BD55" i="7" s="1"/>
  <c r="BB55" i="7"/>
  <c r="AZ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D55" i="7"/>
  <c r="C55" i="7"/>
  <c r="B55" i="7"/>
  <c r="FQ54" i="7"/>
  <c r="FO54" i="7"/>
  <c r="FM54" i="7"/>
  <c r="FL54" i="7"/>
  <c r="FJ54" i="7"/>
  <c r="FH54" i="7"/>
  <c r="FG54" i="7"/>
  <c r="FE54" i="7"/>
  <c r="FC54" i="7"/>
  <c r="EZ54" i="7"/>
  <c r="EY54" i="7"/>
  <c r="EX54" i="7"/>
  <c r="EW54" i="7"/>
  <c r="EV54" i="7"/>
  <c r="EU54" i="7"/>
  <c r="ET54" i="7"/>
  <c r="ES54" i="7"/>
  <c r="ER54" i="7"/>
  <c r="EQ54" i="7"/>
  <c r="EP54" i="7"/>
  <c r="EO54" i="7"/>
  <c r="EN54" i="7"/>
  <c r="EM54" i="7"/>
  <c r="EI54" i="7"/>
  <c r="EG54" i="7"/>
  <c r="EE54" i="7"/>
  <c r="EC54" i="7"/>
  <c r="EA54" i="7"/>
  <c r="DY54" i="7"/>
  <c r="DW54" i="7"/>
  <c r="DU54" i="7"/>
  <c r="DS54" i="7"/>
  <c r="DR54" i="7"/>
  <c r="DP54" i="7"/>
  <c r="DN54" i="7"/>
  <c r="DM54" i="7"/>
  <c r="DK54" i="7"/>
  <c r="DI54" i="7"/>
  <c r="DH54" i="7"/>
  <c r="DF54" i="7"/>
  <c r="DD54" i="7"/>
  <c r="DC54" i="7"/>
  <c r="DA54" i="7"/>
  <c r="CY54" i="7"/>
  <c r="CX54" i="7"/>
  <c r="CV54" i="7"/>
  <c r="CT54" i="7"/>
  <c r="CS54" i="7"/>
  <c r="CR54" i="7"/>
  <c r="CQ54" i="7"/>
  <c r="CP54" i="7"/>
  <c r="CO54" i="7"/>
  <c r="CN54" i="7"/>
  <c r="CM54" i="7"/>
  <c r="CL54" i="7"/>
  <c r="CK54" i="7"/>
  <c r="CI54" i="7"/>
  <c r="CJ54" i="7" s="1"/>
  <c r="CH54" i="7"/>
  <c r="CG54" i="7"/>
  <c r="CE54" i="7"/>
  <c r="CF54" i="7" s="1"/>
  <c r="CD54" i="7"/>
  <c r="CC54" i="7"/>
  <c r="CA54" i="7"/>
  <c r="CB54" i="7" s="1"/>
  <c r="BZ54" i="7"/>
  <c r="BY54" i="7"/>
  <c r="BW54" i="7"/>
  <c r="BX54" i="7" s="1"/>
  <c r="BV54" i="7"/>
  <c r="BU54" i="7"/>
  <c r="BS54" i="7"/>
  <c r="BT54" i="7" s="1"/>
  <c r="BR54" i="7"/>
  <c r="BQ54" i="7"/>
  <c r="BO54" i="7"/>
  <c r="BP54" i="7" s="1"/>
  <c r="BN54" i="7"/>
  <c r="BM54" i="7"/>
  <c r="BK54" i="7"/>
  <c r="BL54" i="7" s="1"/>
  <c r="BJ54" i="7"/>
  <c r="BI54" i="7"/>
  <c r="BG54" i="7"/>
  <c r="BH54" i="7" s="1"/>
  <c r="BF54" i="7"/>
  <c r="BE54" i="7"/>
  <c r="BC54" i="7"/>
  <c r="BD54" i="7" s="1"/>
  <c r="BB54" i="7"/>
  <c r="AZ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D54" i="7"/>
  <c r="C54" i="7"/>
  <c r="B54" i="7"/>
  <c r="FQ53" i="7"/>
  <c r="FO53" i="7"/>
  <c r="FM53" i="7"/>
  <c r="FL53" i="7"/>
  <c r="FJ53" i="7"/>
  <c r="FH53" i="7"/>
  <c r="FG53" i="7"/>
  <c r="FE53" i="7"/>
  <c r="FC53" i="7"/>
  <c r="EZ53" i="7"/>
  <c r="EY53" i="7"/>
  <c r="EX53" i="7"/>
  <c r="EW53" i="7"/>
  <c r="EV53" i="7"/>
  <c r="EU53" i="7"/>
  <c r="ET53" i="7"/>
  <c r="ES53" i="7"/>
  <c r="ER53" i="7"/>
  <c r="EQ53" i="7"/>
  <c r="EP53" i="7"/>
  <c r="EO53" i="7"/>
  <c r="EN53" i="7"/>
  <c r="EM53" i="7"/>
  <c r="EI53" i="7"/>
  <c r="EG53" i="7"/>
  <c r="EE53" i="7"/>
  <c r="EC53" i="7"/>
  <c r="EA53" i="7"/>
  <c r="DY53" i="7"/>
  <c r="DW53" i="7"/>
  <c r="DU53" i="7"/>
  <c r="DS53" i="7"/>
  <c r="DR53" i="7"/>
  <c r="DP53" i="7"/>
  <c r="DN53" i="7"/>
  <c r="DM53" i="7"/>
  <c r="DK53" i="7"/>
  <c r="DI53" i="7"/>
  <c r="DH53" i="7"/>
  <c r="DF53" i="7"/>
  <c r="DD53" i="7"/>
  <c r="DC53" i="7"/>
  <c r="DA53" i="7"/>
  <c r="CY53" i="7"/>
  <c r="CX53" i="7"/>
  <c r="CV53" i="7"/>
  <c r="CT53" i="7"/>
  <c r="CS53" i="7"/>
  <c r="CR53" i="7"/>
  <c r="CQ53" i="7"/>
  <c r="CP53" i="7"/>
  <c r="CO53" i="7"/>
  <c r="CN53" i="7"/>
  <c r="CM53" i="7"/>
  <c r="CL53" i="7"/>
  <c r="CK53" i="7"/>
  <c r="CI53" i="7"/>
  <c r="CJ53" i="7" s="1"/>
  <c r="CH53" i="7"/>
  <c r="CG53" i="7"/>
  <c r="CE53" i="7"/>
  <c r="CF53" i="7" s="1"/>
  <c r="CD53" i="7"/>
  <c r="CC53" i="7"/>
  <c r="CA53" i="7"/>
  <c r="CB53" i="7" s="1"/>
  <c r="BZ53" i="7"/>
  <c r="BY53" i="7"/>
  <c r="BW53" i="7"/>
  <c r="BX53" i="7" s="1"/>
  <c r="BV53" i="7"/>
  <c r="BU53" i="7"/>
  <c r="BS53" i="7"/>
  <c r="BT53" i="7" s="1"/>
  <c r="BR53" i="7"/>
  <c r="BQ53" i="7"/>
  <c r="BO53" i="7"/>
  <c r="BP53" i="7" s="1"/>
  <c r="BN53" i="7"/>
  <c r="BM53" i="7"/>
  <c r="BK53" i="7"/>
  <c r="BL53" i="7" s="1"/>
  <c r="BJ53" i="7"/>
  <c r="BI53" i="7"/>
  <c r="BG53" i="7"/>
  <c r="BH53" i="7" s="1"/>
  <c r="BF53" i="7"/>
  <c r="BE53" i="7"/>
  <c r="BD53" i="7"/>
  <c r="BC53" i="7"/>
  <c r="BB53" i="7"/>
  <c r="AZ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D53" i="7"/>
  <c r="C53" i="7"/>
  <c r="B53" i="7"/>
  <c r="FQ52" i="7"/>
  <c r="FO52" i="7"/>
  <c r="FM52" i="7"/>
  <c r="FL52" i="7"/>
  <c r="FJ52" i="7"/>
  <c r="FH52" i="7"/>
  <c r="FG52" i="7"/>
  <c r="FE52" i="7"/>
  <c r="FC52" i="7"/>
  <c r="EZ52" i="7"/>
  <c r="EY52" i="7"/>
  <c r="EX52" i="7"/>
  <c r="EW52" i="7"/>
  <c r="EV52" i="7"/>
  <c r="EU52" i="7"/>
  <c r="ET52" i="7"/>
  <c r="ES52" i="7"/>
  <c r="ER52" i="7"/>
  <c r="EQ52" i="7"/>
  <c r="EP52" i="7"/>
  <c r="EO52" i="7"/>
  <c r="EN52" i="7"/>
  <c r="EM52" i="7"/>
  <c r="EI52" i="7"/>
  <c r="EG52" i="7"/>
  <c r="EE52" i="7"/>
  <c r="EC52" i="7"/>
  <c r="EA52" i="7"/>
  <c r="DY52" i="7"/>
  <c r="DW52" i="7"/>
  <c r="DU52" i="7"/>
  <c r="DS52" i="7"/>
  <c r="DR52" i="7"/>
  <c r="DP52" i="7"/>
  <c r="DN52" i="7"/>
  <c r="DM52" i="7"/>
  <c r="DK52" i="7"/>
  <c r="DI52" i="7"/>
  <c r="DH52" i="7"/>
  <c r="DF52" i="7"/>
  <c r="DD52" i="7"/>
  <c r="DC52" i="7"/>
  <c r="DA52" i="7"/>
  <c r="CY52" i="7"/>
  <c r="CX52" i="7"/>
  <c r="CV52" i="7"/>
  <c r="CT52" i="7"/>
  <c r="CS52" i="7"/>
  <c r="CR52" i="7"/>
  <c r="CQ52" i="7"/>
  <c r="CP52" i="7"/>
  <c r="CO52" i="7"/>
  <c r="CN52" i="7"/>
  <c r="CM52" i="7"/>
  <c r="CL52" i="7"/>
  <c r="CK52" i="7"/>
  <c r="CI52" i="7"/>
  <c r="CJ52" i="7" s="1"/>
  <c r="CH52" i="7"/>
  <c r="CG52" i="7"/>
  <c r="CE52" i="7"/>
  <c r="CF52" i="7" s="1"/>
  <c r="CD52" i="7"/>
  <c r="CC52" i="7"/>
  <c r="CA52" i="7"/>
  <c r="CB52" i="7" s="1"/>
  <c r="BZ52" i="7"/>
  <c r="BY52" i="7"/>
  <c r="BW52" i="7"/>
  <c r="BX52" i="7" s="1"/>
  <c r="BV52" i="7"/>
  <c r="BU52" i="7"/>
  <c r="BS52" i="7"/>
  <c r="BT52" i="7" s="1"/>
  <c r="BR52" i="7"/>
  <c r="BQ52" i="7"/>
  <c r="BO52" i="7"/>
  <c r="BP52" i="7" s="1"/>
  <c r="BN52" i="7"/>
  <c r="BM52" i="7"/>
  <c r="BK52" i="7"/>
  <c r="BL52" i="7" s="1"/>
  <c r="BJ52" i="7"/>
  <c r="BI52" i="7"/>
  <c r="BG52" i="7"/>
  <c r="BH52" i="7" s="1"/>
  <c r="BF52" i="7"/>
  <c r="BE52" i="7"/>
  <c r="BC52" i="7"/>
  <c r="BD52" i="7" s="1"/>
  <c r="BB52" i="7"/>
  <c r="AZ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D52" i="7"/>
  <c r="C52" i="7"/>
  <c r="B52" i="7"/>
  <c r="FQ51" i="7"/>
  <c r="FO51" i="7"/>
  <c r="FM51" i="7"/>
  <c r="FL51" i="7"/>
  <c r="FJ51" i="7"/>
  <c r="FH51" i="7"/>
  <c r="FG51" i="7"/>
  <c r="FE51" i="7"/>
  <c r="FC51" i="7"/>
  <c r="EZ51" i="7"/>
  <c r="EY51" i="7"/>
  <c r="EX51" i="7"/>
  <c r="EW51" i="7"/>
  <c r="EV51" i="7"/>
  <c r="EU51" i="7"/>
  <c r="ET51" i="7"/>
  <c r="ES51" i="7"/>
  <c r="ER51" i="7"/>
  <c r="EQ51" i="7"/>
  <c r="EP51" i="7"/>
  <c r="EO51" i="7"/>
  <c r="EN51" i="7"/>
  <c r="EM51" i="7"/>
  <c r="EI51" i="7"/>
  <c r="EG51" i="7"/>
  <c r="EE51" i="7"/>
  <c r="EC51" i="7"/>
  <c r="EA51" i="7"/>
  <c r="DY51" i="7"/>
  <c r="DW51" i="7"/>
  <c r="DU51" i="7"/>
  <c r="DS51" i="7"/>
  <c r="DR51" i="7"/>
  <c r="DP51" i="7"/>
  <c r="DN51" i="7"/>
  <c r="DM51" i="7"/>
  <c r="DK51" i="7"/>
  <c r="DI51" i="7"/>
  <c r="DH51" i="7"/>
  <c r="DF51" i="7"/>
  <c r="DD51" i="7"/>
  <c r="DC51" i="7"/>
  <c r="DA51" i="7"/>
  <c r="CY51" i="7"/>
  <c r="CX51" i="7"/>
  <c r="CV51" i="7"/>
  <c r="CT51" i="7"/>
  <c r="CS51" i="7"/>
  <c r="CR51" i="7"/>
  <c r="CQ51" i="7"/>
  <c r="CP51" i="7"/>
  <c r="CO51" i="7"/>
  <c r="CN51" i="7"/>
  <c r="CM51" i="7"/>
  <c r="CL51" i="7"/>
  <c r="CK51" i="7"/>
  <c r="CI51" i="7"/>
  <c r="CJ51" i="7" s="1"/>
  <c r="CH51" i="7"/>
  <c r="CG51" i="7"/>
  <c r="CE51" i="7"/>
  <c r="CF51" i="7" s="1"/>
  <c r="CD51" i="7"/>
  <c r="CC51" i="7"/>
  <c r="CA51" i="7"/>
  <c r="CB51" i="7" s="1"/>
  <c r="BZ51" i="7"/>
  <c r="BY51" i="7"/>
  <c r="BW51" i="7"/>
  <c r="BX51" i="7" s="1"/>
  <c r="BV51" i="7"/>
  <c r="BU51" i="7"/>
  <c r="BS51" i="7"/>
  <c r="BT51" i="7" s="1"/>
  <c r="BR51" i="7"/>
  <c r="BQ51" i="7"/>
  <c r="BO51" i="7"/>
  <c r="BP51" i="7" s="1"/>
  <c r="BN51" i="7"/>
  <c r="BM51" i="7"/>
  <c r="BK51" i="7"/>
  <c r="BL51" i="7" s="1"/>
  <c r="BJ51" i="7"/>
  <c r="BI51" i="7"/>
  <c r="BG51" i="7"/>
  <c r="BH51" i="7" s="1"/>
  <c r="BF51" i="7"/>
  <c r="BE51" i="7"/>
  <c r="BC51" i="7"/>
  <c r="BD51" i="7" s="1"/>
  <c r="BB51" i="7"/>
  <c r="AZ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D51" i="7"/>
  <c r="C51" i="7"/>
  <c r="B51" i="7"/>
  <c r="FQ50" i="7"/>
  <c r="FO50" i="7"/>
  <c r="FM50" i="7"/>
  <c r="FL50" i="7"/>
  <c r="FJ50" i="7"/>
  <c r="FH50" i="7"/>
  <c r="FG50" i="7"/>
  <c r="FE50" i="7"/>
  <c r="FC50" i="7"/>
  <c r="EZ50" i="7"/>
  <c r="EY50" i="7"/>
  <c r="EX50" i="7"/>
  <c r="EW50" i="7"/>
  <c r="EV50" i="7"/>
  <c r="EU50" i="7"/>
  <c r="ET50" i="7"/>
  <c r="ES50" i="7"/>
  <c r="ER50" i="7"/>
  <c r="EQ50" i="7"/>
  <c r="EP50" i="7"/>
  <c r="EO50" i="7"/>
  <c r="EN50" i="7"/>
  <c r="EM50" i="7"/>
  <c r="EI50" i="7"/>
  <c r="EG50" i="7"/>
  <c r="EE50" i="7"/>
  <c r="EC50" i="7"/>
  <c r="EA50" i="7"/>
  <c r="DY50" i="7"/>
  <c r="DW50" i="7"/>
  <c r="DU50" i="7"/>
  <c r="DS50" i="7"/>
  <c r="DR50" i="7"/>
  <c r="DP50" i="7"/>
  <c r="DN50" i="7"/>
  <c r="DM50" i="7"/>
  <c r="DK50" i="7"/>
  <c r="DI50" i="7"/>
  <c r="DH50" i="7"/>
  <c r="DF50" i="7"/>
  <c r="DD50" i="7"/>
  <c r="DC50" i="7"/>
  <c r="DA50" i="7"/>
  <c r="CY50" i="7"/>
  <c r="CX50" i="7"/>
  <c r="CV50" i="7"/>
  <c r="CT50" i="7"/>
  <c r="CS50" i="7"/>
  <c r="CR50" i="7"/>
  <c r="CQ50" i="7"/>
  <c r="CP50" i="7"/>
  <c r="CO50" i="7"/>
  <c r="CN50" i="7"/>
  <c r="CM50" i="7"/>
  <c r="CL50" i="7"/>
  <c r="CK50" i="7"/>
  <c r="CI50" i="7"/>
  <c r="CJ50" i="7" s="1"/>
  <c r="CH50" i="7"/>
  <c r="CG50" i="7"/>
  <c r="CE50" i="7"/>
  <c r="CF50" i="7" s="1"/>
  <c r="CD50" i="7"/>
  <c r="CC50" i="7"/>
  <c r="CA50" i="7"/>
  <c r="CB50" i="7" s="1"/>
  <c r="BZ50" i="7"/>
  <c r="BY50" i="7"/>
  <c r="BW50" i="7"/>
  <c r="BX50" i="7" s="1"/>
  <c r="BV50" i="7"/>
  <c r="BU50" i="7"/>
  <c r="BS50" i="7"/>
  <c r="BT50" i="7" s="1"/>
  <c r="BR50" i="7"/>
  <c r="BQ50" i="7"/>
  <c r="BO50" i="7"/>
  <c r="BP50" i="7" s="1"/>
  <c r="BN50" i="7"/>
  <c r="BM50" i="7"/>
  <c r="BK50" i="7"/>
  <c r="BL50" i="7" s="1"/>
  <c r="BJ50" i="7"/>
  <c r="BI50" i="7"/>
  <c r="BG50" i="7"/>
  <c r="BH50" i="7" s="1"/>
  <c r="BF50" i="7"/>
  <c r="BE50" i="7"/>
  <c r="BC50" i="7"/>
  <c r="BD50" i="7" s="1"/>
  <c r="BB50" i="7"/>
  <c r="AZ50" i="7"/>
  <c r="AX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R50" i="7"/>
  <c r="Q50" i="7"/>
  <c r="P50" i="7"/>
  <c r="O50" i="7"/>
  <c r="N50" i="7"/>
  <c r="M50" i="7"/>
  <c r="L50" i="7"/>
  <c r="K50" i="7"/>
  <c r="J50" i="7"/>
  <c r="I50" i="7"/>
  <c r="H50" i="7"/>
  <c r="G50" i="7"/>
  <c r="F50" i="7"/>
  <c r="D50" i="7"/>
  <c r="C50" i="7"/>
  <c r="B50" i="7"/>
  <c r="FQ49" i="7"/>
  <c r="FO49" i="7"/>
  <c r="FM49" i="7"/>
  <c r="FL49" i="7"/>
  <c r="FJ49" i="7"/>
  <c r="FH49" i="7"/>
  <c r="FG49" i="7"/>
  <c r="FE49" i="7"/>
  <c r="FC49" i="7"/>
  <c r="EZ49" i="7"/>
  <c r="EY49" i="7"/>
  <c r="EX49" i="7"/>
  <c r="EW49" i="7"/>
  <c r="EV49" i="7"/>
  <c r="EU49" i="7"/>
  <c r="ET49" i="7"/>
  <c r="ES49" i="7"/>
  <c r="ER49" i="7"/>
  <c r="EQ49" i="7"/>
  <c r="EP49" i="7"/>
  <c r="EO49" i="7"/>
  <c r="EN49" i="7"/>
  <c r="EM49" i="7"/>
  <c r="EI49" i="7"/>
  <c r="EG49" i="7"/>
  <c r="EE49" i="7"/>
  <c r="EC49" i="7"/>
  <c r="EA49" i="7"/>
  <c r="DY49" i="7"/>
  <c r="DW49" i="7"/>
  <c r="DU49" i="7"/>
  <c r="DS49" i="7"/>
  <c r="DR49" i="7"/>
  <c r="DP49" i="7"/>
  <c r="DN49" i="7"/>
  <c r="DM49" i="7"/>
  <c r="DK49" i="7"/>
  <c r="DI49" i="7"/>
  <c r="DH49" i="7"/>
  <c r="DF49" i="7"/>
  <c r="DD49" i="7"/>
  <c r="DC49" i="7"/>
  <c r="DA49" i="7"/>
  <c r="CY49" i="7"/>
  <c r="CX49" i="7"/>
  <c r="CV49" i="7"/>
  <c r="CT49" i="7"/>
  <c r="CS49" i="7"/>
  <c r="CR49" i="7"/>
  <c r="CQ49" i="7"/>
  <c r="CP49" i="7"/>
  <c r="CO49" i="7"/>
  <c r="CN49" i="7"/>
  <c r="CM49" i="7"/>
  <c r="CL49" i="7"/>
  <c r="CK49" i="7"/>
  <c r="CI49" i="7"/>
  <c r="CJ49" i="7" s="1"/>
  <c r="CH49" i="7"/>
  <c r="CG49" i="7"/>
  <c r="CE49" i="7"/>
  <c r="CF49" i="7" s="1"/>
  <c r="CD49" i="7"/>
  <c r="CC49" i="7"/>
  <c r="CA49" i="7"/>
  <c r="CB49" i="7" s="1"/>
  <c r="BZ49" i="7"/>
  <c r="BY49" i="7"/>
  <c r="BW49" i="7"/>
  <c r="BX49" i="7" s="1"/>
  <c r="BV49" i="7"/>
  <c r="BU49" i="7"/>
  <c r="BS49" i="7"/>
  <c r="BT49" i="7" s="1"/>
  <c r="BR49" i="7"/>
  <c r="BQ49" i="7"/>
  <c r="BO49" i="7"/>
  <c r="BP49" i="7" s="1"/>
  <c r="BN49" i="7"/>
  <c r="BM49" i="7"/>
  <c r="BK49" i="7"/>
  <c r="BL49" i="7" s="1"/>
  <c r="BJ49" i="7"/>
  <c r="BI49" i="7"/>
  <c r="BG49" i="7"/>
  <c r="BH49" i="7" s="1"/>
  <c r="BF49" i="7"/>
  <c r="BE49" i="7"/>
  <c r="BC49" i="7"/>
  <c r="BD49" i="7" s="1"/>
  <c r="BB49" i="7"/>
  <c r="AZ49" i="7"/>
  <c r="AX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R49" i="7"/>
  <c r="Q49" i="7"/>
  <c r="P49" i="7"/>
  <c r="O49" i="7"/>
  <c r="N49" i="7"/>
  <c r="M49" i="7"/>
  <c r="L49" i="7"/>
  <c r="K49" i="7"/>
  <c r="J49" i="7"/>
  <c r="I49" i="7"/>
  <c r="H49" i="7"/>
  <c r="G49" i="7"/>
  <c r="F49" i="7"/>
  <c r="D49" i="7"/>
  <c r="C49" i="7"/>
  <c r="B49" i="7"/>
  <c r="FQ48" i="7"/>
  <c r="FO48" i="7"/>
  <c r="FM48" i="7"/>
  <c r="FL48" i="7"/>
  <c r="FJ48" i="7"/>
  <c r="FH48" i="7"/>
  <c r="FG48" i="7"/>
  <c r="FE48" i="7"/>
  <c r="FC48" i="7"/>
  <c r="EZ48" i="7"/>
  <c r="EY48" i="7"/>
  <c r="EX48" i="7"/>
  <c r="EW48" i="7"/>
  <c r="EV48" i="7"/>
  <c r="EU48" i="7"/>
  <c r="ET48" i="7"/>
  <c r="ES48" i="7"/>
  <c r="ER48" i="7"/>
  <c r="EQ48" i="7"/>
  <c r="EP48" i="7"/>
  <c r="EO48" i="7"/>
  <c r="EN48" i="7"/>
  <c r="EM48" i="7"/>
  <c r="EI48" i="7"/>
  <c r="EG48" i="7"/>
  <c r="EE48" i="7"/>
  <c r="EC48" i="7"/>
  <c r="EA48" i="7"/>
  <c r="DY48" i="7"/>
  <c r="DW48" i="7"/>
  <c r="DU48" i="7"/>
  <c r="DS48" i="7"/>
  <c r="DR48" i="7"/>
  <c r="DP48" i="7"/>
  <c r="DN48" i="7"/>
  <c r="DM48" i="7"/>
  <c r="DK48" i="7"/>
  <c r="DI48" i="7"/>
  <c r="DH48" i="7"/>
  <c r="DF48" i="7"/>
  <c r="DD48" i="7"/>
  <c r="DC48" i="7"/>
  <c r="DA48" i="7"/>
  <c r="CY48" i="7"/>
  <c r="CX48" i="7"/>
  <c r="CV48" i="7"/>
  <c r="CT48" i="7"/>
  <c r="CS48" i="7"/>
  <c r="CR48" i="7"/>
  <c r="CQ48" i="7"/>
  <c r="CP48" i="7"/>
  <c r="CO48" i="7"/>
  <c r="CN48" i="7"/>
  <c r="CM48" i="7"/>
  <c r="CL48" i="7"/>
  <c r="CK48" i="7"/>
  <c r="CI48" i="7"/>
  <c r="CJ48" i="7" s="1"/>
  <c r="CH48" i="7"/>
  <c r="CG48" i="7"/>
  <c r="CE48" i="7"/>
  <c r="CF48" i="7" s="1"/>
  <c r="CD48" i="7"/>
  <c r="CC48" i="7"/>
  <c r="CA48" i="7"/>
  <c r="CB48" i="7" s="1"/>
  <c r="BZ48" i="7"/>
  <c r="BY48" i="7"/>
  <c r="BW48" i="7"/>
  <c r="BX48" i="7" s="1"/>
  <c r="BV48" i="7"/>
  <c r="BU48" i="7"/>
  <c r="BS48" i="7"/>
  <c r="BT48" i="7" s="1"/>
  <c r="BR48" i="7"/>
  <c r="BQ48" i="7"/>
  <c r="BP48" i="7"/>
  <c r="BO48" i="7"/>
  <c r="BN48" i="7"/>
  <c r="BM48" i="7"/>
  <c r="BK48" i="7"/>
  <c r="BL48" i="7" s="1"/>
  <c r="BJ48" i="7"/>
  <c r="BI48" i="7"/>
  <c r="BG48" i="7"/>
  <c r="BH48" i="7" s="1"/>
  <c r="BF48" i="7"/>
  <c r="BE48" i="7"/>
  <c r="BC48" i="7"/>
  <c r="BD48" i="7" s="1"/>
  <c r="BB48" i="7"/>
  <c r="AZ48" i="7"/>
  <c r="AX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R48" i="7"/>
  <c r="Q48" i="7"/>
  <c r="P48" i="7"/>
  <c r="O48" i="7"/>
  <c r="N48" i="7"/>
  <c r="M48" i="7"/>
  <c r="L48" i="7"/>
  <c r="K48" i="7"/>
  <c r="J48" i="7"/>
  <c r="I48" i="7"/>
  <c r="H48" i="7"/>
  <c r="G48" i="7"/>
  <c r="F48" i="7"/>
  <c r="D48" i="7"/>
  <c r="C48" i="7"/>
  <c r="B48" i="7"/>
  <c r="FQ47" i="7"/>
  <c r="FO47" i="7"/>
  <c r="FM47" i="7"/>
  <c r="FL47" i="7"/>
  <c r="FJ47" i="7"/>
  <c r="FH47" i="7"/>
  <c r="FG47" i="7"/>
  <c r="FE47" i="7"/>
  <c r="FC47" i="7"/>
  <c r="EZ47" i="7"/>
  <c r="EY47" i="7"/>
  <c r="EX47" i="7"/>
  <c r="EW47" i="7"/>
  <c r="EV47" i="7"/>
  <c r="EU47" i="7"/>
  <c r="ET47" i="7"/>
  <c r="ES47" i="7"/>
  <c r="ER47" i="7"/>
  <c r="EQ47" i="7"/>
  <c r="EP47" i="7"/>
  <c r="EO47" i="7"/>
  <c r="EN47" i="7"/>
  <c r="EM47" i="7"/>
  <c r="EI47" i="7"/>
  <c r="EG47" i="7"/>
  <c r="EE47" i="7"/>
  <c r="EC47" i="7"/>
  <c r="EA47" i="7"/>
  <c r="DY47" i="7"/>
  <c r="DW47" i="7"/>
  <c r="DU47" i="7"/>
  <c r="DS47" i="7"/>
  <c r="DR47" i="7"/>
  <c r="DP47" i="7"/>
  <c r="DN47" i="7"/>
  <c r="DM47" i="7"/>
  <c r="DK47" i="7"/>
  <c r="DI47" i="7"/>
  <c r="DH47" i="7"/>
  <c r="DF47" i="7"/>
  <c r="DD47" i="7"/>
  <c r="DC47" i="7"/>
  <c r="DA47" i="7"/>
  <c r="CY47" i="7"/>
  <c r="CX47" i="7"/>
  <c r="CV47" i="7"/>
  <c r="CT47" i="7"/>
  <c r="CS47" i="7"/>
  <c r="CR47" i="7"/>
  <c r="CQ47" i="7"/>
  <c r="CP47" i="7"/>
  <c r="CO47" i="7"/>
  <c r="CN47" i="7"/>
  <c r="CM47" i="7"/>
  <c r="CL47" i="7"/>
  <c r="CK47" i="7"/>
  <c r="CI47" i="7"/>
  <c r="CJ47" i="7" s="1"/>
  <c r="CH47" i="7"/>
  <c r="CG47" i="7"/>
  <c r="CE47" i="7"/>
  <c r="CF47" i="7" s="1"/>
  <c r="CD47" i="7"/>
  <c r="CC47" i="7"/>
  <c r="CA47" i="7"/>
  <c r="CB47" i="7" s="1"/>
  <c r="BZ47" i="7"/>
  <c r="BY47" i="7"/>
  <c r="BW47" i="7"/>
  <c r="BX47" i="7" s="1"/>
  <c r="BV47" i="7"/>
  <c r="BU47" i="7"/>
  <c r="BS47" i="7"/>
  <c r="BT47" i="7" s="1"/>
  <c r="BR47" i="7"/>
  <c r="BQ47" i="7"/>
  <c r="BO47" i="7"/>
  <c r="BP47" i="7" s="1"/>
  <c r="BN47" i="7"/>
  <c r="BM47" i="7"/>
  <c r="BK47" i="7"/>
  <c r="BL47" i="7" s="1"/>
  <c r="BJ47" i="7"/>
  <c r="BI47" i="7"/>
  <c r="BG47" i="7"/>
  <c r="BH47" i="7" s="1"/>
  <c r="BF47" i="7"/>
  <c r="BE47" i="7"/>
  <c r="BC47" i="7"/>
  <c r="BD47" i="7" s="1"/>
  <c r="BB47" i="7"/>
  <c r="AZ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D47" i="7"/>
  <c r="C47" i="7"/>
  <c r="B47" i="7"/>
  <c r="FQ46" i="7"/>
  <c r="FO46" i="7"/>
  <c r="FM46" i="7"/>
  <c r="FL46" i="7"/>
  <c r="FJ46" i="7"/>
  <c r="FH46" i="7"/>
  <c r="FG46" i="7"/>
  <c r="FE46" i="7"/>
  <c r="FC46" i="7"/>
  <c r="EZ46" i="7"/>
  <c r="EY46" i="7"/>
  <c r="EX46" i="7"/>
  <c r="EW46" i="7"/>
  <c r="EV46" i="7"/>
  <c r="EU46" i="7"/>
  <c r="ET46" i="7"/>
  <c r="ES46" i="7"/>
  <c r="ER46" i="7"/>
  <c r="EQ46" i="7"/>
  <c r="EP46" i="7"/>
  <c r="EO46" i="7"/>
  <c r="EN46" i="7"/>
  <c r="EM46" i="7"/>
  <c r="EI46" i="7"/>
  <c r="EG46" i="7"/>
  <c r="EE46" i="7"/>
  <c r="EC46" i="7"/>
  <c r="EA46" i="7"/>
  <c r="DY46" i="7"/>
  <c r="DW46" i="7"/>
  <c r="DU46" i="7"/>
  <c r="DS46" i="7"/>
  <c r="DR46" i="7"/>
  <c r="DP46" i="7"/>
  <c r="DN46" i="7"/>
  <c r="DM46" i="7"/>
  <c r="DK46" i="7"/>
  <c r="DI46" i="7"/>
  <c r="DH46" i="7"/>
  <c r="DF46" i="7"/>
  <c r="DD46" i="7"/>
  <c r="DC46" i="7"/>
  <c r="DA46" i="7"/>
  <c r="CY46" i="7"/>
  <c r="CX46" i="7"/>
  <c r="CV46" i="7"/>
  <c r="CT46" i="7"/>
  <c r="CS46" i="7"/>
  <c r="CR46" i="7"/>
  <c r="CQ46" i="7"/>
  <c r="CP46" i="7"/>
  <c r="CO46" i="7"/>
  <c r="CN46" i="7"/>
  <c r="CM46" i="7"/>
  <c r="CL46" i="7"/>
  <c r="CK46" i="7"/>
  <c r="CI46" i="7"/>
  <c r="CJ46" i="7" s="1"/>
  <c r="CH46" i="7"/>
  <c r="CG46" i="7"/>
  <c r="CE46" i="7"/>
  <c r="CF46" i="7" s="1"/>
  <c r="CD46" i="7"/>
  <c r="CC46" i="7"/>
  <c r="CA46" i="7"/>
  <c r="CB46" i="7" s="1"/>
  <c r="BZ46" i="7"/>
  <c r="BY46" i="7"/>
  <c r="BW46" i="7"/>
  <c r="BX46" i="7" s="1"/>
  <c r="BV46" i="7"/>
  <c r="BU46" i="7"/>
  <c r="BS46" i="7"/>
  <c r="BT46" i="7" s="1"/>
  <c r="BR46" i="7"/>
  <c r="BQ46" i="7"/>
  <c r="BO46" i="7"/>
  <c r="BP46" i="7" s="1"/>
  <c r="BN46" i="7"/>
  <c r="BM46" i="7"/>
  <c r="BK46" i="7"/>
  <c r="BL46" i="7" s="1"/>
  <c r="BJ46" i="7"/>
  <c r="BI46" i="7"/>
  <c r="BG46" i="7"/>
  <c r="BH46" i="7" s="1"/>
  <c r="BF46" i="7"/>
  <c r="BE46" i="7"/>
  <c r="BC46" i="7"/>
  <c r="BD46" i="7" s="1"/>
  <c r="BB46" i="7"/>
  <c r="AZ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D46" i="7"/>
  <c r="C46" i="7"/>
  <c r="B46" i="7"/>
  <c r="FQ45" i="7"/>
  <c r="FO45" i="7"/>
  <c r="FM45" i="7"/>
  <c r="FL45" i="7"/>
  <c r="FJ45" i="7"/>
  <c r="FH45" i="7"/>
  <c r="FG45" i="7"/>
  <c r="FE45" i="7"/>
  <c r="FC45" i="7"/>
  <c r="EZ45" i="7"/>
  <c r="EY45" i="7"/>
  <c r="EX45" i="7"/>
  <c r="EW45" i="7"/>
  <c r="EV45" i="7"/>
  <c r="EU45" i="7"/>
  <c r="ET45" i="7"/>
  <c r="ES45" i="7"/>
  <c r="ER45" i="7"/>
  <c r="EQ45" i="7"/>
  <c r="EP45" i="7"/>
  <c r="EO45" i="7"/>
  <c r="EN45" i="7"/>
  <c r="EM45" i="7"/>
  <c r="EI45" i="7"/>
  <c r="EG45" i="7"/>
  <c r="EE45" i="7"/>
  <c r="EC45" i="7"/>
  <c r="EA45" i="7"/>
  <c r="DY45" i="7"/>
  <c r="DW45" i="7"/>
  <c r="DU45" i="7"/>
  <c r="DS45" i="7"/>
  <c r="DR45" i="7"/>
  <c r="DP45" i="7"/>
  <c r="DN45" i="7"/>
  <c r="DM45" i="7"/>
  <c r="DK45" i="7"/>
  <c r="DI45" i="7"/>
  <c r="DH45" i="7"/>
  <c r="DF45" i="7"/>
  <c r="DD45" i="7"/>
  <c r="DC45" i="7"/>
  <c r="DA45" i="7"/>
  <c r="CY45" i="7"/>
  <c r="CX45" i="7"/>
  <c r="CV45" i="7"/>
  <c r="CT45" i="7"/>
  <c r="CS45" i="7"/>
  <c r="CR45" i="7"/>
  <c r="CQ45" i="7"/>
  <c r="CP45" i="7"/>
  <c r="CO45" i="7"/>
  <c r="CN45" i="7"/>
  <c r="CM45" i="7"/>
  <c r="CL45" i="7"/>
  <c r="CK45" i="7"/>
  <c r="CI45" i="7"/>
  <c r="CJ45" i="7" s="1"/>
  <c r="CH45" i="7"/>
  <c r="CG45" i="7"/>
  <c r="CF45" i="7"/>
  <c r="CE45" i="7"/>
  <c r="CD45" i="7"/>
  <c r="CC45" i="7"/>
  <c r="CA45" i="7"/>
  <c r="CB45" i="7" s="1"/>
  <c r="BZ45" i="7"/>
  <c r="BY45" i="7"/>
  <c r="BW45" i="7"/>
  <c r="BX45" i="7" s="1"/>
  <c r="BV45" i="7"/>
  <c r="BU45" i="7"/>
  <c r="BS45" i="7"/>
  <c r="BT45" i="7" s="1"/>
  <c r="BR45" i="7"/>
  <c r="BQ45" i="7"/>
  <c r="BO45" i="7"/>
  <c r="BP45" i="7" s="1"/>
  <c r="BN45" i="7"/>
  <c r="BM45" i="7"/>
  <c r="BK45" i="7"/>
  <c r="BL45" i="7" s="1"/>
  <c r="BJ45" i="7"/>
  <c r="BI45" i="7"/>
  <c r="BG45" i="7"/>
  <c r="BH45" i="7" s="1"/>
  <c r="BF45" i="7"/>
  <c r="BE45" i="7"/>
  <c r="BC45" i="7"/>
  <c r="BD45" i="7" s="1"/>
  <c r="BB45" i="7"/>
  <c r="AZ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D45" i="7"/>
  <c r="C45" i="7"/>
  <c r="B45" i="7"/>
  <c r="FQ44" i="7"/>
  <c r="FO44" i="7"/>
  <c r="FM44" i="7"/>
  <c r="FL44" i="7"/>
  <c r="FJ44" i="7"/>
  <c r="FH44" i="7"/>
  <c r="FG44" i="7"/>
  <c r="FE44" i="7"/>
  <c r="FC44" i="7"/>
  <c r="EZ44" i="7"/>
  <c r="EY44" i="7"/>
  <c r="EX44" i="7"/>
  <c r="EW44" i="7"/>
  <c r="EV44" i="7"/>
  <c r="EU44" i="7"/>
  <c r="ET44" i="7"/>
  <c r="ES44" i="7"/>
  <c r="ER44" i="7"/>
  <c r="EQ44" i="7"/>
  <c r="EP44" i="7"/>
  <c r="EO44" i="7"/>
  <c r="EN44" i="7"/>
  <c r="EM44" i="7"/>
  <c r="EI44" i="7"/>
  <c r="EG44" i="7"/>
  <c r="EE44" i="7"/>
  <c r="EC44" i="7"/>
  <c r="EA44" i="7"/>
  <c r="DY44" i="7"/>
  <c r="DW44" i="7"/>
  <c r="DU44" i="7"/>
  <c r="DS44" i="7"/>
  <c r="DR44" i="7"/>
  <c r="DP44" i="7"/>
  <c r="DN44" i="7"/>
  <c r="DM44" i="7"/>
  <c r="DK44" i="7"/>
  <c r="DI44" i="7"/>
  <c r="DH44" i="7"/>
  <c r="DF44" i="7"/>
  <c r="DD44" i="7"/>
  <c r="DC44" i="7"/>
  <c r="DA44" i="7"/>
  <c r="CY44" i="7"/>
  <c r="CX44" i="7"/>
  <c r="CV44" i="7"/>
  <c r="CT44" i="7"/>
  <c r="CS44" i="7"/>
  <c r="CR44" i="7"/>
  <c r="CQ44" i="7"/>
  <c r="CP44" i="7"/>
  <c r="CO44" i="7"/>
  <c r="CN44" i="7"/>
  <c r="CM44" i="7"/>
  <c r="CL44" i="7"/>
  <c r="CK44" i="7"/>
  <c r="CI44" i="7"/>
  <c r="CJ44" i="7" s="1"/>
  <c r="CH44" i="7"/>
  <c r="CG44" i="7"/>
  <c r="CE44" i="7"/>
  <c r="CF44" i="7" s="1"/>
  <c r="CD44" i="7"/>
  <c r="CC44" i="7"/>
  <c r="CA44" i="7"/>
  <c r="CB44" i="7" s="1"/>
  <c r="BZ44" i="7"/>
  <c r="BY44" i="7"/>
  <c r="BW44" i="7"/>
  <c r="BX44" i="7" s="1"/>
  <c r="BV44" i="7"/>
  <c r="BU44" i="7"/>
  <c r="BS44" i="7"/>
  <c r="BT44" i="7" s="1"/>
  <c r="BR44" i="7"/>
  <c r="BQ44" i="7"/>
  <c r="BO44" i="7"/>
  <c r="BP44" i="7" s="1"/>
  <c r="BN44" i="7"/>
  <c r="BM44" i="7"/>
  <c r="BK44" i="7"/>
  <c r="BL44" i="7" s="1"/>
  <c r="BJ44" i="7"/>
  <c r="BI44" i="7"/>
  <c r="BG44" i="7"/>
  <c r="BH44" i="7" s="1"/>
  <c r="BF44" i="7"/>
  <c r="BE44" i="7"/>
  <c r="BC44" i="7"/>
  <c r="BD44" i="7" s="1"/>
  <c r="BB44" i="7"/>
  <c r="AZ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D44" i="7"/>
  <c r="C44" i="7"/>
  <c r="B44" i="7"/>
  <c r="FQ43" i="7"/>
  <c r="FO43" i="7"/>
  <c r="FM43" i="7"/>
  <c r="FL43" i="7"/>
  <c r="FJ43" i="7"/>
  <c r="FH43" i="7"/>
  <c r="FG43" i="7"/>
  <c r="FE43" i="7"/>
  <c r="FC43" i="7"/>
  <c r="EZ43" i="7"/>
  <c r="EY43" i="7"/>
  <c r="EX43" i="7"/>
  <c r="EW43" i="7"/>
  <c r="EV43" i="7"/>
  <c r="EU43" i="7"/>
  <c r="ET43" i="7"/>
  <c r="ES43" i="7"/>
  <c r="ER43" i="7"/>
  <c r="EQ43" i="7"/>
  <c r="EP43" i="7"/>
  <c r="EO43" i="7"/>
  <c r="EN43" i="7"/>
  <c r="EM43" i="7"/>
  <c r="EI43" i="7"/>
  <c r="EG43" i="7"/>
  <c r="EE43" i="7"/>
  <c r="EC43" i="7"/>
  <c r="EA43" i="7"/>
  <c r="DY43" i="7"/>
  <c r="DW43" i="7"/>
  <c r="DU43" i="7"/>
  <c r="DS43" i="7"/>
  <c r="DR43" i="7"/>
  <c r="DP43" i="7"/>
  <c r="DN43" i="7"/>
  <c r="DM43" i="7"/>
  <c r="DK43" i="7"/>
  <c r="DI43" i="7"/>
  <c r="DH43" i="7"/>
  <c r="DF43" i="7"/>
  <c r="DD43" i="7"/>
  <c r="DC43" i="7"/>
  <c r="DA43" i="7"/>
  <c r="CY43" i="7"/>
  <c r="CX43" i="7"/>
  <c r="CV43" i="7"/>
  <c r="CT43" i="7"/>
  <c r="CS43" i="7"/>
  <c r="CR43" i="7"/>
  <c r="CQ43" i="7"/>
  <c r="CP43" i="7"/>
  <c r="CO43" i="7"/>
  <c r="CN43" i="7"/>
  <c r="CM43" i="7"/>
  <c r="CL43" i="7"/>
  <c r="CK43" i="7"/>
  <c r="CI43" i="7"/>
  <c r="CJ43" i="7" s="1"/>
  <c r="CH43" i="7"/>
  <c r="CG43" i="7"/>
  <c r="CE43" i="7"/>
  <c r="CF43" i="7" s="1"/>
  <c r="CD43" i="7"/>
  <c r="CC43" i="7"/>
  <c r="CA43" i="7"/>
  <c r="CB43" i="7" s="1"/>
  <c r="BZ43" i="7"/>
  <c r="BY43" i="7"/>
  <c r="BW43" i="7"/>
  <c r="BX43" i="7" s="1"/>
  <c r="BV43" i="7"/>
  <c r="BU43" i="7"/>
  <c r="BS43" i="7"/>
  <c r="BT43" i="7" s="1"/>
  <c r="BR43" i="7"/>
  <c r="BQ43" i="7"/>
  <c r="BO43" i="7"/>
  <c r="BP43" i="7" s="1"/>
  <c r="BN43" i="7"/>
  <c r="BM43" i="7"/>
  <c r="BK43" i="7"/>
  <c r="BL43" i="7" s="1"/>
  <c r="BJ43" i="7"/>
  <c r="BI43" i="7"/>
  <c r="BG43" i="7"/>
  <c r="BH43" i="7" s="1"/>
  <c r="BF43" i="7"/>
  <c r="BE43" i="7"/>
  <c r="BC43" i="7"/>
  <c r="BD43" i="7" s="1"/>
  <c r="BB43" i="7"/>
  <c r="AZ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D43" i="7"/>
  <c r="C43" i="7"/>
  <c r="B43" i="7"/>
  <c r="FQ42" i="7"/>
  <c r="FO42" i="7"/>
  <c r="FM42" i="7"/>
  <c r="FL42" i="7"/>
  <c r="FJ42" i="7"/>
  <c r="FH42" i="7"/>
  <c r="FG42" i="7"/>
  <c r="FE42" i="7"/>
  <c r="FC42" i="7"/>
  <c r="EZ42" i="7"/>
  <c r="EY42" i="7"/>
  <c r="EX42" i="7"/>
  <c r="EW42" i="7"/>
  <c r="EV42" i="7"/>
  <c r="EU42" i="7"/>
  <c r="ET42" i="7"/>
  <c r="ES42" i="7"/>
  <c r="ER42" i="7"/>
  <c r="EQ42" i="7"/>
  <c r="EP42" i="7"/>
  <c r="EO42" i="7"/>
  <c r="EN42" i="7"/>
  <c r="EM42" i="7"/>
  <c r="EI42" i="7"/>
  <c r="EG42" i="7"/>
  <c r="EE42" i="7"/>
  <c r="EC42" i="7"/>
  <c r="EA42" i="7"/>
  <c r="DY42" i="7"/>
  <c r="DW42" i="7"/>
  <c r="DU42" i="7"/>
  <c r="DS42" i="7"/>
  <c r="DR42" i="7"/>
  <c r="DP42" i="7"/>
  <c r="DN42" i="7"/>
  <c r="DM42" i="7"/>
  <c r="DK42" i="7"/>
  <c r="DI42" i="7"/>
  <c r="DH42" i="7"/>
  <c r="DF42" i="7"/>
  <c r="DD42" i="7"/>
  <c r="DC42" i="7"/>
  <c r="DA42" i="7"/>
  <c r="CY42" i="7"/>
  <c r="CX42" i="7"/>
  <c r="CV42" i="7"/>
  <c r="CT42" i="7"/>
  <c r="CS42" i="7"/>
  <c r="CR42" i="7"/>
  <c r="CQ42" i="7"/>
  <c r="CP42" i="7"/>
  <c r="CO42" i="7"/>
  <c r="CN42" i="7"/>
  <c r="CM42" i="7"/>
  <c r="CL42" i="7"/>
  <c r="CK42" i="7"/>
  <c r="CI42" i="7"/>
  <c r="CJ42" i="7" s="1"/>
  <c r="CH42" i="7"/>
  <c r="CG42" i="7"/>
  <c r="CE42" i="7"/>
  <c r="CF42" i="7" s="1"/>
  <c r="CD42" i="7"/>
  <c r="CC42" i="7"/>
  <c r="CA42" i="7"/>
  <c r="CB42" i="7" s="1"/>
  <c r="BZ42" i="7"/>
  <c r="BY42" i="7"/>
  <c r="BW42" i="7"/>
  <c r="BX42" i="7" s="1"/>
  <c r="BV42" i="7"/>
  <c r="BU42" i="7"/>
  <c r="BS42" i="7"/>
  <c r="BT42" i="7" s="1"/>
  <c r="BR42" i="7"/>
  <c r="BQ42" i="7"/>
  <c r="BO42" i="7"/>
  <c r="BP42" i="7" s="1"/>
  <c r="BN42" i="7"/>
  <c r="BM42" i="7"/>
  <c r="BK42" i="7"/>
  <c r="BL42" i="7" s="1"/>
  <c r="BJ42" i="7"/>
  <c r="BI42" i="7"/>
  <c r="BG42" i="7"/>
  <c r="BH42" i="7" s="1"/>
  <c r="BF42" i="7"/>
  <c r="BE42" i="7"/>
  <c r="BC42" i="7"/>
  <c r="BD42" i="7" s="1"/>
  <c r="BB42" i="7"/>
  <c r="AZ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D42" i="7"/>
  <c r="C42" i="7"/>
  <c r="B42" i="7"/>
  <c r="FQ41" i="7"/>
  <c r="FO41" i="7"/>
  <c r="FM41" i="7"/>
  <c r="FL41" i="7"/>
  <c r="FJ41" i="7"/>
  <c r="FH41" i="7"/>
  <c r="FG41" i="7"/>
  <c r="FE41" i="7"/>
  <c r="FC41" i="7"/>
  <c r="EZ41" i="7"/>
  <c r="EY41" i="7"/>
  <c r="EX41" i="7"/>
  <c r="EW41" i="7"/>
  <c r="EV41" i="7"/>
  <c r="EU41" i="7"/>
  <c r="ET41" i="7"/>
  <c r="ES41" i="7"/>
  <c r="ER41" i="7"/>
  <c r="EQ41" i="7"/>
  <c r="EP41" i="7"/>
  <c r="EO41" i="7"/>
  <c r="EN41" i="7"/>
  <c r="EM41" i="7"/>
  <c r="EI41" i="7"/>
  <c r="EG41" i="7"/>
  <c r="EE41" i="7"/>
  <c r="EC41" i="7"/>
  <c r="EA41" i="7"/>
  <c r="DY41" i="7"/>
  <c r="DW41" i="7"/>
  <c r="DU41" i="7"/>
  <c r="DS41" i="7"/>
  <c r="DR41" i="7"/>
  <c r="DP41" i="7"/>
  <c r="DN41" i="7"/>
  <c r="DM41" i="7"/>
  <c r="DK41" i="7"/>
  <c r="DI41" i="7"/>
  <c r="DH41" i="7"/>
  <c r="DF41" i="7"/>
  <c r="DD41" i="7"/>
  <c r="DC41" i="7"/>
  <c r="DA41" i="7"/>
  <c r="CY41" i="7"/>
  <c r="CX41" i="7"/>
  <c r="CV41" i="7"/>
  <c r="CT41" i="7"/>
  <c r="CS41" i="7"/>
  <c r="CR41" i="7"/>
  <c r="CQ41" i="7"/>
  <c r="CP41" i="7"/>
  <c r="CO41" i="7"/>
  <c r="CN41" i="7"/>
  <c r="CM41" i="7"/>
  <c r="CL41" i="7"/>
  <c r="CK41" i="7"/>
  <c r="CI41" i="7"/>
  <c r="CJ41" i="7" s="1"/>
  <c r="CH41" i="7"/>
  <c r="CG41" i="7"/>
  <c r="CE41" i="7"/>
  <c r="CF41" i="7" s="1"/>
  <c r="CD41" i="7"/>
  <c r="CC41" i="7"/>
  <c r="CA41" i="7"/>
  <c r="CB41" i="7" s="1"/>
  <c r="BZ41" i="7"/>
  <c r="BY41" i="7"/>
  <c r="BW41" i="7"/>
  <c r="BX41" i="7" s="1"/>
  <c r="BV41" i="7"/>
  <c r="BU41" i="7"/>
  <c r="BS41" i="7"/>
  <c r="BT41" i="7" s="1"/>
  <c r="BR41" i="7"/>
  <c r="BQ41" i="7"/>
  <c r="BO41" i="7"/>
  <c r="BP41" i="7" s="1"/>
  <c r="BN41" i="7"/>
  <c r="BM41" i="7"/>
  <c r="BK41" i="7"/>
  <c r="BL41" i="7" s="1"/>
  <c r="BJ41" i="7"/>
  <c r="BI41" i="7"/>
  <c r="BG41" i="7"/>
  <c r="BH41" i="7" s="1"/>
  <c r="BF41" i="7"/>
  <c r="BE41" i="7"/>
  <c r="BC41" i="7"/>
  <c r="BD41" i="7" s="1"/>
  <c r="BB41" i="7"/>
  <c r="AZ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D41" i="7"/>
  <c r="C41" i="7"/>
  <c r="B41" i="7"/>
  <c r="FQ40" i="7"/>
  <c r="FO40" i="7"/>
  <c r="FM40" i="7"/>
  <c r="FL40" i="7"/>
  <c r="FJ40" i="7"/>
  <c r="FH40" i="7"/>
  <c r="FG40" i="7"/>
  <c r="FE40" i="7"/>
  <c r="FC40" i="7"/>
  <c r="EZ40" i="7"/>
  <c r="EY40" i="7"/>
  <c r="EX40" i="7"/>
  <c r="EW40" i="7"/>
  <c r="EV40" i="7"/>
  <c r="EU40" i="7"/>
  <c r="ET40" i="7"/>
  <c r="ES40" i="7"/>
  <c r="ER40" i="7"/>
  <c r="EQ40" i="7"/>
  <c r="EP40" i="7"/>
  <c r="EO40" i="7"/>
  <c r="EN40" i="7"/>
  <c r="EM40" i="7"/>
  <c r="EI40" i="7"/>
  <c r="EG40" i="7"/>
  <c r="EE40" i="7"/>
  <c r="EC40" i="7"/>
  <c r="EA40" i="7"/>
  <c r="DY40" i="7"/>
  <c r="DW40" i="7"/>
  <c r="DU40" i="7"/>
  <c r="DS40" i="7"/>
  <c r="DR40" i="7"/>
  <c r="DP40" i="7"/>
  <c r="DN40" i="7"/>
  <c r="DM40" i="7"/>
  <c r="DK40" i="7"/>
  <c r="DI40" i="7"/>
  <c r="DH40" i="7"/>
  <c r="DF40" i="7"/>
  <c r="DD40" i="7"/>
  <c r="DC40" i="7"/>
  <c r="DA40" i="7"/>
  <c r="CY40" i="7"/>
  <c r="CX40" i="7"/>
  <c r="CV40" i="7"/>
  <c r="CT40" i="7"/>
  <c r="CS40" i="7"/>
  <c r="CR40" i="7"/>
  <c r="CQ40" i="7"/>
  <c r="CP40" i="7"/>
  <c r="CO40" i="7"/>
  <c r="CN40" i="7"/>
  <c r="CM40" i="7"/>
  <c r="CL40" i="7"/>
  <c r="CK40" i="7"/>
  <c r="CI40" i="7"/>
  <c r="CJ40" i="7" s="1"/>
  <c r="CH40" i="7"/>
  <c r="CG40" i="7"/>
  <c r="CE40" i="7"/>
  <c r="CF40" i="7" s="1"/>
  <c r="CD40" i="7"/>
  <c r="CC40" i="7"/>
  <c r="CA40" i="7"/>
  <c r="CB40" i="7" s="1"/>
  <c r="BZ40" i="7"/>
  <c r="BY40" i="7"/>
  <c r="BW40" i="7"/>
  <c r="BX40" i="7" s="1"/>
  <c r="BV40" i="7"/>
  <c r="BU40" i="7"/>
  <c r="BS40" i="7"/>
  <c r="BT40" i="7" s="1"/>
  <c r="BR40" i="7"/>
  <c r="BQ40" i="7"/>
  <c r="BO40" i="7"/>
  <c r="BP40" i="7" s="1"/>
  <c r="BN40" i="7"/>
  <c r="BM40" i="7"/>
  <c r="BK40" i="7"/>
  <c r="BL40" i="7" s="1"/>
  <c r="BJ40" i="7"/>
  <c r="BI40" i="7"/>
  <c r="BG40" i="7"/>
  <c r="BH40" i="7" s="1"/>
  <c r="BF40" i="7"/>
  <c r="BE40" i="7"/>
  <c r="BC40" i="7"/>
  <c r="BD40" i="7" s="1"/>
  <c r="BB40" i="7"/>
  <c r="AZ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D40" i="7"/>
  <c r="C40" i="7"/>
  <c r="B40" i="7"/>
  <c r="FQ39" i="7"/>
  <c r="FO39" i="7"/>
  <c r="FM39" i="7"/>
  <c r="FL39" i="7"/>
  <c r="FJ39" i="7"/>
  <c r="FH39" i="7"/>
  <c r="FG39" i="7"/>
  <c r="FE39" i="7"/>
  <c r="FC39" i="7"/>
  <c r="EZ39" i="7"/>
  <c r="EY39" i="7"/>
  <c r="EX39" i="7"/>
  <c r="EW39" i="7"/>
  <c r="EV39" i="7"/>
  <c r="EU39" i="7"/>
  <c r="ET39" i="7"/>
  <c r="ES39" i="7"/>
  <c r="ER39" i="7"/>
  <c r="EQ39" i="7"/>
  <c r="EP39" i="7"/>
  <c r="EO39" i="7"/>
  <c r="EN39" i="7"/>
  <c r="EM39" i="7"/>
  <c r="EI39" i="7"/>
  <c r="EG39" i="7"/>
  <c r="EE39" i="7"/>
  <c r="EC39" i="7"/>
  <c r="EA39" i="7"/>
  <c r="DY39" i="7"/>
  <c r="DW39" i="7"/>
  <c r="DU39" i="7"/>
  <c r="DS39" i="7"/>
  <c r="DR39" i="7"/>
  <c r="DP39" i="7"/>
  <c r="DN39" i="7"/>
  <c r="DM39" i="7"/>
  <c r="DK39" i="7"/>
  <c r="DI39" i="7"/>
  <c r="DH39" i="7"/>
  <c r="DF39" i="7"/>
  <c r="DD39" i="7"/>
  <c r="DC39" i="7"/>
  <c r="DA39" i="7"/>
  <c r="CY39" i="7"/>
  <c r="CX39" i="7"/>
  <c r="CV39" i="7"/>
  <c r="CT39" i="7"/>
  <c r="CS39" i="7"/>
  <c r="CR39" i="7"/>
  <c r="CQ39" i="7"/>
  <c r="CP39" i="7"/>
  <c r="CO39" i="7"/>
  <c r="CN39" i="7"/>
  <c r="CM39" i="7"/>
  <c r="CL39" i="7"/>
  <c r="CK39" i="7"/>
  <c r="CI39" i="7"/>
  <c r="CJ39" i="7" s="1"/>
  <c r="CH39" i="7"/>
  <c r="CG39" i="7"/>
  <c r="CE39" i="7"/>
  <c r="CF39" i="7" s="1"/>
  <c r="CD39" i="7"/>
  <c r="CC39" i="7"/>
  <c r="CA39" i="7"/>
  <c r="CB39" i="7" s="1"/>
  <c r="BZ39" i="7"/>
  <c r="BY39" i="7"/>
  <c r="BW39" i="7"/>
  <c r="BX39" i="7" s="1"/>
  <c r="BV39" i="7"/>
  <c r="BU39" i="7"/>
  <c r="BS39" i="7"/>
  <c r="BT39" i="7" s="1"/>
  <c r="BR39" i="7"/>
  <c r="BQ39" i="7"/>
  <c r="BO39" i="7"/>
  <c r="BP39" i="7" s="1"/>
  <c r="BN39" i="7"/>
  <c r="BM39" i="7"/>
  <c r="BK39" i="7"/>
  <c r="BL39" i="7" s="1"/>
  <c r="BJ39" i="7"/>
  <c r="BI39" i="7"/>
  <c r="BG39" i="7"/>
  <c r="BH39" i="7" s="1"/>
  <c r="BF39" i="7"/>
  <c r="BE39" i="7"/>
  <c r="BC39" i="7"/>
  <c r="BD39" i="7" s="1"/>
  <c r="BB39" i="7"/>
  <c r="AZ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D39" i="7"/>
  <c r="C39" i="7"/>
  <c r="B39" i="7"/>
  <c r="FQ38" i="7"/>
  <c r="FO38" i="7"/>
  <c r="FM38" i="7"/>
  <c r="FL38" i="7"/>
  <c r="FJ38" i="7"/>
  <c r="FH38" i="7"/>
  <c r="FG38" i="7"/>
  <c r="FE38" i="7"/>
  <c r="FC38" i="7"/>
  <c r="EZ38" i="7"/>
  <c r="EY38" i="7"/>
  <c r="EX38" i="7"/>
  <c r="EW38" i="7"/>
  <c r="EV38" i="7"/>
  <c r="EU38" i="7"/>
  <c r="ET38" i="7"/>
  <c r="ES38" i="7"/>
  <c r="ER38" i="7"/>
  <c r="EQ38" i="7"/>
  <c r="EP38" i="7"/>
  <c r="EO38" i="7"/>
  <c r="EN38" i="7"/>
  <c r="EM38" i="7"/>
  <c r="EI38" i="7"/>
  <c r="EG38" i="7"/>
  <c r="EE38" i="7"/>
  <c r="EC38" i="7"/>
  <c r="EA38" i="7"/>
  <c r="DY38" i="7"/>
  <c r="DW38" i="7"/>
  <c r="DU38" i="7"/>
  <c r="DS38" i="7"/>
  <c r="DR38" i="7"/>
  <c r="DP38" i="7"/>
  <c r="DN38" i="7"/>
  <c r="DM38" i="7"/>
  <c r="DK38" i="7"/>
  <c r="DI38" i="7"/>
  <c r="DH38" i="7"/>
  <c r="DF38" i="7"/>
  <c r="DD38" i="7"/>
  <c r="DC38" i="7"/>
  <c r="DA38" i="7"/>
  <c r="CY38" i="7"/>
  <c r="CX38" i="7"/>
  <c r="CV38" i="7"/>
  <c r="CT38" i="7"/>
  <c r="CS38" i="7"/>
  <c r="CR38" i="7"/>
  <c r="CQ38" i="7"/>
  <c r="CP38" i="7"/>
  <c r="CO38" i="7"/>
  <c r="CN38" i="7"/>
  <c r="CM38" i="7"/>
  <c r="CL38" i="7"/>
  <c r="CK38" i="7"/>
  <c r="CI38" i="7"/>
  <c r="CJ38" i="7" s="1"/>
  <c r="CH38" i="7"/>
  <c r="CG38" i="7"/>
  <c r="CE38" i="7"/>
  <c r="CF38" i="7" s="1"/>
  <c r="CD38" i="7"/>
  <c r="CC38" i="7"/>
  <c r="CA38" i="7"/>
  <c r="CB38" i="7" s="1"/>
  <c r="BZ38" i="7"/>
  <c r="BY38" i="7"/>
  <c r="BW38" i="7"/>
  <c r="BX38" i="7" s="1"/>
  <c r="BV38" i="7"/>
  <c r="BU38" i="7"/>
  <c r="BS38" i="7"/>
  <c r="BT38" i="7" s="1"/>
  <c r="BR38" i="7"/>
  <c r="BQ38" i="7"/>
  <c r="BO38" i="7"/>
  <c r="BP38" i="7" s="1"/>
  <c r="BN38" i="7"/>
  <c r="BM38" i="7"/>
  <c r="BK38" i="7"/>
  <c r="BL38" i="7" s="1"/>
  <c r="BJ38" i="7"/>
  <c r="BI38" i="7"/>
  <c r="BG38" i="7"/>
  <c r="BH38" i="7" s="1"/>
  <c r="BF38" i="7"/>
  <c r="BE38" i="7"/>
  <c r="BC38" i="7"/>
  <c r="BD38" i="7" s="1"/>
  <c r="BB38" i="7"/>
  <c r="AZ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D38" i="7"/>
  <c r="C38" i="7"/>
  <c r="B38" i="7"/>
  <c r="FQ37" i="7"/>
  <c r="FO37" i="7"/>
  <c r="FM37" i="7"/>
  <c r="FL37" i="7"/>
  <c r="FJ37" i="7"/>
  <c r="FH37" i="7"/>
  <c r="FG37" i="7"/>
  <c r="FE37" i="7"/>
  <c r="FC37" i="7"/>
  <c r="EZ37" i="7"/>
  <c r="EY37" i="7"/>
  <c r="EX37" i="7"/>
  <c r="EW37" i="7"/>
  <c r="EV37" i="7"/>
  <c r="EU37" i="7"/>
  <c r="ET37" i="7"/>
  <c r="ES37" i="7"/>
  <c r="ER37" i="7"/>
  <c r="EQ37" i="7"/>
  <c r="EP37" i="7"/>
  <c r="EO37" i="7"/>
  <c r="EN37" i="7"/>
  <c r="EM37" i="7"/>
  <c r="EI37" i="7"/>
  <c r="EG37" i="7"/>
  <c r="EE37" i="7"/>
  <c r="EC37" i="7"/>
  <c r="EA37" i="7"/>
  <c r="DY37" i="7"/>
  <c r="DW37" i="7"/>
  <c r="DU37" i="7"/>
  <c r="DS37" i="7"/>
  <c r="DR37" i="7"/>
  <c r="DP37" i="7"/>
  <c r="DN37" i="7"/>
  <c r="DM37" i="7"/>
  <c r="DK37" i="7"/>
  <c r="DI37" i="7"/>
  <c r="DH37" i="7"/>
  <c r="DF37" i="7"/>
  <c r="DD37" i="7"/>
  <c r="DC37" i="7"/>
  <c r="DA37" i="7"/>
  <c r="CY37" i="7"/>
  <c r="CX37" i="7"/>
  <c r="CV37" i="7"/>
  <c r="CT37" i="7"/>
  <c r="CS37" i="7"/>
  <c r="CR37" i="7"/>
  <c r="CQ37" i="7"/>
  <c r="CP37" i="7"/>
  <c r="CO37" i="7"/>
  <c r="CN37" i="7"/>
  <c r="CM37" i="7"/>
  <c r="CL37" i="7"/>
  <c r="CK37" i="7"/>
  <c r="CI37" i="7"/>
  <c r="CJ37" i="7" s="1"/>
  <c r="CH37" i="7"/>
  <c r="CG37" i="7"/>
  <c r="CE37" i="7"/>
  <c r="CF37" i="7" s="1"/>
  <c r="CD37" i="7"/>
  <c r="CC37" i="7"/>
  <c r="CA37" i="7"/>
  <c r="CB37" i="7" s="1"/>
  <c r="BZ37" i="7"/>
  <c r="BY37" i="7"/>
  <c r="BW37" i="7"/>
  <c r="BX37" i="7" s="1"/>
  <c r="BV37" i="7"/>
  <c r="BU37" i="7"/>
  <c r="BT37" i="7"/>
  <c r="BS37" i="7"/>
  <c r="BR37" i="7"/>
  <c r="BQ37" i="7"/>
  <c r="BO37" i="7"/>
  <c r="BP37" i="7" s="1"/>
  <c r="BN37" i="7"/>
  <c r="BM37" i="7"/>
  <c r="BK37" i="7"/>
  <c r="BL37" i="7" s="1"/>
  <c r="BJ37" i="7"/>
  <c r="BI37" i="7"/>
  <c r="BG37" i="7"/>
  <c r="BH37" i="7" s="1"/>
  <c r="BF37" i="7"/>
  <c r="BE37" i="7"/>
  <c r="BC37" i="7"/>
  <c r="BD37" i="7" s="1"/>
  <c r="BB37" i="7"/>
  <c r="AZ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D37" i="7"/>
  <c r="C37" i="7"/>
  <c r="B37" i="7"/>
  <c r="FQ36" i="7"/>
  <c r="FO36" i="7"/>
  <c r="FM36" i="7"/>
  <c r="FL36" i="7"/>
  <c r="FJ36" i="7"/>
  <c r="FH36" i="7"/>
  <c r="FG36" i="7"/>
  <c r="FE36" i="7"/>
  <c r="FC36" i="7"/>
  <c r="EZ36" i="7"/>
  <c r="EY36" i="7"/>
  <c r="EX36" i="7"/>
  <c r="EW36" i="7"/>
  <c r="EV36" i="7"/>
  <c r="EU36" i="7"/>
  <c r="ET36" i="7"/>
  <c r="ES36" i="7"/>
  <c r="ER36" i="7"/>
  <c r="EQ36" i="7"/>
  <c r="EP36" i="7"/>
  <c r="EO36" i="7"/>
  <c r="EN36" i="7"/>
  <c r="EM36" i="7"/>
  <c r="EI36" i="7"/>
  <c r="EG36" i="7"/>
  <c r="EE36" i="7"/>
  <c r="EC36" i="7"/>
  <c r="EA36" i="7"/>
  <c r="DY36" i="7"/>
  <c r="DW36" i="7"/>
  <c r="DU36" i="7"/>
  <c r="DS36" i="7"/>
  <c r="DR36" i="7"/>
  <c r="DP36" i="7"/>
  <c r="DN36" i="7"/>
  <c r="DM36" i="7"/>
  <c r="DK36" i="7"/>
  <c r="DI36" i="7"/>
  <c r="DH36" i="7"/>
  <c r="DF36" i="7"/>
  <c r="DD36" i="7"/>
  <c r="DC36" i="7"/>
  <c r="DA36" i="7"/>
  <c r="CY36" i="7"/>
  <c r="CX36" i="7"/>
  <c r="CV36" i="7"/>
  <c r="CT36" i="7"/>
  <c r="CS36" i="7"/>
  <c r="CR36" i="7"/>
  <c r="CQ36" i="7"/>
  <c r="CP36" i="7"/>
  <c r="CO36" i="7"/>
  <c r="CN36" i="7"/>
  <c r="CM36" i="7"/>
  <c r="CL36" i="7"/>
  <c r="CK36" i="7"/>
  <c r="CI36" i="7"/>
  <c r="CJ36" i="7" s="1"/>
  <c r="CH36" i="7"/>
  <c r="CG36" i="7"/>
  <c r="CE36" i="7"/>
  <c r="CF36" i="7" s="1"/>
  <c r="CD36" i="7"/>
  <c r="CC36" i="7"/>
  <c r="CA36" i="7"/>
  <c r="CB36" i="7" s="1"/>
  <c r="BZ36" i="7"/>
  <c r="BY36" i="7"/>
  <c r="BW36" i="7"/>
  <c r="BX36" i="7" s="1"/>
  <c r="BV36" i="7"/>
  <c r="BU36" i="7"/>
  <c r="BS36" i="7"/>
  <c r="BT36" i="7" s="1"/>
  <c r="BR36" i="7"/>
  <c r="BQ36" i="7"/>
  <c r="BO36" i="7"/>
  <c r="BP36" i="7" s="1"/>
  <c r="BN36" i="7"/>
  <c r="BM36" i="7"/>
  <c r="BK36" i="7"/>
  <c r="BL36" i="7" s="1"/>
  <c r="BJ36" i="7"/>
  <c r="BI36" i="7"/>
  <c r="BG36" i="7"/>
  <c r="BH36" i="7" s="1"/>
  <c r="BF36" i="7"/>
  <c r="BE36" i="7"/>
  <c r="BC36" i="7"/>
  <c r="BD36" i="7" s="1"/>
  <c r="BB36" i="7"/>
  <c r="AZ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D36" i="7"/>
  <c r="C36" i="7"/>
  <c r="B36" i="7"/>
  <c r="FQ35" i="7"/>
  <c r="FO35" i="7"/>
  <c r="FM35" i="7"/>
  <c r="FL35" i="7"/>
  <c r="FJ35" i="7"/>
  <c r="FH35" i="7"/>
  <c r="FG35" i="7"/>
  <c r="FE35" i="7"/>
  <c r="FC35" i="7"/>
  <c r="EZ35" i="7"/>
  <c r="EY35" i="7"/>
  <c r="EX35" i="7"/>
  <c r="EW35" i="7"/>
  <c r="EV35" i="7"/>
  <c r="EU35" i="7"/>
  <c r="ET35" i="7"/>
  <c r="ES35" i="7"/>
  <c r="ER35" i="7"/>
  <c r="EQ35" i="7"/>
  <c r="EP35" i="7"/>
  <c r="EO35" i="7"/>
  <c r="EN35" i="7"/>
  <c r="EM35" i="7"/>
  <c r="EI35" i="7"/>
  <c r="EG35" i="7"/>
  <c r="EE35" i="7"/>
  <c r="EC35" i="7"/>
  <c r="EA35" i="7"/>
  <c r="DY35" i="7"/>
  <c r="DW35" i="7"/>
  <c r="DU35" i="7"/>
  <c r="DS35" i="7"/>
  <c r="DR35" i="7"/>
  <c r="DP35" i="7"/>
  <c r="DN35" i="7"/>
  <c r="DM35" i="7"/>
  <c r="DK35" i="7"/>
  <c r="DI35" i="7"/>
  <c r="DH35" i="7"/>
  <c r="DF35" i="7"/>
  <c r="DD35" i="7"/>
  <c r="DC35" i="7"/>
  <c r="DA35" i="7"/>
  <c r="CY35" i="7"/>
  <c r="CX35" i="7"/>
  <c r="CV35" i="7"/>
  <c r="CT35" i="7"/>
  <c r="CS35" i="7"/>
  <c r="CR35" i="7"/>
  <c r="CQ35" i="7"/>
  <c r="CP35" i="7"/>
  <c r="CO35" i="7"/>
  <c r="CN35" i="7"/>
  <c r="CM35" i="7"/>
  <c r="CL35" i="7"/>
  <c r="CK35" i="7"/>
  <c r="CI35" i="7"/>
  <c r="CJ35" i="7" s="1"/>
  <c r="CH35" i="7"/>
  <c r="CG35" i="7"/>
  <c r="CE35" i="7"/>
  <c r="CF35" i="7" s="1"/>
  <c r="CD35" i="7"/>
  <c r="CC35" i="7"/>
  <c r="CA35" i="7"/>
  <c r="CB35" i="7" s="1"/>
  <c r="BZ35" i="7"/>
  <c r="BY35" i="7"/>
  <c r="BW35" i="7"/>
  <c r="BX35" i="7" s="1"/>
  <c r="BV35" i="7"/>
  <c r="BU35" i="7"/>
  <c r="BS35" i="7"/>
  <c r="BT35" i="7" s="1"/>
  <c r="BR35" i="7"/>
  <c r="BQ35" i="7"/>
  <c r="BO35" i="7"/>
  <c r="BP35" i="7" s="1"/>
  <c r="BN35" i="7"/>
  <c r="BM35" i="7"/>
  <c r="BK35" i="7"/>
  <c r="BL35" i="7" s="1"/>
  <c r="BJ35" i="7"/>
  <c r="BI35" i="7"/>
  <c r="BG35" i="7"/>
  <c r="BH35" i="7" s="1"/>
  <c r="BF35" i="7"/>
  <c r="BE35" i="7"/>
  <c r="BC35" i="7"/>
  <c r="BD35" i="7" s="1"/>
  <c r="BB35" i="7"/>
  <c r="AZ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D35" i="7"/>
  <c r="C35" i="7"/>
  <c r="B35" i="7"/>
  <c r="FQ34" i="7"/>
  <c r="FO34" i="7"/>
  <c r="FM34" i="7"/>
  <c r="FL34" i="7"/>
  <c r="FJ34" i="7"/>
  <c r="FH34" i="7"/>
  <c r="FG34" i="7"/>
  <c r="FE34" i="7"/>
  <c r="FC34" i="7"/>
  <c r="EZ34" i="7"/>
  <c r="EY34" i="7"/>
  <c r="EX34" i="7"/>
  <c r="EW34" i="7"/>
  <c r="EV34" i="7"/>
  <c r="EU34" i="7"/>
  <c r="ET34" i="7"/>
  <c r="ES34" i="7"/>
  <c r="ER34" i="7"/>
  <c r="EQ34" i="7"/>
  <c r="EP34" i="7"/>
  <c r="EO34" i="7"/>
  <c r="EN34" i="7"/>
  <c r="EM34" i="7"/>
  <c r="EI34" i="7"/>
  <c r="EG34" i="7"/>
  <c r="EE34" i="7"/>
  <c r="EC34" i="7"/>
  <c r="EA34" i="7"/>
  <c r="DY34" i="7"/>
  <c r="DW34" i="7"/>
  <c r="DU34" i="7"/>
  <c r="DS34" i="7"/>
  <c r="DR34" i="7"/>
  <c r="DP34" i="7"/>
  <c r="DN34" i="7"/>
  <c r="DM34" i="7"/>
  <c r="DK34" i="7"/>
  <c r="DI34" i="7"/>
  <c r="DH34" i="7"/>
  <c r="DF34" i="7"/>
  <c r="DD34" i="7"/>
  <c r="DC34" i="7"/>
  <c r="DA34" i="7"/>
  <c r="CY34" i="7"/>
  <c r="CX34" i="7"/>
  <c r="CV34" i="7"/>
  <c r="CT34" i="7"/>
  <c r="CS34" i="7"/>
  <c r="CR34" i="7"/>
  <c r="CQ34" i="7"/>
  <c r="CP34" i="7"/>
  <c r="CO34" i="7"/>
  <c r="CN34" i="7"/>
  <c r="CM34" i="7"/>
  <c r="CL34" i="7"/>
  <c r="CK34" i="7"/>
  <c r="CI34" i="7"/>
  <c r="CJ34" i="7" s="1"/>
  <c r="CH34" i="7"/>
  <c r="CG34" i="7"/>
  <c r="CE34" i="7"/>
  <c r="CF34" i="7" s="1"/>
  <c r="CD34" i="7"/>
  <c r="CC34" i="7"/>
  <c r="CA34" i="7"/>
  <c r="CB34" i="7" s="1"/>
  <c r="BZ34" i="7"/>
  <c r="BY34" i="7"/>
  <c r="BW34" i="7"/>
  <c r="BX34" i="7" s="1"/>
  <c r="BV34" i="7"/>
  <c r="BU34" i="7"/>
  <c r="BS34" i="7"/>
  <c r="BT34" i="7" s="1"/>
  <c r="BR34" i="7"/>
  <c r="BQ34" i="7"/>
  <c r="BO34" i="7"/>
  <c r="BP34" i="7" s="1"/>
  <c r="BN34" i="7"/>
  <c r="BM34" i="7"/>
  <c r="BK34" i="7"/>
  <c r="BL34" i="7" s="1"/>
  <c r="BJ34" i="7"/>
  <c r="BI34" i="7"/>
  <c r="BG34" i="7"/>
  <c r="BH34" i="7" s="1"/>
  <c r="BF34" i="7"/>
  <c r="BE34" i="7"/>
  <c r="BC34" i="7"/>
  <c r="BD34" i="7" s="1"/>
  <c r="BB34" i="7"/>
  <c r="AZ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D34" i="7"/>
  <c r="C34" i="7"/>
  <c r="B34" i="7"/>
  <c r="FQ33" i="7"/>
  <c r="FO33" i="7"/>
  <c r="FM33" i="7"/>
  <c r="FL33" i="7"/>
  <c r="FJ33" i="7"/>
  <c r="FH33" i="7"/>
  <c r="FG33" i="7"/>
  <c r="FE33" i="7"/>
  <c r="FC33" i="7"/>
  <c r="EZ33" i="7"/>
  <c r="EY33" i="7"/>
  <c r="EX33" i="7"/>
  <c r="EW33" i="7"/>
  <c r="EV33" i="7"/>
  <c r="EU33" i="7"/>
  <c r="ET33" i="7"/>
  <c r="ES33" i="7"/>
  <c r="ER33" i="7"/>
  <c r="EQ33" i="7"/>
  <c r="EP33" i="7"/>
  <c r="EO33" i="7"/>
  <c r="EN33" i="7"/>
  <c r="EM33" i="7"/>
  <c r="EI33" i="7"/>
  <c r="EG33" i="7"/>
  <c r="EE33" i="7"/>
  <c r="EC33" i="7"/>
  <c r="EA33" i="7"/>
  <c r="DY33" i="7"/>
  <c r="DW33" i="7"/>
  <c r="DU33" i="7"/>
  <c r="DS33" i="7"/>
  <c r="DR33" i="7"/>
  <c r="DP33" i="7"/>
  <c r="DN33" i="7"/>
  <c r="DM33" i="7"/>
  <c r="DK33" i="7"/>
  <c r="DI33" i="7"/>
  <c r="DH33" i="7"/>
  <c r="DF33" i="7"/>
  <c r="DD33" i="7"/>
  <c r="DC33" i="7"/>
  <c r="DA33" i="7"/>
  <c r="CY33" i="7"/>
  <c r="CX33" i="7"/>
  <c r="CV33" i="7"/>
  <c r="CT33" i="7"/>
  <c r="CS33" i="7"/>
  <c r="CR33" i="7"/>
  <c r="CQ33" i="7"/>
  <c r="CP33" i="7"/>
  <c r="CO33" i="7"/>
  <c r="CN33" i="7"/>
  <c r="CM33" i="7"/>
  <c r="CL33" i="7"/>
  <c r="CK33" i="7"/>
  <c r="CI33" i="7"/>
  <c r="CJ33" i="7" s="1"/>
  <c r="CH33" i="7"/>
  <c r="CG33" i="7"/>
  <c r="CE33" i="7"/>
  <c r="CF33" i="7" s="1"/>
  <c r="CD33" i="7"/>
  <c r="CC33" i="7"/>
  <c r="CA33" i="7"/>
  <c r="CB33" i="7" s="1"/>
  <c r="BZ33" i="7"/>
  <c r="BY33" i="7"/>
  <c r="BW33" i="7"/>
  <c r="BX33" i="7" s="1"/>
  <c r="BV33" i="7"/>
  <c r="BU33" i="7"/>
  <c r="BS33" i="7"/>
  <c r="BT33" i="7" s="1"/>
  <c r="BR33" i="7"/>
  <c r="BQ33" i="7"/>
  <c r="BO33" i="7"/>
  <c r="BP33" i="7" s="1"/>
  <c r="BN33" i="7"/>
  <c r="BM33" i="7"/>
  <c r="BK33" i="7"/>
  <c r="BL33" i="7" s="1"/>
  <c r="BJ33" i="7"/>
  <c r="BI33" i="7"/>
  <c r="BG33" i="7"/>
  <c r="BH33" i="7" s="1"/>
  <c r="BF33" i="7"/>
  <c r="BE33" i="7"/>
  <c r="BC33" i="7"/>
  <c r="BD33" i="7" s="1"/>
  <c r="BB33" i="7"/>
  <c r="AZ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D33" i="7"/>
  <c r="C33" i="7"/>
  <c r="B33" i="7"/>
  <c r="FQ32" i="7"/>
  <c r="FO32" i="7"/>
  <c r="FM32" i="7"/>
  <c r="FL32" i="7"/>
  <c r="FJ32" i="7"/>
  <c r="FH32" i="7"/>
  <c r="FG32" i="7"/>
  <c r="FE32" i="7"/>
  <c r="FC32" i="7"/>
  <c r="EZ32" i="7"/>
  <c r="EY32" i="7"/>
  <c r="EX32" i="7"/>
  <c r="EW32" i="7"/>
  <c r="EV32" i="7"/>
  <c r="EU32" i="7"/>
  <c r="ET32" i="7"/>
  <c r="ES32" i="7"/>
  <c r="ER32" i="7"/>
  <c r="EQ32" i="7"/>
  <c r="EP32" i="7"/>
  <c r="EO32" i="7"/>
  <c r="EN32" i="7"/>
  <c r="EM32" i="7"/>
  <c r="EI32" i="7"/>
  <c r="EG32" i="7"/>
  <c r="EE32" i="7"/>
  <c r="EC32" i="7"/>
  <c r="EA32" i="7"/>
  <c r="DY32" i="7"/>
  <c r="DW32" i="7"/>
  <c r="DU32" i="7"/>
  <c r="DS32" i="7"/>
  <c r="DR32" i="7"/>
  <c r="DP32" i="7"/>
  <c r="DN32" i="7"/>
  <c r="DM32" i="7"/>
  <c r="DK32" i="7"/>
  <c r="DI32" i="7"/>
  <c r="DH32" i="7"/>
  <c r="DF32" i="7"/>
  <c r="DD32" i="7"/>
  <c r="DC32" i="7"/>
  <c r="DA32" i="7"/>
  <c r="CY32" i="7"/>
  <c r="CX32" i="7"/>
  <c r="CV32" i="7"/>
  <c r="CT32" i="7"/>
  <c r="CS32" i="7"/>
  <c r="CR32" i="7"/>
  <c r="CQ32" i="7"/>
  <c r="CP32" i="7"/>
  <c r="CO32" i="7"/>
  <c r="CN32" i="7"/>
  <c r="CM32" i="7"/>
  <c r="CL32" i="7"/>
  <c r="CK32" i="7"/>
  <c r="CI32" i="7"/>
  <c r="CJ32" i="7" s="1"/>
  <c r="CH32" i="7"/>
  <c r="CG32" i="7"/>
  <c r="CE32" i="7"/>
  <c r="CF32" i="7" s="1"/>
  <c r="CD32" i="7"/>
  <c r="CC32" i="7"/>
  <c r="CA32" i="7"/>
  <c r="CB32" i="7" s="1"/>
  <c r="BZ32" i="7"/>
  <c r="BY32" i="7"/>
  <c r="BW32" i="7"/>
  <c r="BX32" i="7" s="1"/>
  <c r="BV32" i="7"/>
  <c r="BU32" i="7"/>
  <c r="BS32" i="7"/>
  <c r="BT32" i="7" s="1"/>
  <c r="BR32" i="7"/>
  <c r="BQ32" i="7"/>
  <c r="BO32" i="7"/>
  <c r="BP32" i="7" s="1"/>
  <c r="BN32" i="7"/>
  <c r="BM32" i="7"/>
  <c r="BK32" i="7"/>
  <c r="BL32" i="7" s="1"/>
  <c r="BJ32" i="7"/>
  <c r="BI32" i="7"/>
  <c r="BG32" i="7"/>
  <c r="BH32" i="7" s="1"/>
  <c r="BF32" i="7"/>
  <c r="BE32" i="7"/>
  <c r="BC32" i="7"/>
  <c r="BD32" i="7" s="1"/>
  <c r="BB32" i="7"/>
  <c r="AZ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D32" i="7"/>
  <c r="C32" i="7"/>
  <c r="B32" i="7"/>
  <c r="FQ31" i="7"/>
  <c r="FO31" i="7"/>
  <c r="FM31" i="7"/>
  <c r="FL31" i="7"/>
  <c r="FJ31" i="7"/>
  <c r="FH31" i="7"/>
  <c r="FG31" i="7"/>
  <c r="FE31" i="7"/>
  <c r="FC31" i="7"/>
  <c r="EZ31" i="7"/>
  <c r="EY31" i="7"/>
  <c r="EX31" i="7"/>
  <c r="EW31" i="7"/>
  <c r="EV31" i="7"/>
  <c r="EU31" i="7"/>
  <c r="ET31" i="7"/>
  <c r="ES31" i="7"/>
  <c r="ER31" i="7"/>
  <c r="EQ31" i="7"/>
  <c r="EP31" i="7"/>
  <c r="EO31" i="7"/>
  <c r="EN31" i="7"/>
  <c r="EM31" i="7"/>
  <c r="EI31" i="7"/>
  <c r="EG31" i="7"/>
  <c r="EE31" i="7"/>
  <c r="EC31" i="7"/>
  <c r="EA31" i="7"/>
  <c r="DY31" i="7"/>
  <c r="DW31" i="7"/>
  <c r="DU31" i="7"/>
  <c r="DS31" i="7"/>
  <c r="DR31" i="7"/>
  <c r="DP31" i="7"/>
  <c r="DN31" i="7"/>
  <c r="DM31" i="7"/>
  <c r="DK31" i="7"/>
  <c r="DI31" i="7"/>
  <c r="DH31" i="7"/>
  <c r="DF31" i="7"/>
  <c r="DD31" i="7"/>
  <c r="DC31" i="7"/>
  <c r="DA31" i="7"/>
  <c r="CY31" i="7"/>
  <c r="CX31" i="7"/>
  <c r="CV31" i="7"/>
  <c r="CT31" i="7"/>
  <c r="CS31" i="7"/>
  <c r="CR31" i="7"/>
  <c r="CQ31" i="7"/>
  <c r="CP31" i="7"/>
  <c r="CO31" i="7"/>
  <c r="CN31" i="7"/>
  <c r="CM31" i="7"/>
  <c r="CL31" i="7"/>
  <c r="CK31" i="7"/>
  <c r="CI31" i="7"/>
  <c r="CJ31" i="7" s="1"/>
  <c r="CH31" i="7"/>
  <c r="CG31" i="7"/>
  <c r="CE31" i="7"/>
  <c r="CF31" i="7" s="1"/>
  <c r="CD31" i="7"/>
  <c r="CC31" i="7"/>
  <c r="CA31" i="7"/>
  <c r="CB31" i="7" s="1"/>
  <c r="BZ31" i="7"/>
  <c r="BY31" i="7"/>
  <c r="BW31" i="7"/>
  <c r="BX31" i="7" s="1"/>
  <c r="BV31" i="7"/>
  <c r="BU31" i="7"/>
  <c r="BS31" i="7"/>
  <c r="BT31" i="7" s="1"/>
  <c r="BR31" i="7"/>
  <c r="BQ31" i="7"/>
  <c r="BO31" i="7"/>
  <c r="BP31" i="7" s="1"/>
  <c r="BN31" i="7"/>
  <c r="BM31" i="7"/>
  <c r="BK31" i="7"/>
  <c r="BL31" i="7" s="1"/>
  <c r="BJ31" i="7"/>
  <c r="BI31" i="7"/>
  <c r="BG31" i="7"/>
  <c r="BH31" i="7" s="1"/>
  <c r="BF31" i="7"/>
  <c r="BE31" i="7"/>
  <c r="BC31" i="7"/>
  <c r="BD31" i="7" s="1"/>
  <c r="BB31" i="7"/>
  <c r="AZ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D31" i="7"/>
  <c r="C31" i="7"/>
  <c r="B31" i="7"/>
  <c r="FQ30" i="7"/>
  <c r="FO30" i="7"/>
  <c r="FM30" i="7"/>
  <c r="FL30" i="7"/>
  <c r="FJ30" i="7"/>
  <c r="FH30" i="7"/>
  <c r="FG30" i="7"/>
  <c r="FE30" i="7"/>
  <c r="FC30" i="7"/>
  <c r="EZ30" i="7"/>
  <c r="EY30" i="7"/>
  <c r="EX30" i="7"/>
  <c r="EW30" i="7"/>
  <c r="EV30" i="7"/>
  <c r="EU30" i="7"/>
  <c r="ET30" i="7"/>
  <c r="ES30" i="7"/>
  <c r="ER30" i="7"/>
  <c r="EQ30" i="7"/>
  <c r="EP30" i="7"/>
  <c r="EO30" i="7"/>
  <c r="EN30" i="7"/>
  <c r="EM30" i="7"/>
  <c r="EI30" i="7"/>
  <c r="EG30" i="7"/>
  <c r="EE30" i="7"/>
  <c r="EC30" i="7"/>
  <c r="EA30" i="7"/>
  <c r="DY30" i="7"/>
  <c r="DW30" i="7"/>
  <c r="DU30" i="7"/>
  <c r="DS30" i="7"/>
  <c r="DR30" i="7"/>
  <c r="DP30" i="7"/>
  <c r="DN30" i="7"/>
  <c r="DM30" i="7"/>
  <c r="DK30" i="7"/>
  <c r="DI30" i="7"/>
  <c r="DH30" i="7"/>
  <c r="DF30" i="7"/>
  <c r="DD30" i="7"/>
  <c r="DC30" i="7"/>
  <c r="DA30" i="7"/>
  <c r="CY30" i="7"/>
  <c r="CX30" i="7"/>
  <c r="CV30" i="7"/>
  <c r="CT30" i="7"/>
  <c r="CS30" i="7"/>
  <c r="CR30" i="7"/>
  <c r="CQ30" i="7"/>
  <c r="CP30" i="7"/>
  <c r="CO30" i="7"/>
  <c r="CN30" i="7"/>
  <c r="CM30" i="7"/>
  <c r="CL30" i="7"/>
  <c r="CK30" i="7"/>
  <c r="CI30" i="7"/>
  <c r="CJ30" i="7" s="1"/>
  <c r="CH30" i="7"/>
  <c r="CG30" i="7"/>
  <c r="CE30" i="7"/>
  <c r="CF30" i="7" s="1"/>
  <c r="CD30" i="7"/>
  <c r="CC30" i="7"/>
  <c r="CA30" i="7"/>
  <c r="CB30" i="7" s="1"/>
  <c r="BZ30" i="7"/>
  <c r="BY30" i="7"/>
  <c r="BW30" i="7"/>
  <c r="BX30" i="7" s="1"/>
  <c r="BV30" i="7"/>
  <c r="BU30" i="7"/>
  <c r="BS30" i="7"/>
  <c r="BT30" i="7" s="1"/>
  <c r="BR30" i="7"/>
  <c r="BQ30" i="7"/>
  <c r="BO30" i="7"/>
  <c r="BP30" i="7" s="1"/>
  <c r="BN30" i="7"/>
  <c r="BM30" i="7"/>
  <c r="BK30" i="7"/>
  <c r="BL30" i="7" s="1"/>
  <c r="BJ30" i="7"/>
  <c r="BI30" i="7"/>
  <c r="BG30" i="7"/>
  <c r="BH30" i="7" s="1"/>
  <c r="BF30" i="7"/>
  <c r="BE30" i="7"/>
  <c r="BC30" i="7"/>
  <c r="BD30" i="7" s="1"/>
  <c r="BB30" i="7"/>
  <c r="AZ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D30" i="7"/>
  <c r="C30" i="7"/>
  <c r="B30" i="7"/>
  <c r="FQ29" i="7"/>
  <c r="FO29" i="7"/>
  <c r="FM29" i="7"/>
  <c r="FL29" i="7"/>
  <c r="FJ29" i="7"/>
  <c r="FH29" i="7"/>
  <c r="FG29" i="7"/>
  <c r="FE29" i="7"/>
  <c r="FC29" i="7"/>
  <c r="EZ29" i="7"/>
  <c r="EY29" i="7"/>
  <c r="EX29" i="7"/>
  <c r="EW29" i="7"/>
  <c r="EV29" i="7"/>
  <c r="EU29" i="7"/>
  <c r="ET29" i="7"/>
  <c r="ES29" i="7"/>
  <c r="ER29" i="7"/>
  <c r="EQ29" i="7"/>
  <c r="EP29" i="7"/>
  <c r="EO29" i="7"/>
  <c r="EN29" i="7"/>
  <c r="EM29" i="7"/>
  <c r="EI29" i="7"/>
  <c r="EG29" i="7"/>
  <c r="EE29" i="7"/>
  <c r="EC29" i="7"/>
  <c r="EA29" i="7"/>
  <c r="DY29" i="7"/>
  <c r="DW29" i="7"/>
  <c r="DU29" i="7"/>
  <c r="DS29" i="7"/>
  <c r="DR29" i="7"/>
  <c r="DP29" i="7"/>
  <c r="DN29" i="7"/>
  <c r="DM29" i="7"/>
  <c r="DK29" i="7"/>
  <c r="DI29" i="7"/>
  <c r="DH29" i="7"/>
  <c r="DF29" i="7"/>
  <c r="DD29" i="7"/>
  <c r="DC29" i="7"/>
  <c r="DA29" i="7"/>
  <c r="CY29" i="7"/>
  <c r="CX29" i="7"/>
  <c r="CV29" i="7"/>
  <c r="CT29" i="7"/>
  <c r="CS29" i="7"/>
  <c r="CR29" i="7"/>
  <c r="CQ29" i="7"/>
  <c r="CP29" i="7"/>
  <c r="CO29" i="7"/>
  <c r="CN29" i="7"/>
  <c r="CM29" i="7"/>
  <c r="CL29" i="7"/>
  <c r="CK29" i="7"/>
  <c r="CI29" i="7"/>
  <c r="CJ29" i="7" s="1"/>
  <c r="CH29" i="7"/>
  <c r="CG29" i="7"/>
  <c r="CE29" i="7"/>
  <c r="CF29" i="7" s="1"/>
  <c r="CD29" i="7"/>
  <c r="CC29" i="7"/>
  <c r="CA29" i="7"/>
  <c r="CB29" i="7" s="1"/>
  <c r="BZ29" i="7"/>
  <c r="BY29" i="7"/>
  <c r="BW29" i="7"/>
  <c r="BX29" i="7" s="1"/>
  <c r="BV29" i="7"/>
  <c r="BU29" i="7"/>
  <c r="BS29" i="7"/>
  <c r="BT29" i="7" s="1"/>
  <c r="BR29" i="7"/>
  <c r="BQ29" i="7"/>
  <c r="BO29" i="7"/>
  <c r="BP29" i="7" s="1"/>
  <c r="BN29" i="7"/>
  <c r="BM29" i="7"/>
  <c r="BK29" i="7"/>
  <c r="BL29" i="7" s="1"/>
  <c r="BJ29" i="7"/>
  <c r="BI29" i="7"/>
  <c r="BG29" i="7"/>
  <c r="BH29" i="7" s="1"/>
  <c r="BF29" i="7"/>
  <c r="BE29" i="7"/>
  <c r="BC29" i="7"/>
  <c r="BD29" i="7" s="1"/>
  <c r="BB29" i="7"/>
  <c r="AZ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D29" i="7"/>
  <c r="C29" i="7"/>
  <c r="B29" i="7"/>
  <c r="FQ28" i="7"/>
  <c r="FO28" i="7"/>
  <c r="FM28" i="7"/>
  <c r="FL28" i="7"/>
  <c r="FJ28" i="7"/>
  <c r="FH28" i="7"/>
  <c r="FG28" i="7"/>
  <c r="FE28" i="7"/>
  <c r="FC28" i="7"/>
  <c r="EZ28" i="7"/>
  <c r="EY28" i="7"/>
  <c r="EX28" i="7"/>
  <c r="EW28" i="7"/>
  <c r="EV28" i="7"/>
  <c r="EU28" i="7"/>
  <c r="ET28" i="7"/>
  <c r="ES28" i="7"/>
  <c r="ER28" i="7"/>
  <c r="EQ28" i="7"/>
  <c r="EP28" i="7"/>
  <c r="EO28" i="7"/>
  <c r="EN28" i="7"/>
  <c r="EM28" i="7"/>
  <c r="EI28" i="7"/>
  <c r="EG28" i="7"/>
  <c r="EE28" i="7"/>
  <c r="EC28" i="7"/>
  <c r="EA28" i="7"/>
  <c r="DY28" i="7"/>
  <c r="DW28" i="7"/>
  <c r="DU28" i="7"/>
  <c r="DS28" i="7"/>
  <c r="DR28" i="7"/>
  <c r="DP28" i="7"/>
  <c r="DN28" i="7"/>
  <c r="DM28" i="7"/>
  <c r="DK28" i="7"/>
  <c r="DI28" i="7"/>
  <c r="DH28" i="7"/>
  <c r="DF28" i="7"/>
  <c r="DD28" i="7"/>
  <c r="DC28" i="7"/>
  <c r="DA28" i="7"/>
  <c r="CY28" i="7"/>
  <c r="CX28" i="7"/>
  <c r="CV28" i="7"/>
  <c r="CT28" i="7"/>
  <c r="CS28" i="7"/>
  <c r="CR28" i="7"/>
  <c r="CQ28" i="7"/>
  <c r="CP28" i="7"/>
  <c r="CO28" i="7"/>
  <c r="CN28" i="7"/>
  <c r="CM28" i="7"/>
  <c r="CL28" i="7"/>
  <c r="CK28" i="7"/>
  <c r="CI28" i="7"/>
  <c r="CJ28" i="7" s="1"/>
  <c r="CH28" i="7"/>
  <c r="CG28" i="7"/>
  <c r="CE28" i="7"/>
  <c r="CF28" i="7" s="1"/>
  <c r="CD28" i="7"/>
  <c r="CC28" i="7"/>
  <c r="CA28" i="7"/>
  <c r="CB28" i="7" s="1"/>
  <c r="BZ28" i="7"/>
  <c r="BY28" i="7"/>
  <c r="BW28" i="7"/>
  <c r="BX28" i="7" s="1"/>
  <c r="BV28" i="7"/>
  <c r="BU28" i="7"/>
  <c r="BS28" i="7"/>
  <c r="BT28" i="7" s="1"/>
  <c r="BR28" i="7"/>
  <c r="BQ28" i="7"/>
  <c r="BO28" i="7"/>
  <c r="BP28" i="7" s="1"/>
  <c r="BN28" i="7"/>
  <c r="BM28" i="7"/>
  <c r="BK28" i="7"/>
  <c r="BL28" i="7" s="1"/>
  <c r="BJ28" i="7"/>
  <c r="BI28" i="7"/>
  <c r="BG28" i="7"/>
  <c r="BH28" i="7" s="1"/>
  <c r="BF28" i="7"/>
  <c r="BE28" i="7"/>
  <c r="BC28" i="7"/>
  <c r="BD28" i="7" s="1"/>
  <c r="BB28" i="7"/>
  <c r="AZ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D28" i="7"/>
  <c r="C28" i="7"/>
  <c r="B28" i="7"/>
  <c r="FQ27" i="7"/>
  <c r="FO27" i="7"/>
  <c r="FM27" i="7"/>
  <c r="FL27" i="7"/>
  <c r="FJ27" i="7"/>
  <c r="FH27" i="7"/>
  <c r="FG27" i="7"/>
  <c r="FE27" i="7"/>
  <c r="FC27" i="7"/>
  <c r="EZ27" i="7"/>
  <c r="EY27" i="7"/>
  <c r="EX27" i="7"/>
  <c r="EW27" i="7"/>
  <c r="EV27" i="7"/>
  <c r="EU27" i="7"/>
  <c r="ET27" i="7"/>
  <c r="ES27" i="7"/>
  <c r="ER27" i="7"/>
  <c r="EQ27" i="7"/>
  <c r="EP27" i="7"/>
  <c r="EO27" i="7"/>
  <c r="EN27" i="7"/>
  <c r="EM27" i="7"/>
  <c r="EI27" i="7"/>
  <c r="EG27" i="7"/>
  <c r="EE27" i="7"/>
  <c r="EC27" i="7"/>
  <c r="EA27" i="7"/>
  <c r="DY27" i="7"/>
  <c r="DW27" i="7"/>
  <c r="DU27" i="7"/>
  <c r="DS27" i="7"/>
  <c r="DR27" i="7"/>
  <c r="DP27" i="7"/>
  <c r="DN27" i="7"/>
  <c r="DM27" i="7"/>
  <c r="DK27" i="7"/>
  <c r="DI27" i="7"/>
  <c r="DH27" i="7"/>
  <c r="DF27" i="7"/>
  <c r="DD27" i="7"/>
  <c r="DC27" i="7"/>
  <c r="DA27" i="7"/>
  <c r="CY27" i="7"/>
  <c r="CX27" i="7"/>
  <c r="CV27" i="7"/>
  <c r="CT27" i="7"/>
  <c r="CS27" i="7"/>
  <c r="CR27" i="7"/>
  <c r="CQ27" i="7"/>
  <c r="CP27" i="7"/>
  <c r="CO27" i="7"/>
  <c r="CN27" i="7"/>
  <c r="CM27" i="7"/>
  <c r="CL27" i="7"/>
  <c r="CK27" i="7"/>
  <c r="CI27" i="7"/>
  <c r="CJ27" i="7" s="1"/>
  <c r="CH27" i="7"/>
  <c r="CG27" i="7"/>
  <c r="CE27" i="7"/>
  <c r="CF27" i="7" s="1"/>
  <c r="CD27" i="7"/>
  <c r="CC27" i="7"/>
  <c r="CA27" i="7"/>
  <c r="CB27" i="7" s="1"/>
  <c r="BZ27" i="7"/>
  <c r="BY27" i="7"/>
  <c r="BW27" i="7"/>
  <c r="BX27" i="7" s="1"/>
  <c r="BV27" i="7"/>
  <c r="BU27" i="7"/>
  <c r="BS27" i="7"/>
  <c r="BT27" i="7" s="1"/>
  <c r="BR27" i="7"/>
  <c r="BQ27" i="7"/>
  <c r="BO27" i="7"/>
  <c r="BP27" i="7" s="1"/>
  <c r="BN27" i="7"/>
  <c r="BM27" i="7"/>
  <c r="BK27" i="7"/>
  <c r="BL27" i="7" s="1"/>
  <c r="BJ27" i="7"/>
  <c r="BI27" i="7"/>
  <c r="BG27" i="7"/>
  <c r="BH27" i="7" s="1"/>
  <c r="BF27" i="7"/>
  <c r="BE27" i="7"/>
  <c r="BC27" i="7"/>
  <c r="BD27" i="7" s="1"/>
  <c r="BB27" i="7"/>
  <c r="AZ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D27" i="7"/>
  <c r="C27" i="7"/>
  <c r="B27" i="7"/>
  <c r="FQ26" i="7"/>
  <c r="FO26" i="7"/>
  <c r="FM26" i="7"/>
  <c r="FL26" i="7"/>
  <c r="FJ26" i="7"/>
  <c r="FH26" i="7"/>
  <c r="FG26" i="7"/>
  <c r="FE26" i="7"/>
  <c r="FC26" i="7"/>
  <c r="EZ26" i="7"/>
  <c r="EY26" i="7"/>
  <c r="EX26" i="7"/>
  <c r="EW26" i="7"/>
  <c r="EV26" i="7"/>
  <c r="EU26" i="7"/>
  <c r="ET26" i="7"/>
  <c r="ES26" i="7"/>
  <c r="ER26" i="7"/>
  <c r="EQ26" i="7"/>
  <c r="EP26" i="7"/>
  <c r="EO26" i="7"/>
  <c r="EN26" i="7"/>
  <c r="EM26" i="7"/>
  <c r="EI26" i="7"/>
  <c r="EG26" i="7"/>
  <c r="EE26" i="7"/>
  <c r="EC26" i="7"/>
  <c r="EA26" i="7"/>
  <c r="DY26" i="7"/>
  <c r="DW26" i="7"/>
  <c r="DU26" i="7"/>
  <c r="DS26" i="7"/>
  <c r="DR26" i="7"/>
  <c r="DP26" i="7"/>
  <c r="DN26" i="7"/>
  <c r="DM26" i="7"/>
  <c r="DK26" i="7"/>
  <c r="DI26" i="7"/>
  <c r="DH26" i="7"/>
  <c r="DF26" i="7"/>
  <c r="DD26" i="7"/>
  <c r="DC26" i="7"/>
  <c r="DA26" i="7"/>
  <c r="CY26" i="7"/>
  <c r="CX26" i="7"/>
  <c r="CV26" i="7"/>
  <c r="CT26" i="7"/>
  <c r="CS26" i="7"/>
  <c r="CR26" i="7"/>
  <c r="CQ26" i="7"/>
  <c r="CP26" i="7"/>
  <c r="CO26" i="7"/>
  <c r="CN26" i="7"/>
  <c r="CM26" i="7"/>
  <c r="CL26" i="7"/>
  <c r="CK26" i="7"/>
  <c r="CI26" i="7"/>
  <c r="CJ26" i="7" s="1"/>
  <c r="CH26" i="7"/>
  <c r="CG26" i="7"/>
  <c r="CE26" i="7"/>
  <c r="CF26" i="7" s="1"/>
  <c r="CD26" i="7"/>
  <c r="CC26" i="7"/>
  <c r="CA26" i="7"/>
  <c r="CB26" i="7" s="1"/>
  <c r="BZ26" i="7"/>
  <c r="BY26" i="7"/>
  <c r="BW26" i="7"/>
  <c r="BX26" i="7" s="1"/>
  <c r="BV26" i="7"/>
  <c r="BU26" i="7"/>
  <c r="BS26" i="7"/>
  <c r="BT26" i="7" s="1"/>
  <c r="BR26" i="7"/>
  <c r="BQ26" i="7"/>
  <c r="BO26" i="7"/>
  <c r="BP26" i="7" s="1"/>
  <c r="BN26" i="7"/>
  <c r="BM26" i="7"/>
  <c r="BK26" i="7"/>
  <c r="BL26" i="7" s="1"/>
  <c r="BJ26" i="7"/>
  <c r="BI26" i="7"/>
  <c r="BG26" i="7"/>
  <c r="BH26" i="7" s="1"/>
  <c r="BF26" i="7"/>
  <c r="BE26" i="7"/>
  <c r="BC26" i="7"/>
  <c r="BD26" i="7" s="1"/>
  <c r="BB26" i="7"/>
  <c r="AZ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D26" i="7"/>
  <c r="C26" i="7"/>
  <c r="B26" i="7"/>
  <c r="FQ25" i="7"/>
  <c r="FO25" i="7"/>
  <c r="FM25" i="7"/>
  <c r="FL25" i="7"/>
  <c r="FJ25" i="7"/>
  <c r="FH25" i="7"/>
  <c r="FG25" i="7"/>
  <c r="FE25" i="7"/>
  <c r="FC25" i="7"/>
  <c r="EZ25" i="7"/>
  <c r="EY25" i="7"/>
  <c r="EX25" i="7"/>
  <c r="EW25" i="7"/>
  <c r="EV25" i="7"/>
  <c r="EU25" i="7"/>
  <c r="ET25" i="7"/>
  <c r="ES25" i="7"/>
  <c r="ER25" i="7"/>
  <c r="EQ25" i="7"/>
  <c r="EP25" i="7"/>
  <c r="EO25" i="7"/>
  <c r="EN25" i="7"/>
  <c r="EM25" i="7"/>
  <c r="EI25" i="7"/>
  <c r="EG25" i="7"/>
  <c r="EE25" i="7"/>
  <c r="EC25" i="7"/>
  <c r="EA25" i="7"/>
  <c r="DY25" i="7"/>
  <c r="DW25" i="7"/>
  <c r="DU25" i="7"/>
  <c r="DS25" i="7"/>
  <c r="DR25" i="7"/>
  <c r="DP25" i="7"/>
  <c r="DN25" i="7"/>
  <c r="DM25" i="7"/>
  <c r="DK25" i="7"/>
  <c r="DI25" i="7"/>
  <c r="DH25" i="7"/>
  <c r="DF25" i="7"/>
  <c r="DD25" i="7"/>
  <c r="DC25" i="7"/>
  <c r="DA25" i="7"/>
  <c r="CY25" i="7"/>
  <c r="CX25" i="7"/>
  <c r="CV25" i="7"/>
  <c r="CT25" i="7"/>
  <c r="CS25" i="7"/>
  <c r="CR25" i="7"/>
  <c r="CQ25" i="7"/>
  <c r="CP25" i="7"/>
  <c r="CO25" i="7"/>
  <c r="CN25" i="7"/>
  <c r="CM25" i="7"/>
  <c r="CL25" i="7"/>
  <c r="CK25" i="7"/>
  <c r="CI25" i="7"/>
  <c r="CJ25" i="7" s="1"/>
  <c r="CH25" i="7"/>
  <c r="CG25" i="7"/>
  <c r="CE25" i="7"/>
  <c r="CF25" i="7" s="1"/>
  <c r="CD25" i="7"/>
  <c r="CC25" i="7"/>
  <c r="CA25" i="7"/>
  <c r="CB25" i="7" s="1"/>
  <c r="BZ25" i="7"/>
  <c r="BY25" i="7"/>
  <c r="BW25" i="7"/>
  <c r="BX25" i="7" s="1"/>
  <c r="BV25" i="7"/>
  <c r="BU25" i="7"/>
  <c r="BS25" i="7"/>
  <c r="BT25" i="7" s="1"/>
  <c r="BR25" i="7"/>
  <c r="BQ25" i="7"/>
  <c r="BO25" i="7"/>
  <c r="BP25" i="7" s="1"/>
  <c r="BN25" i="7"/>
  <c r="BM25" i="7"/>
  <c r="BK25" i="7"/>
  <c r="BL25" i="7" s="1"/>
  <c r="BJ25" i="7"/>
  <c r="BI25" i="7"/>
  <c r="BG25" i="7"/>
  <c r="BH25" i="7" s="1"/>
  <c r="BF25" i="7"/>
  <c r="BE25" i="7"/>
  <c r="BC25" i="7"/>
  <c r="BD25" i="7" s="1"/>
  <c r="BB25" i="7"/>
  <c r="AZ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D25" i="7"/>
  <c r="C25" i="7"/>
  <c r="B25" i="7"/>
  <c r="FQ24" i="7"/>
  <c r="FO24" i="7"/>
  <c r="FM24" i="7"/>
  <c r="FL24" i="7"/>
  <c r="FJ24" i="7"/>
  <c r="FH24" i="7"/>
  <c r="FG24" i="7"/>
  <c r="FE24" i="7"/>
  <c r="FC24" i="7"/>
  <c r="EZ24" i="7"/>
  <c r="EY24" i="7"/>
  <c r="EX24" i="7"/>
  <c r="EW24" i="7"/>
  <c r="EV24" i="7"/>
  <c r="EU24" i="7"/>
  <c r="ET24" i="7"/>
  <c r="ES24" i="7"/>
  <c r="ER24" i="7"/>
  <c r="EQ24" i="7"/>
  <c r="EP24" i="7"/>
  <c r="EO24" i="7"/>
  <c r="EN24" i="7"/>
  <c r="EM24" i="7"/>
  <c r="EI24" i="7"/>
  <c r="EG24" i="7"/>
  <c r="EE24" i="7"/>
  <c r="EC24" i="7"/>
  <c r="EA24" i="7"/>
  <c r="DY24" i="7"/>
  <c r="DW24" i="7"/>
  <c r="DU24" i="7"/>
  <c r="DS24" i="7"/>
  <c r="DR24" i="7"/>
  <c r="DP24" i="7"/>
  <c r="DN24" i="7"/>
  <c r="DM24" i="7"/>
  <c r="DK24" i="7"/>
  <c r="DI24" i="7"/>
  <c r="DH24" i="7"/>
  <c r="DF24" i="7"/>
  <c r="DD24" i="7"/>
  <c r="DC24" i="7"/>
  <c r="DA24" i="7"/>
  <c r="CY24" i="7"/>
  <c r="CX24" i="7"/>
  <c r="CV24" i="7"/>
  <c r="CT24" i="7"/>
  <c r="CS24" i="7"/>
  <c r="CR24" i="7"/>
  <c r="CQ24" i="7"/>
  <c r="CP24" i="7"/>
  <c r="CO24" i="7"/>
  <c r="CN24" i="7"/>
  <c r="CM24" i="7"/>
  <c r="CL24" i="7"/>
  <c r="CK24" i="7"/>
  <c r="CI24" i="7"/>
  <c r="CJ24" i="7" s="1"/>
  <c r="CH24" i="7"/>
  <c r="CG24" i="7"/>
  <c r="CE24" i="7"/>
  <c r="CF24" i="7" s="1"/>
  <c r="CD24" i="7"/>
  <c r="CC24" i="7"/>
  <c r="CA24" i="7"/>
  <c r="CB24" i="7" s="1"/>
  <c r="BZ24" i="7"/>
  <c r="BY24" i="7"/>
  <c r="BW24" i="7"/>
  <c r="BX24" i="7" s="1"/>
  <c r="BV24" i="7"/>
  <c r="BU24" i="7"/>
  <c r="BS24" i="7"/>
  <c r="BT24" i="7" s="1"/>
  <c r="BR24" i="7"/>
  <c r="BQ24" i="7"/>
  <c r="BO24" i="7"/>
  <c r="BP24" i="7" s="1"/>
  <c r="BN24" i="7"/>
  <c r="BM24" i="7"/>
  <c r="BK24" i="7"/>
  <c r="BL24" i="7" s="1"/>
  <c r="BJ24" i="7"/>
  <c r="BI24" i="7"/>
  <c r="BG24" i="7"/>
  <c r="BH24" i="7" s="1"/>
  <c r="BF24" i="7"/>
  <c r="BE24" i="7"/>
  <c r="BC24" i="7"/>
  <c r="BD24" i="7" s="1"/>
  <c r="BB24" i="7"/>
  <c r="AZ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D24" i="7"/>
  <c r="C24" i="7"/>
  <c r="B24" i="7"/>
  <c r="FQ23" i="7"/>
  <c r="FO23" i="7"/>
  <c r="FM23" i="7"/>
  <c r="FL23" i="7"/>
  <c r="FJ23" i="7"/>
  <c r="FH23" i="7"/>
  <c r="FG23" i="7"/>
  <c r="FE23" i="7"/>
  <c r="FC23" i="7"/>
  <c r="EZ23" i="7"/>
  <c r="EY23" i="7"/>
  <c r="EX23" i="7"/>
  <c r="EW23" i="7"/>
  <c r="EV23" i="7"/>
  <c r="EU23" i="7"/>
  <c r="ET23" i="7"/>
  <c r="ES23" i="7"/>
  <c r="ER23" i="7"/>
  <c r="EQ23" i="7"/>
  <c r="EP23" i="7"/>
  <c r="EO23" i="7"/>
  <c r="EN23" i="7"/>
  <c r="EM23" i="7"/>
  <c r="EI23" i="7"/>
  <c r="EG23" i="7"/>
  <c r="EE23" i="7"/>
  <c r="EC23" i="7"/>
  <c r="EA23" i="7"/>
  <c r="DY23" i="7"/>
  <c r="DW23" i="7"/>
  <c r="DU23" i="7"/>
  <c r="DS23" i="7"/>
  <c r="DR23" i="7"/>
  <c r="DP23" i="7"/>
  <c r="DN23" i="7"/>
  <c r="DM23" i="7"/>
  <c r="DK23" i="7"/>
  <c r="DI23" i="7"/>
  <c r="DH23" i="7"/>
  <c r="DF23" i="7"/>
  <c r="DD23" i="7"/>
  <c r="DC23" i="7"/>
  <c r="DA23" i="7"/>
  <c r="CY23" i="7"/>
  <c r="CX23" i="7"/>
  <c r="CV23" i="7"/>
  <c r="CT23" i="7"/>
  <c r="CS23" i="7"/>
  <c r="CR23" i="7"/>
  <c r="CQ23" i="7"/>
  <c r="CP23" i="7"/>
  <c r="CO23" i="7"/>
  <c r="CN23" i="7"/>
  <c r="CM23" i="7"/>
  <c r="CL23" i="7"/>
  <c r="CK23" i="7"/>
  <c r="CI23" i="7"/>
  <c r="CJ23" i="7" s="1"/>
  <c r="CH23" i="7"/>
  <c r="CG23" i="7"/>
  <c r="CE23" i="7"/>
  <c r="CF23" i="7" s="1"/>
  <c r="CD23" i="7"/>
  <c r="CC23" i="7"/>
  <c r="CA23" i="7"/>
  <c r="CB23" i="7" s="1"/>
  <c r="BZ23" i="7"/>
  <c r="BY23" i="7"/>
  <c r="BW23" i="7"/>
  <c r="BX23" i="7" s="1"/>
  <c r="BV23" i="7"/>
  <c r="BU23" i="7"/>
  <c r="BS23" i="7"/>
  <c r="BT23" i="7" s="1"/>
  <c r="BR23" i="7"/>
  <c r="BQ23" i="7"/>
  <c r="BO23" i="7"/>
  <c r="BP23" i="7" s="1"/>
  <c r="BN23" i="7"/>
  <c r="BM23" i="7"/>
  <c r="BK23" i="7"/>
  <c r="BL23" i="7" s="1"/>
  <c r="BJ23" i="7"/>
  <c r="BI23" i="7"/>
  <c r="BG23" i="7"/>
  <c r="BH23" i="7" s="1"/>
  <c r="BF23" i="7"/>
  <c r="BE23" i="7"/>
  <c r="BC23" i="7"/>
  <c r="BD23" i="7" s="1"/>
  <c r="BB23" i="7"/>
  <c r="AZ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D23" i="7"/>
  <c r="C23" i="7"/>
  <c r="B23" i="7"/>
  <c r="FQ22" i="7"/>
  <c r="FO22" i="7"/>
  <c r="FM22" i="7"/>
  <c r="FL22" i="7"/>
  <c r="FJ22" i="7"/>
  <c r="FH22" i="7"/>
  <c r="FG22" i="7"/>
  <c r="FE22" i="7"/>
  <c r="FC22" i="7"/>
  <c r="EZ22" i="7"/>
  <c r="EY22" i="7"/>
  <c r="EX22" i="7"/>
  <c r="EW22" i="7"/>
  <c r="EV22" i="7"/>
  <c r="EU22" i="7"/>
  <c r="ET22" i="7"/>
  <c r="ES22" i="7"/>
  <c r="ER22" i="7"/>
  <c r="EQ22" i="7"/>
  <c r="EP22" i="7"/>
  <c r="EO22" i="7"/>
  <c r="EN22" i="7"/>
  <c r="EM22" i="7"/>
  <c r="EI22" i="7"/>
  <c r="EG22" i="7"/>
  <c r="EE22" i="7"/>
  <c r="EC22" i="7"/>
  <c r="EA22" i="7"/>
  <c r="DY22" i="7"/>
  <c r="DW22" i="7"/>
  <c r="DU22" i="7"/>
  <c r="DS22" i="7"/>
  <c r="DR22" i="7"/>
  <c r="DP22" i="7"/>
  <c r="DN22" i="7"/>
  <c r="DM22" i="7"/>
  <c r="DK22" i="7"/>
  <c r="DI22" i="7"/>
  <c r="DH22" i="7"/>
  <c r="DF22" i="7"/>
  <c r="DD22" i="7"/>
  <c r="DC22" i="7"/>
  <c r="DA22" i="7"/>
  <c r="CY22" i="7"/>
  <c r="CX22" i="7"/>
  <c r="CV22" i="7"/>
  <c r="CT22" i="7"/>
  <c r="CS22" i="7"/>
  <c r="CR22" i="7"/>
  <c r="CQ22" i="7"/>
  <c r="CP22" i="7"/>
  <c r="CO22" i="7"/>
  <c r="CN22" i="7"/>
  <c r="CM22" i="7"/>
  <c r="CL22" i="7"/>
  <c r="CK22" i="7"/>
  <c r="CI22" i="7"/>
  <c r="CJ22" i="7" s="1"/>
  <c r="CH22" i="7"/>
  <c r="CG22" i="7"/>
  <c r="CE22" i="7"/>
  <c r="CF22" i="7" s="1"/>
  <c r="CD22" i="7"/>
  <c r="CC22" i="7"/>
  <c r="CA22" i="7"/>
  <c r="CB22" i="7" s="1"/>
  <c r="BZ22" i="7"/>
  <c r="BY22" i="7"/>
  <c r="BW22" i="7"/>
  <c r="BX22" i="7" s="1"/>
  <c r="BV22" i="7"/>
  <c r="BU22" i="7"/>
  <c r="BS22" i="7"/>
  <c r="BT22" i="7" s="1"/>
  <c r="BR22" i="7"/>
  <c r="BQ22" i="7"/>
  <c r="BO22" i="7"/>
  <c r="BP22" i="7" s="1"/>
  <c r="BN22" i="7"/>
  <c r="BM22" i="7"/>
  <c r="BK22" i="7"/>
  <c r="BL22" i="7" s="1"/>
  <c r="BJ22" i="7"/>
  <c r="BI22" i="7"/>
  <c r="BG22" i="7"/>
  <c r="BH22" i="7" s="1"/>
  <c r="BF22" i="7"/>
  <c r="BE22" i="7"/>
  <c r="BC22" i="7"/>
  <c r="BD22" i="7" s="1"/>
  <c r="BB22" i="7"/>
  <c r="AZ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D22" i="7"/>
  <c r="C22" i="7"/>
  <c r="B22" i="7"/>
  <c r="FQ21" i="7"/>
  <c r="FO21" i="7"/>
  <c r="FM21" i="7"/>
  <c r="FL21" i="7"/>
  <c r="FJ21" i="7"/>
  <c r="FH21" i="7"/>
  <c r="FG21" i="7"/>
  <c r="FE21" i="7"/>
  <c r="FC21" i="7"/>
  <c r="EZ21" i="7"/>
  <c r="EY21" i="7"/>
  <c r="EX21" i="7"/>
  <c r="EW21" i="7"/>
  <c r="EV21" i="7"/>
  <c r="EU21" i="7"/>
  <c r="ET21" i="7"/>
  <c r="ES21" i="7"/>
  <c r="ER21" i="7"/>
  <c r="EQ21" i="7"/>
  <c r="EP21" i="7"/>
  <c r="EO21" i="7"/>
  <c r="EN21" i="7"/>
  <c r="EM21" i="7"/>
  <c r="EI21" i="7"/>
  <c r="EG21" i="7"/>
  <c r="EE21" i="7"/>
  <c r="EC21" i="7"/>
  <c r="EA21" i="7"/>
  <c r="DY21" i="7"/>
  <c r="DW21" i="7"/>
  <c r="DU21" i="7"/>
  <c r="DS21" i="7"/>
  <c r="DR21" i="7"/>
  <c r="DP21" i="7"/>
  <c r="DN21" i="7"/>
  <c r="DM21" i="7"/>
  <c r="DK21" i="7"/>
  <c r="DI21" i="7"/>
  <c r="DH21" i="7"/>
  <c r="DF21" i="7"/>
  <c r="DD21" i="7"/>
  <c r="DC21" i="7"/>
  <c r="DA21" i="7"/>
  <c r="CY21" i="7"/>
  <c r="CX21" i="7"/>
  <c r="CV21" i="7"/>
  <c r="CT21" i="7"/>
  <c r="CS21" i="7"/>
  <c r="CR21" i="7"/>
  <c r="CQ21" i="7"/>
  <c r="CP21" i="7"/>
  <c r="CO21" i="7"/>
  <c r="CN21" i="7"/>
  <c r="CM21" i="7"/>
  <c r="CL21" i="7"/>
  <c r="CK21" i="7"/>
  <c r="CI21" i="7"/>
  <c r="CJ21" i="7" s="1"/>
  <c r="CH21" i="7"/>
  <c r="CG21" i="7"/>
  <c r="CE21" i="7"/>
  <c r="CF21" i="7" s="1"/>
  <c r="CD21" i="7"/>
  <c r="CC21" i="7"/>
  <c r="CA21" i="7"/>
  <c r="CB21" i="7" s="1"/>
  <c r="BZ21" i="7"/>
  <c r="BY21" i="7"/>
  <c r="BW21" i="7"/>
  <c r="BX21" i="7" s="1"/>
  <c r="BV21" i="7"/>
  <c r="BU21" i="7"/>
  <c r="BS21" i="7"/>
  <c r="BT21" i="7" s="1"/>
  <c r="BR21" i="7"/>
  <c r="BQ21" i="7"/>
  <c r="BO21" i="7"/>
  <c r="BP21" i="7" s="1"/>
  <c r="BN21" i="7"/>
  <c r="BM21" i="7"/>
  <c r="BK21" i="7"/>
  <c r="BL21" i="7" s="1"/>
  <c r="BJ21" i="7"/>
  <c r="BI21" i="7"/>
  <c r="BG21" i="7"/>
  <c r="BH21" i="7" s="1"/>
  <c r="BF21" i="7"/>
  <c r="BE21" i="7"/>
  <c r="BC21" i="7"/>
  <c r="BD21" i="7" s="1"/>
  <c r="BB21" i="7"/>
  <c r="AZ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D21" i="7"/>
  <c r="C21" i="7"/>
  <c r="B21" i="7"/>
  <c r="FQ20" i="7"/>
  <c r="FO20" i="7"/>
  <c r="FM20" i="7"/>
  <c r="FL20" i="7"/>
  <c r="FJ20" i="7"/>
  <c r="FH20" i="7"/>
  <c r="FG20" i="7"/>
  <c r="FE20" i="7"/>
  <c r="FC20" i="7"/>
  <c r="EZ20" i="7"/>
  <c r="EY20" i="7"/>
  <c r="EX20" i="7"/>
  <c r="EW20" i="7"/>
  <c r="EV20" i="7"/>
  <c r="EU20" i="7"/>
  <c r="ET20" i="7"/>
  <c r="ES20" i="7"/>
  <c r="ER20" i="7"/>
  <c r="EQ20" i="7"/>
  <c r="EP20" i="7"/>
  <c r="EO20" i="7"/>
  <c r="EN20" i="7"/>
  <c r="EM20" i="7"/>
  <c r="EI20" i="7"/>
  <c r="EG20" i="7"/>
  <c r="EE20" i="7"/>
  <c r="EC20" i="7"/>
  <c r="EA20" i="7"/>
  <c r="DY20" i="7"/>
  <c r="DW20" i="7"/>
  <c r="DU20" i="7"/>
  <c r="DS20" i="7"/>
  <c r="DR20" i="7"/>
  <c r="DP20" i="7"/>
  <c r="DN20" i="7"/>
  <c r="DM20" i="7"/>
  <c r="DK20" i="7"/>
  <c r="DI20" i="7"/>
  <c r="DH20" i="7"/>
  <c r="DF20" i="7"/>
  <c r="DD20" i="7"/>
  <c r="DC20" i="7"/>
  <c r="DA20" i="7"/>
  <c r="CY20" i="7"/>
  <c r="CX20" i="7"/>
  <c r="CV20" i="7"/>
  <c r="CT20" i="7"/>
  <c r="CS20" i="7"/>
  <c r="CR20" i="7"/>
  <c r="CQ20" i="7"/>
  <c r="CP20" i="7"/>
  <c r="CO20" i="7"/>
  <c r="CN20" i="7"/>
  <c r="CM20" i="7"/>
  <c r="CL20" i="7"/>
  <c r="CK20" i="7"/>
  <c r="CI20" i="7"/>
  <c r="CJ20" i="7" s="1"/>
  <c r="CH20" i="7"/>
  <c r="CG20" i="7"/>
  <c r="CE20" i="7"/>
  <c r="CF20" i="7" s="1"/>
  <c r="CD20" i="7"/>
  <c r="CC20" i="7"/>
  <c r="CA20" i="7"/>
  <c r="CB20" i="7" s="1"/>
  <c r="BZ20" i="7"/>
  <c r="BY20" i="7"/>
  <c r="BW20" i="7"/>
  <c r="BX20" i="7" s="1"/>
  <c r="BV20" i="7"/>
  <c r="BU20" i="7"/>
  <c r="BS20" i="7"/>
  <c r="BT20" i="7" s="1"/>
  <c r="BR20" i="7"/>
  <c r="BQ20" i="7"/>
  <c r="BO20" i="7"/>
  <c r="BP20" i="7" s="1"/>
  <c r="BN20" i="7"/>
  <c r="BM20" i="7"/>
  <c r="BK20" i="7"/>
  <c r="BL20" i="7" s="1"/>
  <c r="BJ20" i="7"/>
  <c r="BI20" i="7"/>
  <c r="BG20" i="7"/>
  <c r="BH20" i="7" s="1"/>
  <c r="BF20" i="7"/>
  <c r="BE20" i="7"/>
  <c r="BC20" i="7"/>
  <c r="BD20" i="7" s="1"/>
  <c r="BB20" i="7"/>
  <c r="AZ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D20" i="7"/>
  <c r="C20" i="7"/>
  <c r="B20" i="7"/>
  <c r="FQ19" i="7"/>
  <c r="FO19" i="7"/>
  <c r="FM19" i="7"/>
  <c r="FL19" i="7"/>
  <c r="FJ19" i="7"/>
  <c r="FH19" i="7"/>
  <c r="FG19" i="7"/>
  <c r="FE19" i="7"/>
  <c r="FC19" i="7"/>
  <c r="EZ19" i="7"/>
  <c r="EY19" i="7"/>
  <c r="EX19" i="7"/>
  <c r="EW19" i="7"/>
  <c r="EV19" i="7"/>
  <c r="EU19" i="7"/>
  <c r="ET19" i="7"/>
  <c r="ES19" i="7"/>
  <c r="ER19" i="7"/>
  <c r="EQ19" i="7"/>
  <c r="EP19" i="7"/>
  <c r="EO19" i="7"/>
  <c r="EN19" i="7"/>
  <c r="EM19" i="7"/>
  <c r="EI19" i="7"/>
  <c r="EG19" i="7"/>
  <c r="EE19" i="7"/>
  <c r="EC19" i="7"/>
  <c r="EA19" i="7"/>
  <c r="DY19" i="7"/>
  <c r="DW19" i="7"/>
  <c r="DU19" i="7"/>
  <c r="DS19" i="7"/>
  <c r="DR19" i="7"/>
  <c r="DP19" i="7"/>
  <c r="DN19" i="7"/>
  <c r="DM19" i="7"/>
  <c r="DK19" i="7"/>
  <c r="DI19" i="7"/>
  <c r="DH19" i="7"/>
  <c r="DF19" i="7"/>
  <c r="DD19" i="7"/>
  <c r="DC19" i="7"/>
  <c r="DA19" i="7"/>
  <c r="CY19" i="7"/>
  <c r="CX19" i="7"/>
  <c r="CV19" i="7"/>
  <c r="CT19" i="7"/>
  <c r="CS19" i="7"/>
  <c r="CR19" i="7"/>
  <c r="CQ19" i="7"/>
  <c r="CP19" i="7"/>
  <c r="CO19" i="7"/>
  <c r="CN19" i="7"/>
  <c r="CM19" i="7"/>
  <c r="CL19" i="7"/>
  <c r="CK19" i="7"/>
  <c r="CI19" i="7"/>
  <c r="CJ19" i="7" s="1"/>
  <c r="CH19" i="7"/>
  <c r="CG19" i="7"/>
  <c r="CE19" i="7"/>
  <c r="CF19" i="7" s="1"/>
  <c r="CD19" i="7"/>
  <c r="CC19" i="7"/>
  <c r="CA19" i="7"/>
  <c r="CB19" i="7" s="1"/>
  <c r="BZ19" i="7"/>
  <c r="BY19" i="7"/>
  <c r="BW19" i="7"/>
  <c r="BX19" i="7" s="1"/>
  <c r="BV19" i="7"/>
  <c r="BU19" i="7"/>
  <c r="BS19" i="7"/>
  <c r="BT19" i="7" s="1"/>
  <c r="BR19" i="7"/>
  <c r="BQ19" i="7"/>
  <c r="BO19" i="7"/>
  <c r="BP19" i="7" s="1"/>
  <c r="BN19" i="7"/>
  <c r="BM19" i="7"/>
  <c r="BK19" i="7"/>
  <c r="BL19" i="7" s="1"/>
  <c r="BJ19" i="7"/>
  <c r="BI19" i="7"/>
  <c r="BG19" i="7"/>
  <c r="BH19" i="7" s="1"/>
  <c r="BF19" i="7"/>
  <c r="BE19" i="7"/>
  <c r="BC19" i="7"/>
  <c r="BD19" i="7" s="1"/>
  <c r="BB19" i="7"/>
  <c r="AZ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D19" i="7"/>
  <c r="C19" i="7"/>
  <c r="B19" i="7"/>
  <c r="FQ18" i="7"/>
  <c r="FO18" i="7"/>
  <c r="FM18" i="7"/>
  <c r="FL18" i="7"/>
  <c r="FJ18" i="7"/>
  <c r="FH18" i="7"/>
  <c r="FG18" i="7"/>
  <c r="FE18" i="7"/>
  <c r="FC18" i="7"/>
  <c r="EZ18" i="7"/>
  <c r="EY18" i="7"/>
  <c r="EX18" i="7"/>
  <c r="EW18" i="7"/>
  <c r="EV18" i="7"/>
  <c r="EU18" i="7"/>
  <c r="ET18" i="7"/>
  <c r="ES18" i="7"/>
  <c r="ER18" i="7"/>
  <c r="EQ18" i="7"/>
  <c r="EP18" i="7"/>
  <c r="EO18" i="7"/>
  <c r="EN18" i="7"/>
  <c r="EM18" i="7"/>
  <c r="EI18" i="7"/>
  <c r="EG18" i="7"/>
  <c r="EE18" i="7"/>
  <c r="EC18" i="7"/>
  <c r="EA18" i="7"/>
  <c r="DY18" i="7"/>
  <c r="DW18" i="7"/>
  <c r="DU18" i="7"/>
  <c r="DS18" i="7"/>
  <c r="DR18" i="7"/>
  <c r="DP18" i="7"/>
  <c r="DN18" i="7"/>
  <c r="DM18" i="7"/>
  <c r="DK18" i="7"/>
  <c r="DI18" i="7"/>
  <c r="DH18" i="7"/>
  <c r="DF18" i="7"/>
  <c r="DD18" i="7"/>
  <c r="DC18" i="7"/>
  <c r="DA18" i="7"/>
  <c r="CY18" i="7"/>
  <c r="CX18" i="7"/>
  <c r="CV18" i="7"/>
  <c r="CT18" i="7"/>
  <c r="CS18" i="7"/>
  <c r="CR18" i="7"/>
  <c r="CQ18" i="7"/>
  <c r="CP18" i="7"/>
  <c r="CO18" i="7"/>
  <c r="CN18" i="7"/>
  <c r="CM18" i="7"/>
  <c r="CL18" i="7"/>
  <c r="CK18" i="7"/>
  <c r="CI18" i="7"/>
  <c r="CJ18" i="7" s="1"/>
  <c r="CH18" i="7"/>
  <c r="CG18" i="7"/>
  <c r="CE18" i="7"/>
  <c r="CF18" i="7" s="1"/>
  <c r="CD18" i="7"/>
  <c r="CC18" i="7"/>
  <c r="CA18" i="7"/>
  <c r="CB18" i="7" s="1"/>
  <c r="BZ18" i="7"/>
  <c r="BY18" i="7"/>
  <c r="BW18" i="7"/>
  <c r="BX18" i="7" s="1"/>
  <c r="BV18" i="7"/>
  <c r="BU18" i="7"/>
  <c r="BS18" i="7"/>
  <c r="BT18" i="7" s="1"/>
  <c r="BR18" i="7"/>
  <c r="BQ18" i="7"/>
  <c r="BO18" i="7"/>
  <c r="BP18" i="7" s="1"/>
  <c r="BN18" i="7"/>
  <c r="BM18" i="7"/>
  <c r="BK18" i="7"/>
  <c r="BL18" i="7" s="1"/>
  <c r="BJ18" i="7"/>
  <c r="BI18" i="7"/>
  <c r="BG18" i="7"/>
  <c r="BH18" i="7" s="1"/>
  <c r="BF18" i="7"/>
  <c r="BE18" i="7"/>
  <c r="BC18" i="7"/>
  <c r="BD18" i="7" s="1"/>
  <c r="BB18" i="7"/>
  <c r="AZ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D18" i="7"/>
  <c r="C18" i="7"/>
  <c r="B18" i="7"/>
  <c r="FQ17" i="7"/>
  <c r="FO17" i="7"/>
  <c r="FM17" i="7"/>
  <c r="FL17" i="7"/>
  <c r="FJ17" i="7"/>
  <c r="FH17" i="7"/>
  <c r="FG17" i="7"/>
  <c r="FE17" i="7"/>
  <c r="FC17" i="7"/>
  <c r="EZ17" i="7"/>
  <c r="EY17" i="7"/>
  <c r="EX17" i="7"/>
  <c r="EW17" i="7"/>
  <c r="EV17" i="7"/>
  <c r="EU17" i="7"/>
  <c r="ET17" i="7"/>
  <c r="ES17" i="7"/>
  <c r="ER17" i="7"/>
  <c r="EQ17" i="7"/>
  <c r="EP17" i="7"/>
  <c r="EO17" i="7"/>
  <c r="EN17" i="7"/>
  <c r="EM17" i="7"/>
  <c r="EI17" i="7"/>
  <c r="EG17" i="7"/>
  <c r="EE17" i="7"/>
  <c r="EC17" i="7"/>
  <c r="EA17" i="7"/>
  <c r="DY17" i="7"/>
  <c r="DW17" i="7"/>
  <c r="DU17" i="7"/>
  <c r="DS17" i="7"/>
  <c r="DR17" i="7"/>
  <c r="DP17" i="7"/>
  <c r="DN17" i="7"/>
  <c r="DM17" i="7"/>
  <c r="DK17" i="7"/>
  <c r="DI17" i="7"/>
  <c r="DH17" i="7"/>
  <c r="DF17" i="7"/>
  <c r="DD17" i="7"/>
  <c r="DC17" i="7"/>
  <c r="DA17" i="7"/>
  <c r="CY17" i="7"/>
  <c r="CX17" i="7"/>
  <c r="CV17" i="7"/>
  <c r="CT17" i="7"/>
  <c r="CS17" i="7"/>
  <c r="CR17" i="7"/>
  <c r="CQ17" i="7"/>
  <c r="CP17" i="7"/>
  <c r="CO17" i="7"/>
  <c r="CN17" i="7"/>
  <c r="CM17" i="7"/>
  <c r="CL17" i="7"/>
  <c r="CK17" i="7"/>
  <c r="CI17" i="7"/>
  <c r="CJ17" i="7" s="1"/>
  <c r="CH17" i="7"/>
  <c r="CG17" i="7"/>
  <c r="CE17" i="7"/>
  <c r="CF17" i="7" s="1"/>
  <c r="CD17" i="7"/>
  <c r="CC17" i="7"/>
  <c r="CA17" i="7"/>
  <c r="CB17" i="7" s="1"/>
  <c r="BZ17" i="7"/>
  <c r="BY17" i="7"/>
  <c r="BW17" i="7"/>
  <c r="BX17" i="7" s="1"/>
  <c r="BV17" i="7"/>
  <c r="BU17" i="7"/>
  <c r="BS17" i="7"/>
  <c r="BT17" i="7" s="1"/>
  <c r="BR17" i="7"/>
  <c r="BQ17" i="7"/>
  <c r="BO17" i="7"/>
  <c r="BP17" i="7" s="1"/>
  <c r="BN17" i="7"/>
  <c r="BM17" i="7"/>
  <c r="BK17" i="7"/>
  <c r="BL17" i="7" s="1"/>
  <c r="BJ17" i="7"/>
  <c r="BI17" i="7"/>
  <c r="BG17" i="7"/>
  <c r="BH17" i="7" s="1"/>
  <c r="BF17" i="7"/>
  <c r="BE17" i="7"/>
  <c r="BC17" i="7"/>
  <c r="BD17" i="7" s="1"/>
  <c r="BB17" i="7"/>
  <c r="AZ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D17" i="7"/>
  <c r="C17" i="7"/>
  <c r="B17" i="7"/>
  <c r="FQ16" i="7"/>
  <c r="FO16" i="7"/>
  <c r="FM16" i="7"/>
  <c r="FL16" i="7"/>
  <c r="FJ16" i="7"/>
  <c r="FH16" i="7"/>
  <c r="FG16" i="7"/>
  <c r="FE16" i="7"/>
  <c r="FC16" i="7"/>
  <c r="EZ16" i="7"/>
  <c r="EY16" i="7"/>
  <c r="EX16" i="7"/>
  <c r="EW16" i="7"/>
  <c r="EV16" i="7"/>
  <c r="EU16" i="7"/>
  <c r="ET16" i="7"/>
  <c r="ES16" i="7"/>
  <c r="ER16" i="7"/>
  <c r="EQ16" i="7"/>
  <c r="EP16" i="7"/>
  <c r="EO16" i="7"/>
  <c r="EN16" i="7"/>
  <c r="EM16" i="7"/>
  <c r="EI16" i="7"/>
  <c r="EG16" i="7"/>
  <c r="EE16" i="7"/>
  <c r="EC16" i="7"/>
  <c r="EA16" i="7"/>
  <c r="DY16" i="7"/>
  <c r="DW16" i="7"/>
  <c r="DU16" i="7"/>
  <c r="DS16" i="7"/>
  <c r="DR16" i="7"/>
  <c r="DP16" i="7"/>
  <c r="DN16" i="7"/>
  <c r="DM16" i="7"/>
  <c r="DK16" i="7"/>
  <c r="DI16" i="7"/>
  <c r="DH16" i="7"/>
  <c r="DF16" i="7"/>
  <c r="DD16" i="7"/>
  <c r="DC16" i="7"/>
  <c r="DA16" i="7"/>
  <c r="CY16" i="7"/>
  <c r="CX16" i="7"/>
  <c r="CV16" i="7"/>
  <c r="CT16" i="7"/>
  <c r="CS16" i="7"/>
  <c r="CR16" i="7"/>
  <c r="CQ16" i="7"/>
  <c r="CP16" i="7"/>
  <c r="CO16" i="7"/>
  <c r="CN16" i="7"/>
  <c r="CM16" i="7"/>
  <c r="CL16" i="7"/>
  <c r="CK16" i="7"/>
  <c r="CI16" i="7"/>
  <c r="CJ16" i="7" s="1"/>
  <c r="CH16" i="7"/>
  <c r="CG16" i="7"/>
  <c r="CE16" i="7"/>
  <c r="CF16" i="7" s="1"/>
  <c r="CD16" i="7"/>
  <c r="CC16" i="7"/>
  <c r="CA16" i="7"/>
  <c r="CB16" i="7" s="1"/>
  <c r="BZ16" i="7"/>
  <c r="BY16" i="7"/>
  <c r="BW16" i="7"/>
  <c r="BX16" i="7" s="1"/>
  <c r="BV16" i="7"/>
  <c r="BU16" i="7"/>
  <c r="BS16" i="7"/>
  <c r="BT16" i="7" s="1"/>
  <c r="BR16" i="7"/>
  <c r="BQ16" i="7"/>
  <c r="BO16" i="7"/>
  <c r="BP16" i="7" s="1"/>
  <c r="BN16" i="7"/>
  <c r="BM16" i="7"/>
  <c r="BK16" i="7"/>
  <c r="BL16" i="7" s="1"/>
  <c r="BJ16" i="7"/>
  <c r="BI16" i="7"/>
  <c r="BG16" i="7"/>
  <c r="BH16" i="7" s="1"/>
  <c r="BF16" i="7"/>
  <c r="BE16" i="7"/>
  <c r="BC16" i="7"/>
  <c r="BD16" i="7" s="1"/>
  <c r="BB16" i="7"/>
  <c r="AZ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D16" i="7"/>
  <c r="C16" i="7"/>
  <c r="B16" i="7"/>
  <c r="FQ15" i="7"/>
  <c r="FO15" i="7"/>
  <c r="FM15" i="7"/>
  <c r="FL15" i="7"/>
  <c r="FJ15" i="7"/>
  <c r="FH15" i="7"/>
  <c r="FG15" i="7"/>
  <c r="FE15" i="7"/>
  <c r="FC15" i="7"/>
  <c r="EZ15" i="7"/>
  <c r="EY15" i="7"/>
  <c r="EX15" i="7"/>
  <c r="EW15" i="7"/>
  <c r="EV15" i="7"/>
  <c r="EU15" i="7"/>
  <c r="ET15" i="7"/>
  <c r="ES15" i="7"/>
  <c r="ER15" i="7"/>
  <c r="EQ15" i="7"/>
  <c r="EP15" i="7"/>
  <c r="EO15" i="7"/>
  <c r="EN15" i="7"/>
  <c r="EM15" i="7"/>
  <c r="EI15" i="7"/>
  <c r="EG15" i="7"/>
  <c r="EE15" i="7"/>
  <c r="EC15" i="7"/>
  <c r="EA15" i="7"/>
  <c r="DY15" i="7"/>
  <c r="DW15" i="7"/>
  <c r="DU15" i="7"/>
  <c r="DS15" i="7"/>
  <c r="DR15" i="7"/>
  <c r="DP15" i="7"/>
  <c r="DN15" i="7"/>
  <c r="DM15" i="7"/>
  <c r="DK15" i="7"/>
  <c r="DI15" i="7"/>
  <c r="DH15" i="7"/>
  <c r="DF15" i="7"/>
  <c r="DD15" i="7"/>
  <c r="DC15" i="7"/>
  <c r="DA15" i="7"/>
  <c r="CY15" i="7"/>
  <c r="CX15" i="7"/>
  <c r="CV15" i="7"/>
  <c r="CT15" i="7"/>
  <c r="CS15" i="7"/>
  <c r="CR15" i="7"/>
  <c r="CQ15" i="7"/>
  <c r="CP15" i="7"/>
  <c r="CO15" i="7"/>
  <c r="CN15" i="7"/>
  <c r="CM15" i="7"/>
  <c r="CL15" i="7"/>
  <c r="CK15" i="7"/>
  <c r="CI15" i="7"/>
  <c r="CJ15" i="7" s="1"/>
  <c r="CH15" i="7"/>
  <c r="CG15" i="7"/>
  <c r="CE15" i="7"/>
  <c r="CF15" i="7" s="1"/>
  <c r="CD15" i="7"/>
  <c r="CC15" i="7"/>
  <c r="CA15" i="7"/>
  <c r="CB15" i="7" s="1"/>
  <c r="BZ15" i="7"/>
  <c r="BY15" i="7"/>
  <c r="BW15" i="7"/>
  <c r="BX15" i="7" s="1"/>
  <c r="BV15" i="7"/>
  <c r="BU15" i="7"/>
  <c r="BS15" i="7"/>
  <c r="BT15" i="7" s="1"/>
  <c r="BR15" i="7"/>
  <c r="BQ15" i="7"/>
  <c r="BO15" i="7"/>
  <c r="BP15" i="7" s="1"/>
  <c r="BN15" i="7"/>
  <c r="BM15" i="7"/>
  <c r="BK15" i="7"/>
  <c r="BL15" i="7" s="1"/>
  <c r="BJ15" i="7"/>
  <c r="BI15" i="7"/>
  <c r="BG15" i="7"/>
  <c r="BH15" i="7" s="1"/>
  <c r="BF15" i="7"/>
  <c r="BE15" i="7"/>
  <c r="BC15" i="7"/>
  <c r="BD15" i="7" s="1"/>
  <c r="BB15" i="7"/>
  <c r="AZ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D15" i="7"/>
  <c r="C15" i="7"/>
  <c r="B15" i="7"/>
  <c r="FQ14" i="7"/>
  <c r="FO14" i="7"/>
  <c r="FM14" i="7"/>
  <c r="FL14" i="7"/>
  <c r="FJ14" i="7"/>
  <c r="FH14" i="7"/>
  <c r="FG14" i="7"/>
  <c r="FE14" i="7"/>
  <c r="FC14" i="7"/>
  <c r="EZ14" i="7"/>
  <c r="EY14" i="7"/>
  <c r="EX14" i="7"/>
  <c r="EW14" i="7"/>
  <c r="EV14" i="7"/>
  <c r="EU14" i="7"/>
  <c r="ET14" i="7"/>
  <c r="ES14" i="7"/>
  <c r="ER14" i="7"/>
  <c r="EQ14" i="7"/>
  <c r="EP14" i="7"/>
  <c r="EO14" i="7"/>
  <c r="EN14" i="7"/>
  <c r="EM14" i="7"/>
  <c r="EI14" i="7"/>
  <c r="EG14" i="7"/>
  <c r="EE14" i="7"/>
  <c r="EC14" i="7"/>
  <c r="EA14" i="7"/>
  <c r="DY14" i="7"/>
  <c r="DW14" i="7"/>
  <c r="DU14" i="7"/>
  <c r="DS14" i="7"/>
  <c r="DR14" i="7"/>
  <c r="DP14" i="7"/>
  <c r="DN14" i="7"/>
  <c r="DM14" i="7"/>
  <c r="DK14" i="7"/>
  <c r="DI14" i="7"/>
  <c r="DH14" i="7"/>
  <c r="DF14" i="7"/>
  <c r="DD14" i="7"/>
  <c r="DC14" i="7"/>
  <c r="DA14" i="7"/>
  <c r="CY14" i="7"/>
  <c r="CX14" i="7"/>
  <c r="CV14" i="7"/>
  <c r="CT14" i="7"/>
  <c r="CS14" i="7"/>
  <c r="CR14" i="7"/>
  <c r="CQ14" i="7"/>
  <c r="CP14" i="7"/>
  <c r="CO14" i="7"/>
  <c r="CN14" i="7"/>
  <c r="CM14" i="7"/>
  <c r="CL14" i="7"/>
  <c r="CK14" i="7"/>
  <c r="CI14" i="7"/>
  <c r="CJ14" i="7" s="1"/>
  <c r="CH14" i="7"/>
  <c r="CG14" i="7"/>
  <c r="CE14" i="7"/>
  <c r="CF14" i="7" s="1"/>
  <c r="CD14" i="7"/>
  <c r="CC14" i="7"/>
  <c r="CA14" i="7"/>
  <c r="CB14" i="7" s="1"/>
  <c r="BZ14" i="7"/>
  <c r="BY14" i="7"/>
  <c r="BW14" i="7"/>
  <c r="BX14" i="7" s="1"/>
  <c r="BV14" i="7"/>
  <c r="BU14" i="7"/>
  <c r="BS14" i="7"/>
  <c r="BT14" i="7" s="1"/>
  <c r="BR14" i="7"/>
  <c r="BQ14" i="7"/>
  <c r="BO14" i="7"/>
  <c r="BP14" i="7" s="1"/>
  <c r="BN14" i="7"/>
  <c r="BM14" i="7"/>
  <c r="BK14" i="7"/>
  <c r="BL14" i="7" s="1"/>
  <c r="BJ14" i="7"/>
  <c r="BI14" i="7"/>
  <c r="BG14" i="7"/>
  <c r="BH14" i="7" s="1"/>
  <c r="BF14" i="7"/>
  <c r="BE14" i="7"/>
  <c r="BC14" i="7"/>
  <c r="BD14" i="7" s="1"/>
  <c r="BB14" i="7"/>
  <c r="AZ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D14" i="7"/>
  <c r="C14" i="7"/>
  <c r="B14" i="7"/>
  <c r="FQ13" i="7"/>
  <c r="FO13" i="7"/>
  <c r="FM13" i="7"/>
  <c r="FL13" i="7"/>
  <c r="FJ13" i="7"/>
  <c r="FH13" i="7"/>
  <c r="FG13" i="7"/>
  <c r="FE13" i="7"/>
  <c r="FC13" i="7"/>
  <c r="EZ13" i="7"/>
  <c r="EY13" i="7"/>
  <c r="EX13" i="7"/>
  <c r="EW13" i="7"/>
  <c r="EV13" i="7"/>
  <c r="EU13" i="7"/>
  <c r="ET13" i="7"/>
  <c r="ES13" i="7"/>
  <c r="ER13" i="7"/>
  <c r="EQ13" i="7"/>
  <c r="EP13" i="7"/>
  <c r="EO13" i="7"/>
  <c r="EN13" i="7"/>
  <c r="EM13" i="7"/>
  <c r="EI13" i="7"/>
  <c r="EG13" i="7"/>
  <c r="EE13" i="7"/>
  <c r="EC13" i="7"/>
  <c r="EA13" i="7"/>
  <c r="DY13" i="7"/>
  <c r="DW13" i="7"/>
  <c r="DU13" i="7"/>
  <c r="DS13" i="7"/>
  <c r="DR13" i="7"/>
  <c r="DP13" i="7"/>
  <c r="DN13" i="7"/>
  <c r="DM13" i="7"/>
  <c r="DK13" i="7"/>
  <c r="DI13" i="7"/>
  <c r="DH13" i="7"/>
  <c r="DF13" i="7"/>
  <c r="DD13" i="7"/>
  <c r="DC13" i="7"/>
  <c r="DA13" i="7"/>
  <c r="CY13" i="7"/>
  <c r="CX13" i="7"/>
  <c r="CV13" i="7"/>
  <c r="CT13" i="7"/>
  <c r="CS13" i="7"/>
  <c r="CR13" i="7"/>
  <c r="CQ13" i="7"/>
  <c r="CP13" i="7"/>
  <c r="CO13" i="7"/>
  <c r="CN13" i="7"/>
  <c r="CM13" i="7"/>
  <c r="CL13" i="7"/>
  <c r="CK13" i="7"/>
  <c r="CI13" i="7"/>
  <c r="CJ13" i="7" s="1"/>
  <c r="CH13" i="7"/>
  <c r="CG13" i="7"/>
  <c r="CE13" i="7"/>
  <c r="CF13" i="7" s="1"/>
  <c r="CD13" i="7"/>
  <c r="CC13" i="7"/>
  <c r="CA13" i="7"/>
  <c r="CB13" i="7" s="1"/>
  <c r="BZ13" i="7"/>
  <c r="BY13" i="7"/>
  <c r="BW13" i="7"/>
  <c r="BX13" i="7" s="1"/>
  <c r="BV13" i="7"/>
  <c r="BU13" i="7"/>
  <c r="BS13" i="7"/>
  <c r="BT13" i="7" s="1"/>
  <c r="BR13" i="7"/>
  <c r="BQ13" i="7"/>
  <c r="BO13" i="7"/>
  <c r="BP13" i="7" s="1"/>
  <c r="BN13" i="7"/>
  <c r="BM13" i="7"/>
  <c r="BK13" i="7"/>
  <c r="BL13" i="7" s="1"/>
  <c r="BJ13" i="7"/>
  <c r="BI13" i="7"/>
  <c r="BG13" i="7"/>
  <c r="BH13" i="7" s="1"/>
  <c r="BF13" i="7"/>
  <c r="BE13" i="7"/>
  <c r="BC13" i="7"/>
  <c r="BD13" i="7" s="1"/>
  <c r="BB13" i="7"/>
  <c r="AZ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D13" i="7"/>
  <c r="C13" i="7"/>
  <c r="B13" i="7"/>
  <c r="FQ12" i="7"/>
  <c r="FO12" i="7"/>
  <c r="FM12" i="7"/>
  <c r="FL12" i="7"/>
  <c r="FJ12" i="7"/>
  <c r="FH12" i="7"/>
  <c r="FG12" i="7"/>
  <c r="FE12" i="7"/>
  <c r="FC12" i="7"/>
  <c r="EZ12" i="7"/>
  <c r="EY12" i="7"/>
  <c r="EX12" i="7"/>
  <c r="EW12" i="7"/>
  <c r="EV12" i="7"/>
  <c r="EU12" i="7"/>
  <c r="ET12" i="7"/>
  <c r="ES12" i="7"/>
  <c r="ER12" i="7"/>
  <c r="EQ12" i="7"/>
  <c r="EP12" i="7"/>
  <c r="EO12" i="7"/>
  <c r="EN12" i="7"/>
  <c r="EM12" i="7"/>
  <c r="EI12" i="7"/>
  <c r="EG12" i="7"/>
  <c r="EE12" i="7"/>
  <c r="EC12" i="7"/>
  <c r="EA12" i="7"/>
  <c r="DY12" i="7"/>
  <c r="DW12" i="7"/>
  <c r="DU12" i="7"/>
  <c r="DS12" i="7"/>
  <c r="DR12" i="7"/>
  <c r="DP12" i="7"/>
  <c r="DN12" i="7"/>
  <c r="DM12" i="7"/>
  <c r="DK12" i="7"/>
  <c r="DI12" i="7"/>
  <c r="DH12" i="7"/>
  <c r="DF12" i="7"/>
  <c r="DD12" i="7"/>
  <c r="DC12" i="7"/>
  <c r="DA12" i="7"/>
  <c r="CY12" i="7"/>
  <c r="CX12" i="7"/>
  <c r="CV12" i="7"/>
  <c r="CT12" i="7"/>
  <c r="CS12" i="7"/>
  <c r="CR12" i="7"/>
  <c r="CQ12" i="7"/>
  <c r="CP12" i="7"/>
  <c r="CO12" i="7"/>
  <c r="CN12" i="7"/>
  <c r="CM12" i="7"/>
  <c r="CL12" i="7"/>
  <c r="CK12" i="7"/>
  <c r="CI12" i="7"/>
  <c r="CJ12" i="7" s="1"/>
  <c r="CH12" i="7"/>
  <c r="CG12" i="7"/>
  <c r="CE12" i="7"/>
  <c r="CF12" i="7" s="1"/>
  <c r="CD12" i="7"/>
  <c r="CC12" i="7"/>
  <c r="CA12" i="7"/>
  <c r="CB12" i="7" s="1"/>
  <c r="BZ12" i="7"/>
  <c r="BY12" i="7"/>
  <c r="BW12" i="7"/>
  <c r="BX12" i="7" s="1"/>
  <c r="BV12" i="7"/>
  <c r="BU12" i="7"/>
  <c r="BS12" i="7"/>
  <c r="BT12" i="7" s="1"/>
  <c r="BR12" i="7"/>
  <c r="BQ12" i="7"/>
  <c r="BO12" i="7"/>
  <c r="BP12" i="7" s="1"/>
  <c r="BN12" i="7"/>
  <c r="BM12" i="7"/>
  <c r="BK12" i="7"/>
  <c r="BL12" i="7" s="1"/>
  <c r="BJ12" i="7"/>
  <c r="BI12" i="7"/>
  <c r="BG12" i="7"/>
  <c r="BH12" i="7" s="1"/>
  <c r="BF12" i="7"/>
  <c r="BE12" i="7"/>
  <c r="BC12" i="7"/>
  <c r="BD12" i="7" s="1"/>
  <c r="BB12" i="7"/>
  <c r="AZ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D12" i="7"/>
  <c r="C12" i="7"/>
  <c r="B12" i="7"/>
  <c r="FQ11" i="7"/>
  <c r="FO11" i="7"/>
  <c r="FM11" i="7"/>
  <c r="FL11" i="7"/>
  <c r="FJ11" i="7"/>
  <c r="FH11" i="7"/>
  <c r="FG11" i="7"/>
  <c r="FE11" i="7"/>
  <c r="FC11" i="7"/>
  <c r="EZ11" i="7"/>
  <c r="EY11" i="7"/>
  <c r="EX11" i="7"/>
  <c r="EW11" i="7"/>
  <c r="EV11" i="7"/>
  <c r="EU11" i="7"/>
  <c r="ET11" i="7"/>
  <c r="ES11" i="7"/>
  <c r="ER11" i="7"/>
  <c r="EQ11" i="7"/>
  <c r="EP11" i="7"/>
  <c r="EO11" i="7"/>
  <c r="EN11" i="7"/>
  <c r="EM11" i="7"/>
  <c r="EI11" i="7"/>
  <c r="EG11" i="7"/>
  <c r="EE11" i="7"/>
  <c r="EC11" i="7"/>
  <c r="EA11" i="7"/>
  <c r="DY11" i="7"/>
  <c r="DW11" i="7"/>
  <c r="DU11" i="7"/>
  <c r="DS11" i="7"/>
  <c r="DR11" i="7"/>
  <c r="DP11" i="7"/>
  <c r="DN11" i="7"/>
  <c r="DM11" i="7"/>
  <c r="DK11" i="7"/>
  <c r="DI11" i="7"/>
  <c r="DH11" i="7"/>
  <c r="DF11" i="7"/>
  <c r="DD11" i="7"/>
  <c r="DC11" i="7"/>
  <c r="DA11" i="7"/>
  <c r="CY11" i="7"/>
  <c r="CX11" i="7"/>
  <c r="CV11" i="7"/>
  <c r="CT11" i="7"/>
  <c r="CS11" i="7"/>
  <c r="CR11" i="7"/>
  <c r="CQ11" i="7"/>
  <c r="CP11" i="7"/>
  <c r="CO11" i="7"/>
  <c r="CN11" i="7"/>
  <c r="CM11" i="7"/>
  <c r="CL11" i="7"/>
  <c r="CK11" i="7"/>
  <c r="CI11" i="7"/>
  <c r="CJ11" i="7" s="1"/>
  <c r="CH11" i="7"/>
  <c r="CG11" i="7"/>
  <c r="CE11" i="7"/>
  <c r="CF11" i="7" s="1"/>
  <c r="CD11" i="7"/>
  <c r="CC11" i="7"/>
  <c r="CA11" i="7"/>
  <c r="CB11" i="7" s="1"/>
  <c r="BZ11" i="7"/>
  <c r="BY11" i="7"/>
  <c r="BW11" i="7"/>
  <c r="BX11" i="7" s="1"/>
  <c r="BV11" i="7"/>
  <c r="BU11" i="7"/>
  <c r="BS11" i="7"/>
  <c r="BT11" i="7" s="1"/>
  <c r="BR11" i="7"/>
  <c r="BQ11" i="7"/>
  <c r="BO11" i="7"/>
  <c r="BP11" i="7" s="1"/>
  <c r="BN11" i="7"/>
  <c r="BM11" i="7"/>
  <c r="BK11" i="7"/>
  <c r="BL11" i="7" s="1"/>
  <c r="BJ11" i="7"/>
  <c r="BI11" i="7"/>
  <c r="BG11" i="7"/>
  <c r="BH11" i="7" s="1"/>
  <c r="BF11" i="7"/>
  <c r="BE11" i="7"/>
  <c r="BC11" i="7"/>
  <c r="BD11" i="7" s="1"/>
  <c r="BB11" i="7"/>
  <c r="AZ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D11" i="7"/>
  <c r="C11" i="7"/>
  <c r="B11" i="7"/>
  <c r="FQ10" i="7"/>
  <c r="FO10" i="7"/>
  <c r="FM10" i="7"/>
  <c r="FL10" i="7"/>
  <c r="FJ10" i="7"/>
  <c r="FH10" i="7"/>
  <c r="FG10" i="7"/>
  <c r="FE10" i="7"/>
  <c r="FC10" i="7"/>
  <c r="EZ10" i="7"/>
  <c r="EY10" i="7"/>
  <c r="EX10" i="7"/>
  <c r="EW10" i="7"/>
  <c r="EV10" i="7"/>
  <c r="EU10" i="7"/>
  <c r="ET10" i="7"/>
  <c r="ES10" i="7"/>
  <c r="ER10" i="7"/>
  <c r="EQ10" i="7"/>
  <c r="EP10" i="7"/>
  <c r="EO10" i="7"/>
  <c r="EN10" i="7"/>
  <c r="EM10" i="7"/>
  <c r="EI10" i="7"/>
  <c r="EG10" i="7"/>
  <c r="EE10" i="7"/>
  <c r="EC10" i="7"/>
  <c r="EA10" i="7"/>
  <c r="DY10" i="7"/>
  <c r="DW10" i="7"/>
  <c r="DU10" i="7"/>
  <c r="DS10" i="7"/>
  <c r="DR10" i="7"/>
  <c r="DP10" i="7"/>
  <c r="DN10" i="7"/>
  <c r="DM10" i="7"/>
  <c r="DK10" i="7"/>
  <c r="DI10" i="7"/>
  <c r="DH10" i="7"/>
  <c r="DF10" i="7"/>
  <c r="DD10" i="7"/>
  <c r="DC10" i="7"/>
  <c r="DA10" i="7"/>
  <c r="CY10" i="7"/>
  <c r="CX10" i="7"/>
  <c r="CV10" i="7"/>
  <c r="CT10" i="7"/>
  <c r="CS10" i="7"/>
  <c r="CR10" i="7"/>
  <c r="CQ10" i="7"/>
  <c r="CP10" i="7"/>
  <c r="CO10" i="7"/>
  <c r="CN10" i="7"/>
  <c r="CM10" i="7"/>
  <c r="CL10" i="7"/>
  <c r="CK10" i="7"/>
  <c r="CI10" i="7"/>
  <c r="CJ10" i="7" s="1"/>
  <c r="CH10" i="7"/>
  <c r="CG10" i="7"/>
  <c r="CE10" i="7"/>
  <c r="CF10" i="7" s="1"/>
  <c r="CD10" i="7"/>
  <c r="CC10" i="7"/>
  <c r="CA10" i="7"/>
  <c r="CB10" i="7" s="1"/>
  <c r="BZ10" i="7"/>
  <c r="BY10" i="7"/>
  <c r="BW10" i="7"/>
  <c r="BX10" i="7" s="1"/>
  <c r="BV10" i="7"/>
  <c r="BU10" i="7"/>
  <c r="BS10" i="7"/>
  <c r="BT10" i="7" s="1"/>
  <c r="BR10" i="7"/>
  <c r="BQ10" i="7"/>
  <c r="BO10" i="7"/>
  <c r="BP10" i="7" s="1"/>
  <c r="BN10" i="7"/>
  <c r="BM10" i="7"/>
  <c r="BK10" i="7"/>
  <c r="BL10" i="7" s="1"/>
  <c r="BJ10" i="7"/>
  <c r="BI10" i="7"/>
  <c r="BG10" i="7"/>
  <c r="BH10" i="7" s="1"/>
  <c r="BF10" i="7"/>
  <c r="BE10" i="7"/>
  <c r="BC10" i="7"/>
  <c r="BD10" i="7" s="1"/>
  <c r="BB10" i="7"/>
  <c r="AZ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D10" i="7"/>
  <c r="C10" i="7"/>
  <c r="B10" i="7"/>
  <c r="FQ9" i="7"/>
  <c r="FO9" i="7"/>
  <c r="FM9" i="7"/>
  <c r="FL9" i="7"/>
  <c r="FJ9" i="7"/>
  <c r="FH9" i="7"/>
  <c r="FG9" i="7"/>
  <c r="FE9" i="7"/>
  <c r="FC9" i="7"/>
  <c r="EZ9" i="7"/>
  <c r="EY9" i="7"/>
  <c r="EX9" i="7"/>
  <c r="EW9" i="7"/>
  <c r="EV9" i="7"/>
  <c r="EU9" i="7"/>
  <c r="ET9" i="7"/>
  <c r="ES9" i="7"/>
  <c r="ER9" i="7"/>
  <c r="EQ9" i="7"/>
  <c r="EP9" i="7"/>
  <c r="EO9" i="7"/>
  <c r="EN9" i="7"/>
  <c r="EM9" i="7"/>
  <c r="EI9" i="7"/>
  <c r="EG9" i="7"/>
  <c r="EE9" i="7"/>
  <c r="EC9" i="7"/>
  <c r="EA9" i="7"/>
  <c r="DY9" i="7"/>
  <c r="DW9" i="7"/>
  <c r="DU9" i="7"/>
  <c r="DS9" i="7"/>
  <c r="DR9" i="7"/>
  <c r="DP9" i="7"/>
  <c r="DN9" i="7"/>
  <c r="DM9" i="7"/>
  <c r="DK9" i="7"/>
  <c r="DI9" i="7"/>
  <c r="DH9" i="7"/>
  <c r="DF9" i="7"/>
  <c r="DD9" i="7"/>
  <c r="DC9" i="7"/>
  <c r="DA9" i="7"/>
  <c r="CY9" i="7"/>
  <c r="CX9" i="7"/>
  <c r="CV9" i="7"/>
  <c r="CT9" i="7"/>
  <c r="CS9" i="7"/>
  <c r="CR9" i="7"/>
  <c r="CQ9" i="7"/>
  <c r="CP9" i="7"/>
  <c r="CO9" i="7"/>
  <c r="CN9" i="7"/>
  <c r="CM9" i="7"/>
  <c r="CL9" i="7"/>
  <c r="CK9" i="7"/>
  <c r="CI9" i="7"/>
  <c r="CJ9" i="7" s="1"/>
  <c r="CH9" i="7"/>
  <c r="CG9" i="7"/>
  <c r="CE9" i="7"/>
  <c r="CF9" i="7" s="1"/>
  <c r="CD9" i="7"/>
  <c r="CC9" i="7"/>
  <c r="CA9" i="7"/>
  <c r="CB9" i="7" s="1"/>
  <c r="BZ9" i="7"/>
  <c r="BY9" i="7"/>
  <c r="BW9" i="7"/>
  <c r="BX9" i="7" s="1"/>
  <c r="BV9" i="7"/>
  <c r="BU9" i="7"/>
  <c r="BS9" i="7"/>
  <c r="BT9" i="7" s="1"/>
  <c r="BR9" i="7"/>
  <c r="BQ9" i="7"/>
  <c r="BO9" i="7"/>
  <c r="BP9" i="7" s="1"/>
  <c r="BN9" i="7"/>
  <c r="BM9" i="7"/>
  <c r="BK9" i="7"/>
  <c r="BL9" i="7" s="1"/>
  <c r="BJ9" i="7"/>
  <c r="BI9" i="7"/>
  <c r="BG9" i="7"/>
  <c r="BH9" i="7" s="1"/>
  <c r="BF9" i="7"/>
  <c r="BE9" i="7"/>
  <c r="BC9" i="7"/>
  <c r="BD9" i="7" s="1"/>
  <c r="BB9" i="7"/>
  <c r="AZ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D9" i="7"/>
  <c r="C9" i="7"/>
  <c r="B9" i="7"/>
  <c r="FQ8" i="7"/>
  <c r="FO8" i="7"/>
  <c r="FM8" i="7"/>
  <c r="FL8" i="7"/>
  <c r="FJ8" i="7"/>
  <c r="FH8" i="7"/>
  <c r="FG8" i="7"/>
  <c r="FE8" i="7"/>
  <c r="FC8" i="7"/>
  <c r="EZ8" i="7"/>
  <c r="EY8" i="7"/>
  <c r="EX8" i="7"/>
  <c r="EW8" i="7"/>
  <c r="EV8" i="7"/>
  <c r="EU8" i="7"/>
  <c r="ET8" i="7"/>
  <c r="ES8" i="7"/>
  <c r="ER8" i="7"/>
  <c r="EQ8" i="7"/>
  <c r="EP8" i="7"/>
  <c r="EO8" i="7"/>
  <c r="EN8" i="7"/>
  <c r="EM8" i="7"/>
  <c r="EI8" i="7"/>
  <c r="EG8" i="7"/>
  <c r="EE8" i="7"/>
  <c r="EC8" i="7"/>
  <c r="EA8" i="7"/>
  <c r="DY8" i="7"/>
  <c r="DW8" i="7"/>
  <c r="DU8" i="7"/>
  <c r="DS8" i="7"/>
  <c r="DR8" i="7"/>
  <c r="DP8" i="7"/>
  <c r="DN8" i="7"/>
  <c r="DM8" i="7"/>
  <c r="DK8" i="7"/>
  <c r="DI8" i="7"/>
  <c r="DH8" i="7"/>
  <c r="DF8" i="7"/>
  <c r="DD8" i="7"/>
  <c r="DC8" i="7"/>
  <c r="DA8" i="7"/>
  <c r="CY8" i="7"/>
  <c r="CX8" i="7"/>
  <c r="CV8" i="7"/>
  <c r="CT8" i="7"/>
  <c r="CS8" i="7"/>
  <c r="CR8" i="7"/>
  <c r="CQ8" i="7"/>
  <c r="CP8" i="7"/>
  <c r="CO8" i="7"/>
  <c r="CN8" i="7"/>
  <c r="CM8" i="7"/>
  <c r="CL8" i="7"/>
  <c r="CK8" i="7"/>
  <c r="CI8" i="7"/>
  <c r="CJ8" i="7" s="1"/>
  <c r="CH8" i="7"/>
  <c r="CG8" i="7"/>
  <c r="CE8" i="7"/>
  <c r="CF8" i="7" s="1"/>
  <c r="CD8" i="7"/>
  <c r="CC8" i="7"/>
  <c r="CA8" i="7"/>
  <c r="CB8" i="7" s="1"/>
  <c r="BZ8" i="7"/>
  <c r="BY8" i="7"/>
  <c r="BW8" i="7"/>
  <c r="BX8" i="7" s="1"/>
  <c r="BV8" i="7"/>
  <c r="BU8" i="7"/>
  <c r="BS8" i="7"/>
  <c r="BT8" i="7" s="1"/>
  <c r="BR8" i="7"/>
  <c r="BQ8" i="7"/>
  <c r="BO8" i="7"/>
  <c r="BP8" i="7" s="1"/>
  <c r="BN8" i="7"/>
  <c r="BM8" i="7"/>
  <c r="BK8" i="7"/>
  <c r="BL8" i="7" s="1"/>
  <c r="BJ8" i="7"/>
  <c r="BI8" i="7"/>
  <c r="BG8" i="7"/>
  <c r="BH8" i="7" s="1"/>
  <c r="BF8" i="7"/>
  <c r="BE8" i="7"/>
  <c r="BC8" i="7"/>
  <c r="BD8" i="7" s="1"/>
  <c r="BB8" i="7"/>
  <c r="AZ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D8" i="7"/>
  <c r="C8" i="7"/>
  <c r="B8" i="7"/>
  <c r="FQ7" i="7"/>
  <c r="FO7" i="7"/>
  <c r="FM7" i="7"/>
  <c r="FL7" i="7"/>
  <c r="FJ7" i="7"/>
  <c r="FH7" i="7"/>
  <c r="FG7" i="7"/>
  <c r="FE7" i="7"/>
  <c r="FC7" i="7"/>
  <c r="EZ7" i="7"/>
  <c r="EY7" i="7"/>
  <c r="EX7" i="7"/>
  <c r="EW7" i="7"/>
  <c r="EV7" i="7"/>
  <c r="EU7" i="7"/>
  <c r="ET7" i="7"/>
  <c r="ES7" i="7"/>
  <c r="ER7" i="7"/>
  <c r="EQ7" i="7"/>
  <c r="EP7" i="7"/>
  <c r="EO7" i="7"/>
  <c r="EN7" i="7"/>
  <c r="EM7" i="7"/>
  <c r="EI7" i="7"/>
  <c r="EG7" i="7"/>
  <c r="EE7" i="7"/>
  <c r="EC7" i="7"/>
  <c r="EA7" i="7"/>
  <c r="DY7" i="7"/>
  <c r="DW7" i="7"/>
  <c r="DU7" i="7"/>
  <c r="DS7" i="7"/>
  <c r="DR7" i="7"/>
  <c r="DP7" i="7"/>
  <c r="DN7" i="7"/>
  <c r="DM7" i="7"/>
  <c r="DK7" i="7"/>
  <c r="DI7" i="7"/>
  <c r="DH7" i="7"/>
  <c r="DF7" i="7"/>
  <c r="DD7" i="7"/>
  <c r="DC7" i="7"/>
  <c r="DA7" i="7"/>
  <c r="CY7" i="7"/>
  <c r="CX7" i="7"/>
  <c r="CV7" i="7"/>
  <c r="CT7" i="7"/>
  <c r="CS7" i="7"/>
  <c r="CR7" i="7"/>
  <c r="CQ7" i="7"/>
  <c r="CP7" i="7"/>
  <c r="CO7" i="7"/>
  <c r="CN7" i="7"/>
  <c r="CM7" i="7"/>
  <c r="CL7" i="7"/>
  <c r="CK7" i="7"/>
  <c r="CI7" i="7"/>
  <c r="CJ7" i="7" s="1"/>
  <c r="CH7" i="7"/>
  <c r="CG7" i="7"/>
  <c r="CE7" i="7"/>
  <c r="CF7" i="7" s="1"/>
  <c r="CD7" i="7"/>
  <c r="CC7" i="7"/>
  <c r="CA7" i="7"/>
  <c r="CB7" i="7" s="1"/>
  <c r="BZ7" i="7"/>
  <c r="BY7" i="7"/>
  <c r="BW7" i="7"/>
  <c r="BX7" i="7" s="1"/>
  <c r="BV7" i="7"/>
  <c r="BU7" i="7"/>
  <c r="BS7" i="7"/>
  <c r="BT7" i="7" s="1"/>
  <c r="BR7" i="7"/>
  <c r="BQ7" i="7"/>
  <c r="BO7" i="7"/>
  <c r="BP7" i="7" s="1"/>
  <c r="BN7" i="7"/>
  <c r="BM7" i="7"/>
  <c r="BK7" i="7"/>
  <c r="BL7" i="7" s="1"/>
  <c r="BJ7" i="7"/>
  <c r="BI7" i="7"/>
  <c r="BH7" i="7"/>
  <c r="BG7" i="7"/>
  <c r="BF7" i="7"/>
  <c r="BE7" i="7"/>
  <c r="BC7" i="7"/>
  <c r="BD7" i="7" s="1"/>
  <c r="BB7" i="7"/>
  <c r="AZ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D7" i="7"/>
  <c r="C7" i="7"/>
  <c r="B7" i="7"/>
  <c r="FQ6" i="7"/>
  <c r="FO6" i="7"/>
  <c r="FM6" i="7"/>
  <c r="FL6" i="7"/>
  <c r="FJ6" i="7"/>
  <c r="FH6" i="7"/>
  <c r="FG6" i="7"/>
  <c r="FE6" i="7"/>
  <c r="FC6" i="7"/>
  <c r="EZ6" i="7"/>
  <c r="EY6" i="7"/>
  <c r="EX6" i="7"/>
  <c r="EW6" i="7"/>
  <c r="EV6" i="7"/>
  <c r="EU6" i="7"/>
  <c r="ET6" i="7"/>
  <c r="ES6" i="7"/>
  <c r="ER6" i="7"/>
  <c r="EQ6" i="7"/>
  <c r="EP6" i="7"/>
  <c r="EO6" i="7"/>
  <c r="EN6" i="7"/>
  <c r="EM6" i="7"/>
  <c r="EI6" i="7"/>
  <c r="EG6" i="7"/>
  <c r="EE6" i="7"/>
  <c r="EC6" i="7"/>
  <c r="EA6" i="7"/>
  <c r="DY6" i="7"/>
  <c r="DW6" i="7"/>
  <c r="DU6" i="7"/>
  <c r="DS6" i="7"/>
  <c r="DR6" i="7"/>
  <c r="DP6" i="7"/>
  <c r="DN6" i="7"/>
  <c r="DM6" i="7"/>
  <c r="DK6" i="7"/>
  <c r="DI6" i="7"/>
  <c r="DH6" i="7"/>
  <c r="DF6" i="7"/>
  <c r="DD6" i="7"/>
  <c r="DC6" i="7"/>
  <c r="DA6" i="7"/>
  <c r="CY6" i="7"/>
  <c r="CX6" i="7"/>
  <c r="CV6" i="7"/>
  <c r="CT6" i="7"/>
  <c r="CS6" i="7"/>
  <c r="CR6" i="7"/>
  <c r="CQ6" i="7"/>
  <c r="CP6" i="7"/>
  <c r="CO6" i="7"/>
  <c r="CN6" i="7"/>
  <c r="CM6" i="7"/>
  <c r="CL6" i="7"/>
  <c r="CK6" i="7"/>
  <c r="CI6" i="7"/>
  <c r="CJ6" i="7" s="1"/>
  <c r="CH6" i="7"/>
  <c r="CG6" i="7"/>
  <c r="CE6" i="7"/>
  <c r="CF6" i="7" s="1"/>
  <c r="CD6" i="7"/>
  <c r="CC6" i="7"/>
  <c r="CA6" i="7"/>
  <c r="CB6" i="7" s="1"/>
  <c r="BZ6" i="7"/>
  <c r="BY6" i="7"/>
  <c r="BW6" i="7"/>
  <c r="BX6" i="7" s="1"/>
  <c r="BV6" i="7"/>
  <c r="BU6" i="7"/>
  <c r="BS6" i="7"/>
  <c r="BT6" i="7" s="1"/>
  <c r="BR6" i="7"/>
  <c r="BQ6" i="7"/>
  <c r="BO6" i="7"/>
  <c r="BP6" i="7" s="1"/>
  <c r="BN6" i="7"/>
  <c r="BM6" i="7"/>
  <c r="BK6" i="7"/>
  <c r="BL6" i="7" s="1"/>
  <c r="BJ6" i="7"/>
  <c r="BI6" i="7"/>
  <c r="BG6" i="7"/>
  <c r="BH6" i="7" s="1"/>
  <c r="BF6" i="7"/>
  <c r="BE6" i="7"/>
  <c r="BC6" i="7"/>
  <c r="BD6" i="7" s="1"/>
  <c r="BB6" i="7"/>
  <c r="AZ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D6" i="7"/>
  <c r="C6" i="7"/>
  <c r="B6" i="7"/>
  <c r="FQ5" i="7"/>
  <c r="FO5" i="7"/>
  <c r="FM5" i="7"/>
  <c r="FL5" i="7"/>
  <c r="FJ5" i="7"/>
  <c r="FH5" i="7"/>
  <c r="FG5" i="7"/>
  <c r="FE5" i="7"/>
  <c r="FC5" i="7"/>
  <c r="EZ5" i="7"/>
  <c r="EY5" i="7"/>
  <c r="EX5" i="7"/>
  <c r="EW5" i="7"/>
  <c r="EV5" i="7"/>
  <c r="EU5" i="7"/>
  <c r="ET5" i="7"/>
  <c r="ES5" i="7"/>
  <c r="ER5" i="7"/>
  <c r="EI5" i="7"/>
  <c r="EG5" i="7"/>
  <c r="EE5" i="7"/>
  <c r="EC5" i="7"/>
  <c r="EA5" i="7"/>
  <c r="DY5" i="7"/>
  <c r="DW5" i="7"/>
  <c r="DU5" i="7"/>
  <c r="DS5" i="7"/>
  <c r="DR5" i="7"/>
  <c r="DP5" i="7"/>
  <c r="DN5" i="7"/>
  <c r="DM5" i="7"/>
  <c r="DK5" i="7"/>
  <c r="DI5" i="7"/>
  <c r="DH5" i="7"/>
  <c r="DF5" i="7"/>
  <c r="DD5" i="7"/>
  <c r="DC5" i="7"/>
  <c r="DA5" i="7"/>
  <c r="CY5" i="7"/>
  <c r="CX5" i="7"/>
  <c r="CV5" i="7"/>
  <c r="CT5" i="7"/>
  <c r="CS5" i="7"/>
  <c r="CR5" i="7"/>
  <c r="CQ5" i="7"/>
  <c r="CP5" i="7"/>
  <c r="CO5" i="7"/>
  <c r="CN5" i="7"/>
  <c r="CH5" i="7"/>
  <c r="CG5" i="7"/>
  <c r="CD5" i="7"/>
  <c r="CC5" i="7"/>
  <c r="BZ5" i="7"/>
  <c r="BY5" i="7"/>
  <c r="BV5" i="7"/>
  <c r="BU5" i="7"/>
  <c r="BR5" i="7"/>
  <c r="BQ5" i="7"/>
  <c r="BN5" i="7"/>
  <c r="BM5" i="7"/>
  <c r="BJ5" i="7"/>
  <c r="BI5" i="7"/>
  <c r="BF5" i="7"/>
  <c r="BE5" i="7"/>
  <c r="BB5" i="7"/>
  <c r="AZ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D5" i="7"/>
  <c r="C5" i="7"/>
  <c r="B40" i="6" l="1"/>
  <c r="A40" i="6"/>
  <c r="B119" i="6"/>
  <c r="A39" i="6"/>
  <c r="B39" i="6"/>
  <c r="A98" i="6"/>
  <c r="A4" i="6"/>
  <c r="A5" i="6"/>
  <c r="A6" i="6"/>
  <c r="A7" i="6"/>
  <c r="A10" i="6"/>
  <c r="A11" i="6"/>
  <c r="A15" i="6"/>
  <c r="A16" i="6"/>
  <c r="A17" i="6"/>
  <c r="A18" i="6"/>
  <c r="A19" i="6"/>
  <c r="A21" i="6"/>
  <c r="A22" i="6"/>
  <c r="A23" i="6"/>
  <c r="A24" i="6"/>
  <c r="A25" i="6"/>
  <c r="A26" i="6"/>
  <c r="A27" i="6"/>
  <c r="A28" i="6"/>
  <c r="A29" i="6"/>
  <c r="A30" i="6"/>
  <c r="A31" i="6"/>
  <c r="A32" i="6"/>
  <c r="A33" i="6"/>
  <c r="A34" i="6"/>
  <c r="A35" i="6"/>
  <c r="A36" i="6"/>
  <c r="A37" i="6"/>
  <c r="A38" i="6"/>
  <c r="A41"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7" i="6"/>
  <c r="A88" i="6"/>
  <c r="A89" i="6"/>
  <c r="A90" i="6"/>
  <c r="A91" i="6"/>
  <c r="A92" i="6"/>
  <c r="A93" i="6"/>
  <c r="A95" i="6"/>
  <c r="A96" i="6"/>
  <c r="A97" i="6"/>
  <c r="A99" i="6"/>
  <c r="A100" i="6"/>
  <c r="A102" i="6"/>
  <c r="A103" i="6"/>
  <c r="A3" i="6"/>
  <c r="A94" i="6"/>
  <c r="B94" i="6"/>
  <c r="B4" i="6"/>
  <c r="B5" i="6"/>
  <c r="B6" i="6"/>
  <c r="B7" i="6"/>
  <c r="B8" i="6"/>
  <c r="B9" i="6"/>
  <c r="B10" i="6"/>
  <c r="B11" i="6"/>
  <c r="B12" i="6"/>
  <c r="B13" i="6"/>
  <c r="B14" i="6"/>
  <c r="B15" i="6"/>
  <c r="B16" i="6"/>
  <c r="B17" i="6"/>
  <c r="B18" i="6"/>
  <c r="B19" i="6"/>
  <c r="B21" i="6"/>
  <c r="B22" i="6"/>
  <c r="B23" i="6"/>
  <c r="B24" i="6"/>
  <c r="B25" i="6"/>
  <c r="B26" i="6"/>
  <c r="B27" i="6"/>
  <c r="B28" i="6"/>
  <c r="B29" i="6"/>
  <c r="B30" i="6"/>
  <c r="B31" i="6"/>
  <c r="B32" i="6"/>
  <c r="B33" i="6"/>
  <c r="B34" i="6"/>
  <c r="B35" i="6"/>
  <c r="B36" i="6"/>
  <c r="B37" i="6"/>
  <c r="B38" i="6"/>
  <c r="B41"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5" i="6"/>
  <c r="B96" i="6"/>
  <c r="B97" i="6"/>
  <c r="B98" i="6"/>
  <c r="B99" i="6"/>
  <c r="B100" i="6"/>
  <c r="B101" i="6"/>
  <c r="B102" i="6"/>
  <c r="B103" i="6"/>
  <c r="B104" i="6"/>
  <c r="B105" i="6"/>
  <c r="B106" i="6"/>
  <c r="B107" i="6"/>
  <c r="B108" i="6"/>
  <c r="B109" i="6"/>
  <c r="B110" i="6"/>
  <c r="B111" i="6"/>
  <c r="B112" i="6"/>
  <c r="B113" i="6"/>
  <c r="B114" i="6"/>
  <c r="B115" i="6"/>
  <c r="B116" i="6"/>
  <c r="B117" i="6"/>
  <c r="B118" i="6"/>
  <c r="B120" i="6"/>
  <c r="B121" i="6"/>
  <c r="B122" i="6"/>
  <c r="B123" i="6"/>
  <c r="B124" i="6"/>
  <c r="B125" i="6"/>
  <c r="B126" i="6"/>
  <c r="B127" i="6"/>
  <c r="B3" i="6"/>
  <c r="A8" i="6"/>
  <c r="A9" i="6"/>
  <c r="A12" i="6"/>
  <c r="A13" i="6"/>
  <c r="A14" i="6"/>
  <c r="A85" i="6"/>
  <c r="A86" i="6"/>
  <c r="A101" i="6"/>
  <c r="A104" i="6"/>
  <c r="A105" i="6"/>
  <c r="A106" i="6"/>
  <c r="A107" i="6"/>
  <c r="A108" i="6"/>
  <c r="A109" i="6"/>
  <c r="A110" i="6"/>
  <c r="A111" i="6"/>
  <c r="A112" i="6"/>
  <c r="A113" i="6"/>
  <c r="A114" i="6"/>
  <c r="A115" i="6"/>
  <c r="A116" i="6"/>
  <c r="A117" i="6"/>
  <c r="A118" i="6"/>
  <c r="A119" i="6"/>
  <c r="A120" i="6"/>
  <c r="A121" i="6"/>
  <c r="A122" i="6"/>
  <c r="A123" i="6"/>
  <c r="A124" i="6"/>
  <c r="A125" i="6"/>
  <c r="A126" i="6"/>
  <c r="A127" i="6"/>
  <c r="ES17" i="2"/>
  <c r="EP17" i="2"/>
  <c r="G17" i="2"/>
  <c r="ES16" i="2"/>
  <c r="EP16" i="2"/>
  <c r="G16" i="2"/>
  <c r="ES15" i="2"/>
  <c r="EP15" i="2"/>
  <c r="G15" i="2"/>
  <c r="ES14" i="2"/>
  <c r="EP14" i="2"/>
  <c r="G14" i="2"/>
  <c r="ES13" i="2"/>
  <c r="G13" i="2"/>
  <c r="ES12" i="2"/>
  <c r="EP12" i="2"/>
  <c r="G12" i="2"/>
  <c r="ES11" i="2"/>
  <c r="EP11" i="2"/>
  <c r="G11" i="2"/>
  <c r="ES10" i="2"/>
  <c r="EP10" i="2"/>
  <c r="G10" i="2"/>
  <c r="ES9" i="2"/>
  <c r="EP9" i="2"/>
  <c r="G9" i="2"/>
  <c r="ES8" i="2"/>
  <c r="EP8" i="2"/>
  <c r="G8" i="2"/>
  <c r="ES7" i="2"/>
  <c r="EP7" i="2"/>
  <c r="G7" i="2"/>
  <c r="ES6" i="2"/>
  <c r="G6" i="2"/>
  <c r="ES5" i="2"/>
  <c r="EP5" i="2"/>
  <c r="G5" i="2"/>
</calcChain>
</file>

<file path=xl/sharedStrings.xml><?xml version="1.0" encoding="utf-8"?>
<sst xmlns="http://schemas.openxmlformats.org/spreadsheetml/2006/main" count="7512" uniqueCount="1542">
  <si>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</si>
  <si>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</si>
  <si>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</si>
  <si>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</si>
  <si>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</si>
  <si>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</si>
  <si>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</si>
  <si>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</si>
  <si>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</si>
  <si>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</si>
  <si>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</si>
  <si>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</si>
  <si>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</si>
  <si>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</si>
  <si>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</si>
  <si>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</si>
  <si>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</si>
  <si>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</si>
  <si>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</si>
  <si>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</si>
  <si>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</si>
  <si>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</si>
  <si>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</si>
  <si>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</si>
  <si>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</si>
  <si>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</si>
  <si>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</si>
  <si>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</si>
  <si>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</si>
  <si>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</si>
  <si>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</si>
  <si>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</si>
  <si>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</si>
  <si>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</si>
  <si>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</si>
  <si>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</si>
  <si>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</si>
  <si>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</si>
  <si>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</si>
  <si>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</si>
  <si>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</si>
  <si>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</si>
  <si>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</si>
  <si>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</si>
  <si>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</si>
  <si>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</si>
  <si>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</si>
  <si>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</si>
  <si>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</si>
  <si>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</si>
  <si>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</si>
  <si>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</si>
  <si>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</si>
  <si>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</si>
  <si>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</si>
  <si>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</si>
  <si>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</si>
  <si>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</si>
  <si>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</si>
  <si>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</si>
  <si>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</si>
  <si>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</si>
  <si>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</si>
  <si>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</si>
  <si>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</si>
  <si>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</si>
  <si>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</si>
  <si>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</si>
  <si>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</si>
  <si>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</si>
  <si>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</si>
  <si>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</si>
  <si>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</si>
  <si>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</si>
  <si>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</si>
  <si>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</si>
  <si>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</si>
  <si>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</si>
  <si>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</si>
  <si>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</si>
  <si>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</si>
  <si>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</si>
  <si>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</si>
  <si>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</si>
  <si>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</si>
  <si>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</si>
  <si>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</si>
  <si>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</si>
  <si>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</si>
  <si>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</si>
  <si>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</si>
  <si>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</si>
  <si>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</si>
  <si>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</si>
  <si>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</si>
  <si>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</si>
  <si>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</si>
  <si>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</si>
  <si>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</si>
  <si>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</si>
  <si>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</si>
  <si>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</si>
  <si>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</si>
  <si>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</si>
  <si>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</si>
  <si>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</si>
  <si>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</si>
  <si>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</si>
  <si>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</si>
  <si>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</si>
  <si>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</si>
  <si>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</si>
  <si>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</si>
  <si>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</si>
  <si>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</si>
  <si>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</si>
  <si>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</si>
  <si>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</si>
  <si>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</si>
  <si>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</si>
  <si>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</si>
  <si>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</si>
  <si>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</si>
  <si>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</si>
  <si>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</si>
  <si>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</si>
  <si>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</si>
  <si>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</si>
  <si>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</si>
  <si>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</si>
  <si>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</si>
  <si>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</si>
  <si>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</si>
  <si>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</si>
  <si>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</si>
  <si>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</si>
  <si>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</si>
  <si>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</si>
  <si>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</si>
  <si>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</si>
  <si>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</si>
  <si>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</si>
  <si>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</si>
  <si>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</si>
  <si>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</si>
  <si>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</si>
  <si>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</si>
  <si>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</si>
  <si>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</si>
  <si>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</si>
  <si>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</si>
  <si>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</si>
  <si>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</si>
  <si>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</si>
  <si>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</si>
  <si>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</si>
  <si>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</si>
  <si>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</si>
  <si>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</si>
  <si>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</si>
  <si>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</si>
  <si>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</si>
  <si>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</si>
  <si>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</si>
  <si>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</si>
  <si>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</si>
  <si>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</si>
  <si>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</si>
  <si>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</si>
  <si>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</si>
  <si>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</si>
  <si>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</si>
  <si>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</si>
  <si>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</si>
  <si>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</si>
  <si>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</si>
  <si>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</si>
  <si>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</si>
  <si>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</si>
  <si>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</si>
  <si>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</si>
  <si>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</si>
  <si>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</si>
  <si>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</si>
  <si>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</si>
  <si>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</si>
  <si>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</si>
  <si>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</si>
  <si>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</si>
  <si>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</si>
  <si>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</si>
  <si>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</si>
  <si>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</si>
  <si>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</si>
  <si>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</si>
  <si>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</si>
  <si>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</si>
  <si>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</si>
  <si>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</si>
  <si>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</si>
  <si>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</si>
  <si>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</si>
  <si>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</si>
  <si>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</si>
  <si>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</si>
  <si>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</si>
  <si>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</si>
  <si>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</si>
  <si>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</si>
  <si>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</si>
  <si>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</si>
  <si>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</si>
  <si>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3</t>
  </si>
  <si>
    <t>Answer 3</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</si>
  <si>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</si>
  <si>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</si>
  <si>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</si>
  <si>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</si>
  <si>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</si>
  <si>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</si>
  <si>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</si>
  <si>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</si>
  <si>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</si>
  <si>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</si>
  <si>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</si>
  <si>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</si>
  <si>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</si>
  <si>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</si>
  <si>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</si>
  <si>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</si>
  <si>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</si>
  <si>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</si>
  <si>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</si>
  <si>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</si>
  <si>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</si>
  <si>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</si>
  <si>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</si>
  <si>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</si>
  <si>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</si>
  <si>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</si>
  <si>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</si>
  <si>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</si>
  <si>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</si>
  <si>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</si>
  <si>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</si>
  <si>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</si>
  <si>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</si>
  <si>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</si>
  <si>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</si>
  <si>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</si>
  <si>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</si>
  <si>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</si>
  <si>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</si>
  <si>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</si>
  <si>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</si>
  <si>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</si>
  <si>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</si>
  <si>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</si>
  <si>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</si>
  <si>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</si>
  <si>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</si>
  <si>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</si>
  <si>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</si>
  <si>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</si>
  <si>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</si>
  <si>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</si>
  <si>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</si>
  <si>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</si>
  <si>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</si>
  <si>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</si>
  <si>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</si>
  <si>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</si>
  <si>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</si>
  <si>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</si>
  <si>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</si>
  <si>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</si>
  <si>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</si>
  <si>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</si>
  <si>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</si>
  <si>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</si>
  <si>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</si>
  <si>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</si>
  <si>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</si>
  <si>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</si>
  <si>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</si>
  <si>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</si>
  <si>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</si>
  <si>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</si>
  <si>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</si>
  <si>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</si>
  <si>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</si>
  <si>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</si>
  <si>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</si>
  <si>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</si>
  <si>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</si>
  <si>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</si>
  <si>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</si>
  <si>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</si>
  <si>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</si>
  <si>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</si>
  <si>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</si>
  <si>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</si>
  <si>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</si>
  <si>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</si>
  <si>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</si>
  <si>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</si>
  <si>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</si>
  <si>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</si>
  <si>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</si>
  <si>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</si>
  <si>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</si>
  <si>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</si>
  <si>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</si>
  <si>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</si>
  <si>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</si>
  <si>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</si>
  <si>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</si>
  <si>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</si>
  <si>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</si>
  <si>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</si>
  <si>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</si>
  <si>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</si>
  <si>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</si>
  <si>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</si>
  <si>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</si>
  <si>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</si>
  <si>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</si>
  <si>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</si>
  <si>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</si>
  <si>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</si>
  <si>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</si>
  <si>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</si>
  <si>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</si>
  <si>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</si>
  <si>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</si>
  <si>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</si>
  <si>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</si>
  <si>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</si>
  <si>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</si>
  <si>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</si>
  <si>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</si>
  <si>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</si>
  <si>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</si>
  <si>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</si>
  <si>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</si>
  <si>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</si>
  <si>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</si>
  <si>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</si>
  <si>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</si>
  <si>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</si>
  <si>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</si>
  <si>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</si>
  <si>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</si>
  <si>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</si>
  <si>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</si>
  <si>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</si>
  <si>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</si>
  <si>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</si>
  <si>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</si>
  <si>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</si>
  <si>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</si>
  <si>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</si>
  <si>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</si>
  <si>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</si>
  <si>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</si>
  <si>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</si>
  <si>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</si>
  <si>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</si>
  <si>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</si>
  <si>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</si>
  <si>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</si>
  <si>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</si>
  <si>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</si>
  <si>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</si>
  <si>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</si>
  <si>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</si>
  <si>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</si>
  <si>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</si>
  <si>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</si>
  <si>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</si>
  <si>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</si>
  <si>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</si>
  <si>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</si>
  <si>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</si>
  <si>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</si>
  <si>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</si>
  <si>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</si>
  <si>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</si>
  <si>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</si>
  <si>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</si>
  <si>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</si>
  <si>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</si>
  <si>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</si>
  <si>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</si>
  <si>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</si>
  <si>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</si>
  <si>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</si>
  <si>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</si>
  <si>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</si>
  <si>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</si>
  <si>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</si>
  <si>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</si>
  <si>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</si>
  <si>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</si>
  <si>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</si>
  <si>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</si>
  <si>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</si>
  <si>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</si>
  <si>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</si>
  <si>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</si>
  <si>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</si>
  <si>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</si>
  <si>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</si>
  <si>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</si>
  <si>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</si>
  <si>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</si>
  <si>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</si>
  <si>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</si>
  <si>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</si>
  <si>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</si>
  <si>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</si>
  <si>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</si>
  <si>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</si>
  <si>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</si>
  <si>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</si>
  <si>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</si>
  <si>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</si>
  <si>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</si>
  <si>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</si>
  <si>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</si>
  <si>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</si>
  <si>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</si>
  <si>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</si>
  <si>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</si>
  <si>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</si>
  <si>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</si>
  <si>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</si>
  <si>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</si>
  <si>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</si>
  <si>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</si>
  <si>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</si>
  <si>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</si>
  <si>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</si>
  <si>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</si>
  <si>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</si>
  <si>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</si>
  <si>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</si>
  <si>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</si>
  <si>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</si>
  <si>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</si>
  <si>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</si>
  <si>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</si>
  <si>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</si>
  <si>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</si>
  <si>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</si>
  <si>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</si>
  <si>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</si>
  <si>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</si>
  <si>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</si>
  <si>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</si>
  <si>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</si>
  <si>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</si>
  <si>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</si>
  <si>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</si>
  <si>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</si>
  <si>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</si>
  <si>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</si>
  <si>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</si>
  <si>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</si>
  <si>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</si>
  <si>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</si>
  <si>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</si>
  <si>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</si>
  <si>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</si>
  <si>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</si>
  <si>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</si>
  <si>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</si>
  <si>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</si>
  <si>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</si>
  <si>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</si>
  <si>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</si>
  <si>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</si>
  <si>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</si>
  <si>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</si>
  <si>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</si>
  <si>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</si>
  <si>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</si>
  <si>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</si>
  <si>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</si>
  <si>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</si>
  <si>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</si>
  <si>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</si>
  <si>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</si>
  <si>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</si>
  <si>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</si>
  <si>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</si>
  <si>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</si>
  <si>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</si>
  <si>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</si>
  <si>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</si>
  <si>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</si>
  <si>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</si>
  <si>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</si>
  <si>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</si>
  <si>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</si>
  <si>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</si>
  <si>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</si>
  <si>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</si>
  <si>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</si>
  <si>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</si>
  <si>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</si>
  <si>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</si>
  <si>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</si>
  <si>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</si>
  <si>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</si>
  <si>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</si>
  <si>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</si>
  <si>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</si>
  <si>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</si>
  <si>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</si>
  <si>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</si>
  <si>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</si>
  <si>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</si>
  <si>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</si>
  <si>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</si>
  <si>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</si>
  <si>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</si>
  <si>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</si>
  <si>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</si>
  <si>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</si>
  <si>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</si>
  <si>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</si>
  <si>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</si>
  <si>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</si>
  <si>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</si>
  <si>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</si>
  <si>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</si>
  <si>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</si>
  <si>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</si>
  <si>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</si>
  <si>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</si>
  <si>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</si>
  <si>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</si>
  <si>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</si>
  <si>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</si>
  <si>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</si>
  <si>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</si>
  <si>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</si>
  <si>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</si>
  <si>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</si>
  <si>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</si>
  <si>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</si>
  <si>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</si>
  <si>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</si>
  <si>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</si>
  <si>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</si>
  <si>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</si>
  <si>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</si>
  <si>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</si>
  <si>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</si>
  <si>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</si>
  <si>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</si>
  <si>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</si>
  <si>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</si>
  <si>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</si>
  <si>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</si>
  <si>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</si>
  <si>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</si>
  <si>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</si>
  <si>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</si>
  <si>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</si>
  <si>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</si>
  <si>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</si>
  <si>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</si>
  <si>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</si>
  <si>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</si>
  <si>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</si>
  <si>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</si>
  <si>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</si>
  <si>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</si>
  <si>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</si>
  <si>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</si>
  <si>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</si>
  <si>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</si>
  <si>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</si>
  <si>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</si>
  <si>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</si>
  <si>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</si>
  <si>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</si>
  <si>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</si>
  <si>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</si>
  <si>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</si>
  <si>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</si>
  <si>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</si>
  <si>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</si>
  <si>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</si>
  <si>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</si>
  <si>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</si>
  <si>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</si>
  <si>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</si>
  <si>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</si>
  <si>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</si>
  <si>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</si>
  <si>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</si>
  <si>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</si>
  <si>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</si>
  <si>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</si>
  <si>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</si>
  <si>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</si>
  <si>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</si>
  <si>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</si>
  <si>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</si>
  <si>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</si>
  <si>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</si>
  <si>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</si>
  <si>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</si>
  <si>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</si>
  <si>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</si>
  <si>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</si>
  <si>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</si>
  <si>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</si>
  <si>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</si>
  <si>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</si>
  <si>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</si>
  <si>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</si>
  <si>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</si>
  <si>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</si>
  <si>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</si>
  <si>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</si>
  <si>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</si>
  <si>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</si>
  <si>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</si>
  <si>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</si>
  <si>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</si>
  <si>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</si>
  <si>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</si>
  <si>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</si>
  <si>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</si>
  <si>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</si>
  <si>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</si>
  <si>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</si>
  <si>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</si>
  <si>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</si>
  <si>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</si>
  <si>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</si>
  <si>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</si>
  <si>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</si>
  <si>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</si>
  <si>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</si>
  <si>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</si>
  <si>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</si>
  <si>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</si>
  <si>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</si>
  <si>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</si>
  <si>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</si>
  <si>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</si>
  <si>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</si>
  <si>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</si>
  <si>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</si>
  <si>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</si>
  <si>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</si>
  <si>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</si>
  <si>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</si>
  <si>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</si>
  <si>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</si>
  <si>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</si>
  <si>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</si>
  <si>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</si>
  <si>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</si>
  <si>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</si>
  <si>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</si>
  <si>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</si>
  <si>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</si>
  <si>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</si>
  <si>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</si>
  <si>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</si>
  <si>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</si>
  <si>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</si>
  <si>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</si>
  <si>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</si>
  <si>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</si>
  <si>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</si>
  <si>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</si>
  <si>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</si>
  <si>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</si>
  <si>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</si>
  <si>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</si>
  <si>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</si>
  <si>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</si>
  <si>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</si>
  <si>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</si>
  <si>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</si>
  <si>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</si>
  <si>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</si>
  <si>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</si>
  <si>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</si>
  <si>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</si>
  <si>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</si>
  <si>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</si>
  <si>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</si>
  <si>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</si>
  <si>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</si>
  <si>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</si>
  <si>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</si>
  <si>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</si>
  <si>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</si>
  <si>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</si>
  <si>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</si>
  <si>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</si>
  <si>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</si>
  <si>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</si>
  <si>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</si>
  <si>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</si>
  <si>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</si>
  <si>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</si>
  <si>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</si>
  <si>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</si>
  <si>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</si>
  <si>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</si>
  <si>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</si>
  <si>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</si>
  <si>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</si>
  <si>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</si>
  <si>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</si>
  <si>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</si>
  <si>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</si>
  <si>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</si>
  <si>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</si>
  <si>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</si>
  <si>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</si>
  <si>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</si>
  <si>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</si>
  <si>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</si>
  <si>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</si>
  <si>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</si>
  <si>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</si>
  <si>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</si>
  <si>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</si>
  <si>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</si>
  <si>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</si>
  <si>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</si>
  <si>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</si>
  <si>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</si>
  <si>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</si>
  <si>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</si>
  <si>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</si>
  <si>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</si>
  <si>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</si>
  <si>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</si>
  <si>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</si>
  <si>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</si>
  <si>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</si>
  <si>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</si>
  <si>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</si>
  <si>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</si>
  <si>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</si>
  <si>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</si>
  <si>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</si>
  <si>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</si>
  <si>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</si>
  <si>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</si>
  <si>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</si>
  <si>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</si>
  <si>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</si>
  <si>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</si>
  <si>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</si>
  <si>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</si>
  <si>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</si>
  <si>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</si>
  <si>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</si>
  <si>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</si>
  <si>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</si>
  <si>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</si>
  <si>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</si>
  <si>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</si>
  <si>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</si>
  <si>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</si>
  <si>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</si>
  <si>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</si>
  <si>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</si>
  <si>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</si>
  <si>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</si>
  <si>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</si>
  <si>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</si>
  <si>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</si>
  <si>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</si>
  <si>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</si>
  <si>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</si>
  <si>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</si>
  <si>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</si>
  <si>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</si>
  <si>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</si>
  <si>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</si>
  <si>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</si>
  <si>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</si>
  <si>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</si>
  <si>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</si>
  <si>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</si>
  <si>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</si>
  <si>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</si>
  <si>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</si>
  <si>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</si>
  <si>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</si>
  <si>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</si>
  <si>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</si>
  <si>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</si>
  <si>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</si>
  <si>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</si>
  <si>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</si>
  <si>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</si>
  <si>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</si>
  <si>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</si>
  <si>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</si>
  <si>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</si>
  <si>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</si>
  <si>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</si>
  <si>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</si>
  <si>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</si>
  <si>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</si>
  <si>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</si>
  <si>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</si>
  <si>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</si>
  <si>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</si>
  <si>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</si>
  <si>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</si>
  <si>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</si>
  <si>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</si>
  <si>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</si>
  <si>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</si>
  <si>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</si>
  <si>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Chairman</t>
  </si>
  <si>
    <t>Deputy Chairman</t>
  </si>
  <si>
    <t xml:space="preserve">गोदावरी </t>
  </si>
  <si>
    <t xml:space="preserve">कोन्ज्योसोम </t>
  </si>
  <si>
    <t>मेयर</t>
  </si>
  <si>
    <t>str</t>
  </si>
  <si>
    <t>uid</t>
  </si>
  <si>
    <t>int</t>
  </si>
  <si>
    <t>dec</t>
  </si>
  <si>
    <t>pct</t>
  </si>
  <si>
    <t>FAQ Number 2</t>
  </si>
  <si>
    <t>FAQ Number 1</t>
  </si>
  <si>
    <t>#faq_number_1</t>
  </si>
  <si>
    <t>#faq_number_2</t>
  </si>
  <si>
    <t>#col</t>
  </si>
  <si>
    <t>#type</t>
  </si>
  <si>
    <t>Add in data_types sheet (for processing)</t>
  </si>
  <si>
    <t>Add columns DW-EI in Profile Data for variable names in HH issues chart</t>
  </si>
  <si>
    <t>#hh_issue_nm1</t>
  </si>
  <si>
    <t>#hh_issue_nm2</t>
  </si>
  <si>
    <t>#hh_issue_nm3</t>
  </si>
  <si>
    <t>#hh_issue_nm4</t>
  </si>
  <si>
    <t>#hh_issue_nm5</t>
  </si>
  <si>
    <t>#hh_issue_nm6</t>
  </si>
  <si>
    <t>#hh_issue_other_nm</t>
  </si>
  <si>
    <t>#hh_issue_other_cnt</t>
  </si>
  <si>
    <t>HH Issue 1 Name</t>
  </si>
  <si>
    <t>HH Issue 2 Name</t>
  </si>
  <si>
    <t>HH Issue 3 Name</t>
  </si>
  <si>
    <t>HH Issue 4 Name</t>
  </si>
  <si>
    <t>HH Issue 5 Name</t>
  </si>
  <si>
    <t>HH Issue 6 Name</t>
  </si>
  <si>
    <t>HH Other Issue Name</t>
  </si>
  <si>
    <t>HH Other Issue List</t>
  </si>
  <si>
    <t>#hh_issue_other_list</t>
  </si>
  <si>
    <t>HH Issue 1 Count</t>
  </si>
  <si>
    <t>HH Other Issue Count</t>
  </si>
  <si>
    <t>CBS Footer</t>
  </si>
  <si>
    <t>Add CBS Typologies translation in titles (row 37)</t>
  </si>
  <si>
    <t>PO presence</t>
  </si>
  <si>
    <t>Construction materials</t>
  </si>
  <si>
    <t>other sectors</t>
  </si>
  <si>
    <t>key contact</t>
  </si>
  <si>
    <t>HH Land less issues</t>
  </si>
  <si>
    <t>Tech Staff details</t>
  </si>
  <si>
    <t xml:space="preserve">FAQ </t>
  </si>
  <si>
    <t>CSEB Municipal Pct</t>
  </si>
  <si>
    <t>CSEB District Pct</t>
  </si>
  <si>
    <t>अध्यक्ष</t>
  </si>
  <si>
    <t>उपाध्यक्ष</t>
  </si>
  <si>
    <t xml:space="preserve">प्रमुख प्रशासकिय अधिकृत </t>
  </si>
  <si>
    <t>संपर्क ब्यक्ति</t>
  </si>
  <si>
    <t>जिल्ला कार्यलय प्रमुख, जि. मा. लि.</t>
  </si>
  <si>
    <t xml:space="preserve">जिल्ला कर्यान्वयन ईकाइ प्रमुख, भवन </t>
  </si>
  <si>
    <t>No land Certificate</t>
  </si>
  <si>
    <t>जिल्ला संयोजक</t>
  </si>
  <si>
    <t>जिल्ला प्राबिधिक अधिकृत</t>
  </si>
  <si>
    <t>जिल्ला सुचना ब्यबथापक अधिकृत</t>
  </si>
  <si>
    <t>उप मेयर</t>
  </si>
  <si>
    <t>नवराज के. सी.</t>
  </si>
  <si>
    <t>निर्मला देवि राई</t>
  </si>
  <si>
    <t>तुलसीराम भगत</t>
  </si>
  <si>
    <t>कबिन्द्र बहादुर खड्का</t>
  </si>
  <si>
    <t>बिजय मुनि बज्रचार्य</t>
  </si>
  <si>
    <t>प्रभाकर लाल कर्ण</t>
  </si>
  <si>
    <t>प्रकाश बस्नेत</t>
  </si>
  <si>
    <t>सागर चन्द्र अधिकारी</t>
  </si>
  <si>
    <t>ऊत्तम पराजुली</t>
  </si>
  <si>
    <t>निसान्त शर्मा</t>
  </si>
  <si>
    <t>शुष्मा राई</t>
  </si>
  <si>
    <t>सुबास पौडेल</t>
  </si>
  <si>
    <t xml:space="preserve">कशिन्द्र यादव </t>
  </si>
  <si>
    <t>बेद बहादुर रोका</t>
  </si>
  <si>
    <t>शुशिला तमाङ</t>
  </si>
  <si>
    <t>श्याम कुमार खड्का</t>
  </si>
  <si>
    <t>लाल बहादुर थापा</t>
  </si>
  <si>
    <t>गोबिन्द पौडेल</t>
  </si>
  <si>
    <t>शान्ता ढुंगेल</t>
  </si>
  <si>
    <t>ओम बहादुर दर्जी</t>
  </si>
  <si>
    <t>भुवन अधिकारी</t>
  </si>
  <si>
    <t>मोति राज राई</t>
  </si>
  <si>
    <t>सबिता राई</t>
  </si>
  <si>
    <t>भागवत प्रसाद रेग्मी</t>
  </si>
  <si>
    <t>रन्जन चौधरी</t>
  </si>
  <si>
    <t>मनि राज राई</t>
  </si>
  <si>
    <t>हेम कुमारी तमाङ</t>
  </si>
  <si>
    <t>शमशेर बहादुर राई</t>
  </si>
  <si>
    <t>ईन्द्र जित यादव</t>
  </si>
  <si>
    <t>मोहन कुमार श्रेष्ठ</t>
  </si>
  <si>
    <t>ईक्षा कुमारी गुरुङ</t>
  </si>
  <si>
    <t>भोज राज खतिवडा</t>
  </si>
  <si>
    <t>सिन्जिव यादव</t>
  </si>
  <si>
    <t>रुद्र प्रसाद अधिकारी</t>
  </si>
  <si>
    <t>दुर्गा तमाङ</t>
  </si>
  <si>
    <t>राम कुमार कार्की</t>
  </si>
  <si>
    <t>मुकेश कुमार ठाकुर</t>
  </si>
  <si>
    <t>घनश्याम राउत</t>
  </si>
  <si>
    <t>बाल कुमारी अधिकारी दनुवार</t>
  </si>
  <si>
    <t>दिपेन्द्र पौडेल</t>
  </si>
  <si>
    <t>देव नारायण प्रसाद यादव</t>
  </si>
  <si>
    <t>लेख नाथ पौडेल</t>
  </si>
  <si>
    <t>सचिन मलेगो</t>
  </si>
  <si>
    <t>जगत बहादुर भोलन</t>
  </si>
  <si>
    <t>दुर्गा देबि सुनुवार</t>
  </si>
  <si>
    <t>सन्तोष नेपाली</t>
  </si>
  <si>
    <t xml:space="preserve">पुष्पा कार्की </t>
  </si>
  <si>
    <t xml:space="preserve">गंगा देवि श्रेष्ठ </t>
  </si>
  <si>
    <t>टंक नाथ घिमिरे</t>
  </si>
  <si>
    <t>कर्शाङ तमाङ</t>
  </si>
  <si>
    <t>अनिता कुमारी राई</t>
  </si>
  <si>
    <t>गोपाल श्रेष्ठ</t>
  </si>
  <si>
    <t>खड्ग खत्री</t>
  </si>
  <si>
    <t>मञ्जु देबकोटा</t>
  </si>
  <si>
    <t>पुर्षोत्तम सुबेदी</t>
  </si>
  <si>
    <t>पानि राज बोम्जोन</t>
  </si>
  <si>
    <t>संगिता माझि</t>
  </si>
  <si>
    <t>मदन बहादुर थिङ</t>
  </si>
  <si>
    <t>धन बहादुर कार्की</t>
  </si>
  <si>
    <t>पार्बती सुनुवार</t>
  </si>
  <si>
    <t xml:space="preserve">कल्पना तिमिल्सिना शर्मा </t>
  </si>
  <si>
    <t>दिपा बोहोरा</t>
  </si>
  <si>
    <t>दिर्बु सिहं मोक्तान</t>
  </si>
  <si>
    <t>बिकास सुनदास</t>
  </si>
  <si>
    <t xml:space="preserve">कर्ण बहादुर मगर </t>
  </si>
  <si>
    <t>पध्म माया तमाङ</t>
  </si>
  <si>
    <t>सुरेन्द्र प्रधान</t>
  </si>
  <si>
    <t>खमान सिंह मोक्तान</t>
  </si>
  <si>
    <t>कृशिला घिसिङ</t>
  </si>
  <si>
    <t>तेज नारायण यादव</t>
  </si>
  <si>
    <t>कृष्ण लाल पिया</t>
  </si>
  <si>
    <t>प्रकाश बिश्वकर्मा</t>
  </si>
  <si>
    <t>तुलसीराम लामिछाने</t>
  </si>
  <si>
    <t>जावेद महोमद</t>
  </si>
  <si>
    <t>खड्ग बहादुर सुनुवार</t>
  </si>
  <si>
    <t>राधिका श्रेष्ठ</t>
  </si>
  <si>
    <t>एक राज बिष्ट</t>
  </si>
  <si>
    <t xml:space="preserve">प्रेम बहादुर तामाङ </t>
  </si>
  <si>
    <t>मखमली श्रेष्ठ</t>
  </si>
  <si>
    <t xml:space="preserve">दामोदर ढुंगाना </t>
  </si>
  <si>
    <t>गोबिन्द बहादुर खड्का</t>
  </si>
  <si>
    <t>दिपशिखा दाहाल</t>
  </si>
  <si>
    <t>नरेनद्र बस्याल</t>
  </si>
  <si>
    <t>रमेश बस्नेत</t>
  </si>
  <si>
    <t>माया कुमारी कार्की</t>
  </si>
  <si>
    <t>प्रदिप कुंवर</t>
  </si>
  <si>
    <t>नर बहादुर थापा मगर</t>
  </si>
  <si>
    <t>सिर्जना खड्का</t>
  </si>
  <si>
    <t>सबिता साह</t>
  </si>
  <si>
    <t xml:space="preserve">धावा लामा </t>
  </si>
  <si>
    <t>गिता बिष्ट</t>
  </si>
  <si>
    <t xml:space="preserve">राज किशोर जैशवाल </t>
  </si>
  <si>
    <t>शेर बहादुर सुनुवार</t>
  </si>
  <si>
    <t>ऊर्मिला कार्की</t>
  </si>
  <si>
    <t>अनिल थापा मगर</t>
  </si>
  <si>
    <t>छबि लामा</t>
  </si>
  <si>
    <t xml:space="preserve">रबि चन्द्र आचार्य </t>
  </si>
  <si>
    <t>नवराज पराजुली</t>
  </si>
  <si>
    <t>गणेश चौलागांई</t>
  </si>
  <si>
    <t>निर्मल दर्शन आचार्य</t>
  </si>
  <si>
    <t>अर्जुन तमाङ</t>
  </si>
  <si>
    <t>कमल बहादुर महत</t>
  </si>
  <si>
    <t>बिनोद कुमार कौलानी</t>
  </si>
  <si>
    <t>रवि पजियार</t>
  </si>
  <si>
    <t>भरत बहादुर के. सी.</t>
  </si>
  <si>
    <t>कमला बस्नेत</t>
  </si>
  <si>
    <t>राम कृष्ण ऊप्रेती</t>
  </si>
  <si>
    <t>निराजन दाहाल</t>
  </si>
  <si>
    <t>युधिश्ठिर खड्का</t>
  </si>
  <si>
    <t>संजिब बाली</t>
  </si>
  <si>
    <t>नवराज ओली</t>
  </si>
  <si>
    <t>दिबक कार्की</t>
  </si>
  <si>
    <t>सोयम बहादुर खड्का</t>
  </si>
  <si>
    <t>ऊर्मिला थामी</t>
  </si>
  <si>
    <t>दिपेश छड्छा</t>
  </si>
  <si>
    <t>लिला राज पौडेल</t>
  </si>
  <si>
    <t>टंक जिरेल</t>
  </si>
  <si>
    <t xml:space="preserve">कृष्ण माया बुढाथोकी </t>
  </si>
  <si>
    <t>जगत प्रसाद भुसाल</t>
  </si>
  <si>
    <t>चन्द्र भुषण साह</t>
  </si>
  <si>
    <t>बिन कुमार थामी</t>
  </si>
  <si>
    <t xml:space="preserve">कालिका पाठक </t>
  </si>
  <si>
    <t xml:space="preserve">सुरज अर्याल </t>
  </si>
  <si>
    <t>ऐशा जोशी</t>
  </si>
  <si>
    <t>नर बहादुर श्रेष्ठ</t>
  </si>
  <si>
    <t>कल्पना भण्डारी</t>
  </si>
  <si>
    <t>भिम बहादुर घर्ती</t>
  </si>
  <si>
    <t>सुरेश साह</t>
  </si>
  <si>
    <t>भरत दुलाल</t>
  </si>
  <si>
    <t xml:space="preserve">लाल माया योञ्जन </t>
  </si>
  <si>
    <t>रमेस बि. क. (सुनार)</t>
  </si>
  <si>
    <t>अन्नत पौडेल</t>
  </si>
  <si>
    <t xml:space="preserve">ईश्वर चन्द्र पोखरेल </t>
  </si>
  <si>
    <t xml:space="preserve">ऊर्मिला खड्का </t>
  </si>
  <si>
    <t xml:space="preserve">दिपेश कट्टेल </t>
  </si>
  <si>
    <t>शुधिर श्रेष्ठ</t>
  </si>
  <si>
    <t>केदार क्षेत्री</t>
  </si>
  <si>
    <t>कमला कायश्ता</t>
  </si>
  <si>
    <t>गणेश नेपाली</t>
  </si>
  <si>
    <t>प्रदिप काश्यपती</t>
  </si>
  <si>
    <t>जय प्रकाश गुप्ता</t>
  </si>
  <si>
    <t>सन्तोष कुमार निरौला</t>
  </si>
  <si>
    <t>बिनोद शाह</t>
  </si>
  <si>
    <t>प्रदिप शर्मा</t>
  </si>
  <si>
    <t>प्रान्जल भण्डारी</t>
  </si>
  <si>
    <t>निमाफुञ्जो शेर्पा</t>
  </si>
  <si>
    <t>शुशिला पार्खिन</t>
  </si>
  <si>
    <t>फडिन्द्र प्रसाद पौडेल</t>
  </si>
  <si>
    <t>सुरेनद्र नेपाल</t>
  </si>
  <si>
    <t xml:space="preserve">राज कुमार पौडेल </t>
  </si>
  <si>
    <t>दबुती शेर्पा</t>
  </si>
  <si>
    <t>दिपेन्द्र रेग्मी</t>
  </si>
  <si>
    <t>बिजाय बि.क.</t>
  </si>
  <si>
    <t>अमान सिहं तमाङ</t>
  </si>
  <si>
    <t>जानुका पराजुली</t>
  </si>
  <si>
    <t>ईन्द्र बस्याल</t>
  </si>
  <si>
    <t xml:space="preserve">निमा ग्यालजेन शेर्पा </t>
  </si>
  <si>
    <t>कोपिला पण्डित</t>
  </si>
  <si>
    <t>भिम राज कोइराला</t>
  </si>
  <si>
    <t>नारायण अधिकारी</t>
  </si>
  <si>
    <t xml:space="preserve">बंश लाल तमाङ </t>
  </si>
  <si>
    <t>मिरा अधिकारी लामा</t>
  </si>
  <si>
    <t xml:space="preserve">बिनोद रोक्का </t>
  </si>
  <si>
    <t>मानोज डंगल</t>
  </si>
  <si>
    <t>होम नारायण श्रेष्ठ</t>
  </si>
  <si>
    <t>सिर्जना तमाङ</t>
  </si>
  <si>
    <t>ढकराम अर्याल</t>
  </si>
  <si>
    <t>सुरेश पौडेल</t>
  </si>
  <si>
    <t xml:space="preserve">कल नेपाल </t>
  </si>
  <si>
    <t>हेम गंगा मोक्तान</t>
  </si>
  <si>
    <t>पुर्ण प्रसाद दुलाल</t>
  </si>
  <si>
    <t>दिरबन सिंह लामा</t>
  </si>
  <si>
    <t>डम्मर बहादुर अर्याल</t>
  </si>
  <si>
    <t>भगवती नेपाल</t>
  </si>
  <si>
    <t>देवि प्रसाद थपालिया</t>
  </si>
  <si>
    <t>जित बहादुर कार्की</t>
  </si>
  <si>
    <t>ताशी लामा ह्योल्मो</t>
  </si>
  <si>
    <t>सुनिता अधिकारी</t>
  </si>
  <si>
    <t>संजय कुमार सिहं</t>
  </si>
  <si>
    <t>बेन्जामिन श्रेष्ठ</t>
  </si>
  <si>
    <t>श्रवण कुमार जि. सि.</t>
  </si>
  <si>
    <t>लक्ष्मी पौडेल</t>
  </si>
  <si>
    <t>बिर बहादुर बास्नेत</t>
  </si>
  <si>
    <t>राम हरि थापा</t>
  </si>
  <si>
    <t>भुपेन्द्र श्रेष्ठ</t>
  </si>
  <si>
    <t>दुर्गा नेपाल</t>
  </si>
  <si>
    <t xml:space="preserve">राजेन्द्र प्रसाद नेपाल </t>
  </si>
  <si>
    <t>सुनिल श्रेष्ठ</t>
  </si>
  <si>
    <t>लक्ष्मी नरसिहं बडे</t>
  </si>
  <si>
    <t>रेखा दाहाल</t>
  </si>
  <si>
    <t xml:space="preserve">भोज राज घिमिरे </t>
  </si>
  <si>
    <t>राम कृष्ण धिमिरे</t>
  </si>
  <si>
    <t>लोक नाथ रेग्मी</t>
  </si>
  <si>
    <t>महालक्ष्मी जोशी</t>
  </si>
  <si>
    <t>रेश्मा श्रेष्ठ</t>
  </si>
  <si>
    <t xml:space="preserve">ईश्वर न्यौपाने </t>
  </si>
  <si>
    <t>प्रेम प्रसाद तिमिल्सिना</t>
  </si>
  <si>
    <t>सरिता लामिछाने</t>
  </si>
  <si>
    <t xml:space="preserve">टेक राज आचार्य </t>
  </si>
  <si>
    <t>गुमान धोज कुंवर</t>
  </si>
  <si>
    <t xml:space="preserve">कल्पना श्रेष्ठ </t>
  </si>
  <si>
    <t>हरि बल्लब घिमिरे</t>
  </si>
  <si>
    <t xml:space="preserve">दिना नाथ गौतम </t>
  </si>
  <si>
    <t>तारा चौलागांई</t>
  </si>
  <si>
    <t>तारजन कुमार लिम्बु</t>
  </si>
  <si>
    <t>अशोक ब्यान्जु</t>
  </si>
  <si>
    <t xml:space="preserve">बिमला शर्मा </t>
  </si>
  <si>
    <t xml:space="preserve">महेश बराल </t>
  </si>
  <si>
    <t>बलराम धिमाल</t>
  </si>
  <si>
    <t>कृष्ण बहादुर खुलाल</t>
  </si>
  <si>
    <t>रुकमनी गुरुङ</t>
  </si>
  <si>
    <t>लक्ष्मी प्रसाद अधिकारी</t>
  </si>
  <si>
    <t>कान्छा मान जिम्बा</t>
  </si>
  <si>
    <t>तेज कुमारी माझी</t>
  </si>
  <si>
    <t>रेमण्ड बहादुर थापा मगर</t>
  </si>
  <si>
    <t>अन्जन पराजुली</t>
  </si>
  <si>
    <t>तोक बहादुर वाइवा</t>
  </si>
  <si>
    <t>निर्मला शाही</t>
  </si>
  <si>
    <t>भिम कान्त शर्मा</t>
  </si>
  <si>
    <t xml:space="preserve">टि. पि.शर्मा </t>
  </si>
  <si>
    <t>राम देबि तमाङ</t>
  </si>
  <si>
    <r>
      <t xml:space="preserve">मदन कुमार </t>
    </r>
    <r>
      <rPr>
        <sz val="11"/>
        <color theme="1"/>
        <rFont val="Calibri"/>
        <family val="2"/>
        <scheme val="minor"/>
      </rPr>
      <t>बजगांई</t>
    </r>
  </si>
  <si>
    <t>कमल कुइंकेल</t>
  </si>
  <si>
    <t>भिम न्यौपाने</t>
  </si>
  <si>
    <t>गिता बंञ्जरा</t>
  </si>
  <si>
    <t>ध्यान कुमार थापा</t>
  </si>
  <si>
    <t>महेश खरेल</t>
  </si>
  <si>
    <t xml:space="preserve">लक्ष्मी दनुवार </t>
  </si>
  <si>
    <t>भोला चापागाई</t>
  </si>
  <si>
    <t xml:space="preserve">दल बहादुर तमाङ </t>
  </si>
  <si>
    <t>लक्ष्मी बर्तौला</t>
  </si>
  <si>
    <t>कृष्ण प्रसाद बस्याल</t>
  </si>
  <si>
    <t xml:space="preserve">सलाम सिहं तमाङ </t>
  </si>
  <si>
    <t>दुर्गा माया तमाङ</t>
  </si>
  <si>
    <t>शर्मिला लामिछाने</t>
  </si>
  <si>
    <t>बिर बहादुर लोपचन</t>
  </si>
  <si>
    <t>रन्जना घिमिरे</t>
  </si>
  <si>
    <t>बर्दान सेजुवाल</t>
  </si>
  <si>
    <t>मिलन शर्मा</t>
  </si>
  <si>
    <t>बिर बहादुर रावल</t>
  </si>
  <si>
    <t>चन्द्र काजी गुरुङ</t>
  </si>
  <si>
    <t>अम्बिका अमात्य</t>
  </si>
  <si>
    <t>मनिषा राई</t>
  </si>
  <si>
    <t>गजेन्द्र महर्जन</t>
  </si>
  <si>
    <t>मुना अधिकारी</t>
  </si>
  <si>
    <t>कृष्ण प्रसाद जैशी</t>
  </si>
  <si>
    <t>बिमला डंगोल</t>
  </si>
  <si>
    <t>गोपिलाल सिङतान</t>
  </si>
  <si>
    <t>मिङमा तमाङ लामा</t>
  </si>
  <si>
    <t>रोम बहादुर महरा</t>
  </si>
  <si>
    <t>काबेल घलान</t>
  </si>
  <si>
    <t>छिरीबाबु महर्जन</t>
  </si>
  <si>
    <t>गिता सत्याल</t>
  </si>
  <si>
    <t>प्रेम प्रसाद भट्टराई</t>
  </si>
  <si>
    <t>हरिशचन्द्र लामिछाने</t>
  </si>
  <si>
    <t>रामेश्वर श्रेष्ठ</t>
  </si>
  <si>
    <t>निर्मला थापा</t>
  </si>
  <si>
    <t>लक्ष्मी प्रसाद रेग्मी</t>
  </si>
  <si>
    <t>अन्जना श्रेष्ठ</t>
  </si>
  <si>
    <t>राम चन्द्र दाहाल</t>
  </si>
  <si>
    <t>कमला लामा तमाङ</t>
  </si>
  <si>
    <t>पुर्ण बहादुर सखकर्मी</t>
  </si>
  <si>
    <t>अबिनाश अमर</t>
  </si>
  <si>
    <t xml:space="preserve">सुनिल प्रजापती </t>
  </si>
  <si>
    <t>रजनी जोशी</t>
  </si>
  <si>
    <t>रोहित राज पोख्रेल</t>
  </si>
  <si>
    <t>संझना श्रेष्ठ</t>
  </si>
  <si>
    <t>ध्रुब गैडा</t>
  </si>
  <si>
    <t>सोम प्रसाद मिश्र</t>
  </si>
  <si>
    <t>बिना बास्तोला</t>
  </si>
  <si>
    <t>पुण्य प्रसाद लुईटेल</t>
  </si>
  <si>
    <t>संगिता चिकन्बन्जर</t>
  </si>
  <si>
    <t>मदन सुन्दर श्रेष्ठ</t>
  </si>
  <si>
    <t>अन्जना देवि मधिकर्मी</t>
  </si>
  <si>
    <t>कमल ज्ञावलि</t>
  </si>
  <si>
    <t>अनुज्ञ्य पन्त</t>
  </si>
  <si>
    <t>बासुदेव थापा</t>
  </si>
  <si>
    <t>जुना बस्नेत</t>
  </si>
  <si>
    <t>चिरञ्जिवी तिमिल्सिना</t>
  </si>
  <si>
    <t>ऊद्बब प्रसाद खरेल</t>
  </si>
  <si>
    <t>रमा देवि राई</t>
  </si>
  <si>
    <t>प्रदिप पौडेल</t>
  </si>
  <si>
    <t>खगेन्द्र श्रेष्ठ</t>
  </si>
  <si>
    <t>समर बहादुर खनाल</t>
  </si>
  <si>
    <t>घनश्याम गिरी</t>
  </si>
  <si>
    <t>लिजा नकर्मी</t>
  </si>
  <si>
    <t>युबराज पौडेल</t>
  </si>
  <si>
    <t>प्रमिला गेलाल</t>
  </si>
  <si>
    <t>मोहन बस्नेत</t>
  </si>
  <si>
    <t>बषन्ती तमाङ डंगोल</t>
  </si>
  <si>
    <t>टिकाराम  ज्ञावलि</t>
  </si>
  <si>
    <t>मनोज बुढाथोकी</t>
  </si>
  <si>
    <t>सन्तोष चालिसे</t>
  </si>
  <si>
    <t>शान्ती नेपाली</t>
  </si>
  <si>
    <t>शिशिर कोईराला</t>
  </si>
  <si>
    <t>कुशुम देउ</t>
  </si>
  <si>
    <t>कृष्ण हरि थापा</t>
  </si>
  <si>
    <t>बिन्दु पुडासैनी (सिंमखडा)</t>
  </si>
  <si>
    <t>ईन्द्र गौतम</t>
  </si>
  <si>
    <t>दिपा कार्की</t>
  </si>
  <si>
    <t>बिध्या सुन्दर शाक्य</t>
  </si>
  <si>
    <t>हरि प्रभा खड्गी श्रेष्ठ</t>
  </si>
  <si>
    <t>यादब प्रसाद कोईराला</t>
  </si>
  <si>
    <t>कान्त माझगैया</t>
  </si>
  <si>
    <t>रमेश महर्जन</t>
  </si>
  <si>
    <t>सरश्वती खड्का</t>
  </si>
  <si>
    <t>निराजन श्रेष्ठ</t>
  </si>
  <si>
    <t>रमेश भोला महर्जन</t>
  </si>
  <si>
    <t>मोहन बहादुर बस्नेत</t>
  </si>
  <si>
    <t>शुशिला अधिकारी</t>
  </si>
  <si>
    <t>कृष्ण प्रसाद सापकोटा</t>
  </si>
  <si>
    <t>नगेन्द्र श्रेष्ठ</t>
  </si>
  <si>
    <t>सुबर्ण श्रेष्ठ</t>
  </si>
  <si>
    <t>शुक्रलक्ष्मी श्रेष्ठ</t>
  </si>
  <si>
    <t>प्रमोद सिंमखडा</t>
  </si>
  <si>
    <t>मिलान फुयाल</t>
  </si>
  <si>
    <t>रामेश्वर बोहोरा</t>
  </si>
  <si>
    <t>भवानी डोटेल धिताल</t>
  </si>
  <si>
    <t>हिरामानी सुबेदी</t>
  </si>
  <si>
    <t>शशी गुरुङ</t>
  </si>
  <si>
    <t>प्रकाश अधिकारी</t>
  </si>
  <si>
    <t>ज्ञान माया डंगोल</t>
  </si>
  <si>
    <t>राजेन्द्र कार्की</t>
  </si>
  <si>
    <t>प्रतिक्षा त्रिपाठी</t>
  </si>
  <si>
    <t>राजेन्द्र रमन खनाल</t>
  </si>
  <si>
    <t>कबिता ढुंगाना</t>
  </si>
  <si>
    <t>बद्री प्याकुरेल</t>
  </si>
  <si>
    <t>बुद्ध सिहं ठकुरी</t>
  </si>
  <si>
    <t>शञ्जु पन्डित</t>
  </si>
  <si>
    <t>गिता कुमारी दाहाल</t>
  </si>
  <si>
    <t>सुदेब कुमार पोख्रेल</t>
  </si>
  <si>
    <t>योगेन्द्र सिहं तमाङ</t>
  </si>
  <si>
    <t xml:space="preserve">अञ्जु आचार्य </t>
  </si>
  <si>
    <t>राम हरि गजुरेल</t>
  </si>
  <si>
    <t xml:space="preserve">मान  बाहादुर लामा </t>
  </si>
  <si>
    <t>सिता लामा</t>
  </si>
  <si>
    <t>सन्तोष कुमार दाहाल</t>
  </si>
  <si>
    <t xml:space="preserve">छत्र बहादुर लामा </t>
  </si>
  <si>
    <t xml:space="preserve">माया देवि न्यौपाने </t>
  </si>
  <si>
    <t>कृष्ण राज जोशी</t>
  </si>
  <si>
    <t xml:space="preserve">ध्रुब श्रेष्ठ </t>
  </si>
  <si>
    <t>रोजिना राई</t>
  </si>
  <si>
    <t>आशा तमाङ</t>
  </si>
  <si>
    <t>शान्ती लामा तमाङ</t>
  </si>
  <si>
    <t xml:space="preserve">प्रमोद तिमिल्सिना </t>
  </si>
  <si>
    <t>तेज बहादुर तमाङ</t>
  </si>
  <si>
    <t>नरेश पुडासैनी</t>
  </si>
  <si>
    <t>राम कृष्ण थापा</t>
  </si>
  <si>
    <t xml:space="preserve">किषन न्यौपाने </t>
  </si>
  <si>
    <t xml:space="preserve">सन्त बहादुर घले </t>
  </si>
  <si>
    <t>मञ्जु बुढाथोकी</t>
  </si>
  <si>
    <t>ऊत्तम खतिवडा</t>
  </si>
  <si>
    <t>नारायण प्रसाद पाण्डे</t>
  </si>
  <si>
    <t>ईश्वरी न्यौपाने</t>
  </si>
  <si>
    <t>अशोक बिष्ट</t>
  </si>
  <si>
    <t>रमेश वस्ती</t>
  </si>
  <si>
    <t>तारा देवि रिमाल</t>
  </si>
  <si>
    <t>अशोक प्रसाद दाहाल</t>
  </si>
  <si>
    <t>कैसाङ नुर्पु तमाङ</t>
  </si>
  <si>
    <t>करग्याल्मो श्रेष्ठ</t>
  </si>
  <si>
    <t>पुर्षोत्तम सापकोटा</t>
  </si>
  <si>
    <t>अर्जुन प्रसाद डोट्टल</t>
  </si>
  <si>
    <t>कृष्ण कान्त ऊपाध्याय</t>
  </si>
  <si>
    <t>कोशनाथ अधिकारी</t>
  </si>
  <si>
    <t>रिजन गजुरेल</t>
  </si>
  <si>
    <t>बिरेन शाह</t>
  </si>
  <si>
    <t>सिता अधिकारी पौडेल</t>
  </si>
  <si>
    <t>भवानी प्रसाद न्यौपाने</t>
  </si>
  <si>
    <t>शर्मिला न्यौपाने</t>
  </si>
  <si>
    <t>लिला नाथ नेपाल</t>
  </si>
  <si>
    <t>नुर्पु स्याङबो घले</t>
  </si>
  <si>
    <t>सृजिना लामा</t>
  </si>
  <si>
    <t>हरिहर कार्की</t>
  </si>
  <si>
    <t>सुमित कुमार संग्रौला</t>
  </si>
  <si>
    <t>भुजुङ तमाङ</t>
  </si>
  <si>
    <t>नबिना तमाङ</t>
  </si>
  <si>
    <t>बिक्रम लिम्बु</t>
  </si>
  <si>
    <t>रमेश कुमार गुप्ता</t>
  </si>
  <si>
    <t>उपेन्द्र लम्साल</t>
  </si>
  <si>
    <t>चमली गुरुङ</t>
  </si>
  <si>
    <t>बषन्त बहादुर खत्री</t>
  </si>
  <si>
    <t>उद्शवी अधिकारी</t>
  </si>
  <si>
    <t>पित्त बहादुर डल्लाकोटी</t>
  </si>
  <si>
    <t>देवि प्रसाद सिलवाल</t>
  </si>
  <si>
    <t xml:space="preserve">राजेन्द्र के. सि. </t>
  </si>
  <si>
    <t>प्रबिन गौतम</t>
  </si>
  <si>
    <t>सचिन सापकोटा</t>
  </si>
  <si>
    <t>बाल कृष्ण आचार्य</t>
  </si>
  <si>
    <t>निरू खरेल</t>
  </si>
  <si>
    <t>राजेन्द्र बिक्रम बस्नेत</t>
  </si>
  <si>
    <t>सिता ढुङगाना</t>
  </si>
  <si>
    <t xml:space="preserve">कृष्णहरि श्रेष्ठ </t>
  </si>
  <si>
    <t>राधा तिमिल्सिना</t>
  </si>
  <si>
    <t>बल बहादरु अधिकारी</t>
  </si>
  <si>
    <t>एन्जिला तामाङ</t>
  </si>
  <si>
    <t>बिनोद राज तिमिल्सिना</t>
  </si>
  <si>
    <t>जानुका सिङ्खडा</t>
  </si>
  <si>
    <t>रण बहादुर तमाङ</t>
  </si>
  <si>
    <t>यो माया तामाङ</t>
  </si>
  <si>
    <t>दुर्गा नारायण शाक्य</t>
  </si>
  <si>
    <t>ऊर्मिला तामाङ गुरुङ</t>
  </si>
  <si>
    <t xml:space="preserve">भिम प्रसाद ढुंगाना </t>
  </si>
  <si>
    <t>मन राज भण्डारी</t>
  </si>
  <si>
    <t xml:space="preserve">छेरोङ तामाङ </t>
  </si>
  <si>
    <t>बिना लामा तामाङ</t>
  </si>
  <si>
    <t>प्रेम नाथ सिलवाल</t>
  </si>
  <si>
    <t>कमाला शर्मा</t>
  </si>
  <si>
    <t>राम कुमार आचार्य</t>
  </si>
  <si>
    <t>अम्बिका रुपाखेती</t>
  </si>
  <si>
    <t>शम्भु कुमार थापा</t>
  </si>
  <si>
    <t>देवि पाण्डे बुर्लाकोटी</t>
  </si>
  <si>
    <t xml:space="preserve">सुरेश रिजाल </t>
  </si>
  <si>
    <t>सर्केश घलान</t>
  </si>
  <si>
    <t>धन माया श्याङतान</t>
  </si>
  <si>
    <t xml:space="preserve">राजु अर्याल </t>
  </si>
  <si>
    <t>सुदिप काशुला</t>
  </si>
  <si>
    <t>सोम राज तिमिल्सिना</t>
  </si>
  <si>
    <t>सुदिप आचार्य</t>
  </si>
  <si>
    <t>हरि थलाङ</t>
  </si>
  <si>
    <t>कौशल बिष्ट</t>
  </si>
  <si>
    <t>निर्मल नेपाली</t>
  </si>
  <si>
    <t>दामोदर खनाल</t>
  </si>
  <si>
    <t>सरला बोलाखे</t>
  </si>
  <si>
    <t>खेम राज सापकोटा</t>
  </si>
  <si>
    <t>प्रकाश भण्डारी</t>
  </si>
  <si>
    <t>हिदम लामा</t>
  </si>
  <si>
    <t>पार्बती राना</t>
  </si>
  <si>
    <t>जिवन कुंवर</t>
  </si>
  <si>
    <t>सनिश कुमार पण्डित</t>
  </si>
  <si>
    <t xml:space="preserve">हरि बहादुर महत </t>
  </si>
  <si>
    <t>मिना कुमारी लामा</t>
  </si>
  <si>
    <t>पुष्प राज शाही</t>
  </si>
  <si>
    <t>प्रमोद कुमार रिजाल</t>
  </si>
  <si>
    <t xml:space="preserve">जिवन लामा </t>
  </si>
  <si>
    <t>ऊमा कुमारी लामा</t>
  </si>
  <si>
    <t>शैलेन्द्र भण्डारी</t>
  </si>
  <si>
    <t>राधा कृष्ण शाह</t>
  </si>
  <si>
    <t>टंक मोक्तान</t>
  </si>
  <si>
    <t>सुक माया थिङ</t>
  </si>
  <si>
    <t>टंक बहादुर नेगी</t>
  </si>
  <si>
    <t xml:space="preserve">नरेन्द्र दत्त भट्ट </t>
  </si>
  <si>
    <t>बिदुर हुंमागाई</t>
  </si>
  <si>
    <t>हर्क माया रुम्बा</t>
  </si>
  <si>
    <t>भिम बहादुर परियार</t>
  </si>
  <si>
    <t>सुरज कुमार यादव</t>
  </si>
  <si>
    <t>एक राज उप्रेति</t>
  </si>
  <si>
    <t>मनिला बिष्ट</t>
  </si>
  <si>
    <t>बिशाकसेन ढकाल</t>
  </si>
  <si>
    <t>शम्भु राज कर्ण</t>
  </si>
  <si>
    <t>राज कुमार मल्ल</t>
  </si>
  <si>
    <t>निर्मला हिमदुङ</t>
  </si>
  <si>
    <t>राम कुमार पुडासैनी</t>
  </si>
  <si>
    <t>राम के सी</t>
  </si>
  <si>
    <t>लशेर बिष्ट</t>
  </si>
  <si>
    <t>खड्क बहादुर गोपाली</t>
  </si>
  <si>
    <t>हरि लाल पुन</t>
  </si>
  <si>
    <t>लक्षण ढकाल</t>
  </si>
  <si>
    <t xml:space="preserve">रेनु दाहाल </t>
  </si>
  <si>
    <t>पार्बती शाह</t>
  </si>
  <si>
    <t xml:space="preserve">नेत्र प्रसाद सुबेदी </t>
  </si>
  <si>
    <t>बिराट घिमिरे</t>
  </si>
  <si>
    <t>पुष्कर प्रसाद पोख्रेल</t>
  </si>
  <si>
    <t xml:space="preserve">गिता गुरुङ </t>
  </si>
  <si>
    <t>कृति कुमार श्रेष्ठ</t>
  </si>
  <si>
    <t xml:space="preserve">नरहरि सापकोटा </t>
  </si>
  <si>
    <t>राजन घिमिरे</t>
  </si>
  <si>
    <t>खुम नारायण श्रेष्ठ</t>
  </si>
  <si>
    <t>कमाला भट्टराई</t>
  </si>
  <si>
    <t>यज्ञ पुरी</t>
  </si>
  <si>
    <t>बल राम लुईटेल</t>
  </si>
  <si>
    <t xml:space="preserve">लाल मणि चौधरी </t>
  </si>
  <si>
    <t>सुनिता थपलिया</t>
  </si>
  <si>
    <t>पुर्षोतम शर्मा</t>
  </si>
  <si>
    <t>प्रकाश चन्द्र पौडेल</t>
  </si>
  <si>
    <t xml:space="preserve">ठाकुर ढकाल </t>
  </si>
  <si>
    <t>तारा कुमारी महतो</t>
  </si>
  <si>
    <t>हरि दत्त कंडेल</t>
  </si>
  <si>
    <t>सन्तोष सुबेदी</t>
  </si>
  <si>
    <t xml:space="preserve">प्रभा बराल </t>
  </si>
  <si>
    <t xml:space="preserve">ईमान सिंह लामा </t>
  </si>
  <si>
    <t>मिथ्थ राम हुंमागाई</t>
  </si>
  <si>
    <t>चन्द्र कान्त न्यौपाने</t>
  </si>
  <si>
    <t>नारायण बन</t>
  </si>
  <si>
    <t>बिमल दुवाडी</t>
  </si>
  <si>
    <t>बाबुलाल रेग्मी</t>
  </si>
  <si>
    <t>ऊर्मिला दाहाल</t>
  </si>
  <si>
    <t xml:space="preserve">पुर्ण बहादुर दाहाल </t>
  </si>
  <si>
    <t>कल्पना नेपाली</t>
  </si>
  <si>
    <t>एक देव खनाल</t>
  </si>
  <si>
    <t>सुनिल पोख्रेल</t>
  </si>
  <si>
    <t>राम शरण आचार्य</t>
  </si>
  <si>
    <t>सुनिता श्रेष्ठ</t>
  </si>
  <si>
    <t>चन्द्र गुरुङ</t>
  </si>
  <si>
    <t>अतित श्रेष्ठ</t>
  </si>
  <si>
    <t>बिरोध कट्टेल</t>
  </si>
  <si>
    <t xml:space="preserve">फडिन्द्र धिताल </t>
  </si>
  <si>
    <t>चन्द्र माया गुरुङ</t>
  </si>
  <si>
    <t>युबराज आचार्य</t>
  </si>
  <si>
    <t>लक्ष्मण न्यौपाने</t>
  </si>
  <si>
    <t>ईश्वर पाण्डे</t>
  </si>
  <si>
    <t xml:space="preserve">बिनु वाग्ले </t>
  </si>
  <si>
    <t>धनेश्वर पौडेल</t>
  </si>
  <si>
    <t>बिनोद लुईटेल</t>
  </si>
  <si>
    <t>धन बहादुर गुरुङ</t>
  </si>
  <si>
    <t>कुमारी गुरुङ</t>
  </si>
  <si>
    <t>प्रदिप गिरि</t>
  </si>
  <si>
    <t>अजित तिवारी</t>
  </si>
  <si>
    <t>सन्त बहादुर गुरुङ</t>
  </si>
  <si>
    <t>फुल माया गुरुङ</t>
  </si>
  <si>
    <t>बाबु राम पाण्डे</t>
  </si>
  <si>
    <t>बाबुराम पाण्डे</t>
  </si>
  <si>
    <t>होम बहादुर राना मगर</t>
  </si>
  <si>
    <t>लालिता अधिकारी</t>
  </si>
  <si>
    <t>देव राज अधिकारी</t>
  </si>
  <si>
    <t>मनिषा गुरुङ</t>
  </si>
  <si>
    <t xml:space="preserve">राजन राज पन्त </t>
  </si>
  <si>
    <t xml:space="preserve">बिना कुमारि श्रेष्ठ </t>
  </si>
  <si>
    <t>कृष्ण कुमारी क्षेष्ठ</t>
  </si>
  <si>
    <t>श्याम कुमार यादव</t>
  </si>
  <si>
    <t>दिपक बाबु कंडेल</t>
  </si>
  <si>
    <t>पम्फा बसेल</t>
  </si>
  <si>
    <t>बिरेन्द्र देव भारती</t>
  </si>
  <si>
    <t>जयन्द्र भट्ट</t>
  </si>
  <si>
    <t>रमेश थापा मगर</t>
  </si>
  <si>
    <t>ईन्दिरा तिवारी</t>
  </si>
  <si>
    <t>जिवन आले मगर</t>
  </si>
  <si>
    <t>सानु काजि बस्नेत</t>
  </si>
  <si>
    <t>राजु गुरुङ</t>
  </si>
  <si>
    <t>रिता देबकोटा</t>
  </si>
  <si>
    <t>भेष बहादुर कुंवर</t>
  </si>
  <si>
    <t>अहमदिन मिया</t>
  </si>
  <si>
    <t xml:space="preserve">बिष्णु प्रसाद भट्ट </t>
  </si>
  <si>
    <t>सोन माया गुरुङ</t>
  </si>
  <si>
    <t>शिव बहादुर गुरुङ</t>
  </si>
  <si>
    <t>गणेश पनेरु</t>
  </si>
  <si>
    <t>अनोज चिलुवाल</t>
  </si>
  <si>
    <t>उशेश श्रेष्ठ</t>
  </si>
  <si>
    <t>मिला नेपाली</t>
  </si>
  <si>
    <t>प्रदिप कुमार बराकोटी</t>
  </si>
  <si>
    <t>माया न्नद चौधरी</t>
  </si>
  <si>
    <t>मितलेश यादव</t>
  </si>
  <si>
    <t xml:space="preserve">अनिल भुजेल </t>
  </si>
  <si>
    <t>दिपेन्द्र कुमार रोहिता</t>
  </si>
  <si>
    <t>मुहर रावल</t>
  </si>
  <si>
    <t>राधा हमाल</t>
  </si>
  <si>
    <t>रोशन तिवारी</t>
  </si>
  <si>
    <t>सुनिल राना</t>
  </si>
  <si>
    <t>रेघन थापा</t>
  </si>
  <si>
    <t>पुजन श्रेष्ठ</t>
  </si>
  <si>
    <t>सफल पौडेल</t>
  </si>
  <si>
    <t>चित्र प्रसाद पौडेल</t>
  </si>
  <si>
    <t>सागर आचार्य</t>
  </si>
  <si>
    <t xml:space="preserve">प्रबिन ढकाल </t>
  </si>
  <si>
    <t>ईश्वर काफ्ले</t>
  </si>
  <si>
    <t>ओम प्रकाश चौलागांई</t>
  </si>
  <si>
    <t>गौरी शंकर मण्डल</t>
  </si>
  <si>
    <t>रमेश बञ्जरा</t>
  </si>
  <si>
    <t xml:space="preserve">सुबाश चन्द्र पौडेल </t>
  </si>
  <si>
    <t>नितेश कुमार ठाकुर</t>
  </si>
  <si>
    <t xml:space="preserve">रेशम अर्याल </t>
  </si>
  <si>
    <t>राम चन्द्र गौतम</t>
  </si>
  <si>
    <t xml:space="preserve">सुदिप बराल </t>
  </si>
  <si>
    <t>सन्जय पाण्डे</t>
  </si>
  <si>
    <t>जमुना भट्टराई</t>
  </si>
  <si>
    <t>नारायण प्रसाद बराल</t>
  </si>
  <si>
    <t>आन्नद काफ्ले</t>
  </si>
  <si>
    <t>सुमिरन बन्गाली</t>
  </si>
  <si>
    <t>रबिन्द्र ओजा</t>
  </si>
  <si>
    <t>पुकार रेग्मी</t>
  </si>
  <si>
    <t xml:space="preserve">धिरज शर्मा बस्याल </t>
  </si>
  <si>
    <t>माया देवि पौडेल</t>
  </si>
  <si>
    <t>बलराम अर्याल</t>
  </si>
  <si>
    <t xml:space="preserve">सिता पौडेल </t>
  </si>
  <si>
    <t xml:space="preserve">डम्बर बहादुर जि. सि. </t>
  </si>
  <si>
    <t>मिना कुमारी गुप्ता</t>
  </si>
  <si>
    <t xml:space="preserve">सुरेन्द्र बस्याल </t>
  </si>
  <si>
    <t xml:space="preserve"> शशिकिरण बस्ताकोटी</t>
  </si>
  <si>
    <t xml:space="preserve">मैना बि. क. </t>
  </si>
  <si>
    <t>घनश्याम घह</t>
  </si>
  <si>
    <t>नारायण पाण्डे</t>
  </si>
  <si>
    <t>दुर्गा बहादुर राना</t>
  </si>
  <si>
    <t>माया देवि श्रेष्ठ</t>
  </si>
  <si>
    <t>कृष्ण प्रसाद ज्ञवालि</t>
  </si>
  <si>
    <t>दिनेश पनेरु</t>
  </si>
  <si>
    <t>पुर्ण कुमार श्रेष्ठ</t>
  </si>
  <si>
    <t>पार्बती तिवारी</t>
  </si>
  <si>
    <t>मान बहादुर खड्का</t>
  </si>
  <si>
    <t>ध्रुब गैरे</t>
  </si>
  <si>
    <t>छबराज पौडेल</t>
  </si>
  <si>
    <t>बिष्णु कुमारी कंडेल</t>
  </si>
  <si>
    <t xml:space="preserve">शिब प्रसाद रिजाल </t>
  </si>
  <si>
    <t>लक्ष्मी पाण्डे</t>
  </si>
  <si>
    <t>स्वतन्त्र कोपिला मल्ल</t>
  </si>
  <si>
    <t xml:space="preserve">छत्र अधिकारी </t>
  </si>
  <si>
    <t>गणेश एम सि</t>
  </si>
  <si>
    <t>चन्द्र कुमारी पुन</t>
  </si>
  <si>
    <t>प्रेम शंकर मर्दनिया</t>
  </si>
  <si>
    <t>रोशन ज्ञवाली</t>
  </si>
  <si>
    <t xml:space="preserve">चन्द्र बहादुर राना </t>
  </si>
  <si>
    <t xml:space="preserve">ओम कुमारी महतो </t>
  </si>
  <si>
    <t>शिब राज भट्टराई</t>
  </si>
  <si>
    <t>दिपक तिवारी</t>
  </si>
  <si>
    <t>बैजु प्रसाद गुप्ता</t>
  </si>
  <si>
    <t>पार्बती कुमारी कोहर</t>
  </si>
  <si>
    <t>शशि पौडेल</t>
  </si>
  <si>
    <t xml:space="preserve">राज कुमार शर्मा </t>
  </si>
  <si>
    <t xml:space="preserve">अन्जु कुमारी चौधरी </t>
  </si>
  <si>
    <t xml:space="preserve">बोध राज बस्याल </t>
  </si>
  <si>
    <t>नरेन्द्र कुमार गुप्ता</t>
  </si>
  <si>
    <t>रम्बा कुंवर</t>
  </si>
  <si>
    <t>कृष्ण प्रसाद चापागांई</t>
  </si>
  <si>
    <t>राधेश्याम चौधरी</t>
  </si>
  <si>
    <t>ऊत्तमा राय</t>
  </si>
  <si>
    <t xml:space="preserve">झबिस्वर रग्मी </t>
  </si>
  <si>
    <t>भुमी बहादुर थापा</t>
  </si>
  <si>
    <t xml:space="preserve">धामी राम अर्याल </t>
  </si>
  <si>
    <t xml:space="preserve">राम लाल श्रेष्ठ </t>
  </si>
  <si>
    <t>राम प्रसाद पाण्डे</t>
  </si>
  <si>
    <t>ईन्द्र कुमारी थरुनी</t>
  </si>
  <si>
    <t>जिब लाल श्रेष्ठ</t>
  </si>
  <si>
    <t>How can households access socio-technical assistance from the government and / or Partner Organisations (POs)?</t>
  </si>
  <si>
    <t>घरधूरीले सरकार वा साझेदार संस्थाले प्रदान गर्ने सामाजिक-प्राविधिक सहायता कसरी प्राप्त गर्न सक्छन्?</t>
  </si>
  <si>
    <t xml:space="preserve">Technical assistance should be available from Partner Organisations (POs) working in your area. Where POs are not present, technical assistance can be requested through Rural / Urban Municipality offices by submitting the form found in annex 5 of the inspection manual. The Rural / Urban Municipality should inform households in advance about the arrival date of the Technical Assistance team. </t>
  </si>
  <si>
    <t xml:space="preserve">तपाईंको क्षेत्रमा काम गरीरहेका साझेदार संस्थाहरू मार्फत् प्राविधिक सहायता प्राप्त गर्ने सकिनेछ। साझेदार संस्थाहरू नभएका स्थानहरूमा गाउँपालिका वा नगरपालिकाबाट  प्राविधिक निरीक्षण कार्यविधि को अनुसूची ५ मा भएको फारम बुझाई  प्राविधिक सहायताको लागि अनुरोध गर्न सकिन्छ ।गाउँपालिका\नगरपालिकाले घरधनीलाई  प्राविधिक सहायता टोलीको आगमनको मितिका बारेमा अग्रिम जानकारी गराउनुपर्ने छ। </t>
  </si>
  <si>
    <t>What are the deadlines for receiving tranches of the private housing reconstruction grant?</t>
  </si>
  <si>
    <t>निजि आवास पुननिर्माणका लागि लाभग्राहीले अनुदान लिने सामय सिमा काहिले सम्म हो ?</t>
  </si>
  <si>
    <t xml:space="preserve">As per the decision of the 14th Steering Committee meeting of the National Reconstruction Authority dated 17th January, the following decisions have been regarding the timeline for receiving private housing reconstruction grant:
1. The beneficiaries of the private housing reconstruction grant should receive the first tranche of the grant by  15 July 2016.
2. There is no need to set deadlines for receiving second and third tranches for the beneficiaries of the private housing reconstruction grant. 
Despite no deadline for receiving the second and third tranches, the beneficiaries are requested to receive  all the remaining grants a soon as possible keeping into account the procedures of the National Reconstruction Authority. </t>
  </si>
  <si>
    <t>२०७५ माघ ३ गते बसेको राष्ट्रिय पुननिर्माण प्राधिकरण चौधौ निर्देशक समितिको बैठकले निजि आवास पुननिर्माण अनुदान लिने सामयसिमा सम्बन्धमा निम्नानुसार निर्णय गरेको छ|
१. निजि आवास पुननिर्माण लाभग्राहिले अनुदान रकमको पाहिलो किस्ता २०७६ अषाढ मसान्त साम्म लिईसाक्नु पर्ने|
२. निजि आवास पुननिर्माण लाभग्राहिले दोस्रो र तेस्रो किस्ता लिनका लागि सामयसिमा तोकिराख्नु नपर्ने |
अनुदान रकमको दोस्रो र तेस्रो किस्ता लिने सामयसिमा नतोकिएतापनि प्राधिकरणको बाँकी कार्यवधिलाई ध्यान दिई शीघ्रताशीघ्र सबै किस्ता रकम लिई सक्नु हुन लाभग्राहिलाईअनुरोध गरिन्छ |</t>
  </si>
  <si>
    <t>CBS damage assessment survey, 2015</t>
  </si>
  <si>
    <t>Remove 'remaining' column for training</t>
  </si>
  <si>
    <t>Month</t>
  </si>
  <si>
    <t>Year</t>
  </si>
  <si>
    <t>April</t>
  </si>
  <si>
    <t>अप्रिल</t>
  </si>
  <si>
    <t>num</t>
  </si>
  <si>
    <t>Removed meta sheet and moved year, month and FAQ to titles. The value for FAQ will note be translated, but used in FAQ selection in the same manner. My non devanagari friendly computer gave some issues in putting in the nepali numbers FYI</t>
  </si>
  <si>
    <t>District Name NP</t>
  </si>
  <si>
    <t>#district_name_np</t>
  </si>
  <si>
    <t>np dist</t>
  </si>
  <si>
    <t>Added Nepali district title column in Profile Data (will show nan if not present)</t>
  </si>
  <si>
    <t>This is the nepali text for q3</t>
  </si>
  <si>
    <t>nepali text for answer 3</t>
  </si>
  <si>
    <t>Partner Orgs</t>
  </si>
  <si>
    <t>No Partner Orgs</t>
  </si>
  <si>
    <t>No POs Reported</t>
  </si>
  <si>
    <t>हराइरहेको मान</t>
  </si>
  <si>
    <t>removed #status_of_cm_footer</t>
  </si>
  <si>
    <t xml:space="preserve">omg po pop po omg po pop po omg po pop po omg po pop po omg po pop po omg po pop po omg po pop po omg po pop po omg po pop po omg po pop po omg po pop po </t>
  </si>
  <si>
    <t xml:space="preserve">long long long long long long long long long long long long long long long long long long long long long long long long long long long long long long long long long long long long long long long long long long long long long long long long long long long </t>
  </si>
  <si>
    <t>Panel Footer</t>
  </si>
  <si>
    <t>Data Updated on: DD/MM/YY [TO INSERT]</t>
  </si>
  <si>
    <t>भर्नु</t>
  </si>
  <si>
    <t>added #recon_&amp;_retrofit_panel_footer in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</si>
</sst>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amily val="2"/>
    </font>
    <font>
      <sz val="12"/>
      <color theme="1"/>
      <name val="Mangal"/>
      <family val="1"/>
    </font>
    <font>
      <b/>
      <sz val="12"/>
      <color theme="1"/>
      <name val="Mangal"/>
      <family val="1"/>
    </font>
    <font>
      <sz val="16"/>
      <color theme="1"/>
      <name val="Mangal"/>
      <family val="1"/>
    </font>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ill="1"/>
    <xf numFmtId="0" fontId="0" fillId="0" borderId="0" xfId="0" applyAlignment="1">
      <alignment vertical="center"/>
    </xf>
    <xf numFmtId="16" fontId="0" fillId="0" borderId="0" xfId="0" applyNumberFormat="1"/>
    <xf numFmtId="0" fontId="0" fillId="0" borderId="0" xfId="0" quotePrefix="1" applyFill="1"/>
    <xf numFmtId="0" fontId="0" fillId="0"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Font="1" applyFill="1" applyAlignment="1"/>
    <xf numFmtId="0" fontId="6" fillId="0" borderId="0" xfId="0" applyFont="1" applyFill="1"/>
    <xf numFmtId="1" fontId="0" fillId="0" borderId="0" xfId="0" applyNumberFormat="1" applyFill="1" applyAlignment="1">
      <alignment horizontal="center" vertical="center"/>
    </xf>
    <xf numFmtId="0" fontId="0" fillId="0" borderId="0" xfId="0" applyFill="1" applyAlignment="1">
      <alignment vertical="center"/>
    </xf>
    <xf numFmtId="0" fontId="10" fillId="0" borderId="0" xfId="0" applyFont="1" applyFill="1"/>
    <xf numFmtId="14" fontId="0" fillId="0" borderId="0" xfId="0" applyNumberFormat="1"/>
    <xf numFmtId="0" fontId="1" fillId="0" borderId="0" xfId="0" applyFont="1" applyAlignment="1">
      <alignment horizontal="center" vertical="center"/>
    </xf>
    <xf numFmtId="0" fontId="6" fillId="0" borderId="0" xfId="0" applyNumberFormat="1" applyFont="1"/>
  </cellXfs>
  <cellStyles count="3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file_data_structure_hrr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Data"/>
      <sheetName val="PO's List"/>
      <sheetName val="Raw Data"/>
      <sheetName val="Training"/>
      <sheetName val="Sector substitute"/>
      <sheetName val="Palika and District in Nepali "/>
      <sheetName val="Profile data Updated"/>
      <sheetName val="Titles"/>
      <sheetName val="Map Data"/>
      <sheetName val="Meta"/>
      <sheetName val="FAQs"/>
    </sheetNames>
    <sheetDataSet>
      <sheetData sheetId="0"/>
      <sheetData sheetId="1">
        <row r="3">
          <cell r="A3" t="str">
            <v>Palika code</v>
          </cell>
          <cell r="B3" t="str">
            <v xml:space="preserve">District Name </v>
          </cell>
          <cell r="C3" t="str">
            <v xml:space="preserve">Palika Name </v>
          </cell>
          <cell r="D3" t="str">
            <v>Active POs List</v>
          </cell>
          <cell r="E3" t="str">
            <v>Phased Out POs List</v>
          </cell>
        </row>
        <row r="4">
          <cell r="A4">
            <v>7001</v>
          </cell>
          <cell r="B4" t="str">
            <v>Dhankuta</v>
          </cell>
          <cell r="C4" t="str">
            <v>Chaubise Gaunpalika</v>
          </cell>
          <cell r="D4" t="str">
            <v/>
          </cell>
          <cell r="E4" t="str">
            <v/>
          </cell>
        </row>
        <row r="5">
          <cell r="A5">
            <v>7002</v>
          </cell>
          <cell r="B5" t="str">
            <v>Dhankuta</v>
          </cell>
          <cell r="C5" t="str">
            <v>Chhathar Jorpati Gaunpalika</v>
          </cell>
          <cell r="D5" t="str">
            <v/>
          </cell>
          <cell r="E5" t="str">
            <v/>
          </cell>
        </row>
        <row r="6">
          <cell r="A6">
            <v>7003</v>
          </cell>
          <cell r="B6" t="str">
            <v>Dhankuta</v>
          </cell>
          <cell r="C6" t="str">
            <v>Dhankuta Nagarpalika</v>
          </cell>
          <cell r="D6" t="str">
            <v/>
          </cell>
          <cell r="E6" t="str">
            <v/>
          </cell>
        </row>
        <row r="7">
          <cell r="A7">
            <v>7004</v>
          </cell>
          <cell r="B7" t="str">
            <v>Dhankuta</v>
          </cell>
          <cell r="C7" t="str">
            <v>Khalsa Chhintang Shahidbhumi Gaunpalika</v>
          </cell>
          <cell r="D7" t="str">
            <v/>
          </cell>
          <cell r="E7" t="str">
            <v/>
          </cell>
        </row>
        <row r="8">
          <cell r="A8">
            <v>7005</v>
          </cell>
          <cell r="B8" t="str">
            <v>Dhankuta</v>
          </cell>
          <cell r="C8" t="str">
            <v>Mahalaxmi Nagarpalika</v>
          </cell>
          <cell r="D8" t="str">
            <v/>
          </cell>
          <cell r="E8" t="str">
            <v/>
          </cell>
        </row>
        <row r="9">
          <cell r="A9">
            <v>7006</v>
          </cell>
          <cell r="B9" t="str">
            <v>Dhankuta</v>
          </cell>
          <cell r="C9" t="str">
            <v>Pakhribas Nagarpalika</v>
          </cell>
          <cell r="D9" t="str">
            <v/>
          </cell>
          <cell r="E9" t="str">
            <v/>
          </cell>
        </row>
        <row r="10">
          <cell r="A10">
            <v>7007</v>
          </cell>
          <cell r="B10" t="str">
            <v>Dhankuta</v>
          </cell>
          <cell r="C10" t="str">
            <v>Sangurigadhi Gaunpalika</v>
          </cell>
          <cell r="D10" t="str">
            <v/>
          </cell>
          <cell r="E10" t="str">
            <v/>
          </cell>
        </row>
        <row r="11">
          <cell r="A11">
            <v>9001</v>
          </cell>
          <cell r="B11" t="str">
            <v>Sankhuwasabha</v>
          </cell>
          <cell r="C11" t="str">
            <v>Bhotkhola Gaunpalika</v>
          </cell>
          <cell r="D11" t="str">
            <v/>
          </cell>
          <cell r="E11" t="str">
            <v/>
          </cell>
        </row>
        <row r="12">
          <cell r="A12">
            <v>9002</v>
          </cell>
          <cell r="B12" t="str">
            <v>Sankhuwasabha</v>
          </cell>
          <cell r="C12" t="str">
            <v>Chainpur Nagarpalika</v>
          </cell>
          <cell r="D12" t="str">
            <v/>
          </cell>
          <cell r="E12" t="str">
            <v/>
          </cell>
        </row>
        <row r="13">
          <cell r="A13">
            <v>9003</v>
          </cell>
          <cell r="B13" t="str">
            <v>Sankhuwasabha</v>
          </cell>
          <cell r="C13" t="str">
            <v>Chichila Gaunpalika</v>
          </cell>
          <cell r="D13" t="str">
            <v/>
          </cell>
          <cell r="E13" t="str">
            <v/>
          </cell>
        </row>
        <row r="14">
          <cell r="A14">
            <v>9004</v>
          </cell>
          <cell r="B14" t="str">
            <v>Sankhuwasabha</v>
          </cell>
          <cell r="C14" t="str">
            <v>Dharmadevi Nagarpalika</v>
          </cell>
          <cell r="D14" t="str">
            <v/>
          </cell>
          <cell r="E14" t="str">
            <v/>
          </cell>
        </row>
        <row r="15">
          <cell r="A15">
            <v>9005</v>
          </cell>
          <cell r="B15" t="str">
            <v>Sankhuwasabha</v>
          </cell>
          <cell r="C15" t="str">
            <v>Khandbari Nagarpalika</v>
          </cell>
          <cell r="D15" t="str">
            <v/>
          </cell>
          <cell r="E15" t="str">
            <v/>
          </cell>
        </row>
        <row r="16">
          <cell r="A16">
            <v>9006</v>
          </cell>
          <cell r="B16" t="str">
            <v>Sankhuwasabha</v>
          </cell>
          <cell r="C16" t="str">
            <v>Madi Nagarpalika</v>
          </cell>
          <cell r="D16" t="str">
            <v/>
          </cell>
          <cell r="E16" t="str">
            <v/>
          </cell>
        </row>
        <row r="17">
          <cell r="A17">
            <v>9007</v>
          </cell>
          <cell r="B17" t="str">
            <v>Sankhuwasabha</v>
          </cell>
          <cell r="C17" t="str">
            <v>Makalu Gaunpalika</v>
          </cell>
          <cell r="D17" t="str">
            <v/>
          </cell>
          <cell r="E17" t="str">
            <v/>
          </cell>
        </row>
        <row r="18">
          <cell r="A18">
            <v>9008</v>
          </cell>
          <cell r="B18" t="str">
            <v>Sankhuwasabha</v>
          </cell>
          <cell r="C18" t="str">
            <v>Panchakhapan Nagarpalika</v>
          </cell>
          <cell r="D18" t="str">
            <v/>
          </cell>
          <cell r="E18" t="str">
            <v/>
          </cell>
        </row>
        <row r="19">
          <cell r="A19">
            <v>9009</v>
          </cell>
          <cell r="B19" t="str">
            <v>Sankhuwasabha</v>
          </cell>
          <cell r="C19" t="str">
            <v>Sabhapokhari Gaunpalika</v>
          </cell>
          <cell r="D19" t="str">
            <v/>
          </cell>
          <cell r="E19" t="str">
            <v/>
          </cell>
        </row>
        <row r="20">
          <cell r="A20">
            <v>9010</v>
          </cell>
          <cell r="B20" t="str">
            <v>Sankhuwasabha</v>
          </cell>
          <cell r="C20" t="str">
            <v>Silichong Gaunpalika</v>
          </cell>
          <cell r="D20" t="str">
            <v/>
          </cell>
          <cell r="E20" t="str">
            <v/>
          </cell>
        </row>
        <row r="21">
          <cell r="A21">
            <v>10001</v>
          </cell>
          <cell r="B21" t="str">
            <v>Bhojpur</v>
          </cell>
          <cell r="C21" t="str">
            <v>Aamchowk Gaunpalika</v>
          </cell>
          <cell r="D21" t="str">
            <v/>
          </cell>
          <cell r="E21" t="str">
            <v/>
          </cell>
        </row>
        <row r="22">
          <cell r="A22">
            <v>10002</v>
          </cell>
          <cell r="B22" t="str">
            <v>Bhojpur</v>
          </cell>
          <cell r="C22" t="str">
            <v>Arun Gaunpalika</v>
          </cell>
          <cell r="D22" t="str">
            <v/>
          </cell>
          <cell r="E22" t="str">
            <v/>
          </cell>
        </row>
        <row r="23">
          <cell r="A23">
            <v>10003</v>
          </cell>
          <cell r="B23" t="str">
            <v>Bhojpur</v>
          </cell>
          <cell r="C23" t="str">
            <v>Bhojpur Nagarpalika</v>
          </cell>
          <cell r="D23" t="str">
            <v/>
          </cell>
          <cell r="E23" t="str">
            <v/>
          </cell>
        </row>
        <row r="24">
          <cell r="A24">
            <v>10004</v>
          </cell>
          <cell r="B24" t="str">
            <v>Bhojpur</v>
          </cell>
          <cell r="C24" t="str">
            <v>Hatuwagadhi Gaunpalika</v>
          </cell>
          <cell r="D24" t="str">
            <v/>
          </cell>
          <cell r="E24" t="str">
            <v/>
          </cell>
        </row>
        <row r="25">
          <cell r="A25">
            <v>10005</v>
          </cell>
          <cell r="B25" t="str">
            <v>Bhojpur</v>
          </cell>
          <cell r="C25" t="str">
            <v>Pauwadungma Gaunpalika</v>
          </cell>
          <cell r="D25" t="str">
            <v/>
          </cell>
          <cell r="E25" t="str">
            <v/>
          </cell>
        </row>
        <row r="26">
          <cell r="A26">
            <v>10006</v>
          </cell>
          <cell r="B26" t="str">
            <v>Bhojpur</v>
          </cell>
          <cell r="C26" t="str">
            <v>Ramprasad Rai Gaunpalika</v>
          </cell>
          <cell r="D26" t="str">
            <v/>
          </cell>
          <cell r="E26" t="str">
            <v/>
          </cell>
        </row>
        <row r="27">
          <cell r="A27">
            <v>10007</v>
          </cell>
          <cell r="B27" t="str">
            <v>Bhojpur</v>
          </cell>
          <cell r="C27" t="str">
            <v>Salpasilichho Gaunpalika</v>
          </cell>
          <cell r="D27" t="str">
            <v/>
          </cell>
          <cell r="E27" t="str">
            <v/>
          </cell>
        </row>
        <row r="28">
          <cell r="A28">
            <v>10008</v>
          </cell>
          <cell r="B28" t="str">
            <v>Bhojpur</v>
          </cell>
          <cell r="C28" t="str">
            <v>Shadananda Nagarpalika</v>
          </cell>
          <cell r="D28" t="str">
            <v/>
          </cell>
          <cell r="E28" t="str">
            <v/>
          </cell>
        </row>
        <row r="29">
          <cell r="A29">
            <v>10009</v>
          </cell>
          <cell r="B29" t="str">
            <v>Bhojpur</v>
          </cell>
          <cell r="C29" t="str">
            <v>Tyamkemaiyung Gaunpalika</v>
          </cell>
          <cell r="D29" t="str">
            <v/>
          </cell>
          <cell r="E29" t="str">
            <v/>
          </cell>
        </row>
        <row r="30">
          <cell r="A30">
            <v>11001</v>
          </cell>
          <cell r="B30" t="str">
            <v>Solukhumbu</v>
          </cell>
          <cell r="C30" t="str">
            <v>Dudhkaushika Gaunpalika</v>
          </cell>
          <cell r="D30" t="str">
            <v>CITC-N(Education)</v>
          </cell>
          <cell r="E30" t="str">
            <v/>
          </cell>
        </row>
        <row r="31">
          <cell r="A31">
            <v>11002</v>
          </cell>
          <cell r="B31" t="str">
            <v>Solukhumbu</v>
          </cell>
          <cell r="C31" t="str">
            <v>Dudhkoshi Gaunpalika</v>
          </cell>
          <cell r="D31" t="str">
            <v/>
          </cell>
          <cell r="E31" t="str">
            <v/>
          </cell>
        </row>
        <row r="32">
          <cell r="A32">
            <v>11003</v>
          </cell>
          <cell r="B32" t="str">
            <v>Solukhumbu</v>
          </cell>
          <cell r="C32" t="str">
            <v>Khumbupasanglahmu Gaunpalika</v>
          </cell>
          <cell r="D32" t="str">
            <v/>
          </cell>
          <cell r="E32" t="str">
            <v>JingF(Education)</v>
          </cell>
        </row>
        <row r="33">
          <cell r="A33">
            <v>11004</v>
          </cell>
          <cell r="B33" t="str">
            <v>Solukhumbu</v>
          </cell>
          <cell r="C33" t="str">
            <v>Likhupike Gaunpalika</v>
          </cell>
          <cell r="D33" t="str">
            <v/>
          </cell>
          <cell r="E33" t="str">
            <v/>
          </cell>
        </row>
        <row r="34">
          <cell r="A34">
            <v>11005</v>
          </cell>
          <cell r="B34" t="str">
            <v>Solukhumbu</v>
          </cell>
          <cell r="C34" t="str">
            <v>Mahakulung Gaunpalika</v>
          </cell>
          <cell r="D34" t="str">
            <v/>
          </cell>
          <cell r="E34" t="str">
            <v>CITC-N(Education),SYC(Education)</v>
          </cell>
        </row>
        <row r="35">
          <cell r="A35">
            <v>11006</v>
          </cell>
          <cell r="B35" t="str">
            <v>Solukhumbu</v>
          </cell>
          <cell r="C35" t="str">
            <v>Nechasalyan Gaunpalika</v>
          </cell>
          <cell r="D35" t="str">
            <v/>
          </cell>
          <cell r="E35" t="str">
            <v/>
          </cell>
        </row>
        <row r="36">
          <cell r="A36">
            <v>11007</v>
          </cell>
          <cell r="B36" t="str">
            <v>Solukhumbu</v>
          </cell>
          <cell r="C36" t="str">
            <v>Solududhakunda Nagarpalika</v>
          </cell>
          <cell r="D36" t="str">
            <v/>
          </cell>
          <cell r="E36" t="str">
            <v/>
          </cell>
        </row>
        <row r="37">
          <cell r="A37">
            <v>11008</v>
          </cell>
          <cell r="B37" t="str">
            <v>Solukhumbu</v>
          </cell>
          <cell r="C37" t="str">
            <v>Sotang Gaunpalika</v>
          </cell>
          <cell r="D37" t="str">
            <v/>
          </cell>
          <cell r="E37" t="str">
            <v/>
          </cell>
        </row>
        <row r="38">
          <cell r="A38">
            <v>12001</v>
          </cell>
          <cell r="B38" t="str">
            <v>Okhaldhunga</v>
          </cell>
          <cell r="C38" t="str">
            <v>Champadevi Gaunpalika</v>
          </cell>
          <cell r="D38" t="str">
            <v>CRS(Livelihood,Employment ,Shelter)</v>
          </cell>
          <cell r="E38" t="str">
            <v>ACTED(Shelter),HELVETAS(Shelter),MEDAIR(Shelter),NRA(Shelter),USAID-SABAL(Shelter)</v>
          </cell>
        </row>
        <row r="39">
          <cell r="A39">
            <v>12002</v>
          </cell>
          <cell r="B39" t="str">
            <v>Okhaldhunga</v>
          </cell>
          <cell r="C39" t="str">
            <v>Chisankhugadhi Gaunpalika</v>
          </cell>
          <cell r="D39" t="str">
            <v>NRCS(Health)</v>
          </cell>
          <cell r="E39" t="str">
            <v>HELVETAS(Shelter),NRA(Shelter)</v>
          </cell>
        </row>
        <row r="40">
          <cell r="A40">
            <v>12003</v>
          </cell>
          <cell r="B40" t="str">
            <v>Okhaldhunga</v>
          </cell>
          <cell r="C40" t="str">
            <v>Khijidemba Gaunpalika</v>
          </cell>
          <cell r="D40" t="str">
            <v>CRS(Livelihood,Employment ,Shelter)</v>
          </cell>
          <cell r="E40" t="str">
            <v>ACTED(Shelter),GON(Shelter),HELVETAS(Shelter),HRDS(Education),MCC(Livelihood,Shelter,Health),NRA(Shelter)</v>
          </cell>
        </row>
        <row r="41">
          <cell r="A41">
            <v>12004</v>
          </cell>
          <cell r="B41" t="str">
            <v>Okhaldhunga</v>
          </cell>
          <cell r="C41" t="str">
            <v>Likhu Gaunpalika</v>
          </cell>
          <cell r="D41" t="str">
            <v>CRS(Livelihood,Employment ,Shelter)</v>
          </cell>
          <cell r="E41" t="str">
            <v>GON(Shelter),HELVETAS(Shelter),MEDAIR(Shelter),USAID-SABAL(Shelter)</v>
          </cell>
        </row>
        <row r="42">
          <cell r="A42">
            <v>12005</v>
          </cell>
          <cell r="B42" t="str">
            <v>Okhaldhunga</v>
          </cell>
          <cell r="C42" t="str">
            <v>Manebhanjyang Gaunpalika</v>
          </cell>
          <cell r="D42" t="str">
            <v/>
          </cell>
          <cell r="E42" t="str">
            <v>GON(Shelter),HELVETAS(Shelter),USAID-SABAL(Shelter)</v>
          </cell>
        </row>
        <row r="43">
          <cell r="A43">
            <v>12006</v>
          </cell>
          <cell r="B43" t="str">
            <v>Okhaldhunga</v>
          </cell>
          <cell r="C43" t="str">
            <v>Molung Gaunpalika</v>
          </cell>
          <cell r="D43" t="str">
            <v>NRCS(Livelihood,Education,Employment ,Health,Shelter,Health)</v>
          </cell>
          <cell r="E43" t="str">
            <v>ACTED(Shelter),GON(Shelter),HELVETAS(Shelter)</v>
          </cell>
        </row>
        <row r="44">
          <cell r="A44">
            <v>12007</v>
          </cell>
          <cell r="B44" t="str">
            <v>Okhaldhunga</v>
          </cell>
          <cell r="C44" t="str">
            <v>Siddhicharan Nagarpalika</v>
          </cell>
          <cell r="D44" t="str">
            <v>NRCS(Livelihood,Employment ,Health,Shelter,Health)</v>
          </cell>
          <cell r="E44" t="str">
            <v>GON(Shelter),HELVETAS(Shelter),NineH(Education)</v>
          </cell>
        </row>
        <row r="45">
          <cell r="A45">
            <v>12008</v>
          </cell>
          <cell r="B45" t="str">
            <v>Okhaldhunga</v>
          </cell>
          <cell r="C45" t="str">
            <v>Sunkoshi Gaunpalika</v>
          </cell>
          <cell r="D45" t="str">
            <v/>
          </cell>
          <cell r="E45" t="str">
            <v>ACTED(Shelter),GON(Shelter),HELVETAS(Shelter)</v>
          </cell>
        </row>
        <row r="46">
          <cell r="A46">
            <v>13001</v>
          </cell>
          <cell r="B46" t="str">
            <v>Khotang</v>
          </cell>
          <cell r="C46" t="str">
            <v>Ainselukhark Gaunpalika</v>
          </cell>
          <cell r="D46" t="str">
            <v/>
          </cell>
          <cell r="E46" t="str">
            <v/>
          </cell>
        </row>
        <row r="47">
          <cell r="A47">
            <v>13002</v>
          </cell>
          <cell r="B47" t="str">
            <v>Khotang</v>
          </cell>
          <cell r="C47" t="str">
            <v>Barahapokhari Gaunpalika</v>
          </cell>
          <cell r="D47" t="str">
            <v/>
          </cell>
          <cell r="E47" t="str">
            <v/>
          </cell>
        </row>
        <row r="48">
          <cell r="A48">
            <v>13003</v>
          </cell>
          <cell r="B48" t="str">
            <v>Khotang</v>
          </cell>
          <cell r="C48" t="str">
            <v>Diprung Gaunpalika</v>
          </cell>
          <cell r="D48" t="str">
            <v/>
          </cell>
          <cell r="E48" t="str">
            <v/>
          </cell>
        </row>
        <row r="49">
          <cell r="A49">
            <v>13004</v>
          </cell>
          <cell r="B49" t="str">
            <v>Khotang</v>
          </cell>
          <cell r="C49" t="str">
            <v>Halesi Tuwachung Nagarpalika</v>
          </cell>
          <cell r="D49" t="str">
            <v/>
          </cell>
          <cell r="E49" t="str">
            <v/>
          </cell>
        </row>
        <row r="50">
          <cell r="A50">
            <v>13005</v>
          </cell>
          <cell r="B50" t="str">
            <v>Khotang</v>
          </cell>
          <cell r="C50" t="str">
            <v>Jantedhunga Gaunpalika</v>
          </cell>
          <cell r="D50" t="str">
            <v/>
          </cell>
          <cell r="E50" t="str">
            <v/>
          </cell>
        </row>
        <row r="51">
          <cell r="A51">
            <v>13006</v>
          </cell>
          <cell r="B51" t="str">
            <v>Khotang</v>
          </cell>
          <cell r="C51" t="str">
            <v>Kepilasagadhi Gaunpalika</v>
          </cell>
          <cell r="D51" t="str">
            <v/>
          </cell>
          <cell r="E51" t="str">
            <v/>
          </cell>
        </row>
        <row r="52">
          <cell r="A52">
            <v>13007</v>
          </cell>
          <cell r="B52" t="str">
            <v>Khotang</v>
          </cell>
          <cell r="C52" t="str">
            <v>Khotehang Gaunpalika</v>
          </cell>
          <cell r="D52" t="str">
            <v/>
          </cell>
          <cell r="E52" t="str">
            <v/>
          </cell>
        </row>
        <row r="53">
          <cell r="A53">
            <v>13008</v>
          </cell>
          <cell r="B53" t="str">
            <v>Khotang</v>
          </cell>
          <cell r="C53" t="str">
            <v>Lamidanda Gaunpalika</v>
          </cell>
          <cell r="D53" t="str">
            <v/>
          </cell>
          <cell r="E53" t="str">
            <v/>
          </cell>
        </row>
        <row r="54">
          <cell r="A54">
            <v>13009</v>
          </cell>
          <cell r="B54" t="str">
            <v>Khotang</v>
          </cell>
          <cell r="C54" t="str">
            <v>Rupakot huwagadhi Nagarpalika</v>
          </cell>
          <cell r="D54" t="str">
            <v/>
          </cell>
          <cell r="E54" t="str">
            <v/>
          </cell>
        </row>
        <row r="55">
          <cell r="A55">
            <v>13010</v>
          </cell>
          <cell r="B55" t="str">
            <v>Khotang</v>
          </cell>
          <cell r="C55" t="str">
            <v>Sakela Gaunpalika</v>
          </cell>
          <cell r="D55" t="str">
            <v/>
          </cell>
          <cell r="E55" t="str">
            <v/>
          </cell>
        </row>
        <row r="56">
          <cell r="A56">
            <v>20001</v>
          </cell>
          <cell r="B56" t="str">
            <v>Sindhuli</v>
          </cell>
          <cell r="C56" t="str">
            <v>Dudhouli Nagarpalika</v>
          </cell>
          <cell r="D56" t="str">
            <v>BC(Shelter)</v>
          </cell>
          <cell r="E56" t="str">
            <v>FCA(Education),PLAN(Health)</v>
          </cell>
        </row>
        <row r="57">
          <cell r="A57">
            <v>20002</v>
          </cell>
          <cell r="B57" t="str">
            <v>Sindhuli</v>
          </cell>
          <cell r="C57" t="str">
            <v>Ghanglekh Gaunpalika</v>
          </cell>
          <cell r="D57" t="str">
            <v/>
          </cell>
          <cell r="E57" t="str">
            <v>CW(DRR,Education,Employment ,Shelter),FCA(Education),HELVETAS(Shelter)</v>
          </cell>
        </row>
        <row r="58">
          <cell r="A58">
            <v>20003</v>
          </cell>
          <cell r="B58" t="str">
            <v>Sindhuli</v>
          </cell>
          <cell r="C58" t="str">
            <v>Golanjor Gaunpalika</v>
          </cell>
          <cell r="D58" t="str">
            <v>CARITAS-N(Education,Health)</v>
          </cell>
          <cell r="E58" t="str">
            <v>CW(DRR,Education,Employment ,Shelter),HELVETAS(Shelter),PLAN(GESI,Health),SwissC(Shelter),WVIN(Education)</v>
          </cell>
        </row>
        <row r="59">
          <cell r="A59">
            <v>20004</v>
          </cell>
          <cell r="B59" t="str">
            <v>Sindhuli</v>
          </cell>
          <cell r="C59" t="str">
            <v>Hariharpurgadhi Gaunpalika</v>
          </cell>
          <cell r="D59" t="str">
            <v>CARITAS-N(Education,Health),NRCS(Health)</v>
          </cell>
          <cell r="E59" t="str">
            <v>FCA(Education),HELVETAS(Shelter)</v>
          </cell>
        </row>
        <row r="60">
          <cell r="A60">
            <v>20005</v>
          </cell>
          <cell r="B60" t="str">
            <v>Sindhuli</v>
          </cell>
          <cell r="C60" t="str">
            <v>Kamalamai Nagarpalika</v>
          </cell>
          <cell r="D60" t="str">
            <v>BC(Shelter),NRCS(Health),PLAN(Education,GESI,Health)</v>
          </cell>
          <cell r="E60" t="str">
            <v>FCA(Education),HELVETAS(Shelter),SwissC(Shelter)</v>
          </cell>
        </row>
        <row r="61">
          <cell r="A61">
            <v>20006</v>
          </cell>
          <cell r="B61" t="str">
            <v>Sindhuli</v>
          </cell>
          <cell r="C61" t="str">
            <v>Marinthakur Gaunpalika</v>
          </cell>
          <cell r="D61" t="str">
            <v>PLAN(Education,GESI)</v>
          </cell>
          <cell r="E61" t="str">
            <v>FCA(Education),HELVETAS(Shelter),SwissC(Shelter)</v>
          </cell>
        </row>
        <row r="62">
          <cell r="A62">
            <v>20007</v>
          </cell>
          <cell r="B62" t="str">
            <v>Sindhuli</v>
          </cell>
          <cell r="C62" t="str">
            <v>Phikkal Gaunpalika</v>
          </cell>
          <cell r="D62" t="str">
            <v>HELVETAS(Shelter)</v>
          </cell>
          <cell r="E62" t="str">
            <v>FCA(Education)</v>
          </cell>
        </row>
        <row r="63">
          <cell r="A63">
            <v>20008</v>
          </cell>
          <cell r="B63" t="str">
            <v>Sindhuli</v>
          </cell>
          <cell r="C63" t="str">
            <v>Sunkoshi Gaunpalika</v>
          </cell>
          <cell r="D63" t="str">
            <v>NRCS(Livelihood,Education,Employment ,Health,Shelter,Health),PLAN(Education,GESI,Health)</v>
          </cell>
          <cell r="E63" t="str">
            <v>HELVETAS(Shelter),SwissC(Shelter)</v>
          </cell>
        </row>
        <row r="64">
          <cell r="A64">
            <v>20009</v>
          </cell>
          <cell r="B64" t="str">
            <v>Sindhuli</v>
          </cell>
          <cell r="C64" t="str">
            <v>Tinpatan Gaunpalika</v>
          </cell>
          <cell r="D64" t="str">
            <v>NRCS(Health)</v>
          </cell>
          <cell r="E64" t="str">
            <v>FCA(Education),HELVETAS(Shelter),PLAN(Health),WVIN(Education)</v>
          </cell>
        </row>
        <row r="65">
          <cell r="A65">
            <v>21001</v>
          </cell>
          <cell r="B65" t="str">
            <v>Ramechhap</v>
          </cell>
          <cell r="C65" t="str">
            <v>Doramba Gaunpalika</v>
          </cell>
          <cell r="D65" t="str">
            <v/>
          </cell>
          <cell r="E65" t="str">
            <v>CSIDB(Shelter),GON - DUDBC(Shelter),GON-PAF(Shelter),HCI(Shelter),HELVETAS(Shelter),NRA(Shelter),NRF(Education),RRN(Shelter),SABAL(Shelter)</v>
          </cell>
        </row>
        <row r="66">
          <cell r="A66">
            <v>21002</v>
          </cell>
          <cell r="B66" t="str">
            <v>Ramechhap</v>
          </cell>
          <cell r="C66" t="str">
            <v>Gokulganga Gaunpalika</v>
          </cell>
          <cell r="D66" t="str">
            <v/>
          </cell>
          <cell r="E66" t="str">
            <v>CSIDB(Shelter),FRADS-N(Education),GOAL(Other),Shelter),GON - DUDBC(Shelter),GON-PAF(Shelter),HELVETAS(Shelter),HI(Shelter),NRA(Shelter),SABAL(Shelter),SCI(Education,Social Protection)</v>
          </cell>
        </row>
        <row r="67">
          <cell r="A67">
            <v>21003</v>
          </cell>
          <cell r="B67" t="str">
            <v>Ramechhap</v>
          </cell>
          <cell r="C67" t="str">
            <v>Khadadevi Gaunpalika</v>
          </cell>
          <cell r="D67" t="str">
            <v>NRCS(Shelter)</v>
          </cell>
          <cell r="E67" t="str">
            <v>CDS(Shelter),CSIDB(Shelter),GON - DUDBC(Shelter),GON-PAF(Shelter),NRA(Shelter),SABAL(Shelter),SCI(Education,Shelter,Social Protection)</v>
          </cell>
        </row>
        <row r="68">
          <cell r="A68">
            <v>21004</v>
          </cell>
          <cell r="B68" t="str">
            <v>Ramechhap</v>
          </cell>
          <cell r="C68" t="str">
            <v>Likhu Gaunpalika</v>
          </cell>
          <cell r="D68" t="str">
            <v>NRCS(Shelter)</v>
          </cell>
          <cell r="E68" t="str">
            <v>CSIDB(Shelter),GON - DUDBC(Shelter),GON-PAF(Shelter),HCI(Shelter),HELVETAS(Shelter),KFS-N(Education,Health,Shelter),MEDAIR(Shelter,Health),SABAL(Shelter),SW Nepal(Shelter)</v>
          </cell>
        </row>
        <row r="69">
          <cell r="A69">
            <v>21005</v>
          </cell>
          <cell r="B69" t="str">
            <v>Ramechhap</v>
          </cell>
          <cell r="C69" t="str">
            <v>Manthali Nagarpalika</v>
          </cell>
          <cell r="D69" t="str">
            <v>BC(Shelter),NRCS(Livelihood,Employment ,Health,Shelter,Health)</v>
          </cell>
          <cell r="E69" t="str">
            <v>CDS(Shelter),CSIDB(Shelter),GON - DUDBC(Shelter),GON-PAF(Shelter),HELVETAS(Shelter),HI(Shelter),IOM(Shelter),NDBS(Education),RRN(Shelter),SABAL(Shelter),SW Nepal(Shelter),WHH(Education)</v>
          </cell>
        </row>
        <row r="70">
          <cell r="A70">
            <v>21006</v>
          </cell>
          <cell r="B70" t="str">
            <v>Ramechhap</v>
          </cell>
          <cell r="C70" t="str">
            <v>Ramechhap Nagarpalika</v>
          </cell>
          <cell r="D70" t="str">
            <v>NRCS(Livelihood,Education,Employment ,Health,Shelter,Health)</v>
          </cell>
          <cell r="E70" t="str">
            <v>CFJ(Education),CSIDB(Shelter),GON - DUDBC(Shelter),GON-PAF(Shelter),KFS-N(Shelter),MEDAIR(Shelter),SABAL(Shelter)</v>
          </cell>
        </row>
        <row r="71">
          <cell r="A71">
            <v>21007</v>
          </cell>
          <cell r="B71" t="str">
            <v>Ramechhap</v>
          </cell>
          <cell r="C71" t="str">
            <v>Sunapati Gaunpalika</v>
          </cell>
          <cell r="D71" t="str">
            <v/>
          </cell>
          <cell r="E71" t="str">
            <v>CSIDB(Shelter),GON - DUDBC(Shelter),GON-PAF(Shelter),HELVETAS(Shelter),NDBS(Education),SABAL(Shelter),SCI(Education,Shelter,Social Protection)</v>
          </cell>
        </row>
        <row r="72">
          <cell r="A72">
            <v>21008</v>
          </cell>
          <cell r="B72" t="str">
            <v>Ramechhap</v>
          </cell>
          <cell r="C72" t="str">
            <v>Umakunda Gaunpalika</v>
          </cell>
          <cell r="D72" t="str">
            <v/>
          </cell>
          <cell r="E72" t="str">
            <v>ACTED(Shelter),CSIDB(Shelter),FRADS-N(Education),GOAL(Other),Shelter),GON-PAF(Shelter),HELVETAS(Shelter),NRA(Shelter),SABAL(Shelter)</v>
          </cell>
        </row>
        <row r="73">
          <cell r="A73">
            <v>22001</v>
          </cell>
          <cell r="B73" t="str">
            <v>Dolakha</v>
          </cell>
          <cell r="C73" t="str">
            <v>Baiteshwor Gaunpalika</v>
          </cell>
          <cell r="D73" t="str">
            <v>NSET(Shelter)</v>
          </cell>
          <cell r="E73" t="str">
            <v>AA(DRR,Education,Employment ,GESI,Shelter),CA(Shelter),CW(Education),GON-PAF(Shelter),LIONS(Education),NDBS(Education),SCI(DRR,Education,Employment ,Shelter,Social Protection,Health)</v>
          </cell>
        </row>
        <row r="74">
          <cell r="A74">
            <v>22002</v>
          </cell>
          <cell r="B74" t="str">
            <v>Dolakha</v>
          </cell>
          <cell r="C74" t="str">
            <v>Bhimeshwor Nagarpalika</v>
          </cell>
          <cell r="D74" t="str">
            <v>BC(Shelter),NRCS(Education,Employment ,Health,Shelter,Health),NSET(Shelter)</v>
          </cell>
          <cell r="E74" t="str">
            <v>AATWIN(Social Protection),BFW(Shelter),CARITAS-N(Shelter),CCFRY(DRR,Education),GAN(Shelter),IOM(Shelter),LIONS(Education),NDBS(Education),PLAN(Education,GESI,Shelter,Health),Samagra(Education),SOS(Shelter)</v>
          </cell>
        </row>
        <row r="75">
          <cell r="A75">
            <v>22003</v>
          </cell>
          <cell r="B75" t="str">
            <v>Dolakha</v>
          </cell>
          <cell r="C75" t="str">
            <v>Bigu Gaunpalika</v>
          </cell>
          <cell r="D75" t="str">
            <v/>
          </cell>
          <cell r="E75" t="str">
            <v>CARITAS-N(Shelter)</v>
          </cell>
        </row>
        <row r="76">
          <cell r="A76">
            <v>22004</v>
          </cell>
          <cell r="B76" t="str">
            <v>Dolakha</v>
          </cell>
          <cell r="C76" t="str">
            <v>Gaurishankar Gaunpalika</v>
          </cell>
          <cell r="D76" t="str">
            <v>NSET(Shelter)</v>
          </cell>
          <cell r="E76" t="str">
            <v>HELVETAS(Shelter),LWF(Shelter),PLAN(Health),SCI(Education,Employment ,Shelter,Social Protection,Health)</v>
          </cell>
        </row>
        <row r="77">
          <cell r="A77">
            <v>22005</v>
          </cell>
          <cell r="B77" t="str">
            <v>Dolakha</v>
          </cell>
          <cell r="C77" t="str">
            <v>Jiri Nagarpalika</v>
          </cell>
          <cell r="D77" t="str">
            <v>BC(Shelter),NSET(Shelter)</v>
          </cell>
          <cell r="E77" t="str">
            <v>CA(Shelter),GON - DUDBC(Shelter),LIONS(Education),LWF(Shelter)</v>
          </cell>
        </row>
        <row r="78">
          <cell r="A78">
            <v>22006</v>
          </cell>
          <cell r="B78" t="str">
            <v>Dolakha</v>
          </cell>
          <cell r="C78" t="str">
            <v>Kalinchok Gaunpalika</v>
          </cell>
          <cell r="D78" t="str">
            <v>NRCS(Education,Employment ,Health,Shelter,Health),NSET(Shelter)</v>
          </cell>
          <cell r="E78" t="str">
            <v>AA(DRR,Education,Employment ,GESI),AATWIN(Social Protection),CA(Shelter,Health),CWIN(Education),GAN(Shelter),HI(DRR),IOM(Shelter),Nyayik(Livelihood,Education,GESI),PLAN(Education,GESI,Health,Shelter,Health),PutaliS(Education),RCJ(Education)</v>
          </cell>
        </row>
        <row r="79">
          <cell r="A79">
            <v>22007</v>
          </cell>
          <cell r="B79" t="str">
            <v>Dolakha</v>
          </cell>
          <cell r="C79" t="str">
            <v>Melung Gaunpalika</v>
          </cell>
          <cell r="D79" t="str">
            <v>NSET(Shelter)</v>
          </cell>
          <cell r="E79" t="str">
            <v>AA(Shelter),CW(Education,Shelter),GON - DUDBC(Shelter),MC(Shelter),NRCS(Shelter),PLAN(Energy,GESI,Shelter,Health)</v>
          </cell>
        </row>
        <row r="80">
          <cell r="A80">
            <v>22008</v>
          </cell>
          <cell r="B80" t="str">
            <v>Dolakha</v>
          </cell>
          <cell r="C80" t="str">
            <v>Sailung Gaunpalika</v>
          </cell>
          <cell r="D80" t="str">
            <v>NSET(Shelter),Pourakhi(Shelter)</v>
          </cell>
          <cell r="E80" t="str">
            <v>CARITAS-L(Shelter),NRA(Shelter),PLAN(DRR,Education,Energy,Employment ,GESI,Shelter,Health)</v>
          </cell>
        </row>
        <row r="81">
          <cell r="A81">
            <v>22009</v>
          </cell>
          <cell r="B81" t="str">
            <v>Dolakha</v>
          </cell>
          <cell r="C81" t="str">
            <v>Tamakoshi Gaunpalika</v>
          </cell>
          <cell r="D81" t="str">
            <v>NSET(Shelter)</v>
          </cell>
          <cell r="E81" t="str">
            <v>AA(DRR,Education,Employment ,GESI),CW(Education,Shelter),GON-PAF(Shelter),MC(Shelter),NRCS(Shelter),PLAN(Health)</v>
          </cell>
        </row>
        <row r="82">
          <cell r="A82">
            <v>23001</v>
          </cell>
          <cell r="B82" t="str">
            <v>Sindhupalchowk</v>
          </cell>
          <cell r="C82" t="str">
            <v>Balefi Gaunpalika</v>
          </cell>
          <cell r="D82" t="str">
            <v>JICA(Shelter),PIN(Shelter)</v>
          </cell>
          <cell r="E82" t="str">
            <v>AATWIN(Social Protection),GON(Shelter),IOM(Shelter),LN(Education),MI(Health),OXFAM-GB(Shelter),PLAN(Health),PWJ(Shelter),SABAL(Shelter),SCI(Education,Employment ,Nutrition,Shelter,Social Protection,Health),SSS(Education),WVIN(Livelihood,Health)</v>
          </cell>
        </row>
        <row r="83">
          <cell r="A83">
            <v>23002</v>
          </cell>
          <cell r="B83" t="str">
            <v>Sindhupalchowk</v>
          </cell>
          <cell r="C83" t="str">
            <v>Barhabise Nagarpalika</v>
          </cell>
          <cell r="D83" t="str">
            <v>BC(Shelter),CECI(Livelihood,DRR,Employment ,Governance),JICA(Shelter)</v>
          </cell>
          <cell r="E83" t="str">
            <v>AATWIN(Social Protection),GON-PAF(Shelter),ICCO(Livelihood,Education,Employment ,Shelter),IOM(Shelter),MC(Other),Shelter),NN(Education),NR(Education),OXFAM-GB(Shelter),PLAN(Health),SABAL(Shelter),SCI(Nutrition,Shelter),SSS(Education)</v>
          </cell>
        </row>
        <row r="84">
          <cell r="A84">
            <v>23003</v>
          </cell>
          <cell r="B84" t="str">
            <v>Sindhupalchowk</v>
          </cell>
          <cell r="C84" t="str">
            <v>Bhotekoshi Gaunpalika</v>
          </cell>
          <cell r="D84" t="str">
            <v/>
          </cell>
          <cell r="E84" t="str">
            <v>OXFAM-GB(Shelter),SABAL(Shelter)</v>
          </cell>
        </row>
        <row r="85">
          <cell r="A85">
            <v>23004</v>
          </cell>
          <cell r="B85" t="str">
            <v>Sindhupalchowk</v>
          </cell>
          <cell r="C85" t="str">
            <v>Chautara SangachokGadhi Nagarpalika</v>
          </cell>
          <cell r="D85" t="str">
            <v>BC(Education,Shelter),GSS(Education),JICA(Other),Shelter),NRCS(Health),PIN(Shelter)</v>
          </cell>
          <cell r="E85" t="str">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ell>
        </row>
        <row r="86">
          <cell r="A86">
            <v>23005</v>
          </cell>
          <cell r="B86" t="str">
            <v>Sindhupalchowk</v>
          </cell>
          <cell r="C86" t="str">
            <v>Helambu Gaunpalika</v>
          </cell>
          <cell r="D86" t="str">
            <v/>
          </cell>
          <cell r="E86" t="str">
            <v>OXFAM-GB(Shelter),SABAL(Shelter)</v>
          </cell>
        </row>
        <row r="87">
          <cell r="A87">
            <v>23006</v>
          </cell>
          <cell r="B87" t="str">
            <v>Sindhupalchowk</v>
          </cell>
          <cell r="C87" t="str">
            <v>Indrawati Gaunpalika</v>
          </cell>
          <cell r="D87" t="str">
            <v>NRCS(Livelihood,Education,Employment ,Health,Shelter,Health),PIN(Shelter),WOREC(Shelter)</v>
          </cell>
          <cell r="E87" t="str">
            <v>GON-PAF(Shelter),JICA(Shelter),NNDSWO(Education),NYF(Education),OXFAM-GB(Shelter),PLAN(Education,GESI,Shelter,Health),SABAL(Shelter),SCI(Nutrition),UNDP(Shelter)</v>
          </cell>
        </row>
        <row r="88">
          <cell r="A88">
            <v>23007</v>
          </cell>
          <cell r="B88" t="str">
            <v>Sindhupalchowk</v>
          </cell>
          <cell r="C88" t="str">
            <v>Jugal Gaunpalika</v>
          </cell>
          <cell r="D88" t="str">
            <v>PIN(Livelihood,Shelter)</v>
          </cell>
          <cell r="E88" t="str">
            <v>GON-PAF(Shelter),LWF(Shelter),MC(Shelter),OXFAM-GB(Shelter),SCI(Education,Employment ,Shelter,Social Protection,Health)</v>
          </cell>
        </row>
        <row r="89">
          <cell r="A89">
            <v>23008</v>
          </cell>
          <cell r="B89" t="str">
            <v>Sindhupalchowk</v>
          </cell>
          <cell r="C89" t="str">
            <v>Lisangkhu Pakhar Gaunpalika</v>
          </cell>
          <cell r="D89" t="str">
            <v/>
          </cell>
          <cell r="E89" t="str">
            <v>AATWIN(Social Protection),CFJ(Education),GON(Shelter),IOM(Shelter),Islamic-R(Other)),MI(Health),NDBS(Education),NR(Education),NRA(Shelter),PWJ(Shelter),SABAL(Shelter),SCI(Education,Nutrition,Shelter,Social Protection,Health)</v>
          </cell>
        </row>
        <row r="90">
          <cell r="A90">
            <v>23009</v>
          </cell>
          <cell r="B90" t="str">
            <v>Sindhupalchowk</v>
          </cell>
          <cell r="C90" t="str">
            <v>Melamchi Nagarpalika</v>
          </cell>
          <cell r="D90" t="str">
            <v>BC(Shelter),CARE-N(Livelihood,DRR,GESI,Shelter,Health),CARITAS-S(DRR,Education,Health),JICA(Shelter),NRCS(Livelihood,Education,Employment ,Health,Shelter,Health)</v>
          </cell>
          <cell r="E90" t="str">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ell>
        </row>
        <row r="91">
          <cell r="A91">
            <v>23010</v>
          </cell>
          <cell r="B91" t="str">
            <v>Sindhupalchowk</v>
          </cell>
          <cell r="C91" t="str">
            <v>Panchpokhari Thangpal Gaunpalika</v>
          </cell>
          <cell r="D91" t="str">
            <v>CARE-N(Livelihood,DRR,GESI,Shelter,Health),DH(Shelter),NRCS(Livelihood,Education,Employment ,Health,Shelter,Health),PIN(Livelihood,Shelter),TGH(Livelihood,DRR,Employment ,Shelter,Transport,Health)</v>
          </cell>
          <cell r="E91" t="str">
            <v>AATWIN(Social Protection),ARSOW-TGH(Shelter),CMI-N(Education),DSCBD(Education),FAIRMED(Employment ,Health,Health),GHN(Education),GON-PAF(Shelter),PLAN(GESI,Shelter,Social Protection,Health),SABAL(Shelter),SCI(Nutrition)</v>
          </cell>
        </row>
        <row r="92">
          <cell r="A92">
            <v>23011</v>
          </cell>
          <cell r="B92" t="str">
            <v>Sindhupalchowk</v>
          </cell>
          <cell r="C92" t="str">
            <v>Sunkoshi Gaunpalika</v>
          </cell>
          <cell r="D92" t="str">
            <v>CARITAS-N(Shelter)</v>
          </cell>
          <cell r="E92" t="str">
            <v>CFJ(Education),ChayYa-N(Education),GON(Shelter),IOM(Shelter),MI(Health),NR(Education),OXFAM-GB(Shelter),PLAN(Health),PWJ(Health),SABAL(Shelter),SCI(DRR,Education,Nutrition,Shelter,Social Protection)</v>
          </cell>
        </row>
        <row r="93">
          <cell r="A93">
            <v>23012</v>
          </cell>
          <cell r="B93" t="str">
            <v>Sindhupalchowk</v>
          </cell>
          <cell r="C93" t="str">
            <v>Tripurasundari Gaunpalika</v>
          </cell>
          <cell r="D93" t="str">
            <v>JICA(Shelter)</v>
          </cell>
          <cell r="E93" t="str">
            <v>AATWIN(Social Protection),CFJ(Education),GON-PAF(Shelter),ICCO(Livelihood,DRR,Education,Employment ,Shelter),MC(Other),Shelter),NRA(Shelter),OXFAM-GB(Shelter),PLAN(Health),Praramva(Education),SABAL(Shelter),SCI(Nutrition,Shelter)</v>
          </cell>
        </row>
        <row r="94">
          <cell r="A94">
            <v>24001</v>
          </cell>
          <cell r="B94" t="str">
            <v>Kavrepalanchok</v>
          </cell>
          <cell r="C94" t="str">
            <v>Banepa Nagarpalika</v>
          </cell>
          <cell r="D94" t="str">
            <v/>
          </cell>
          <cell r="E94" t="str">
            <v>SCI(Education,Social Protection)</v>
          </cell>
        </row>
        <row r="95">
          <cell r="A95">
            <v>24002</v>
          </cell>
          <cell r="B95" t="str">
            <v>Kavrepalanchok</v>
          </cell>
          <cell r="C95" t="str">
            <v>Bethanchowk Gaunpalika</v>
          </cell>
          <cell r="D95" t="str">
            <v>CECI(Livelihood,DRR,Employment ,Governance)</v>
          </cell>
          <cell r="E95" t="str">
            <v>AATWIN(Social Protection),ARSOW-N(Shelter),BC(Education,Shelter),GON - DUDBC(Shelter),HELVETAS(Shelter),Maiti-N(Education),WeWorld(Education)</v>
          </cell>
        </row>
        <row r="96">
          <cell r="A96">
            <v>24003</v>
          </cell>
          <cell r="B96" t="str">
            <v>Kavrepalanchok</v>
          </cell>
          <cell r="C96" t="str">
            <v>Bhumlu Gaunpalika</v>
          </cell>
          <cell r="D96" t="str">
            <v>EcoH-N(Education,Health,Social Protection),NRCS(Livelihood,Employment ,Health,Shelter,Health)</v>
          </cell>
          <cell r="E96" t="str">
            <v>AA(DRR,Education,Employment ,GESI),ADRA(Shelter),Garuda-N(Education,Health),HELVETAS(Shelter),HI(DRR,Employment ,Nutrition,Shelter,Health),LWF(Livelihood,Employment ,Health),NN(Shelter),SABAL(Shelter),Tdh(Health)</v>
          </cell>
        </row>
        <row r="97">
          <cell r="A97">
            <v>24004</v>
          </cell>
          <cell r="B97" t="str">
            <v>Kavrepalanchok</v>
          </cell>
          <cell r="C97" t="str">
            <v>Chaurideurali Gaunpalika</v>
          </cell>
          <cell r="D97" t="str">
            <v>NRCS(Health)</v>
          </cell>
          <cell r="E97" t="str">
            <v>GON - DUDBC(Shelter),NN(Shelter),NYF(Education,Shelter),SABAL(Shelter),Tdh(Health)</v>
          </cell>
        </row>
        <row r="98">
          <cell r="A98">
            <v>24005</v>
          </cell>
          <cell r="B98" t="str">
            <v>Kavrepalanchok</v>
          </cell>
          <cell r="C98" t="str">
            <v>Dhulikhel Nagarpalika</v>
          </cell>
          <cell r="D98" t="str">
            <v>NRCS(Health)</v>
          </cell>
          <cell r="E98" t="str">
            <v>AATWIN(Social Protection),CDRA(Shelter),Emergency(Education),HELVETAS(Shelter),SABAL(Shelter),SCI(Education,Social Protection),Tdh(Health),WeWorld(Education)</v>
          </cell>
        </row>
        <row r="99">
          <cell r="A99">
            <v>24006</v>
          </cell>
          <cell r="B99" t="str">
            <v>Kavrepalanchok</v>
          </cell>
          <cell r="C99" t="str">
            <v>Khanikhola Gaunpalika</v>
          </cell>
          <cell r="D99" t="str">
            <v>NRCS(Health)</v>
          </cell>
          <cell r="E99" t="str">
            <v>GON - DUDBC(Shelter),HELVETAS(Shelter),SABAL(Shelter),WeWorld(Education)</v>
          </cell>
        </row>
        <row r="100">
          <cell r="A100">
            <v>24007</v>
          </cell>
          <cell r="B100" t="str">
            <v>Kavrepalanchok</v>
          </cell>
          <cell r="C100" t="str">
            <v>Mahabharat Gaunpalika</v>
          </cell>
          <cell r="D100" t="str">
            <v>NRCS(Health)</v>
          </cell>
          <cell r="E100" t="str">
            <v>HELVETAS(Shelter),NYF(Shelter),SABAL(Shelter),SCI(Education,Shelter,Social Protection)</v>
          </cell>
        </row>
        <row r="101">
          <cell r="A101">
            <v>24008</v>
          </cell>
          <cell r="B101" t="str">
            <v>Kavrepalanchok</v>
          </cell>
          <cell r="C101" t="str">
            <v>Mandandeupur Nagarpalika</v>
          </cell>
          <cell r="D101" t="str">
            <v>CARITAS-N(Livelihood,Shelter),EcoH-N(Education,Health,Social Protection),NRCS(Livelihood,Employment ,Health,Shelter,Health),ROTARY(Shelter,Health)</v>
          </cell>
          <cell r="E101" t="str">
            <v>AA(DRR,Education,Employment ,GESI),AATWIN(Social Protection),ADRA(Shelter),CDRA(Shelter),Emergency(Education),HELVETAS(Shelter),LWF(Livelihood,DRR,Education,Employment ,Shelter,Health),MI(DRR,Health,Health),NJSI(Education),SABAL(Shelter)</v>
          </cell>
        </row>
        <row r="102">
          <cell r="A102">
            <v>24009</v>
          </cell>
          <cell r="B102" t="str">
            <v>Kavrepalanchok</v>
          </cell>
          <cell r="C102" t="str">
            <v>Namobuddha Nagarpalika</v>
          </cell>
          <cell r="D102" t="str">
            <v/>
          </cell>
          <cell r="E102" t="str">
            <v>CDRA(Shelter),CNF(Education),GON(Shelter),GON - DUDBC(Shelter),NCRS(Other),Shelter,Health),NYF(Shelter),SABAL(Shelter),SP-N(DRR,Shelter,Health)</v>
          </cell>
        </row>
        <row r="103">
          <cell r="A103">
            <v>24010</v>
          </cell>
          <cell r="B103" t="str">
            <v>Kavrepalanchok</v>
          </cell>
          <cell r="C103" t="str">
            <v>Panautibihabar Nagarpalika</v>
          </cell>
          <cell r="D103" t="str">
            <v/>
          </cell>
          <cell r="E103" t="str">
            <v>AATWIN(Social Protection)</v>
          </cell>
        </row>
        <row r="104">
          <cell r="A104">
            <v>24011</v>
          </cell>
          <cell r="B104" t="str">
            <v>Kavrepalanchok</v>
          </cell>
          <cell r="C104" t="str">
            <v>Panchkhal Nagarpalika</v>
          </cell>
          <cell r="D104" t="str">
            <v>NRCS(Livelihood,Employment ,Health,Shelter,Health)</v>
          </cell>
          <cell r="E104" t="str">
            <v>AATWIN(Social Protection),ADRA(Health),Centum Learning(Shelter),Garuda-N(Education,Health),HELVETAS(Shelter),HFH(DRR,Employment ,Shelter,Shelter),MI(DRR,Health,Health),Navjyoti(Shelter,Health),NJSI(Education),NN(Shelter),,SCI(Education,Shelter,Social Protection),UNDP(Shelter),WeWorld(Education)</v>
          </cell>
        </row>
        <row r="105">
          <cell r="A105">
            <v>24012</v>
          </cell>
          <cell r="B105" t="str">
            <v>Kavrepalanchok</v>
          </cell>
          <cell r="C105" t="str">
            <v>Roshi Gaunpalika</v>
          </cell>
          <cell r="D105" t="str">
            <v>NRCS(Health)</v>
          </cell>
          <cell r="E105" t="str">
            <v>ADRA(Health),GON - DUDBC(Shelter),HELVETAS(Shelter),Maiti-N(Education),NN(Shelter),NYF(Education,Shelter),SABAL(Shelter),SAGUN(Education),SCI(Education,Social Protection),Tdh(Health)</v>
          </cell>
        </row>
        <row r="106">
          <cell r="A106">
            <v>24013</v>
          </cell>
          <cell r="B106" t="str">
            <v>Kavrepalanchok</v>
          </cell>
          <cell r="C106" t="str">
            <v>Temal Gaunpalika</v>
          </cell>
          <cell r="D106" t="str">
            <v>NRCS(Livelihood,Employment ,Shelter,Health)</v>
          </cell>
          <cell r="E106" t="str">
            <v>ADRA(Health),GON - DUDBC(Shelter),NYF(Education,Shelter),SABAL(Shelter)</v>
          </cell>
        </row>
        <row r="107">
          <cell r="A107">
            <v>25001</v>
          </cell>
          <cell r="B107" t="str">
            <v>Lalitpur</v>
          </cell>
          <cell r="C107" t="str">
            <v>Bagmati Gaunpalika</v>
          </cell>
          <cell r="D107" t="str">
            <v/>
          </cell>
          <cell r="E107" t="str">
            <v/>
          </cell>
        </row>
        <row r="108">
          <cell r="A108">
            <v>25002</v>
          </cell>
          <cell r="B108" t="str">
            <v>Lalitpur</v>
          </cell>
          <cell r="C108" t="str">
            <v>Godawari Nagarpalika</v>
          </cell>
          <cell r="D108" t="str">
            <v/>
          </cell>
          <cell r="E108" t="str">
            <v/>
          </cell>
        </row>
        <row r="109">
          <cell r="A109">
            <v>25003</v>
          </cell>
          <cell r="B109" t="str">
            <v>Lalitpur</v>
          </cell>
          <cell r="C109" t="str">
            <v>Konjyosom Gaunpalika</v>
          </cell>
          <cell r="D109" t="str">
            <v/>
          </cell>
          <cell r="E109" t="str">
            <v/>
          </cell>
        </row>
        <row r="110">
          <cell r="A110">
            <v>25004</v>
          </cell>
          <cell r="B110" t="str">
            <v>Lalitpur</v>
          </cell>
          <cell r="C110" t="str">
            <v>Lalitpur Mahanagarpalika</v>
          </cell>
          <cell r="D110" t="str">
            <v>MCC(Health),NRCS(Livelihood,Education,Employment ,Health,Shelter,Health),NSET(Shelter)</v>
          </cell>
          <cell r="E110" t="str">
            <v>AA(DRR,Education,Employment ,GESI),DCA(DRR,Education,Employment ,Health,Shelter,Health),NYF(Shelter),RoundT-N(Education),,WVIN(Education)</v>
          </cell>
        </row>
        <row r="111">
          <cell r="A111">
            <v>25005</v>
          </cell>
          <cell r="B111" t="str">
            <v>Lalitpur</v>
          </cell>
          <cell r="C111" t="str">
            <v>Mahalaxmi Nagarpalika</v>
          </cell>
          <cell r="D111" t="str">
            <v>NRCS(Livelihood,Education,Employment ,Health,Health)</v>
          </cell>
          <cell r="E111" t="str">
            <v>DCA(DRR,Education,Employment ,Health,Shelter,Health),LUMANTI(Shelter,Health),OXFAM-GB(Shelter),PLAN(GESI)</v>
          </cell>
        </row>
        <row r="112">
          <cell r="A112">
            <v>25006</v>
          </cell>
          <cell r="B112" t="str">
            <v>Lalitpur</v>
          </cell>
          <cell r="C112" t="str">
            <v>Mahankal Gaunpalika</v>
          </cell>
          <cell r="D112" t="str">
            <v/>
          </cell>
          <cell r="E112" t="str">
            <v>FCA(Education),GON(Shelter)</v>
          </cell>
        </row>
        <row r="113">
          <cell r="A113">
            <v>26001</v>
          </cell>
          <cell r="B113" t="str">
            <v>Bhaktapur</v>
          </cell>
          <cell r="C113" t="str">
            <v>Bhaktapur Nagarpalika</v>
          </cell>
          <cell r="D113" t="str">
            <v>NRCS(Health,Shelter)</v>
          </cell>
          <cell r="E113" t="str">
            <v>SCI(Education)</v>
          </cell>
        </row>
        <row r="114">
          <cell r="A114">
            <v>26002</v>
          </cell>
          <cell r="B114" t="str">
            <v>Bhaktapur</v>
          </cell>
          <cell r="C114" t="str">
            <v>Changunarayan Nagarpalika</v>
          </cell>
          <cell r="D114" t="str">
            <v>NRCS(Livelihood,Education,Employment ,Health,Health)</v>
          </cell>
          <cell r="E114" t="str">
            <v>DCA(DRR,Education,Employment ,Shelter,Health),GON(Shelter),OXFAM-GB(Shelter),SCI(Education)</v>
          </cell>
        </row>
        <row r="115">
          <cell r="A115">
            <v>26003</v>
          </cell>
          <cell r="B115" t="str">
            <v>Bhaktapur</v>
          </cell>
          <cell r="C115" t="str">
            <v>Madhyapur Thimi Nagarpalika</v>
          </cell>
          <cell r="D115" t="str">
            <v/>
          </cell>
          <cell r="E115" t="str">
            <v>ISAP(Shelter)</v>
          </cell>
        </row>
        <row r="116">
          <cell r="A116">
            <v>26004</v>
          </cell>
          <cell r="B116" t="str">
            <v>Bhaktapur</v>
          </cell>
          <cell r="C116" t="str">
            <v>Suryabinayak Nagarpalika</v>
          </cell>
          <cell r="D116" t="str">
            <v>NRCS(Livelihood,Education,Employment ,Health,Shelter,Health)</v>
          </cell>
          <cell r="E116" t="str">
            <v/>
          </cell>
        </row>
        <row r="117">
          <cell r="A117">
            <v>27001</v>
          </cell>
          <cell r="B117" t="str">
            <v>Kathmandu</v>
          </cell>
          <cell r="C117" t="str">
            <v>Budhanilakantha Nagarpalika</v>
          </cell>
          <cell r="D117" t="str">
            <v/>
          </cell>
          <cell r="E117" t="str">
            <v/>
          </cell>
        </row>
        <row r="118">
          <cell r="A118">
            <v>27002</v>
          </cell>
          <cell r="B118" t="str">
            <v>Kathmandu</v>
          </cell>
          <cell r="C118" t="str">
            <v>Chandragiri Nagarpalika</v>
          </cell>
          <cell r="D118" t="str">
            <v/>
          </cell>
          <cell r="E118" t="str">
            <v>LUMANTI(Shelter,Shelter,Health),OXFAM-GB(Shelter)</v>
          </cell>
        </row>
        <row r="119">
          <cell r="A119">
            <v>27003</v>
          </cell>
          <cell r="B119" t="str">
            <v>Kathmandu</v>
          </cell>
          <cell r="C119" t="str">
            <v>Dakshinkali Nagarpalika</v>
          </cell>
          <cell r="D119" t="str">
            <v/>
          </cell>
          <cell r="E119" t="str">
            <v>OXFAM-GB(Shelter)</v>
          </cell>
        </row>
        <row r="120">
          <cell r="A120">
            <v>27004</v>
          </cell>
          <cell r="B120" t="str">
            <v>Kathmandu</v>
          </cell>
          <cell r="C120" t="str">
            <v>Gokarneshwor Nagarpalika</v>
          </cell>
          <cell r="D120" t="str">
            <v/>
          </cell>
          <cell r="E120" t="str">
            <v>PLAN(Education)</v>
          </cell>
        </row>
        <row r="121">
          <cell r="A121">
            <v>27005</v>
          </cell>
          <cell r="B121" t="str">
            <v>Kathmandu</v>
          </cell>
          <cell r="C121" t="str">
            <v>Kageshwori Manahora Nagarpalika</v>
          </cell>
          <cell r="D121" t="str">
            <v>NRCS(Health),NSET(Shelter)</v>
          </cell>
          <cell r="E121" t="str">
            <v/>
          </cell>
        </row>
        <row r="122">
          <cell r="A122">
            <v>27006</v>
          </cell>
          <cell r="B122" t="str">
            <v>Kathmandu</v>
          </cell>
          <cell r="C122" t="str">
            <v>Kathmandu Mahanagarpalika</v>
          </cell>
          <cell r="D122" t="str">
            <v>NRCS(Livelihood,Education,Employment ,Health,Shelter,Health),NSET(Shelter)</v>
          </cell>
          <cell r="E122" t="str">
            <v>AATWIN(Social Protection),MIDSON(Health),Miyamoto(Heritage),</v>
          </cell>
        </row>
        <row r="123">
          <cell r="A123">
            <v>27007</v>
          </cell>
          <cell r="B123" t="str">
            <v>Kathmandu</v>
          </cell>
          <cell r="C123" t="str">
            <v>Kirtipur Nagarpalika</v>
          </cell>
          <cell r="D123" t="str">
            <v/>
          </cell>
          <cell r="E123" t="str">
            <v>AA(DRR,Education,Employment ,GESI),OXFAM-GB(Shelter),PLAN(GESI)</v>
          </cell>
        </row>
        <row r="124">
          <cell r="A124">
            <v>27008</v>
          </cell>
          <cell r="B124" t="str">
            <v>Kathmandu</v>
          </cell>
          <cell r="C124" t="str">
            <v>Nagarjun Nagarpalika</v>
          </cell>
          <cell r="D124" t="str">
            <v/>
          </cell>
          <cell r="E124" t="str">
            <v>OXFAM-GB(Shelter),SS-N(Education),WVIN(Education)</v>
          </cell>
        </row>
        <row r="125">
          <cell r="A125">
            <v>27009</v>
          </cell>
          <cell r="B125" t="str">
            <v>Kathmandu</v>
          </cell>
          <cell r="C125" t="str">
            <v>Shankharapur Nagarpalika</v>
          </cell>
          <cell r="D125" t="str">
            <v>NRCS(Livelihood,Education,Employment ,Health,Health)</v>
          </cell>
          <cell r="E125" t="str">
            <v>HCG(Education),OXFAM-GB(Shelter)</v>
          </cell>
        </row>
        <row r="126">
          <cell r="A126">
            <v>27010</v>
          </cell>
          <cell r="B126" t="str">
            <v>Kathmandu</v>
          </cell>
          <cell r="C126" t="str">
            <v>Tarakeshwor Nagarpalika</v>
          </cell>
          <cell r="D126" t="str">
            <v>NRCS(Livelihood,Education,Employment ,Health,Shelter,Health)</v>
          </cell>
          <cell r="E126" t="str">
            <v/>
          </cell>
        </row>
        <row r="127">
          <cell r="A127">
            <v>27011</v>
          </cell>
          <cell r="B127" t="str">
            <v>Kathmandu</v>
          </cell>
          <cell r="C127" t="str">
            <v>Tokha Nagarpalika</v>
          </cell>
          <cell r="D127" t="str">
            <v/>
          </cell>
          <cell r="E127" t="str">
            <v/>
          </cell>
        </row>
        <row r="128">
          <cell r="A128">
            <v>28001</v>
          </cell>
          <cell r="B128" t="str">
            <v>Nuwakot</v>
          </cell>
          <cell r="C128" t="str">
            <v>Belkotgadhi Nagarpalika</v>
          </cell>
          <cell r="D128" t="str">
            <v>NRCS(Health),NSET(Shelter)</v>
          </cell>
          <cell r="E128" t="str">
            <v>ACF(Health,Shelter),ANMF-N(Health),GIZ(Health),GON-PAF(Shelter),OXFAM-GB(Shelter),Paribartan-N(Education),RoomTR(Education),RoundT-N(Education),SCI(Education,Shelter,Social Protection,Health)</v>
          </cell>
        </row>
        <row r="129">
          <cell r="A129">
            <v>28002</v>
          </cell>
          <cell r="B129" t="str">
            <v>Nuwakot</v>
          </cell>
          <cell r="C129" t="str">
            <v>Bidur Nagarpalika</v>
          </cell>
          <cell r="D129" t="str">
            <v/>
          </cell>
          <cell r="E129" t="str">
            <v>WVIN(Livelihood,DRR,Employment ,(blank))</v>
          </cell>
        </row>
        <row r="130">
          <cell r="A130">
            <v>28003</v>
          </cell>
          <cell r="B130" t="str">
            <v>Nuwakot</v>
          </cell>
          <cell r="C130" t="str">
            <v>Dupcheshwar Gaunpalika</v>
          </cell>
          <cell r="D130" t="str">
            <v>NRCS(Health),NSET(Shelter),OXFAM-GB(Shelter)</v>
          </cell>
          <cell r="E130" t="str">
            <v>ACF(Health),BO(Education),GIZ(Health,Shelter),GON-PAF(Shelter),IMC(Health),SP-N(Education,Health),WFP(Employment )</v>
          </cell>
        </row>
        <row r="131">
          <cell r="A131">
            <v>28004</v>
          </cell>
          <cell r="B131" t="str">
            <v>Nuwakot</v>
          </cell>
          <cell r="C131" t="str">
            <v>Kakani Gaunpalika</v>
          </cell>
          <cell r="D131" t="str">
            <v>NRCS(Livelihood,Education,Employment ,Health,Health),NSET(Shelter)</v>
          </cell>
          <cell r="E131" t="str">
            <v>ACF(Shelter),GON-PAF(Shelter),MI(Health),NR(Education),OXFAM-GB(Shelter),RoomTR(Education),RoundT-N(Education),SCI(Education,Shelter,Social Protection,Health)</v>
          </cell>
        </row>
        <row r="132">
          <cell r="A132">
            <v>28005</v>
          </cell>
          <cell r="B132" t="str">
            <v>Nuwakot</v>
          </cell>
          <cell r="C132" t="str">
            <v>Kispang Gaunpalika</v>
          </cell>
          <cell r="D132" t="str">
            <v>NRCS(Livelihood,Education,Employment ,Health,Shelter,Health),NSET(Shelter),WR(Livelihood,Education,Energy,Employment ,Health,Shelter,Health)</v>
          </cell>
          <cell r="E132" t="str">
            <v>ACF(Livelihood,DRR,Health,Health),BC(Education,Shelter),GIZ(Health),GON-PAF(Shelter),HFH(DRR,Shelter),IMC(Health),MI(Health),NF(Education)</v>
          </cell>
        </row>
        <row r="133">
          <cell r="A133">
            <v>28006</v>
          </cell>
          <cell r="B133" t="str">
            <v>Nuwakot</v>
          </cell>
          <cell r="C133" t="str">
            <v>Likhu Gaunpalika</v>
          </cell>
          <cell r="D133" t="str">
            <v/>
          </cell>
          <cell r="E133" t="str">
            <v>MI(DRR,Health)</v>
          </cell>
        </row>
        <row r="134">
          <cell r="A134">
            <v>28007</v>
          </cell>
          <cell r="B134" t="str">
            <v>Nuwakot</v>
          </cell>
          <cell r="C134" t="str">
            <v>Meghang Gaunpalika</v>
          </cell>
          <cell r="D134" t="str">
            <v/>
          </cell>
          <cell r="E134" t="str">
            <v>ACF(Livelihood,DRR,Health,Health),GIZ(Health),OXFAM-GB(Shelter)</v>
          </cell>
        </row>
        <row r="135">
          <cell r="A135">
            <v>28008</v>
          </cell>
          <cell r="B135" t="str">
            <v>Nuwakot</v>
          </cell>
          <cell r="C135" t="str">
            <v>Panchakanya Gaunpalika</v>
          </cell>
          <cell r="D135" t="str">
            <v>NSET(Shelter)</v>
          </cell>
          <cell r="E135" t="str">
            <v>ACF(Health,Shelter),CNF(Education),GIZ(Health),MI(Shelter,Health),OXFAM-GB(Shelter),RoomTR(Education)</v>
          </cell>
        </row>
        <row r="136">
          <cell r="A136">
            <v>28009</v>
          </cell>
          <cell r="B136" t="str">
            <v>Nuwakot</v>
          </cell>
          <cell r="C136" t="str">
            <v>Shivapuri Gaunpalika</v>
          </cell>
          <cell r="D136" t="str">
            <v/>
          </cell>
          <cell r="E136" t="str">
            <v>MI(DRR,Health)</v>
          </cell>
        </row>
        <row r="137">
          <cell r="A137">
            <v>28010</v>
          </cell>
          <cell r="B137" t="str">
            <v>Nuwakot</v>
          </cell>
          <cell r="C137" t="str">
            <v>Suryagadhi Gaunpalika</v>
          </cell>
          <cell r="D137" t="str">
            <v>NRCS(Livelihood,Education,Employment ,Health,Shelter,Health),NSET(Shelter)</v>
          </cell>
          <cell r="E137" t="str">
            <v>GIZ(Health),GON-PAF(Shelter),NJSI(Education),SP-N(Education,Health),Tearfund(Education),WFP(Employment ),WVIN(Livelihood,DRR,Employment ,Health)</v>
          </cell>
        </row>
        <row r="138">
          <cell r="A138">
            <v>28011</v>
          </cell>
          <cell r="B138" t="str">
            <v>Nuwakot</v>
          </cell>
          <cell r="C138" t="str">
            <v>Tadi Gaunpalika</v>
          </cell>
          <cell r="D138" t="str">
            <v>NRCS(Livelihood,Education,Employment ,Health,Shelter,Health),NSET(Shelter),OXFAM-GB(Shelter),WVIN(Livelihood,DRR,Employment ,Health)</v>
          </cell>
          <cell r="E138" t="str">
            <v>GIZ(Health),IMC(Health),MIDSON(Health),RoomTR(Education),SP-N(Education,Health),WFP(Employment )</v>
          </cell>
        </row>
        <row r="139">
          <cell r="A139">
            <v>28012</v>
          </cell>
          <cell r="B139" t="str">
            <v>Nuwakot</v>
          </cell>
          <cell r="C139" t="str">
            <v>Tarkeshwar Gaunpalika</v>
          </cell>
          <cell r="D139" t="str">
            <v>NRCS(Health),NSET(Shelter)</v>
          </cell>
          <cell r="E139" t="str">
            <v>ACF(Shelter),GIZ(Health),OXFAM-GB(Shelter),SCI(DRR,Education,Employment ,Shelter,Social Protection,Health)</v>
          </cell>
        </row>
        <row r="140">
          <cell r="A140">
            <v>29001</v>
          </cell>
          <cell r="B140" t="str">
            <v>Rasuwa</v>
          </cell>
          <cell r="C140" t="str">
            <v>Gosaikunda Gaunpalika</v>
          </cell>
          <cell r="D140" t="str">
            <v>NRCS(Health)</v>
          </cell>
          <cell r="E140" t="str">
            <v>AA(DRR,Employment ,GESI),ACF(Health,Shelter,Health),CTEVT(Shelter),GIZ(Shelter),GOAL(Shelter),GON(Shelter),HELVETAS(Shelter),PIN and CSRC(Shelter),SCI(Education,Shelter,Social Protection,Health),SP-N(Shelter,Health)</v>
          </cell>
        </row>
        <row r="141">
          <cell r="A141">
            <v>29002</v>
          </cell>
          <cell r="B141" t="str">
            <v>Rasuwa</v>
          </cell>
          <cell r="C141" t="str">
            <v>Kalika Gaunpalika</v>
          </cell>
          <cell r="D141" t="str">
            <v>NRCS(Livelihood,Education,Employment ,Health,Shelter,Health)</v>
          </cell>
          <cell r="E141" t="str">
            <v>AA(DRR,Education,Employment ,GESI),ACF(Health,Shelter,Health),CTEVT(Shelter),DEPROSC(Shelter),GON(Shelter),HELVETAS(Shelter),KaurnaF(Shelter),LUMANTI(DRR,Health,Shelter),LWF(Shelter,Health),PIN and CSRC(DRR,Governance,Shelter),SP-N(Health)</v>
          </cell>
        </row>
        <row r="142">
          <cell r="A142">
            <v>29003</v>
          </cell>
          <cell r="B142" t="str">
            <v>Rasuwa</v>
          </cell>
          <cell r="C142" t="str">
            <v>Naukunda Gaunpalika</v>
          </cell>
          <cell r="D142" t="str">
            <v>NRCS(Livelihood,Education,Employment ,Health,Shelter,Health)</v>
          </cell>
          <cell r="E142" t="str">
            <v>ACF(Health,Shelter),DEPROSC(Shelter),GON(Shelter),HELVETAS(Shelter),LWF(Employment ,Shelter),NAF(Shelter),PIN and CSRC(DRR,Governance,Shelter),SCI(Education,Shelter,Social Protection,Health),SEED(Education),SP-N(Health)</v>
          </cell>
        </row>
        <row r="143">
          <cell r="A143">
            <v>29004</v>
          </cell>
          <cell r="B143" t="str">
            <v>Rasuwa</v>
          </cell>
          <cell r="C143" t="str">
            <v>Parbati Kunda Gaunpalika</v>
          </cell>
          <cell r="D143" t="str">
            <v/>
          </cell>
          <cell r="E143" t="str">
            <v>ACF(Health,Shelter),GOAL(Shelter),GON(Shelter),HELVETAS(Shelter),LUMANTI(Shelter),LWF(Shelter),PIN and CSRC(Shelter),SCI(DRR,Education,Shelter,Social Protection,Health)</v>
          </cell>
        </row>
        <row r="144">
          <cell r="A144">
            <v>29005</v>
          </cell>
          <cell r="B144" t="str">
            <v>Rasuwa</v>
          </cell>
          <cell r="C144" t="str">
            <v>Uttargaya Gaunpalika</v>
          </cell>
          <cell r="D144" t="str">
            <v/>
          </cell>
          <cell r="E144" t="str">
            <v>OM-N(Shelter)</v>
          </cell>
        </row>
        <row r="145">
          <cell r="A145">
            <v>30001</v>
          </cell>
          <cell r="B145" t="str">
            <v>Dhading</v>
          </cell>
          <cell r="C145" t="str">
            <v>Benighat Rorang Gaunpalika</v>
          </cell>
          <cell r="D145" t="str">
            <v>NSET(Shelter),UMN(Education,Shelter,Health)</v>
          </cell>
          <cell r="E145" t="str">
            <v>AATWIN(Social Protection),ADRA(Shelter),CY(Education),DCA(DRR,Employment ,Health,Shelter,Health),GON - DUDBC(Shelter),GON-PAF(Shelter),MCC(Livelihood,Health),OXFAM-GB(Shelter)</v>
          </cell>
        </row>
        <row r="146">
          <cell r="A146">
            <v>30002</v>
          </cell>
          <cell r="B146" t="str">
            <v>Dhading</v>
          </cell>
          <cell r="C146" t="str">
            <v>Dhunibesi Nagarpalika</v>
          </cell>
          <cell r="D146" t="str">
            <v>NSET(Shelter)</v>
          </cell>
          <cell r="E146" t="str">
            <v>ADRA(Shelter),GIZ(Shelter),GON(Shelter),GON - DUDBC(Shelter),RoomTR(Education)</v>
          </cell>
        </row>
        <row r="147">
          <cell r="A147">
            <v>30003</v>
          </cell>
          <cell r="B147" t="str">
            <v>Dhading</v>
          </cell>
          <cell r="C147" t="str">
            <v>Gajuri Gaunpalika</v>
          </cell>
          <cell r="D147" t="str">
            <v>NSET(Shelter)</v>
          </cell>
          <cell r="E147" t="str">
            <v>AATWIN(Social Protection),DCA(Shelter,Health),GON - DUDBC(Shelter),GON-PAF(Shelter),MCC(Health),OXFAM-GB(Shelter),SCI(DRR,Education,Shelter,Social Protection),UMN(Education,Shelter,Health)</v>
          </cell>
        </row>
        <row r="148">
          <cell r="A148">
            <v>30004</v>
          </cell>
          <cell r="B148" t="str">
            <v>Dhading</v>
          </cell>
          <cell r="C148" t="str">
            <v>Galchi Gaunpalika</v>
          </cell>
          <cell r="D148" t="str">
            <v>NSET(Shelter)</v>
          </cell>
          <cell r="E148" t="str">
            <v>ADRA(Shelter),DCA(DRR,Health),GON(Shelter),GON - DUDBC(Shelter),GON-PAF(Shelter),HELVETAS(Shelter),NRCS(Livelihood,Education,Employment ,Health,Shelter,Health),Nyayik(Livelihood,Education,GESI),RainbowCN(Health),SCI(DRR,Education,Shelter,Social Protection,Health)</v>
          </cell>
        </row>
        <row r="149">
          <cell r="A149">
            <v>30005</v>
          </cell>
          <cell r="B149" t="str">
            <v>Dhading</v>
          </cell>
          <cell r="C149" t="str">
            <v>Gangajamuna Gaunpalika</v>
          </cell>
          <cell r="D149" t="str">
            <v>CARE-N(Livelihood,DRR,GESI,Shelter,Health),NSET(Shelter)</v>
          </cell>
          <cell r="E149" t="str">
            <v>AATWIN(Social Protection),AMDA-M(Shelter),CSRC(Shelter),EPF-N(Education),GON(Shelter),GON-PAF(Shelter),MCC(Health,Health),SCI(Education,Shelter,Social Protection),UMN(Education,Shelter,Health),WFP(Employment ),WHH(Education)</v>
          </cell>
        </row>
        <row r="150">
          <cell r="A150">
            <v>30006</v>
          </cell>
          <cell r="B150" t="str">
            <v>Dhading</v>
          </cell>
          <cell r="C150" t="str">
            <v>Jwalamukhi Gaunpalika</v>
          </cell>
          <cell r="D150" t="str">
            <v>NSET(Shelter)</v>
          </cell>
          <cell r="E150" t="str">
            <v>AATWIN(Social Protection),ADRA(Shelter),CA(Shelter,Health),CW(Education),DCA(Health,Shelter,Health),EHN(Education),GON - DUDBC(Shelter),GON-PAF(Shelter),MCC(Livelihood,Health)</v>
          </cell>
        </row>
        <row r="151">
          <cell r="A151">
            <v>30007</v>
          </cell>
          <cell r="B151" t="str">
            <v>Dhading</v>
          </cell>
          <cell r="C151" t="str">
            <v>Khaniyabash Gaunpalika</v>
          </cell>
          <cell r="D151" t="str">
            <v>NSET(Shelter)</v>
          </cell>
          <cell r="E151" t="str">
            <v>AATWIN(Social Protection),AMDA-M(Shelter),GON-PAF(Shelter),OXFAM-GB(Shelter),UMN(Education,Shelter,Health),WFP(Employment )</v>
          </cell>
        </row>
        <row r="152">
          <cell r="A152">
            <v>30008</v>
          </cell>
          <cell r="B152" t="str">
            <v>Dhading</v>
          </cell>
          <cell r="C152" t="str">
            <v>Netrawati Gaunpalika</v>
          </cell>
          <cell r="D152" t="str">
            <v>NRCS(Livelihood,DRR,Education,Employment ,Health,Shelter,Health),NSET(Shelter),Pourakhi(Shelter)</v>
          </cell>
          <cell r="E152" t="str">
            <v>AMDA-M(Shelter),ASF(Shelter),EPF-N(Education),GIZ(Shelter),HELVETAS(Shelter),R4C(Education),WFP(Employment )</v>
          </cell>
        </row>
        <row r="153">
          <cell r="A153">
            <v>30009</v>
          </cell>
          <cell r="B153" t="str">
            <v>Dhading</v>
          </cell>
          <cell r="C153" t="str">
            <v>Nilakantha Nagarpalika</v>
          </cell>
          <cell r="D153" t="str">
            <v>BC(Shelter),NSET(Shelter),RoomTR(Education),TukeeSN(Education)</v>
          </cell>
          <cell r="E153" t="str">
            <v>ACTED(Other)),ADRA(Shelter),AMDA-M(Shelter),CA(Shelter,Health),ColdFF(Education),EHN(Education),EPF-N(Education),FIDR(Education),GON(Shelter),GON - DUDBC(Shelter),GON-PAF(Shelter),HELVETAS(Shelter),MIDSON(Health),OXFAM-GB(Shelter),SCI(DRR,Shelter,Social Protection,Health),UMN(Health)</v>
          </cell>
        </row>
        <row r="154">
          <cell r="A154">
            <v>30010</v>
          </cell>
          <cell r="B154" t="str">
            <v>Dhading</v>
          </cell>
          <cell r="C154" t="str">
            <v>Rubi Valley Gaunpalika</v>
          </cell>
          <cell r="D154" t="str">
            <v>NSET(Shelter)</v>
          </cell>
          <cell r="E154" t="str">
            <v>AMDA-M(Shelter),CSRC(Shelter),GON-PAF(Shelter),MCC(Health,Health),Norlha(Livelihood,DRR,Shelter,Health),SCI(Shelter),TAI(Education),UMN(Education,Shelter,Health),WFP(Employment )</v>
          </cell>
        </row>
        <row r="155">
          <cell r="A155">
            <v>30011</v>
          </cell>
          <cell r="B155" t="str">
            <v>Dhading</v>
          </cell>
          <cell r="C155" t="str">
            <v>Siddhalek Gaunpalika</v>
          </cell>
          <cell r="D155" t="str">
            <v>NSET(Shelter)</v>
          </cell>
          <cell r="E155" t="str">
            <v>ADRA(Shelter),ASB(Shelter),CW(Education),DCA(DRR,Employment ,Health,Shelter,Health),FIDR(Education),GON(Shelter),HELVETAS(Shelter),ICDC(Shelter)</v>
          </cell>
        </row>
        <row r="156">
          <cell r="A156">
            <v>30012</v>
          </cell>
          <cell r="B156" t="str">
            <v>Dhading</v>
          </cell>
          <cell r="C156" t="str">
            <v>Thakre Gaunpalika</v>
          </cell>
          <cell r="D156" t="str">
            <v>NSET(Shelter),RoomTR(Education)</v>
          </cell>
          <cell r="E156" t="str">
            <v>ADRA(Shelter),COSAN(Education),DCA(DRR,Health),GON - DUDBC(Shelter),GON-PAF(Shelter),Nyayik(Livelihood,Education,GESI),SCI(DRR,Education,Shelter,Social Protection,Health)</v>
          </cell>
        </row>
        <row r="157">
          <cell r="A157">
            <v>30013</v>
          </cell>
          <cell r="B157" t="str">
            <v>Dhading</v>
          </cell>
          <cell r="C157" t="str">
            <v>Tripura Sundari Gaunpalika</v>
          </cell>
          <cell r="D157" t="str">
            <v>CARE-N(Livelihood,DRR,GESI,Shelter,Health),NSET(Shelter),TukeeSN(Education)</v>
          </cell>
          <cell r="E157" t="str">
            <v>AMDA-M(Shelter),GON(Shelter),GON - DUDBC(Shelter),OXFAM-GB(Shelter),WFP(Employment ),WHH(Education)</v>
          </cell>
        </row>
        <row r="158">
          <cell r="A158">
            <v>31001</v>
          </cell>
          <cell r="B158" t="str">
            <v>Makwanpur</v>
          </cell>
          <cell r="C158" t="str">
            <v>Bagmati Gaunpalika</v>
          </cell>
          <cell r="D158" t="str">
            <v>PIN(Shelter)</v>
          </cell>
          <cell r="E158" t="str">
            <v>AATWIN(Social Protection),EBMF(Education),FCA(Education),HELVETAS(Shelter),Tearfund(Shelter)</v>
          </cell>
        </row>
        <row r="159">
          <cell r="A159">
            <v>31002</v>
          </cell>
          <cell r="B159" t="str">
            <v>Makwanpur</v>
          </cell>
          <cell r="C159" t="str">
            <v>Bakaiya Gaunpalika</v>
          </cell>
          <cell r="D159" t="str">
            <v/>
          </cell>
          <cell r="E159" t="str">
            <v>BNMT(Health),CARE-N(Education),EBMF(Education),FCA(Education),HELVETAS(Shelter),PLAN(Education,GESI,Shelter,Social Protection),Tearfund(Shelter)</v>
          </cell>
        </row>
        <row r="160">
          <cell r="A160">
            <v>31003</v>
          </cell>
          <cell r="B160" t="str">
            <v>Makwanpur</v>
          </cell>
          <cell r="C160" t="str">
            <v>Bhimphedi Gaunpalika</v>
          </cell>
          <cell r="D160" t="str">
            <v>CARE-N(Health),NRCS(Livelihood,Employment ,Health,Shelter,Health)</v>
          </cell>
          <cell r="E160" t="str">
            <v>AATWIN(Social Protection),FCA(Education),HELVETAS(Shelter),PLAN(GESI,Shelter,Social Protection,Health),Tearfund(Shelter)</v>
          </cell>
        </row>
        <row r="161">
          <cell r="A161">
            <v>31004</v>
          </cell>
          <cell r="B161" t="str">
            <v>Makwanpur</v>
          </cell>
          <cell r="C161" t="str">
            <v>Hetauda Upamahanagarpalika</v>
          </cell>
          <cell r="D161" t="str">
            <v>BC(Shelter),NRCS(Health),PIN(Shelter)</v>
          </cell>
          <cell r="E161" t="str">
            <v>AA(GESI),AATWIN(Social Protection),BNMT(Health),CARE-N(Education),EBMF(Education),PLAN(Education,Social Protection,Health)</v>
          </cell>
        </row>
        <row r="162">
          <cell r="A162">
            <v>31005</v>
          </cell>
          <cell r="B162" t="str">
            <v>Makwanpur</v>
          </cell>
          <cell r="C162" t="str">
            <v>Indrasarowar Gaunpalika</v>
          </cell>
          <cell r="D162" t="str">
            <v>CARE-N(Health),PIN(Shelter),PLAN(Education,GESI,Shelter,Social Protection,Health)</v>
          </cell>
          <cell r="E162" t="str">
            <v>HELVETAS(Shelter),ICCO(Livelihood),Tearfund(Shelter)</v>
          </cell>
        </row>
        <row r="163">
          <cell r="A163">
            <v>31006</v>
          </cell>
          <cell r="B163" t="str">
            <v>Makwanpur</v>
          </cell>
          <cell r="C163" t="str">
            <v>Kailash Gaunpalika</v>
          </cell>
          <cell r="D163" t="str">
            <v>PIN(Shelter)</v>
          </cell>
          <cell r="E163" t="str">
            <v/>
          </cell>
        </row>
        <row r="164">
          <cell r="A164">
            <v>31007</v>
          </cell>
          <cell r="B164" t="str">
            <v>Makwanpur</v>
          </cell>
          <cell r="C164" t="str">
            <v>Makawanpurgadhi Gaunpalika</v>
          </cell>
          <cell r="D164" t="str">
            <v>PIN(Shelter)</v>
          </cell>
          <cell r="E164" t="str">
            <v>COSAN(Education),EBMF(Education),HELVETAS(Shelter),PLAN(GESI,Shelter,Social Protection,Health),Tearfund(Shelter)</v>
          </cell>
        </row>
        <row r="165">
          <cell r="A165">
            <v>31008</v>
          </cell>
          <cell r="B165" t="str">
            <v>Makwanpur</v>
          </cell>
          <cell r="C165" t="str">
            <v>Manahari Gaunpalika</v>
          </cell>
          <cell r="D165" t="str">
            <v>PIN(Shelter)</v>
          </cell>
          <cell r="E165" t="str">
            <v>AA(GESI),AATWIN(Social Protection),CARE-N(Education),EBMF(Education),HELVETAS(Shelter),PLAN(Social Protection,Health)</v>
          </cell>
        </row>
        <row r="166">
          <cell r="A166">
            <v>31009</v>
          </cell>
          <cell r="B166" t="str">
            <v>Makwanpur</v>
          </cell>
          <cell r="C166" t="str">
            <v>Raksirang Gaunpalika</v>
          </cell>
          <cell r="D166" t="str">
            <v>NRCS(Livelihood,Employment ,Health,Shelter,Health),PIN(Shelter)</v>
          </cell>
          <cell r="E166" t="str">
            <v>BNMT(Health),EBMF(Education),HELVETAS(Shelter)</v>
          </cell>
        </row>
        <row r="167">
          <cell r="A167">
            <v>31010</v>
          </cell>
          <cell r="B167" t="str">
            <v>Makwanpur</v>
          </cell>
          <cell r="C167" t="str">
            <v>Thaha Nagarpalika</v>
          </cell>
          <cell r="D167" t="str">
            <v>BC(Shelter)</v>
          </cell>
          <cell r="E167" t="str">
            <v/>
          </cell>
        </row>
        <row r="168">
          <cell r="A168">
            <v>35001</v>
          </cell>
          <cell r="B168" t="str">
            <v>Chitwan</v>
          </cell>
          <cell r="C168" t="str">
            <v>Bharatpur Mahanagarpalika</v>
          </cell>
          <cell r="D168" t="str">
            <v/>
          </cell>
          <cell r="E168" t="str">
            <v/>
          </cell>
        </row>
        <row r="169">
          <cell r="A169">
            <v>35002</v>
          </cell>
          <cell r="B169" t="str">
            <v>Chitwan</v>
          </cell>
          <cell r="C169" t="str">
            <v>Ichchhyakamana Gaunpalika</v>
          </cell>
          <cell r="D169" t="str">
            <v/>
          </cell>
          <cell r="E169" t="str">
            <v/>
          </cell>
        </row>
        <row r="170">
          <cell r="A170">
            <v>35003</v>
          </cell>
          <cell r="B170" t="str">
            <v>Chitwan</v>
          </cell>
          <cell r="C170" t="str">
            <v>Kalika Nagarpalika</v>
          </cell>
          <cell r="D170" t="str">
            <v/>
          </cell>
          <cell r="E170" t="str">
            <v/>
          </cell>
        </row>
        <row r="171">
          <cell r="A171">
            <v>35004</v>
          </cell>
          <cell r="B171" t="str">
            <v>Chitwan</v>
          </cell>
          <cell r="C171" t="str">
            <v>Khairahani Nagarpalika</v>
          </cell>
          <cell r="D171" t="str">
            <v/>
          </cell>
          <cell r="E171" t="str">
            <v/>
          </cell>
        </row>
        <row r="172">
          <cell r="A172">
            <v>35005</v>
          </cell>
          <cell r="B172" t="str">
            <v>Chitwan</v>
          </cell>
          <cell r="C172" t="str">
            <v>Madi Nagarpalika</v>
          </cell>
          <cell r="D172" t="str">
            <v/>
          </cell>
          <cell r="E172" t="str">
            <v/>
          </cell>
        </row>
        <row r="173">
          <cell r="A173">
            <v>35006</v>
          </cell>
          <cell r="B173" t="str">
            <v>Chitwan</v>
          </cell>
          <cell r="C173" t="str">
            <v>Rapti Nagarpalika</v>
          </cell>
          <cell r="D173" t="str">
            <v/>
          </cell>
          <cell r="E173" t="str">
            <v>Paribartan-N(Education)</v>
          </cell>
        </row>
        <row r="174">
          <cell r="A174">
            <v>35007</v>
          </cell>
          <cell r="B174" t="str">
            <v>Chitwan</v>
          </cell>
          <cell r="C174" t="str">
            <v>Ratnanagar Nagarpalika</v>
          </cell>
          <cell r="D174" t="str">
            <v/>
          </cell>
          <cell r="E174" t="str">
            <v/>
          </cell>
        </row>
        <row r="175">
          <cell r="A175">
            <v>36001</v>
          </cell>
          <cell r="B175" t="str">
            <v>Gorkha</v>
          </cell>
          <cell r="C175" t="str">
            <v>Aarughat Gaunpalika</v>
          </cell>
          <cell r="D175" t="str">
            <v>INF(Employment )</v>
          </cell>
          <cell r="E175" t="str">
            <v>CRS(Livelihood,Employment ,Shelter,Health),FCA(Education),GNI(Health),HELVETAS(Shelter),LIONS(Education),SAHAS(Shelter),SCI(Education,Health,Shelter,Social Protection)</v>
          </cell>
        </row>
        <row r="176">
          <cell r="A176">
            <v>36002</v>
          </cell>
          <cell r="B176" t="str">
            <v>Gorkha</v>
          </cell>
          <cell r="C176" t="str">
            <v>Ajirkot Gaunpalika</v>
          </cell>
          <cell r="D176" t="str">
            <v>CARE-N(Livelihood,DRR,GESI,Health,Shelter,Health),INF(Employment ,Shelter)</v>
          </cell>
          <cell r="E176" t="str">
            <v>CW(Education,Shelter),IMS(Livelihood,DRR,Education,Employment ,Environment ,Governance),IOM(Shelter),JICA(Shelter),LIONS(Education),NRA(Shelter),WVIN(Livelihood,Employment ,Health)</v>
          </cell>
        </row>
        <row r="177">
          <cell r="A177">
            <v>36003</v>
          </cell>
          <cell r="B177" t="str">
            <v>Gorkha</v>
          </cell>
          <cell r="C177" t="str">
            <v>Bhimsen Gaunpalika</v>
          </cell>
          <cell r="D177" t="str">
            <v/>
          </cell>
          <cell r="E177" t="str">
            <v>CA(Shelter,Health),CRS(Livelihood,Employment ,Shelter,Health),DCA(Shelter,Health),FCA(Education),JICA(Shelter),NDS(Shelter),NYF(Education,Shelter),SCI(Education,Employment ,Health,Shelter,Social Protection,Health)</v>
          </cell>
        </row>
        <row r="178">
          <cell r="A178">
            <v>36004</v>
          </cell>
          <cell r="B178" t="str">
            <v>Gorkha</v>
          </cell>
          <cell r="C178" t="str">
            <v>Chum Nubri Gaunpalika</v>
          </cell>
          <cell r="D178" t="str">
            <v/>
          </cell>
          <cell r="E178" t="str">
            <v>CRS(Shelter)</v>
          </cell>
        </row>
        <row r="179">
          <cell r="A179">
            <v>36005</v>
          </cell>
          <cell r="B179" t="str">
            <v>Gorkha</v>
          </cell>
          <cell r="C179" t="str">
            <v>Dharche Gaunpalika</v>
          </cell>
          <cell r="D179" t="str">
            <v>CARE-N(Livelihood,DRR,Employment ,GESI,Health,Shelter,Health),INF(Employment )</v>
          </cell>
          <cell r="E179" t="str">
            <v>CRS(Livelihood,Employment ,Shelter,Health),FCA(Education),GHA(Education),MECS(Education),NRNA(Shelter),OXFAM-GB(Shelter),SCI(Shelter),WFP(Employment )</v>
          </cell>
        </row>
        <row r="180">
          <cell r="A180">
            <v>36006</v>
          </cell>
          <cell r="B180" t="str">
            <v>Gorkha</v>
          </cell>
          <cell r="C180" t="str">
            <v>Gandaki Gaunpalika</v>
          </cell>
          <cell r="D180" t="str">
            <v/>
          </cell>
          <cell r="E180" t="str">
            <v>ACN(Shelter),DCA(Livelihood,DRR,Education,Employment ,Health,Shelter,Health),GON-PAF(Shelter),HELVETAS(Shelter),IOM(Shelter),NRA(Shelter),Sailung(Education),UNWOMEN(Shelter)</v>
          </cell>
        </row>
        <row r="181">
          <cell r="A181">
            <v>36007</v>
          </cell>
          <cell r="B181" t="str">
            <v>Gorkha</v>
          </cell>
          <cell r="C181" t="str">
            <v>Gorkha Nagarpalika</v>
          </cell>
          <cell r="D181" t="str">
            <v>BC(Shelter),INF(Education,Health),NRCS(Health)</v>
          </cell>
          <cell r="E181" t="str">
            <v>ACN(Shelter),CARE-N(Shelter),CRS(Livelihood,Employment ,Shelter,Health),EAH-N(Education),FCA(Education),GON - DLPIU(Shelter),IOM(Shelter),JICA(Shelter),LIONS(Education),NYF(Education),SCI(Health,Shelter),UNDP(Shelter)</v>
          </cell>
        </row>
        <row r="182">
          <cell r="A182">
            <v>36008</v>
          </cell>
          <cell r="B182" t="str">
            <v>Gorkha</v>
          </cell>
          <cell r="C182" t="str">
            <v>Palungtar Nagarpalika</v>
          </cell>
          <cell r="D182" t="str">
            <v>CARE-N(Livelihood,DRR,GESI,Shelter,Health),INF(Education,Shelter),NRCS(Livelihood,Education,Employment ,Health,Shelter,Health)</v>
          </cell>
          <cell r="E182" t="str">
            <v>BUN(Education),FCA(Education),GON - DLPIU(Shelter),HT(Education),WVIN(Livelihood,DRR,Education,Employment ,Health)</v>
          </cell>
        </row>
        <row r="183">
          <cell r="A183">
            <v>36009</v>
          </cell>
          <cell r="B183" t="str">
            <v>Gorkha</v>
          </cell>
          <cell r="C183" t="str">
            <v>Sahid Lakhan Gaunpalika</v>
          </cell>
          <cell r="D183" t="str">
            <v/>
          </cell>
          <cell r="E183" t="str">
            <v>SCI(Education,Health,Shelter,Social Protection)</v>
          </cell>
        </row>
        <row r="184">
          <cell r="A184">
            <v>36010</v>
          </cell>
          <cell r="B184" t="str">
            <v>Gorkha</v>
          </cell>
          <cell r="C184" t="str">
            <v>Siranchok Gaunpalika</v>
          </cell>
          <cell r="D184" t="str">
            <v>CARE-N(Livelihood,DRR,GESI,Health,Shelter,Health),INF(Employment ,Government buildings,Shelter),NRCS(Livelihood,Education,Employment ,Health,Shelter,Health)</v>
          </cell>
          <cell r="E184" t="str">
            <v>ACN(Shelter),JICA(Shelter),LWR(Livelihood,DRR,Shelter),NYF(Education),WVIN(Employment ,Health)</v>
          </cell>
        </row>
        <row r="185">
          <cell r="A185">
            <v>36011</v>
          </cell>
          <cell r="B185" t="str">
            <v>Gorkha</v>
          </cell>
          <cell r="C185" t="str">
            <v>Sulikot Gaunpalika</v>
          </cell>
          <cell r="D185" t="str">
            <v>CARE-N(Livelihood,DRR,Employment ,GESI,Health,Shelter,Health),INF(Employment ),NRCS(Livelihood,Education,Employment ,Health,Shelter,Health)</v>
          </cell>
          <cell r="E185" t="str">
            <v>FCA(Education),HELVETAS(Shelter),JICA(Shelter),NRA(Shelter),NYF(Shelter),SCI(DRR,Education,Employment ,Health,Shelter,Social Protection,Health)</v>
          </cell>
        </row>
        <row r="186">
          <cell r="A186">
            <v>37001</v>
          </cell>
          <cell r="B186" t="str">
            <v>Lamjung</v>
          </cell>
          <cell r="C186" t="str">
            <v>Besishahar Nagarpalika</v>
          </cell>
          <cell r="D186" t="str">
            <v/>
          </cell>
          <cell r="E186" t="str">
            <v>WVIN(Education)</v>
          </cell>
        </row>
        <row r="187">
          <cell r="A187">
            <v>37002</v>
          </cell>
          <cell r="B187" t="str">
            <v>Lamjung</v>
          </cell>
          <cell r="C187" t="str">
            <v>Dordi Gaunpalika</v>
          </cell>
          <cell r="D187" t="str">
            <v/>
          </cell>
          <cell r="E187" t="str">
            <v/>
          </cell>
        </row>
        <row r="188">
          <cell r="A188">
            <v>37003</v>
          </cell>
          <cell r="B188" t="str">
            <v>Lamjung</v>
          </cell>
          <cell r="C188" t="str">
            <v>Dudhpokhari Gaunpalika</v>
          </cell>
          <cell r="D188" t="str">
            <v/>
          </cell>
          <cell r="E188" t="str">
            <v>LWR(Livelihood,DRR,Shelter)</v>
          </cell>
        </row>
        <row r="189">
          <cell r="A189">
            <v>37004</v>
          </cell>
          <cell r="B189" t="str">
            <v>Lamjung</v>
          </cell>
          <cell r="C189" t="str">
            <v>Kwholasothar Gaunpalika</v>
          </cell>
          <cell r="D189" t="str">
            <v/>
          </cell>
          <cell r="E189" t="str">
            <v/>
          </cell>
        </row>
        <row r="190">
          <cell r="A190">
            <v>37005</v>
          </cell>
          <cell r="B190" t="str">
            <v>Lamjung</v>
          </cell>
          <cell r="C190" t="str">
            <v>MadhyaNepal Nagarpalika</v>
          </cell>
          <cell r="D190" t="str">
            <v/>
          </cell>
          <cell r="E190" t="str">
            <v/>
          </cell>
        </row>
        <row r="191">
          <cell r="A191">
            <v>37006</v>
          </cell>
          <cell r="B191" t="str">
            <v>Lamjung</v>
          </cell>
          <cell r="C191" t="str">
            <v>Marsyangdi Gaunpalika</v>
          </cell>
          <cell r="D191" t="str">
            <v/>
          </cell>
          <cell r="E191" t="str">
            <v/>
          </cell>
        </row>
        <row r="192">
          <cell r="A192">
            <v>37007</v>
          </cell>
          <cell r="B192" t="str">
            <v>Lamjung</v>
          </cell>
          <cell r="C192" t="str">
            <v>Rainas Nagarpalika</v>
          </cell>
          <cell r="D192" t="str">
            <v/>
          </cell>
          <cell r="E192" t="str">
            <v>CHOICE(Education)</v>
          </cell>
        </row>
        <row r="193">
          <cell r="A193">
            <v>37008</v>
          </cell>
          <cell r="B193" t="str">
            <v>Lamjung</v>
          </cell>
          <cell r="C193" t="str">
            <v>Sundarbazar Nagarpalika</v>
          </cell>
          <cell r="D193" t="str">
            <v/>
          </cell>
          <cell r="E193" t="str">
            <v>WVIN(Education)</v>
          </cell>
        </row>
        <row r="194">
          <cell r="A194">
            <v>38001</v>
          </cell>
          <cell r="B194" t="str">
            <v>Tanahun</v>
          </cell>
          <cell r="C194" t="str">
            <v>Anbukhaireni Gaunpalika</v>
          </cell>
          <cell r="D194" t="str">
            <v/>
          </cell>
          <cell r="E194" t="str">
            <v/>
          </cell>
        </row>
        <row r="195">
          <cell r="A195">
            <v>38002</v>
          </cell>
          <cell r="B195" t="str">
            <v>Tanahun</v>
          </cell>
          <cell r="C195" t="str">
            <v>Bandipur Gaunpalika</v>
          </cell>
          <cell r="D195" t="str">
            <v/>
          </cell>
          <cell r="E195" t="str">
            <v/>
          </cell>
        </row>
        <row r="196">
          <cell r="A196">
            <v>38003</v>
          </cell>
          <cell r="B196" t="str">
            <v>Tanahun</v>
          </cell>
          <cell r="C196" t="str">
            <v>Bhanu Nagarpalika</v>
          </cell>
          <cell r="D196" t="str">
            <v/>
          </cell>
          <cell r="E196" t="str">
            <v/>
          </cell>
        </row>
        <row r="197">
          <cell r="A197">
            <v>38004</v>
          </cell>
          <cell r="B197" t="str">
            <v>Tanahun</v>
          </cell>
          <cell r="C197" t="str">
            <v>Bhimad Nagarpalika</v>
          </cell>
          <cell r="D197" t="str">
            <v/>
          </cell>
          <cell r="E197" t="str">
            <v>DSCBD(Education)</v>
          </cell>
        </row>
        <row r="198">
          <cell r="A198">
            <v>38005</v>
          </cell>
          <cell r="B198" t="str">
            <v>Tanahun</v>
          </cell>
          <cell r="C198" t="str">
            <v>Byas Nagarpalika</v>
          </cell>
          <cell r="D198" t="str">
            <v/>
          </cell>
          <cell r="E198" t="str">
            <v/>
          </cell>
        </row>
        <row r="199">
          <cell r="A199">
            <v>38006</v>
          </cell>
          <cell r="B199" t="str">
            <v>Tanahun</v>
          </cell>
          <cell r="C199" t="str">
            <v>Devghat Gaunpalika</v>
          </cell>
          <cell r="D199" t="str">
            <v/>
          </cell>
          <cell r="E199" t="str">
            <v/>
          </cell>
        </row>
        <row r="200">
          <cell r="A200">
            <v>38007</v>
          </cell>
          <cell r="B200" t="str">
            <v>Tanahun</v>
          </cell>
          <cell r="C200" t="str">
            <v>Ghiring Gaunpalika</v>
          </cell>
          <cell r="D200" t="str">
            <v/>
          </cell>
          <cell r="E200" t="str">
            <v/>
          </cell>
        </row>
        <row r="201">
          <cell r="A201">
            <v>38008</v>
          </cell>
          <cell r="B201" t="str">
            <v>Tanahun</v>
          </cell>
          <cell r="C201" t="str">
            <v>Myagde Gaunpalika</v>
          </cell>
          <cell r="D201" t="str">
            <v/>
          </cell>
          <cell r="E201" t="str">
            <v/>
          </cell>
        </row>
        <row r="202">
          <cell r="A202">
            <v>38009</v>
          </cell>
          <cell r="B202" t="str">
            <v>Tanahun</v>
          </cell>
          <cell r="C202" t="str">
            <v>Rhishing Gaunpalika</v>
          </cell>
          <cell r="D202" t="str">
            <v/>
          </cell>
          <cell r="E202" t="str">
            <v/>
          </cell>
        </row>
        <row r="203">
          <cell r="A203">
            <v>38010</v>
          </cell>
          <cell r="B203" t="str">
            <v>Tanahun</v>
          </cell>
          <cell r="C203" t="str">
            <v>Shuklagandaki Nagarpalika</v>
          </cell>
          <cell r="D203" t="str">
            <v/>
          </cell>
          <cell r="E203" t="str">
            <v/>
          </cell>
        </row>
        <row r="204">
          <cell r="A204">
            <v>39001</v>
          </cell>
          <cell r="B204" t="str">
            <v>Syangja</v>
          </cell>
          <cell r="C204" t="str">
            <v>Aandhikhola Gaunpalika</v>
          </cell>
          <cell r="D204" t="str">
            <v/>
          </cell>
          <cell r="E204" t="str">
            <v/>
          </cell>
        </row>
        <row r="205">
          <cell r="A205">
            <v>39002</v>
          </cell>
          <cell r="B205" t="str">
            <v>Syangja</v>
          </cell>
          <cell r="C205" t="str">
            <v>Arjunchaupari Gaunpalika</v>
          </cell>
          <cell r="D205" t="str">
            <v/>
          </cell>
          <cell r="E205" t="str">
            <v/>
          </cell>
        </row>
        <row r="206">
          <cell r="A206">
            <v>39003</v>
          </cell>
          <cell r="B206" t="str">
            <v>Syangja</v>
          </cell>
          <cell r="C206" t="str">
            <v>Bhirkot Nagarpalika</v>
          </cell>
          <cell r="D206" t="str">
            <v/>
          </cell>
          <cell r="E206" t="str">
            <v/>
          </cell>
        </row>
        <row r="207">
          <cell r="A207">
            <v>39004</v>
          </cell>
          <cell r="B207" t="str">
            <v>Syangja</v>
          </cell>
          <cell r="C207" t="str">
            <v>Biruwa Gaunpalika</v>
          </cell>
          <cell r="D207" t="str">
            <v/>
          </cell>
          <cell r="E207" t="str">
            <v/>
          </cell>
        </row>
        <row r="208">
          <cell r="A208">
            <v>39005</v>
          </cell>
          <cell r="B208" t="str">
            <v>Syangja</v>
          </cell>
          <cell r="C208" t="str">
            <v>Chapakot Nagarpalika</v>
          </cell>
          <cell r="D208" t="str">
            <v/>
          </cell>
          <cell r="E208" t="str">
            <v/>
          </cell>
        </row>
        <row r="209">
          <cell r="A209">
            <v>39006</v>
          </cell>
          <cell r="B209" t="str">
            <v>Syangja</v>
          </cell>
          <cell r="C209" t="str">
            <v>Galyang Nagarpalika</v>
          </cell>
          <cell r="D209" t="str">
            <v/>
          </cell>
          <cell r="E209" t="str">
            <v/>
          </cell>
        </row>
        <row r="210">
          <cell r="A210">
            <v>39007</v>
          </cell>
          <cell r="B210" t="str">
            <v>Syangja</v>
          </cell>
          <cell r="C210" t="str">
            <v>Harinas Gaunpalika</v>
          </cell>
          <cell r="D210" t="str">
            <v/>
          </cell>
          <cell r="E210" t="str">
            <v/>
          </cell>
        </row>
        <row r="211">
          <cell r="A211">
            <v>39008</v>
          </cell>
          <cell r="B211" t="str">
            <v>Syangja</v>
          </cell>
          <cell r="C211" t="str">
            <v>Kaligandagi Gaunpalika</v>
          </cell>
          <cell r="D211" t="str">
            <v/>
          </cell>
          <cell r="E211" t="str">
            <v/>
          </cell>
        </row>
        <row r="212">
          <cell r="A212">
            <v>39009</v>
          </cell>
          <cell r="B212" t="str">
            <v>Syangja</v>
          </cell>
          <cell r="C212" t="str">
            <v>Phedikhola Gaunpalika</v>
          </cell>
          <cell r="D212" t="str">
            <v/>
          </cell>
          <cell r="E212" t="str">
            <v/>
          </cell>
        </row>
        <row r="213">
          <cell r="A213">
            <v>39010</v>
          </cell>
          <cell r="B213" t="str">
            <v>Syangja</v>
          </cell>
          <cell r="C213" t="str">
            <v>Putalibazar Nagarpalika</v>
          </cell>
          <cell r="D213" t="str">
            <v/>
          </cell>
          <cell r="E213" t="str">
            <v/>
          </cell>
        </row>
        <row r="214">
          <cell r="A214">
            <v>39011</v>
          </cell>
          <cell r="B214" t="str">
            <v>Syangja</v>
          </cell>
          <cell r="C214" t="str">
            <v>Waling Nagarpalika</v>
          </cell>
          <cell r="D214" t="str">
            <v/>
          </cell>
          <cell r="E214" t="str">
            <v/>
          </cell>
        </row>
        <row r="215">
          <cell r="A215">
            <v>40001</v>
          </cell>
          <cell r="B215" t="str">
            <v>Kaski</v>
          </cell>
          <cell r="C215" t="str">
            <v>Annapurna Gaunpalika</v>
          </cell>
          <cell r="D215" t="str">
            <v/>
          </cell>
          <cell r="E215" t="str">
            <v/>
          </cell>
        </row>
        <row r="216">
          <cell r="A216">
            <v>40002</v>
          </cell>
          <cell r="B216" t="str">
            <v>Kaski</v>
          </cell>
          <cell r="C216" t="str">
            <v>Machhapuchchhre Gaunpalika</v>
          </cell>
          <cell r="D216" t="str">
            <v/>
          </cell>
          <cell r="E216" t="str">
            <v/>
          </cell>
        </row>
        <row r="217">
          <cell r="A217">
            <v>40003</v>
          </cell>
          <cell r="B217" t="str">
            <v>Kaski</v>
          </cell>
          <cell r="C217" t="str">
            <v>Madi Gaunpalika</v>
          </cell>
          <cell r="D217" t="str">
            <v/>
          </cell>
          <cell r="E217" t="str">
            <v/>
          </cell>
        </row>
        <row r="218">
          <cell r="A218">
            <v>40004</v>
          </cell>
          <cell r="B218" t="str">
            <v>Kaski</v>
          </cell>
          <cell r="C218" t="str">
            <v>Pokhara Lekhnath Mahanagarpalika</v>
          </cell>
          <cell r="D218" t="str">
            <v/>
          </cell>
          <cell r="E218" t="str">
            <v/>
          </cell>
        </row>
        <row r="219">
          <cell r="A219">
            <v>40005</v>
          </cell>
          <cell r="B219" t="str">
            <v>Kaski</v>
          </cell>
          <cell r="C219" t="str">
            <v>Rupa Gaunpalika</v>
          </cell>
          <cell r="D219" t="str">
            <v/>
          </cell>
          <cell r="E219" t="str">
            <v/>
          </cell>
        </row>
        <row r="220">
          <cell r="A220">
            <v>43001</v>
          </cell>
          <cell r="B220" t="str">
            <v>Myagdi</v>
          </cell>
          <cell r="C220" t="str">
            <v>Annapurna Gaunpalika</v>
          </cell>
          <cell r="D220" t="str">
            <v/>
          </cell>
          <cell r="E220" t="str">
            <v/>
          </cell>
        </row>
        <row r="221">
          <cell r="A221">
            <v>43002</v>
          </cell>
          <cell r="B221" t="str">
            <v>Myagdi</v>
          </cell>
          <cell r="C221" t="str">
            <v>Beni Nagarpalika</v>
          </cell>
          <cell r="D221" t="str">
            <v/>
          </cell>
          <cell r="E221" t="str">
            <v/>
          </cell>
        </row>
        <row r="222">
          <cell r="A222">
            <v>43003</v>
          </cell>
          <cell r="B222" t="str">
            <v>Myagdi</v>
          </cell>
          <cell r="C222" t="str">
            <v>Dhaulagiri Gaunpalika</v>
          </cell>
          <cell r="D222" t="str">
            <v/>
          </cell>
          <cell r="E222" t="str">
            <v/>
          </cell>
        </row>
        <row r="223">
          <cell r="A223">
            <v>43004</v>
          </cell>
          <cell r="B223" t="str">
            <v>Myagdi</v>
          </cell>
          <cell r="C223" t="str">
            <v>Malika Gaunpalika</v>
          </cell>
          <cell r="D223" t="str">
            <v/>
          </cell>
          <cell r="E223" t="str">
            <v/>
          </cell>
        </row>
        <row r="224">
          <cell r="A224">
            <v>43005</v>
          </cell>
          <cell r="B224" t="str">
            <v>Myagdi</v>
          </cell>
          <cell r="C224" t="str">
            <v>Mangala Gaunpalika</v>
          </cell>
          <cell r="D224" t="str">
            <v/>
          </cell>
          <cell r="E224" t="str">
            <v/>
          </cell>
        </row>
        <row r="225">
          <cell r="A225">
            <v>43006</v>
          </cell>
          <cell r="B225" t="str">
            <v>Myagdi</v>
          </cell>
          <cell r="C225" t="str">
            <v>Raghuganga Gaunpalika</v>
          </cell>
          <cell r="D225" t="str">
            <v/>
          </cell>
          <cell r="E225" t="str">
            <v/>
          </cell>
        </row>
        <row r="226">
          <cell r="A226">
            <v>44001</v>
          </cell>
          <cell r="B226" t="str">
            <v>Parbat</v>
          </cell>
          <cell r="C226" t="str">
            <v>Bihadi Gaunpalika</v>
          </cell>
          <cell r="D226" t="str">
            <v/>
          </cell>
          <cell r="E226" t="str">
            <v/>
          </cell>
        </row>
        <row r="227">
          <cell r="A227">
            <v>44002</v>
          </cell>
          <cell r="B227" t="str">
            <v>Parbat</v>
          </cell>
          <cell r="C227" t="str">
            <v>Jaljala Gaunpalika</v>
          </cell>
          <cell r="D227" t="str">
            <v/>
          </cell>
          <cell r="E227" t="str">
            <v/>
          </cell>
        </row>
        <row r="228">
          <cell r="A228">
            <v>44003</v>
          </cell>
          <cell r="B228" t="str">
            <v>Parbat</v>
          </cell>
          <cell r="C228" t="str">
            <v>Kushma Nagarpalika</v>
          </cell>
          <cell r="D228" t="str">
            <v/>
          </cell>
          <cell r="E228" t="str">
            <v/>
          </cell>
        </row>
        <row r="229">
          <cell r="A229">
            <v>44004</v>
          </cell>
          <cell r="B229" t="str">
            <v>Parbat</v>
          </cell>
          <cell r="C229" t="str">
            <v>Mahashila Gaunpalika</v>
          </cell>
          <cell r="D229" t="str">
            <v/>
          </cell>
          <cell r="E229" t="str">
            <v/>
          </cell>
        </row>
        <row r="230">
          <cell r="A230">
            <v>44005</v>
          </cell>
          <cell r="B230" t="str">
            <v>Parbat</v>
          </cell>
          <cell r="C230" t="str">
            <v>Modi Gaunpalika</v>
          </cell>
          <cell r="D230" t="str">
            <v/>
          </cell>
          <cell r="E230" t="str">
            <v/>
          </cell>
        </row>
        <row r="231">
          <cell r="A231">
            <v>44006</v>
          </cell>
          <cell r="B231" t="str">
            <v>Parbat</v>
          </cell>
          <cell r="C231" t="str">
            <v>Painyu Gaunpalika</v>
          </cell>
          <cell r="D231" t="str">
            <v/>
          </cell>
          <cell r="E231" t="str">
            <v/>
          </cell>
        </row>
        <row r="232">
          <cell r="A232">
            <v>44007</v>
          </cell>
          <cell r="B232" t="str">
            <v>Parbat</v>
          </cell>
          <cell r="C232" t="str">
            <v>Phalebas Nagarpalika</v>
          </cell>
          <cell r="D232" t="str">
            <v/>
          </cell>
          <cell r="E232" t="str">
            <v/>
          </cell>
        </row>
        <row r="233">
          <cell r="A233">
            <v>45001</v>
          </cell>
          <cell r="B233" t="str">
            <v>Baglung</v>
          </cell>
          <cell r="C233" t="str">
            <v>Badigad Gaunpalika</v>
          </cell>
          <cell r="D233" t="str">
            <v/>
          </cell>
          <cell r="E233" t="str">
            <v/>
          </cell>
        </row>
        <row r="234">
          <cell r="A234">
            <v>45002</v>
          </cell>
          <cell r="B234" t="str">
            <v>Baglung</v>
          </cell>
          <cell r="C234" t="str">
            <v>Baglung Nagarpalika</v>
          </cell>
          <cell r="D234" t="str">
            <v/>
          </cell>
          <cell r="E234" t="str">
            <v>VidhyaM(Education)</v>
          </cell>
        </row>
        <row r="235">
          <cell r="A235">
            <v>45003</v>
          </cell>
          <cell r="B235" t="str">
            <v>Baglung</v>
          </cell>
          <cell r="C235" t="str">
            <v>Bareng Gaunpalika</v>
          </cell>
          <cell r="D235" t="str">
            <v/>
          </cell>
          <cell r="E235" t="str">
            <v/>
          </cell>
        </row>
        <row r="236">
          <cell r="A236">
            <v>45004</v>
          </cell>
          <cell r="B236" t="str">
            <v>Baglung</v>
          </cell>
          <cell r="C236" t="str">
            <v>Dhorpatan Nagarpalika</v>
          </cell>
          <cell r="D236" t="str">
            <v/>
          </cell>
          <cell r="E236" t="str">
            <v/>
          </cell>
        </row>
        <row r="237">
          <cell r="A237">
            <v>45005</v>
          </cell>
          <cell r="B237" t="str">
            <v>Baglung</v>
          </cell>
          <cell r="C237" t="str">
            <v>Galkot Nagarpalika</v>
          </cell>
          <cell r="D237" t="str">
            <v/>
          </cell>
          <cell r="E237" t="str">
            <v/>
          </cell>
        </row>
        <row r="238">
          <cell r="A238">
            <v>45006</v>
          </cell>
          <cell r="B238" t="str">
            <v>Baglung</v>
          </cell>
          <cell r="C238" t="str">
            <v>Jaimuni Nagarpalika</v>
          </cell>
          <cell r="D238" t="str">
            <v/>
          </cell>
          <cell r="E238" t="str">
            <v/>
          </cell>
        </row>
        <row r="239">
          <cell r="A239">
            <v>45007</v>
          </cell>
          <cell r="B239" t="str">
            <v>Baglung</v>
          </cell>
          <cell r="C239" t="str">
            <v>Kanthekhola Gaunpalika</v>
          </cell>
          <cell r="D239" t="str">
            <v/>
          </cell>
          <cell r="E239" t="str">
            <v/>
          </cell>
        </row>
        <row r="240">
          <cell r="A240">
            <v>45008</v>
          </cell>
          <cell r="B240" t="str">
            <v>Baglung</v>
          </cell>
          <cell r="C240" t="str">
            <v>Nisikhola Gaunpalika</v>
          </cell>
          <cell r="D240" t="str">
            <v/>
          </cell>
          <cell r="E240" t="str">
            <v/>
          </cell>
        </row>
        <row r="241">
          <cell r="A241">
            <v>45009</v>
          </cell>
          <cell r="B241" t="str">
            <v>Baglung</v>
          </cell>
          <cell r="C241" t="str">
            <v>Taman Khola Gaunpalika</v>
          </cell>
          <cell r="D241" t="str">
            <v/>
          </cell>
          <cell r="E241" t="str">
            <v/>
          </cell>
        </row>
        <row r="242">
          <cell r="A242">
            <v>45010</v>
          </cell>
          <cell r="B242" t="str">
            <v>Baglung</v>
          </cell>
          <cell r="C242" t="str">
            <v>Tara Khola Gaunpalika</v>
          </cell>
          <cell r="D242" t="str">
            <v/>
          </cell>
          <cell r="E242" t="str">
            <v/>
          </cell>
        </row>
        <row r="243">
          <cell r="A243">
            <v>46001</v>
          </cell>
          <cell r="B243" t="str">
            <v>Gulmi</v>
          </cell>
          <cell r="C243" t="str">
            <v>Chandrakot Gaunpalika</v>
          </cell>
          <cell r="D243" t="str">
            <v/>
          </cell>
          <cell r="E243" t="str">
            <v/>
          </cell>
        </row>
        <row r="244">
          <cell r="A244">
            <v>46002</v>
          </cell>
          <cell r="B244" t="str">
            <v>Gulmi</v>
          </cell>
          <cell r="C244" t="str">
            <v>Chatrakot Gaunpalika</v>
          </cell>
          <cell r="D244" t="str">
            <v/>
          </cell>
          <cell r="E244" t="str">
            <v/>
          </cell>
        </row>
        <row r="245">
          <cell r="A245">
            <v>46003</v>
          </cell>
          <cell r="B245" t="str">
            <v>Gulmi</v>
          </cell>
          <cell r="C245" t="str">
            <v>Dhurkot Gaunpalika</v>
          </cell>
          <cell r="D245" t="str">
            <v/>
          </cell>
          <cell r="E245" t="str">
            <v/>
          </cell>
        </row>
        <row r="246">
          <cell r="A246">
            <v>46004</v>
          </cell>
          <cell r="B246" t="str">
            <v>Gulmi</v>
          </cell>
          <cell r="C246" t="str">
            <v>Gulmidarbar Gaunpalika</v>
          </cell>
          <cell r="D246" t="str">
            <v/>
          </cell>
          <cell r="E246" t="str">
            <v/>
          </cell>
        </row>
        <row r="247">
          <cell r="A247">
            <v>46005</v>
          </cell>
          <cell r="B247" t="str">
            <v>Gulmi</v>
          </cell>
          <cell r="C247" t="str">
            <v>Isma Gaunpalika</v>
          </cell>
          <cell r="D247" t="str">
            <v/>
          </cell>
          <cell r="E247" t="str">
            <v/>
          </cell>
        </row>
        <row r="248">
          <cell r="A248">
            <v>46006</v>
          </cell>
          <cell r="B248" t="str">
            <v>Gulmi</v>
          </cell>
          <cell r="C248" t="str">
            <v>Kaligandaki Gaunpalika</v>
          </cell>
          <cell r="D248" t="str">
            <v/>
          </cell>
          <cell r="E248" t="str">
            <v/>
          </cell>
        </row>
        <row r="249">
          <cell r="A249">
            <v>46007</v>
          </cell>
          <cell r="B249" t="str">
            <v>Gulmi</v>
          </cell>
          <cell r="C249" t="str">
            <v>Madane Gaunpalika</v>
          </cell>
          <cell r="D249" t="str">
            <v/>
          </cell>
          <cell r="E249" t="str">
            <v/>
          </cell>
        </row>
        <row r="250">
          <cell r="A250">
            <v>46008</v>
          </cell>
          <cell r="B250" t="str">
            <v>Gulmi</v>
          </cell>
          <cell r="C250" t="str">
            <v>Malika Gaunpalika</v>
          </cell>
          <cell r="D250" t="str">
            <v/>
          </cell>
          <cell r="E250" t="str">
            <v/>
          </cell>
        </row>
        <row r="251">
          <cell r="A251">
            <v>46009</v>
          </cell>
          <cell r="B251" t="str">
            <v>Gulmi</v>
          </cell>
          <cell r="C251" t="str">
            <v>Musikot Nagarpalika</v>
          </cell>
          <cell r="D251" t="str">
            <v/>
          </cell>
          <cell r="E251" t="str">
            <v/>
          </cell>
        </row>
        <row r="252">
          <cell r="A252">
            <v>46010</v>
          </cell>
          <cell r="B252" t="str">
            <v>Gulmi</v>
          </cell>
          <cell r="C252" t="str">
            <v>Resunga Nagarpalika</v>
          </cell>
          <cell r="D252" t="str">
            <v/>
          </cell>
          <cell r="E252" t="str">
            <v/>
          </cell>
        </row>
        <row r="253">
          <cell r="A253">
            <v>46011</v>
          </cell>
          <cell r="B253" t="str">
            <v>Gulmi</v>
          </cell>
          <cell r="C253" t="str">
            <v>Ruru Gaunpalika</v>
          </cell>
          <cell r="D253" t="str">
            <v/>
          </cell>
          <cell r="E253" t="str">
            <v/>
          </cell>
        </row>
        <row r="254">
          <cell r="A254">
            <v>46012</v>
          </cell>
          <cell r="B254" t="str">
            <v>Gulmi</v>
          </cell>
          <cell r="C254" t="str">
            <v>Satyawati Gaunpalika</v>
          </cell>
          <cell r="D254" t="str">
            <v/>
          </cell>
          <cell r="E254" t="str">
            <v/>
          </cell>
        </row>
        <row r="255">
          <cell r="A255">
            <v>47001</v>
          </cell>
          <cell r="B255" t="str">
            <v>Palpa</v>
          </cell>
          <cell r="C255" t="str">
            <v>Bagnaskali Gaunpalika</v>
          </cell>
          <cell r="D255" t="str">
            <v/>
          </cell>
          <cell r="E255" t="str">
            <v/>
          </cell>
        </row>
        <row r="256">
          <cell r="A256">
            <v>47002</v>
          </cell>
          <cell r="B256" t="str">
            <v>Palpa</v>
          </cell>
          <cell r="C256" t="str">
            <v>Mathagadhi Gaunpalika</v>
          </cell>
          <cell r="D256" t="str">
            <v/>
          </cell>
          <cell r="E256" t="str">
            <v/>
          </cell>
        </row>
        <row r="257">
          <cell r="A257">
            <v>47003</v>
          </cell>
          <cell r="B257" t="str">
            <v>Palpa</v>
          </cell>
          <cell r="C257" t="str">
            <v>Nisdi Gaunpalika</v>
          </cell>
          <cell r="D257" t="str">
            <v/>
          </cell>
          <cell r="E257" t="str">
            <v/>
          </cell>
        </row>
        <row r="258">
          <cell r="A258">
            <v>47004</v>
          </cell>
          <cell r="B258" t="str">
            <v>Palpa</v>
          </cell>
          <cell r="C258" t="str">
            <v>Purbakhola Gaunpalika</v>
          </cell>
          <cell r="D258" t="str">
            <v/>
          </cell>
          <cell r="E258" t="str">
            <v/>
          </cell>
        </row>
        <row r="259">
          <cell r="A259">
            <v>47005</v>
          </cell>
          <cell r="B259" t="str">
            <v>Palpa</v>
          </cell>
          <cell r="C259" t="str">
            <v>Rainadevi Chhahara Gaunpalika</v>
          </cell>
          <cell r="D259" t="str">
            <v/>
          </cell>
          <cell r="E259" t="str">
            <v/>
          </cell>
        </row>
        <row r="260">
          <cell r="A260">
            <v>47006</v>
          </cell>
          <cell r="B260" t="str">
            <v>Palpa</v>
          </cell>
          <cell r="C260" t="str">
            <v>Rambha Gaunpalika</v>
          </cell>
          <cell r="D260" t="str">
            <v/>
          </cell>
          <cell r="E260" t="str">
            <v/>
          </cell>
        </row>
        <row r="261">
          <cell r="A261">
            <v>47007</v>
          </cell>
          <cell r="B261" t="str">
            <v>Palpa</v>
          </cell>
          <cell r="C261" t="str">
            <v>Rampur Nagarpalika</v>
          </cell>
          <cell r="D261" t="str">
            <v/>
          </cell>
          <cell r="E261" t="str">
            <v/>
          </cell>
        </row>
        <row r="262">
          <cell r="A262">
            <v>47008</v>
          </cell>
          <cell r="B262" t="str">
            <v>Palpa</v>
          </cell>
          <cell r="C262" t="str">
            <v>Ribdikot Gaunpalika</v>
          </cell>
          <cell r="D262" t="str">
            <v/>
          </cell>
          <cell r="E262" t="str">
            <v/>
          </cell>
        </row>
        <row r="263">
          <cell r="A263">
            <v>47009</v>
          </cell>
          <cell r="B263" t="str">
            <v>Palpa</v>
          </cell>
          <cell r="C263" t="str">
            <v>Tansen Nagarpalika</v>
          </cell>
          <cell r="D263" t="str">
            <v/>
          </cell>
          <cell r="E263" t="str">
            <v/>
          </cell>
        </row>
        <row r="264">
          <cell r="A264">
            <v>47010</v>
          </cell>
          <cell r="B264" t="str">
            <v>Palpa</v>
          </cell>
          <cell r="C264" t="str">
            <v>Tinau Gaunpalika</v>
          </cell>
          <cell r="D264" t="str">
            <v/>
          </cell>
          <cell r="E264" t="str">
            <v/>
          </cell>
        </row>
        <row r="265">
          <cell r="A265">
            <v>48001</v>
          </cell>
          <cell r="B265" t="str">
            <v>Nawalparasi</v>
          </cell>
          <cell r="C265" t="str">
            <v>Bardaghat Nagarpalika</v>
          </cell>
          <cell r="D265" t="str">
            <v/>
          </cell>
          <cell r="E265" t="str">
            <v/>
          </cell>
        </row>
        <row r="266">
          <cell r="A266">
            <v>48002</v>
          </cell>
          <cell r="B266" t="str">
            <v>Nawalparasi</v>
          </cell>
          <cell r="C266" t="str">
            <v>Binayee Tribeni Gaunpalika</v>
          </cell>
          <cell r="D266" t="str">
            <v/>
          </cell>
          <cell r="E266" t="str">
            <v/>
          </cell>
        </row>
        <row r="267">
          <cell r="A267">
            <v>48003</v>
          </cell>
          <cell r="B267" t="str">
            <v>Nawalparasi</v>
          </cell>
          <cell r="C267" t="str">
            <v>Bulingtar Gaunpalika</v>
          </cell>
          <cell r="D267" t="str">
            <v/>
          </cell>
          <cell r="E267" t="str">
            <v/>
          </cell>
        </row>
        <row r="268">
          <cell r="A268">
            <v>48004</v>
          </cell>
          <cell r="B268" t="str">
            <v>Nawalparasi</v>
          </cell>
          <cell r="C268" t="str">
            <v>Bungdikali Gaunpalika</v>
          </cell>
          <cell r="D268" t="str">
            <v/>
          </cell>
          <cell r="E268" t="str">
            <v/>
          </cell>
        </row>
        <row r="269">
          <cell r="A269">
            <v>48005</v>
          </cell>
          <cell r="B269" t="str">
            <v>Nawalparasi</v>
          </cell>
          <cell r="C269" t="str">
            <v>Devchuli Nagarpalika</v>
          </cell>
          <cell r="D269" t="str">
            <v/>
          </cell>
          <cell r="E269" t="str">
            <v/>
          </cell>
        </row>
        <row r="270">
          <cell r="A270">
            <v>48006</v>
          </cell>
          <cell r="B270" t="str">
            <v>Nawalparasi</v>
          </cell>
          <cell r="C270" t="str">
            <v>Gaidakot Nagarpalika</v>
          </cell>
          <cell r="D270" t="str">
            <v/>
          </cell>
          <cell r="E270" t="str">
            <v/>
          </cell>
        </row>
        <row r="271">
          <cell r="A271">
            <v>48007</v>
          </cell>
          <cell r="B271" t="str">
            <v>Nawalparasi</v>
          </cell>
          <cell r="C271" t="str">
            <v>Hupsekot Gaunpalika</v>
          </cell>
          <cell r="D271" t="str">
            <v/>
          </cell>
          <cell r="E271" t="str">
            <v/>
          </cell>
        </row>
        <row r="272">
          <cell r="A272">
            <v>48008</v>
          </cell>
          <cell r="B272" t="str">
            <v>Nawalparasi</v>
          </cell>
          <cell r="C272" t="str">
            <v>Kawasoti Nagarpalika</v>
          </cell>
          <cell r="D272" t="str">
            <v/>
          </cell>
          <cell r="E272" t="str">
            <v/>
          </cell>
        </row>
        <row r="273">
          <cell r="A273">
            <v>48009</v>
          </cell>
          <cell r="B273" t="str">
            <v>Nawalparasi</v>
          </cell>
          <cell r="C273" t="str">
            <v>Madhyabindu Nagarpalika</v>
          </cell>
          <cell r="D273" t="str">
            <v/>
          </cell>
          <cell r="E273" t="str">
            <v/>
          </cell>
        </row>
        <row r="274">
          <cell r="A274">
            <v>48020</v>
          </cell>
          <cell r="B274" t="str">
            <v>Nawalparasi</v>
          </cell>
          <cell r="C274" t="str">
            <v>Palhi Nandan Gaunpalika</v>
          </cell>
          <cell r="D274" t="str">
            <v/>
          </cell>
          <cell r="E274" t="str">
            <v/>
          </cell>
        </row>
        <row r="275">
          <cell r="A275">
            <v>48030</v>
          </cell>
          <cell r="B275" t="str">
            <v>Nawalparasi</v>
          </cell>
          <cell r="C275" t="str">
            <v>Pratappur Gaunpalika</v>
          </cell>
          <cell r="D275" t="str">
            <v/>
          </cell>
          <cell r="E275" t="str">
            <v/>
          </cell>
        </row>
        <row r="276">
          <cell r="A276">
            <v>48012</v>
          </cell>
          <cell r="B276" t="str">
            <v>Nawalparasi</v>
          </cell>
          <cell r="C276" t="str">
            <v>Ramgram Nagarpalika</v>
          </cell>
          <cell r="D276" t="str">
            <v/>
          </cell>
          <cell r="E276" t="str">
            <v/>
          </cell>
        </row>
        <row r="277">
          <cell r="A277">
            <v>48050</v>
          </cell>
          <cell r="B277" t="str">
            <v>Nawalparasi</v>
          </cell>
          <cell r="C277" t="str">
            <v>Sarawal Gaunpalika</v>
          </cell>
          <cell r="D277" t="str">
            <v/>
          </cell>
          <cell r="E277" t="str">
            <v/>
          </cell>
        </row>
        <row r="278">
          <cell r="A278">
            <v>48060</v>
          </cell>
          <cell r="B278" t="str">
            <v>Nawalparasi</v>
          </cell>
          <cell r="C278" t="str">
            <v>Sunwal Nagarpalika</v>
          </cell>
          <cell r="D278" t="str">
            <v/>
          </cell>
          <cell r="E278" t="str">
            <v/>
          </cell>
        </row>
        <row r="279">
          <cell r="A279">
            <v>48070</v>
          </cell>
          <cell r="B279" t="str">
            <v>Nawalparasi</v>
          </cell>
          <cell r="C279" t="str">
            <v>Susta Gaunpalika</v>
          </cell>
          <cell r="D279" t="str">
            <v/>
          </cell>
          <cell r="E279" t="str">
            <v/>
          </cell>
        </row>
        <row r="280">
          <cell r="A280">
            <v>51001</v>
          </cell>
          <cell r="B280" t="str">
            <v>Arghakhanchi</v>
          </cell>
          <cell r="C280" t="str">
            <v>Bhumekasthan Nagarpalika</v>
          </cell>
          <cell r="D280" t="str">
            <v/>
          </cell>
          <cell r="E280" t="str">
            <v/>
          </cell>
        </row>
        <row r="281">
          <cell r="A281">
            <v>51002</v>
          </cell>
          <cell r="B281" t="str">
            <v>Arghakhanchi</v>
          </cell>
          <cell r="C281" t="str">
            <v>Chhatradev Gaunpalika</v>
          </cell>
          <cell r="D281" t="str">
            <v/>
          </cell>
          <cell r="E281" t="str">
            <v/>
          </cell>
        </row>
        <row r="282">
          <cell r="A282">
            <v>51003</v>
          </cell>
          <cell r="B282" t="str">
            <v>Arghakhanchi</v>
          </cell>
          <cell r="C282" t="str">
            <v>Malarani Gaunpalika</v>
          </cell>
          <cell r="D282" t="str">
            <v/>
          </cell>
          <cell r="E282" t="str">
            <v/>
          </cell>
        </row>
        <row r="283">
          <cell r="A283">
            <v>51004</v>
          </cell>
          <cell r="B283" t="str">
            <v>Arghakhanchi</v>
          </cell>
          <cell r="C283" t="str">
            <v>Panini Gaunpalika</v>
          </cell>
          <cell r="D283" t="str">
            <v/>
          </cell>
          <cell r="E283" t="str">
            <v/>
          </cell>
        </row>
        <row r="284">
          <cell r="A284">
            <v>51005</v>
          </cell>
          <cell r="B284" t="str">
            <v>Arghakhanchi</v>
          </cell>
          <cell r="C284" t="str">
            <v>Sandhikharka Nagarpalika</v>
          </cell>
          <cell r="D284" t="str">
            <v/>
          </cell>
          <cell r="E284" t="str">
            <v/>
          </cell>
        </row>
        <row r="285">
          <cell r="A285">
            <v>51006</v>
          </cell>
          <cell r="B285" t="str">
            <v>Arghakhanchi</v>
          </cell>
          <cell r="C285" t="str">
            <v>Sitganga Nagarpalika</v>
          </cell>
          <cell r="D285" t="str">
            <v/>
          </cell>
          <cell r="E285" t="str">
            <v/>
          </cell>
        </row>
        <row r="286">
          <cell r="C286" t="str">
            <v/>
          </cell>
        </row>
      </sheetData>
      <sheetData sheetId="2">
        <row r="3">
          <cell r="A3" t="str">
            <v>Palika code</v>
          </cell>
          <cell r="B3" t="str">
            <v xml:space="preserve">District Name </v>
          </cell>
          <cell r="C3" t="str">
            <v xml:space="preserve">Palika Name </v>
          </cell>
          <cell r="D3" t="str">
            <v>Damge Grade 1-2 Cnt</v>
          </cell>
          <cell r="E3" t="str">
            <v>Damge Grade 3-5 Cnt</v>
          </cell>
          <cell r="F3" t="str">
            <v>Damage Total Cnt</v>
          </cell>
          <cell r="G3" t="str">
            <v>Type 1 Name</v>
          </cell>
          <cell r="H3" t="str">
            <v>Type 1 Palika Pct</v>
          </cell>
          <cell r="I3" t="str">
            <v>Type 1 District Pct</v>
          </cell>
          <cell r="J3" t="str">
            <v>Type 2 Name</v>
          </cell>
          <cell r="K3" t="str">
            <v>Type 2 Palika Pct</v>
          </cell>
          <cell r="L3" t="str">
            <v>Type 2 District Pct</v>
          </cell>
          <cell r="M3" t="str">
            <v>Type 3 Name</v>
          </cell>
          <cell r="N3" t="str">
            <v>Type 3 Palika Pct</v>
          </cell>
          <cell r="O3" t="str">
            <v>Type 3 District Pct</v>
          </cell>
          <cell r="P3" t="str">
            <v>Type 4 Name</v>
          </cell>
          <cell r="Q3" t="str">
            <v>Type 4 Palika Pct</v>
          </cell>
          <cell r="R3" t="str">
            <v>Type 4 District Pct</v>
          </cell>
          <cell r="S3" t="str">
            <v>Type 5 Name</v>
          </cell>
          <cell r="T3" t="str">
            <v>Type 5 Palika Pct</v>
          </cell>
          <cell r="U3" t="str">
            <v>Type 5 District Pct</v>
          </cell>
          <cell r="V3" t="str">
            <v>Type 6 Name</v>
          </cell>
          <cell r="W3" t="str">
            <v>Type 6 Palika Pct</v>
          </cell>
          <cell r="X3" t="str">
            <v>Type 6 District Pct</v>
          </cell>
          <cell r="Y3" t="str">
            <v>Type 7 Name</v>
          </cell>
          <cell r="Z3" t="str">
            <v>Type 7 Palika Pct</v>
          </cell>
          <cell r="AA3" t="str">
            <v>Type 7 District Pct</v>
          </cell>
          <cell r="AB3" t="str">
            <v>Type 8 Name</v>
          </cell>
          <cell r="AC3" t="str">
            <v>Type 8 Palika Pct</v>
          </cell>
          <cell r="AD3" t="str">
            <v>Type 8 District Pct</v>
          </cell>
          <cell r="AE3" t="str">
            <v>Type 9 Name</v>
          </cell>
          <cell r="AF3" t="str">
            <v>Type 9 Palika Pct</v>
          </cell>
          <cell r="AG3" t="str">
            <v>Type 9 District Pct</v>
          </cell>
          <cell r="AH3" t="str">
            <v>Type 10 Name</v>
          </cell>
          <cell r="AI3" t="str">
            <v>Type 10 Palika Pct</v>
          </cell>
          <cell r="AJ3" t="str">
            <v>Type 10 District Pct</v>
          </cell>
          <cell r="AK3" t="str">
            <v>Type 11 Name</v>
          </cell>
          <cell r="AL3" t="str">
            <v>Type 11 Palika Pct</v>
          </cell>
          <cell r="AM3" t="str">
            <v>Type 11 District Pct</v>
          </cell>
          <cell r="AN3" t="str">
            <v>Type 12 Name</v>
          </cell>
          <cell r="AO3" t="str">
            <v>Type 12 Palika Pct</v>
          </cell>
          <cell r="AP3" t="str">
            <v>Type 12 District Pct</v>
          </cell>
          <cell r="AQ3" t="str">
            <v>Type 13 Name</v>
          </cell>
          <cell r="AR3" t="str">
            <v>Type 13 Palika Pct</v>
          </cell>
          <cell r="AS3" t="str">
            <v>Type 13 District Pct</v>
          </cell>
          <cell r="AT3" t="str">
            <v>Total Eligible HHs (Reconstruction)</v>
          </cell>
          <cell r="AU3" t="str">
            <v>PA Agreement Cnt (Reconstruction)</v>
          </cell>
          <cell r="AV3" t="str">
            <v>1st Tranche Cnt (Reconstruction)</v>
          </cell>
          <cell r="AW3" t="str">
            <v>2nd Tranche Cnt (Reconstruction)</v>
          </cell>
          <cell r="AX3" t="str">
            <v>3rd Tranche Cnt (Reconstruction)</v>
          </cell>
          <cell r="AY3" t="str">
            <v>Houses Under Construction Cnt</v>
          </cell>
          <cell r="AZ3" t="str">
            <v>Houses Completed Cnt</v>
          </cell>
          <cell r="BA3" t="str">
            <v>Total Eligible HHs (Retrofit)</v>
          </cell>
          <cell r="BB3" t="str">
            <v>PA Agreement Cnt (Retrofit)</v>
          </cell>
          <cell r="BC3" t="str">
            <v>1st Tranche Cnt (Retrofit)</v>
          </cell>
          <cell r="BD3" t="str">
            <v>2nd Tranche Cnt (Retrofit)</v>
          </cell>
          <cell r="BE3" t="str">
            <v>Grievances Registered Cnt</v>
          </cell>
          <cell r="BF3" t="str">
            <v>Grievances Addressed Cnt</v>
          </cell>
          <cell r="BG3" t="str">
            <v>Non Comp Registered Cnt</v>
          </cell>
          <cell r="BH3" t="str">
            <v>Non Comp Addressed Cnt</v>
          </cell>
          <cell r="BI3" t="str">
            <v>Active POs List</v>
          </cell>
          <cell r="BJ3" t="str">
            <v>Phased Out POs List</v>
          </cell>
          <cell r="BK3" t="str">
            <v>Stone Required Quantity</v>
          </cell>
          <cell r="BL3" t="str">
            <v>Stone Availability</v>
          </cell>
          <cell r="BM3" t="str">
            <v>Stone Cost</v>
          </cell>
          <cell r="BN3" t="str">
            <v>Aggregate Required Quantity</v>
          </cell>
          <cell r="BO3" t="str">
            <v>Aggregate Availability</v>
          </cell>
          <cell r="BP3" t="str">
            <v>Aggregate Cost</v>
          </cell>
          <cell r="BQ3" t="str">
            <v>Sand Required Quantity</v>
          </cell>
          <cell r="BR3" t="str">
            <v>Sand Availability</v>
          </cell>
          <cell r="BS3" t="str">
            <v>Sand Cost</v>
          </cell>
          <cell r="BT3" t="str">
            <v>Timber Required Quantity</v>
          </cell>
          <cell r="BU3" t="str">
            <v>Timber Availability</v>
          </cell>
          <cell r="BV3" t="str">
            <v>Timber Cost</v>
          </cell>
          <cell r="BW3" t="str">
            <v>Cement PPC Required Quantity</v>
          </cell>
          <cell r="BX3" t="str">
            <v>Cement PPC Availability</v>
          </cell>
          <cell r="BY3" t="str">
            <v>Cement PPC Cost</v>
          </cell>
          <cell r="BZ3" t="str">
            <v>Cement OPC Required Quantity</v>
          </cell>
          <cell r="CA3" t="str">
            <v>Cement OPC Availability</v>
          </cell>
          <cell r="CB3" t="str">
            <v>Cement OPC Cost</v>
          </cell>
          <cell r="CC3" t="str">
            <v>Rebar Required Quantity</v>
          </cell>
          <cell r="CD3" t="str">
            <v>Rebar Availability</v>
          </cell>
          <cell r="CE3" t="str">
            <v>Rebar Cost</v>
          </cell>
          <cell r="CF3" t="str">
            <v>Tin Required Quantity</v>
          </cell>
          <cell r="CG3" t="str">
            <v>Tin Availability</v>
          </cell>
          <cell r="CH3" t="str">
            <v>Tin Cost</v>
          </cell>
          <cell r="CI3" t="str">
            <v>Bricks Required Quantity</v>
          </cell>
          <cell r="CJ3" t="str">
            <v>Bricks Availability</v>
          </cell>
          <cell r="CK3" t="str">
            <v>Bricks Cost</v>
          </cell>
          <cell r="CL3" t="str">
            <v>Types of Workers 1</v>
          </cell>
          <cell r="CM3" t="str">
            <v>Avg Wage Skill</v>
          </cell>
          <cell r="CN3" t="str">
            <v>Types of Workers 2</v>
          </cell>
          <cell r="CO3" t="str">
            <v>Avg Wage Labor</v>
          </cell>
          <cell r="CP3" t="str">
            <v>Schools Damaged Cnt</v>
          </cell>
          <cell r="CQ3" t="str">
            <v>School completed Cnt</v>
          </cell>
          <cell r="CR3" t="str">
            <v>Schools Under Const Cnt</v>
          </cell>
          <cell r="CS3" t="str">
            <v>Health Posts Damaged Cnt</v>
          </cell>
          <cell r="CT3" t="str">
            <v>Health Posts completed Cnt</v>
          </cell>
          <cell r="CU3" t="str">
            <v>Health Posts Under Const Cnt</v>
          </cell>
          <cell r="CV3" t="str">
            <v>Contact 1 Title</v>
          </cell>
          <cell r="CW3" t="str">
            <v>Contact 1 Name</v>
          </cell>
          <cell r="CX3" t="str">
            <v>Contact 1 Role</v>
          </cell>
          <cell r="CY3" t="str">
            <v>Contact 1 Contact</v>
          </cell>
          <cell r="CZ3" t="str">
            <v>Contact 2 Title</v>
          </cell>
          <cell r="DA3" t="str">
            <v>Contact 2 Name</v>
          </cell>
          <cell r="DB3" t="str">
            <v>Contact 2 Role</v>
          </cell>
          <cell r="DC3" t="str">
            <v>Contact 2 Contact</v>
          </cell>
          <cell r="DD3" t="str">
            <v>Contact 3 Title</v>
          </cell>
          <cell r="DE3" t="str">
            <v>Contact 3 Name</v>
          </cell>
          <cell r="DF3" t="str">
            <v>Contact 3 Role</v>
          </cell>
          <cell r="DG3" t="str">
            <v>Contact 3 Contact</v>
          </cell>
          <cell r="DH3" t="str">
            <v>Contact 4 Title</v>
          </cell>
          <cell r="DI3" t="str">
            <v>Contact 4 Name</v>
          </cell>
          <cell r="DJ3" t="str">
            <v>Contact 4 Role</v>
          </cell>
          <cell r="DK3" t="str">
            <v>Contact 4 Contact</v>
          </cell>
          <cell r="DL3" t="str">
            <v>Contact 5 Title</v>
          </cell>
          <cell r="DM3" t="str">
            <v>Contact 5 Name</v>
          </cell>
          <cell r="DN3" t="str">
            <v>Contact 5 Role</v>
          </cell>
          <cell r="DO3" t="str">
            <v>Contact 5 Contact</v>
          </cell>
          <cell r="DP3" t="str">
            <v>Contact 6 Title</v>
          </cell>
          <cell r="DQ3" t="str">
            <v>Contact 6 Name</v>
          </cell>
          <cell r="DR3" t="str">
            <v>Contact 6 Role</v>
          </cell>
          <cell r="DS3" t="str">
            <v>Contact 6 Contact</v>
          </cell>
          <cell r="DT3" t="str">
            <v>Landless Cnt</v>
          </cell>
          <cell r="DU3" t="str">
            <v>No Land Cert Cnt</v>
          </cell>
          <cell r="DV3" t="str">
            <v>Right of Way Cnt</v>
          </cell>
          <cell r="DW3" t="str">
            <v>HEP Cnt</v>
          </cell>
          <cell r="DX3" t="str">
            <v>Small Plots Cnt</v>
          </cell>
          <cell r="DY3" t="str">
            <v>Guthi Land Cnt</v>
          </cell>
          <cell r="DZ3" t="str">
            <v>Engineers Available Cnt</v>
          </cell>
          <cell r="EA3" t="str">
            <v>Engineers Req'd Cnt</v>
          </cell>
          <cell r="EB3" t="str">
            <v>Sub-Engineers Available Cnt</v>
          </cell>
          <cell r="EC3" t="str">
            <v>Sub-Engineers Req'd Cnt</v>
          </cell>
          <cell r="ED3" t="str">
            <v>Ass't Sub-Engineers Available Cnt</v>
          </cell>
          <cell r="EE3" t="str">
            <v>Ass't Sub-Engineers Req'd Cnt</v>
          </cell>
          <cell r="EF3" t="str">
            <v>Masons 7 Day Available Cnt</v>
          </cell>
          <cell r="EG3" t="str">
            <v>Masons 7 Day Req'd Cnt</v>
          </cell>
          <cell r="EH3" t="str">
            <v>Masons 50 Day Available Cnt</v>
          </cell>
          <cell r="EI3" t="str">
            <v>Masons 50 Day Req'd Cnt</v>
          </cell>
          <cell r="EJ3" t="str">
            <v>Short Training Req'd Cnt</v>
          </cell>
          <cell r="EK3" t="str">
            <v>Short Training Reached Cnt</v>
          </cell>
          <cell r="EL3" t="str">
            <v>Short Training Remaining Cnt</v>
          </cell>
          <cell r="EM3" t="str">
            <v>Voc Training Req'd Cnt</v>
          </cell>
          <cell r="EN3" t="str">
            <v>Voc Training Reached Cnt</v>
          </cell>
          <cell r="EO3" t="str">
            <v>Voc Training Remaining Cnt</v>
          </cell>
          <cell r="EP3" t="str">
            <v>Number</v>
          </cell>
          <cell r="EQ3" t="str">
            <v>IN Contact 1 Title</v>
          </cell>
          <cell r="ER3" t="str">
            <v>IN Contact 1 Name</v>
          </cell>
          <cell r="ES3" t="str">
            <v>IN Contact 1 Role</v>
          </cell>
          <cell r="ET3" t="str">
            <v>IN Contact 1 Number</v>
          </cell>
          <cell r="EU3" t="str">
            <v>IN Contact 2 Title</v>
          </cell>
          <cell r="EV3" t="str">
            <v>IN Contact 2 Name</v>
          </cell>
          <cell r="EW3" t="str">
            <v>IN Contact 2 Role</v>
          </cell>
          <cell r="EX3" t="str">
            <v>IN Contact 2 Number</v>
          </cell>
          <cell r="EY3" t="str">
            <v>IN Contact 3 Title</v>
          </cell>
          <cell r="EZ3" t="str">
            <v>IN Contact 3 Name</v>
          </cell>
          <cell r="FA3" t="str">
            <v>IN Contact 3 Role</v>
          </cell>
          <cell r="FB3" t="str">
            <v>IN Contact 3 Number</v>
          </cell>
        </row>
        <row r="4">
          <cell r="A4">
            <v>7001</v>
          </cell>
          <cell r="B4" t="str">
            <v>Dhankuta</v>
          </cell>
          <cell r="C4" t="str">
            <v>Chaubise Gaunpalika</v>
          </cell>
          <cell r="D4">
            <v>153</v>
          </cell>
          <cell r="E4">
            <v>361</v>
          </cell>
          <cell r="F4">
            <v>514</v>
          </cell>
          <cell r="G4" t="str">
            <v>Stone and cement mortar masonry</v>
          </cell>
          <cell r="H4">
            <v>2.34</v>
          </cell>
          <cell r="I4">
            <v>0.44</v>
          </cell>
          <cell r="J4" t="str">
            <v>Stone and Mud Mortar Masonary</v>
          </cell>
          <cell r="K4">
            <v>95.71</v>
          </cell>
          <cell r="L4">
            <v>90.09</v>
          </cell>
          <cell r="M4" t="str">
            <v>Brick and Cement Mortar Masonary</v>
          </cell>
          <cell r="N4">
            <v>0.78</v>
          </cell>
          <cell r="O4">
            <v>0.39</v>
          </cell>
          <cell r="P4" t="str">
            <v>Brick and mud mortar Masonry</v>
          </cell>
          <cell r="Q4">
            <v>0</v>
          </cell>
          <cell r="R4">
            <v>0.77</v>
          </cell>
          <cell r="S4" t="str">
            <v>Reinforced cement concrete (RCC) frame</v>
          </cell>
          <cell r="T4">
            <v>0</v>
          </cell>
          <cell r="U4">
            <v>0.28999999999999998</v>
          </cell>
          <cell r="V4" t="str">
            <v>Hybrid structure</v>
          </cell>
          <cell r="W4">
            <v>0</v>
          </cell>
          <cell r="X4">
            <v>0</v>
          </cell>
          <cell r="Y4" t="str">
            <v>Timber frame structure</v>
          </cell>
          <cell r="Z4">
            <v>0.39</v>
          </cell>
          <cell r="AA4">
            <v>0.24</v>
          </cell>
          <cell r="AB4" t="str">
            <v>Hollow concrete block Masonry</v>
          </cell>
          <cell r="AC4">
            <v>0</v>
          </cell>
          <cell r="AD4">
            <v>0</v>
          </cell>
          <cell r="AE4" t="str">
            <v>Dry stone Masonry</v>
          </cell>
          <cell r="AF4">
            <v>0.19</v>
          </cell>
          <cell r="AG4">
            <v>0.04</v>
          </cell>
          <cell r="AH4" t="str">
            <v>Adobe structures</v>
          </cell>
          <cell r="AI4">
            <v>0</v>
          </cell>
          <cell r="AJ4">
            <v>7.52</v>
          </cell>
          <cell r="AK4" t="str">
            <v>Bamboo</v>
          </cell>
          <cell r="AL4">
            <v>0.57999999999999996</v>
          </cell>
          <cell r="AM4">
            <v>0.22</v>
          </cell>
          <cell r="AN4" t="str">
            <v>Compressed stabilized earth block (SCEB) Masonry</v>
          </cell>
          <cell r="AO4">
            <v>0</v>
          </cell>
          <cell r="AP4">
            <v>0</v>
          </cell>
          <cell r="AQ4" t="str">
            <v>Light steel frame structures</v>
          </cell>
          <cell r="AR4">
            <v>0</v>
          </cell>
          <cell r="AS4">
            <v>0</v>
          </cell>
          <cell r="AT4">
            <v>340</v>
          </cell>
          <cell r="AU4">
            <v>151</v>
          </cell>
          <cell r="AV4">
            <v>160</v>
          </cell>
          <cell r="AW4">
            <v>116</v>
          </cell>
          <cell r="AX4">
            <v>0</v>
          </cell>
          <cell r="AY4" t="str">
            <v/>
          </cell>
          <cell r="AZ4" t="str">
            <v/>
          </cell>
          <cell r="BA4">
            <v>5</v>
          </cell>
          <cell r="BB4" t="str">
            <v/>
          </cell>
          <cell r="BC4" t="str">
            <v/>
          </cell>
          <cell r="BD4" t="str">
            <v/>
          </cell>
          <cell r="BE4" t="str">
            <v/>
          </cell>
          <cell r="BF4" t="str">
            <v/>
          </cell>
          <cell r="BG4" t="str">
            <v/>
          </cell>
          <cell r="BH4" t="str">
            <v/>
          </cell>
          <cell r="BI4" t="str">
            <v/>
          </cell>
          <cell r="BJ4" t="str">
            <v/>
          </cell>
          <cell r="BK4">
            <v>4359</v>
          </cell>
          <cell r="BL4" t="str">
            <v/>
          </cell>
          <cell r="BM4" t="str">
            <v/>
          </cell>
          <cell r="BN4">
            <v>4459</v>
          </cell>
          <cell r="BO4" t="str">
            <v/>
          </cell>
          <cell r="BP4" t="str">
            <v/>
          </cell>
          <cell r="BQ4">
            <v>465</v>
          </cell>
          <cell r="BR4" t="str">
            <v/>
          </cell>
          <cell r="BS4" t="str">
            <v/>
          </cell>
          <cell r="BT4">
            <v>536</v>
          </cell>
          <cell r="BU4" t="str">
            <v/>
          </cell>
          <cell r="BV4" t="str">
            <v/>
          </cell>
          <cell r="BW4" t="str">
            <v/>
          </cell>
          <cell r="BX4" t="str">
            <v/>
          </cell>
          <cell r="BY4" t="str">
            <v/>
          </cell>
          <cell r="BZ4">
            <v>14718</v>
          </cell>
          <cell r="CA4" t="str">
            <v/>
          </cell>
          <cell r="CB4" t="str">
            <v/>
          </cell>
          <cell r="CC4">
            <v>47187</v>
          </cell>
          <cell r="CD4" t="str">
            <v/>
          </cell>
          <cell r="CE4" t="str">
            <v/>
          </cell>
          <cell r="CF4">
            <v>601</v>
          </cell>
          <cell r="CG4" t="str">
            <v/>
          </cell>
          <cell r="CH4" t="str">
            <v/>
          </cell>
          <cell r="CI4">
            <v>34876</v>
          </cell>
          <cell r="CJ4" t="str">
            <v/>
          </cell>
          <cell r="CK4" t="str">
            <v/>
          </cell>
          <cell r="CL4" t="str">
            <v>Skilled</v>
          </cell>
          <cell r="CM4" t="str">
            <v/>
          </cell>
          <cell r="CN4" t="str">
            <v>Labor</v>
          </cell>
          <cell r="CO4" t="str">
            <v/>
          </cell>
          <cell r="CP4" t="str">
            <v/>
          </cell>
          <cell r="CQ4" t="str">
            <v/>
          </cell>
          <cell r="CR4" t="str">
            <v/>
          </cell>
          <cell r="CS4" t="str">
            <v/>
          </cell>
          <cell r="CT4" t="str">
            <v/>
          </cell>
          <cell r="CU4" t="str">
            <v/>
          </cell>
          <cell r="CV4" t="str">
            <v>Municipal Office</v>
          </cell>
          <cell r="CW4" t="str">
            <v/>
          </cell>
          <cell r="CX4" t="str">
            <v>Chairman</v>
          </cell>
          <cell r="CY4" t="str">
            <v/>
          </cell>
          <cell r="CZ4" t="str">
            <v>Municipal Office</v>
          </cell>
          <cell r="DA4" t="str">
            <v/>
          </cell>
          <cell r="DB4" t="str">
            <v>Deputy Chairman</v>
          </cell>
          <cell r="DC4" t="str">
            <v/>
          </cell>
          <cell r="DD4" t="str">
            <v>Municipal Office</v>
          </cell>
          <cell r="DE4" t="str">
            <v/>
          </cell>
          <cell r="DF4" t="str">
            <v>Chief Adminstration Officer</v>
          </cell>
          <cell r="DG4" t="str">
            <v/>
          </cell>
          <cell r="DH4" t="str">
            <v>NRA/GMALI</v>
          </cell>
          <cell r="DI4" t="str">
            <v/>
          </cell>
          <cell r="DJ4" t="str">
            <v>NRA Chief-District</v>
          </cell>
          <cell r="DK4" t="str">
            <v/>
          </cell>
          <cell r="DL4" t="str">
            <v>DLPIU-Building</v>
          </cell>
          <cell r="DM4" t="str">
            <v/>
          </cell>
          <cell r="DN4" t="str">
            <v>DUDBC.DLPIU Chief</v>
          </cell>
          <cell r="DO4" t="str">
            <v/>
          </cell>
          <cell r="DP4" t="str">
            <v>Municipal Office</v>
          </cell>
          <cell r="DQ4" t="str">
            <v/>
          </cell>
          <cell r="DR4" t="str">
            <v>Focal Person</v>
          </cell>
          <cell r="DS4" t="str">
            <v/>
          </cell>
          <cell r="DT4" t="str">
            <v/>
          </cell>
          <cell r="DU4" t="str">
            <v/>
          </cell>
          <cell r="DV4" t="str">
            <v/>
          </cell>
          <cell r="DW4" t="str">
            <v/>
          </cell>
          <cell r="DX4" t="str">
            <v/>
          </cell>
          <cell r="DY4" t="str">
            <v/>
          </cell>
          <cell r="DZ4" t="str">
            <v/>
          </cell>
          <cell r="EA4" t="str">
            <v/>
          </cell>
          <cell r="EB4" t="str">
            <v/>
          </cell>
          <cell r="EC4" t="str">
            <v/>
          </cell>
          <cell r="ED4" t="str">
            <v/>
          </cell>
          <cell r="EE4" t="str">
            <v/>
          </cell>
          <cell r="EF4" t="str">
            <v/>
          </cell>
          <cell r="EG4" t="str">
            <v/>
          </cell>
          <cell r="EH4" t="str">
            <v/>
          </cell>
          <cell r="EI4" t="str">
            <v/>
          </cell>
          <cell r="EJ4">
            <v>0</v>
          </cell>
          <cell r="EK4">
            <v>0</v>
          </cell>
          <cell r="EL4">
            <v>0</v>
          </cell>
          <cell r="EM4">
            <v>0</v>
          </cell>
          <cell r="EN4">
            <v>0</v>
          </cell>
          <cell r="EO4">
            <v>0</v>
          </cell>
          <cell r="EP4" t="str">
            <v/>
          </cell>
          <cell r="EQ4" t="str">
            <v>Housing Recovery and Reconstruction Platform</v>
          </cell>
          <cell r="ER4" t="str">
            <v/>
          </cell>
          <cell r="ES4" t="str">
            <v>District Coordinator</v>
          </cell>
          <cell r="ET4" t="str">
            <v/>
          </cell>
          <cell r="EU4" t="str">
            <v>Housing Recovery and Reconstruction Platform</v>
          </cell>
          <cell r="EV4" t="str">
            <v/>
          </cell>
          <cell r="EW4" t="str">
            <v>DIstrict Information Management Officer</v>
          </cell>
          <cell r="EX4" t="str">
            <v/>
          </cell>
          <cell r="EY4" t="str">
            <v>Housing Recovery and Reconstruction Platform</v>
          </cell>
          <cell r="EZ4" t="str">
            <v/>
          </cell>
          <cell r="FA4" t="str">
            <v>District Technical Officer</v>
          </cell>
          <cell r="FB4" t="str">
            <v/>
          </cell>
        </row>
        <row r="5">
          <cell r="A5">
            <v>7002</v>
          </cell>
          <cell r="B5" t="str">
            <v>Dhankuta</v>
          </cell>
          <cell r="C5" t="str">
            <v>Chhathar Jorpati Gaunpalika</v>
          </cell>
          <cell r="D5">
            <v>249</v>
          </cell>
          <cell r="E5">
            <v>424</v>
          </cell>
          <cell r="F5">
            <v>673</v>
          </cell>
          <cell r="G5" t="str">
            <v>Stone and cement mortar masonry</v>
          </cell>
          <cell r="H5">
            <v>0.15</v>
          </cell>
          <cell r="I5">
            <v>0.44</v>
          </cell>
          <cell r="J5" t="str">
            <v>Stone and Mud Mortar Masonary</v>
          </cell>
          <cell r="K5">
            <v>75.040000000000006</v>
          </cell>
          <cell r="L5">
            <v>90.09</v>
          </cell>
          <cell r="M5" t="str">
            <v>Brick and Cement Mortar Masonary</v>
          </cell>
          <cell r="N5">
            <v>0</v>
          </cell>
          <cell r="O5">
            <v>0.39</v>
          </cell>
          <cell r="P5" t="str">
            <v>Brick and mud mortar Masonry</v>
          </cell>
          <cell r="Q5">
            <v>0.3</v>
          </cell>
          <cell r="R5">
            <v>0.77</v>
          </cell>
          <cell r="S5" t="str">
            <v>Reinforced cement concrete (RCC) frame</v>
          </cell>
          <cell r="T5">
            <v>0.74</v>
          </cell>
          <cell r="U5">
            <v>0.28999999999999998</v>
          </cell>
          <cell r="V5" t="str">
            <v>Hybrid structure</v>
          </cell>
          <cell r="W5">
            <v>0</v>
          </cell>
          <cell r="X5">
            <v>0</v>
          </cell>
          <cell r="Y5" t="str">
            <v>Timber frame structure</v>
          </cell>
          <cell r="Z5">
            <v>0.15</v>
          </cell>
          <cell r="AA5">
            <v>0.24</v>
          </cell>
          <cell r="AB5" t="str">
            <v>Hollow concrete block Masonry</v>
          </cell>
          <cell r="AC5">
            <v>0</v>
          </cell>
          <cell r="AD5">
            <v>0</v>
          </cell>
          <cell r="AE5" t="str">
            <v>Dry stone Masonry</v>
          </cell>
          <cell r="AF5">
            <v>0</v>
          </cell>
          <cell r="AG5">
            <v>0.04</v>
          </cell>
          <cell r="AH5" t="str">
            <v>Adobe structures</v>
          </cell>
          <cell r="AI5">
            <v>23.63</v>
          </cell>
          <cell r="AJ5">
            <v>7.52</v>
          </cell>
          <cell r="AK5" t="str">
            <v>Bamboo</v>
          </cell>
          <cell r="AL5">
            <v>0</v>
          </cell>
          <cell r="AM5">
            <v>0.22</v>
          </cell>
          <cell r="AN5" t="str">
            <v>Compressed stabilized earth block (SCEB) Masonry</v>
          </cell>
          <cell r="AO5">
            <v>0</v>
          </cell>
          <cell r="AP5">
            <v>0</v>
          </cell>
          <cell r="AQ5" t="str">
            <v>Light steel frame structures</v>
          </cell>
          <cell r="AR5">
            <v>0</v>
          </cell>
          <cell r="AS5">
            <v>0</v>
          </cell>
          <cell r="AT5">
            <v>382</v>
          </cell>
          <cell r="AU5">
            <v>160</v>
          </cell>
          <cell r="AV5">
            <v>151</v>
          </cell>
          <cell r="AW5">
            <v>50</v>
          </cell>
          <cell r="AX5">
            <v>0</v>
          </cell>
          <cell r="AY5" t="str">
            <v/>
          </cell>
          <cell r="AZ5" t="str">
            <v/>
          </cell>
          <cell r="BA5">
            <v>55</v>
          </cell>
          <cell r="BB5" t="str">
            <v/>
          </cell>
          <cell r="BC5" t="str">
            <v/>
          </cell>
          <cell r="BD5" t="str">
            <v/>
          </cell>
          <cell r="BE5" t="str">
            <v/>
          </cell>
          <cell r="BF5" t="str">
            <v/>
          </cell>
          <cell r="BG5" t="str">
            <v/>
          </cell>
          <cell r="BH5" t="str">
            <v/>
          </cell>
          <cell r="BI5" t="str">
            <v/>
          </cell>
          <cell r="BJ5" t="str">
            <v/>
          </cell>
          <cell r="BK5">
            <v>4811</v>
          </cell>
          <cell r="BL5" t="str">
            <v/>
          </cell>
          <cell r="BM5" t="str">
            <v/>
          </cell>
          <cell r="BN5">
            <v>4548</v>
          </cell>
          <cell r="BO5" t="str">
            <v/>
          </cell>
          <cell r="BP5" t="str">
            <v/>
          </cell>
          <cell r="BQ5">
            <v>511</v>
          </cell>
          <cell r="BR5" t="str">
            <v/>
          </cell>
          <cell r="BS5" t="str">
            <v/>
          </cell>
          <cell r="BT5">
            <v>578</v>
          </cell>
          <cell r="BU5" t="str">
            <v/>
          </cell>
          <cell r="BV5" t="str">
            <v/>
          </cell>
          <cell r="BW5" t="str">
            <v/>
          </cell>
          <cell r="BX5" t="str">
            <v/>
          </cell>
          <cell r="BY5" t="str">
            <v/>
          </cell>
          <cell r="BZ5">
            <v>15567</v>
          </cell>
          <cell r="CA5" t="str">
            <v/>
          </cell>
          <cell r="CB5" t="str">
            <v/>
          </cell>
          <cell r="CC5">
            <v>53319</v>
          </cell>
          <cell r="CD5" t="str">
            <v/>
          </cell>
          <cell r="CE5" t="str">
            <v/>
          </cell>
          <cell r="CF5">
            <v>638</v>
          </cell>
          <cell r="CG5" t="str">
            <v/>
          </cell>
          <cell r="CH5" t="str">
            <v/>
          </cell>
          <cell r="CI5">
            <v>142542</v>
          </cell>
          <cell r="CJ5" t="str">
            <v/>
          </cell>
          <cell r="CK5" t="str">
            <v/>
          </cell>
          <cell r="CL5" t="str">
            <v>Skilled</v>
          </cell>
          <cell r="CM5" t="str">
            <v/>
          </cell>
          <cell r="CN5" t="str">
            <v>Labor</v>
          </cell>
          <cell r="CO5" t="str">
            <v/>
          </cell>
          <cell r="CP5" t="str">
            <v/>
          </cell>
          <cell r="CQ5" t="str">
            <v/>
          </cell>
          <cell r="CR5" t="str">
            <v/>
          </cell>
          <cell r="CS5" t="str">
            <v/>
          </cell>
          <cell r="CT5" t="str">
            <v/>
          </cell>
          <cell r="CU5" t="str">
            <v/>
          </cell>
          <cell r="CV5" t="str">
            <v>Municipal Office</v>
          </cell>
          <cell r="CW5" t="str">
            <v/>
          </cell>
          <cell r="CX5" t="str">
            <v>Chairman</v>
          </cell>
          <cell r="CY5" t="str">
            <v/>
          </cell>
          <cell r="CZ5" t="str">
            <v>Municipal Office</v>
          </cell>
          <cell r="DA5" t="str">
            <v/>
          </cell>
          <cell r="DB5" t="str">
            <v>Deputy Chairman</v>
          </cell>
          <cell r="DC5" t="str">
            <v/>
          </cell>
          <cell r="DD5" t="str">
            <v>Municipal Office</v>
          </cell>
          <cell r="DE5" t="str">
            <v/>
          </cell>
          <cell r="DF5" t="str">
            <v>Chief Adminstration Officer</v>
          </cell>
          <cell r="DG5" t="str">
            <v/>
          </cell>
          <cell r="DH5" t="str">
            <v>NRA/GMALI</v>
          </cell>
          <cell r="DI5" t="str">
            <v/>
          </cell>
          <cell r="DJ5" t="str">
            <v>NRA Chief-District</v>
          </cell>
          <cell r="DK5" t="str">
            <v/>
          </cell>
          <cell r="DL5" t="str">
            <v>DLPIU-Building</v>
          </cell>
          <cell r="DM5" t="str">
            <v/>
          </cell>
          <cell r="DN5" t="str">
            <v>DUDBC.DLPIU Chief</v>
          </cell>
          <cell r="DO5" t="str">
            <v/>
          </cell>
          <cell r="DP5" t="str">
            <v>Municipal Office</v>
          </cell>
          <cell r="DQ5" t="str">
            <v/>
          </cell>
          <cell r="DR5" t="str">
            <v>Focal Person</v>
          </cell>
          <cell r="DS5" t="str">
            <v/>
          </cell>
          <cell r="DT5" t="str">
            <v/>
          </cell>
          <cell r="DU5" t="str">
            <v/>
          </cell>
          <cell r="DV5" t="str">
            <v/>
          </cell>
          <cell r="DW5" t="str">
            <v/>
          </cell>
          <cell r="DX5" t="str">
            <v/>
          </cell>
          <cell r="DY5" t="str">
            <v/>
          </cell>
          <cell r="DZ5" t="str">
            <v/>
          </cell>
          <cell r="EA5" t="str">
            <v/>
          </cell>
          <cell r="EB5" t="str">
            <v/>
          </cell>
          <cell r="EC5" t="str">
            <v/>
          </cell>
          <cell r="ED5" t="str">
            <v/>
          </cell>
          <cell r="EE5" t="str">
            <v/>
          </cell>
          <cell r="EF5" t="str">
            <v/>
          </cell>
          <cell r="EG5" t="str">
            <v/>
          </cell>
          <cell r="EH5" t="str">
            <v/>
          </cell>
          <cell r="EI5" t="str">
            <v/>
          </cell>
          <cell r="EJ5">
            <v>0</v>
          </cell>
          <cell r="EK5">
            <v>0</v>
          </cell>
          <cell r="EL5">
            <v>0</v>
          </cell>
          <cell r="EM5">
            <v>0</v>
          </cell>
          <cell r="EN5">
            <v>0</v>
          </cell>
          <cell r="EO5">
            <v>0</v>
          </cell>
          <cell r="EP5" t="str">
            <v/>
          </cell>
          <cell r="EQ5" t="str">
            <v>Housing Recovery and Reconstruction Platform</v>
          </cell>
          <cell r="ER5" t="str">
            <v/>
          </cell>
          <cell r="ES5" t="str">
            <v>District Coordinator</v>
          </cell>
          <cell r="ET5" t="str">
            <v/>
          </cell>
          <cell r="EU5" t="str">
            <v>Housing Recovery and Reconstruction Platform</v>
          </cell>
          <cell r="EV5" t="str">
            <v/>
          </cell>
          <cell r="EW5" t="str">
            <v>DIstrict Information Management Officer</v>
          </cell>
          <cell r="EX5" t="str">
            <v/>
          </cell>
          <cell r="EY5" t="str">
            <v>Housing Recovery and Reconstruction Platform</v>
          </cell>
          <cell r="EZ5" t="str">
            <v/>
          </cell>
          <cell r="FA5" t="str">
            <v>District Technical Officer</v>
          </cell>
          <cell r="FB5" t="str">
            <v/>
          </cell>
        </row>
        <row r="6">
          <cell r="A6">
            <v>7003</v>
          </cell>
          <cell r="B6" t="str">
            <v>Dhankuta</v>
          </cell>
          <cell r="C6" t="str">
            <v>Dhankuta Nagarpalika</v>
          </cell>
          <cell r="D6">
            <v>193</v>
          </cell>
          <cell r="E6">
            <v>404</v>
          </cell>
          <cell r="F6">
            <v>597</v>
          </cell>
          <cell r="G6" t="str">
            <v>Stone and cement mortar masonry</v>
          </cell>
          <cell r="H6">
            <v>0.17</v>
          </cell>
          <cell r="I6">
            <v>0.44</v>
          </cell>
          <cell r="J6" t="str">
            <v>Stone and Mud Mortar Masonary</v>
          </cell>
          <cell r="K6">
            <v>89.93</v>
          </cell>
          <cell r="L6">
            <v>90.09</v>
          </cell>
          <cell r="M6" t="str">
            <v>Brick and Cement Mortar Masonary</v>
          </cell>
          <cell r="N6">
            <v>1.51</v>
          </cell>
          <cell r="O6">
            <v>0.39</v>
          </cell>
          <cell r="P6" t="str">
            <v>Brick and mud mortar Masonry</v>
          </cell>
          <cell r="Q6">
            <v>4.3600000000000003</v>
          </cell>
          <cell r="R6">
            <v>0.77</v>
          </cell>
          <cell r="S6" t="str">
            <v>Reinforced cement concrete (RCC) frame</v>
          </cell>
          <cell r="T6">
            <v>0.34</v>
          </cell>
          <cell r="U6">
            <v>0.28999999999999998</v>
          </cell>
          <cell r="V6" t="str">
            <v>Hybrid structure</v>
          </cell>
          <cell r="W6">
            <v>0</v>
          </cell>
          <cell r="X6">
            <v>0</v>
          </cell>
          <cell r="Y6" t="str">
            <v>Timber frame structure</v>
          </cell>
          <cell r="Z6">
            <v>0.34</v>
          </cell>
          <cell r="AA6">
            <v>0.24</v>
          </cell>
          <cell r="AB6" t="str">
            <v>Hollow concrete block Masonry</v>
          </cell>
          <cell r="AC6">
            <v>0</v>
          </cell>
          <cell r="AD6">
            <v>0</v>
          </cell>
          <cell r="AE6" t="str">
            <v>Dry stone Masonry</v>
          </cell>
          <cell r="AF6">
            <v>0</v>
          </cell>
          <cell r="AG6">
            <v>0.04</v>
          </cell>
          <cell r="AH6" t="str">
            <v>Adobe structures</v>
          </cell>
          <cell r="AI6">
            <v>3.19</v>
          </cell>
          <cell r="AJ6">
            <v>7.52</v>
          </cell>
          <cell r="AK6" t="str">
            <v>Bamboo</v>
          </cell>
          <cell r="AL6">
            <v>0.17</v>
          </cell>
          <cell r="AM6">
            <v>0.22</v>
          </cell>
          <cell r="AN6" t="str">
            <v>Compressed stabilized earth block (SCEB) Masonry</v>
          </cell>
          <cell r="AO6">
            <v>0</v>
          </cell>
          <cell r="AP6">
            <v>0</v>
          </cell>
          <cell r="AQ6" t="str">
            <v>Light steel frame structures</v>
          </cell>
          <cell r="AR6">
            <v>0</v>
          </cell>
          <cell r="AS6">
            <v>0</v>
          </cell>
          <cell r="AT6">
            <v>427</v>
          </cell>
          <cell r="AU6">
            <v>119</v>
          </cell>
          <cell r="AV6">
            <v>119</v>
          </cell>
          <cell r="AW6">
            <v>95</v>
          </cell>
          <cell r="AX6">
            <v>0</v>
          </cell>
          <cell r="AY6" t="str">
            <v/>
          </cell>
          <cell r="AZ6" t="str">
            <v/>
          </cell>
          <cell r="BA6">
            <v>28</v>
          </cell>
          <cell r="BB6" t="str">
            <v/>
          </cell>
          <cell r="BC6" t="str">
            <v/>
          </cell>
          <cell r="BD6" t="str">
            <v/>
          </cell>
          <cell r="BE6" t="str">
            <v/>
          </cell>
          <cell r="BF6" t="str">
            <v/>
          </cell>
          <cell r="BG6" t="str">
            <v/>
          </cell>
          <cell r="BH6" t="str">
            <v/>
          </cell>
          <cell r="BI6" t="str">
            <v/>
          </cell>
          <cell r="BJ6" t="str">
            <v/>
          </cell>
          <cell r="BK6">
            <v>3321</v>
          </cell>
          <cell r="BL6" t="str">
            <v/>
          </cell>
          <cell r="BM6" t="str">
            <v/>
          </cell>
          <cell r="BN6">
            <v>3401</v>
          </cell>
          <cell r="BO6" t="str">
            <v/>
          </cell>
          <cell r="BP6" t="str">
            <v/>
          </cell>
          <cell r="BQ6">
            <v>355</v>
          </cell>
          <cell r="BR6" t="str">
            <v/>
          </cell>
          <cell r="BS6" t="str">
            <v/>
          </cell>
          <cell r="BT6">
            <v>409</v>
          </cell>
          <cell r="BU6" t="str">
            <v/>
          </cell>
          <cell r="BV6" t="str">
            <v/>
          </cell>
          <cell r="BW6" t="str">
            <v/>
          </cell>
          <cell r="BX6" t="str">
            <v/>
          </cell>
          <cell r="BY6" t="str">
            <v/>
          </cell>
          <cell r="BZ6">
            <v>11347</v>
          </cell>
          <cell r="CA6" t="str">
            <v/>
          </cell>
          <cell r="CB6" t="str">
            <v/>
          </cell>
          <cell r="CC6">
            <v>36112</v>
          </cell>
          <cell r="CD6" t="str">
            <v/>
          </cell>
          <cell r="CE6" t="str">
            <v/>
          </cell>
          <cell r="CF6">
            <v>464</v>
          </cell>
          <cell r="CG6" t="str">
            <v/>
          </cell>
          <cell r="CH6" t="str">
            <v/>
          </cell>
          <cell r="CI6">
            <v>45297</v>
          </cell>
          <cell r="CJ6" t="str">
            <v/>
          </cell>
          <cell r="CK6" t="str">
            <v/>
          </cell>
          <cell r="CL6" t="str">
            <v>Skilled</v>
          </cell>
          <cell r="CM6" t="str">
            <v/>
          </cell>
          <cell r="CN6" t="str">
            <v>Labor</v>
          </cell>
          <cell r="CO6" t="str">
            <v/>
          </cell>
          <cell r="CP6" t="str">
            <v/>
          </cell>
          <cell r="CQ6" t="str">
            <v/>
          </cell>
          <cell r="CR6" t="str">
            <v/>
          </cell>
          <cell r="CS6" t="str">
            <v/>
          </cell>
          <cell r="CT6" t="str">
            <v/>
          </cell>
          <cell r="CU6" t="str">
            <v/>
          </cell>
          <cell r="CV6" t="str">
            <v>Municipal Office</v>
          </cell>
          <cell r="CW6" t="str">
            <v/>
          </cell>
          <cell r="CX6" t="str">
            <v>Mayor</v>
          </cell>
          <cell r="CY6" t="str">
            <v/>
          </cell>
          <cell r="CZ6" t="str">
            <v>Municipal Office</v>
          </cell>
          <cell r="DA6" t="str">
            <v/>
          </cell>
          <cell r="DB6" t="str">
            <v>Deputy Mayor</v>
          </cell>
          <cell r="DC6" t="str">
            <v/>
          </cell>
          <cell r="DD6" t="str">
            <v>Municipal Office</v>
          </cell>
          <cell r="DE6" t="str">
            <v/>
          </cell>
          <cell r="DF6" t="str">
            <v>Chief Adminstration Officer</v>
          </cell>
          <cell r="DG6" t="str">
            <v/>
          </cell>
          <cell r="DH6" t="str">
            <v>NRA/GMALI</v>
          </cell>
          <cell r="DI6" t="str">
            <v/>
          </cell>
          <cell r="DJ6" t="str">
            <v>NRA Chief-District</v>
          </cell>
          <cell r="DK6" t="str">
            <v/>
          </cell>
          <cell r="DL6" t="str">
            <v>DLPIU-Building</v>
          </cell>
          <cell r="DM6" t="str">
            <v/>
          </cell>
          <cell r="DN6" t="str">
            <v>DUDBC.DLPIU Chief</v>
          </cell>
          <cell r="DO6" t="str">
            <v/>
          </cell>
          <cell r="DP6" t="str">
            <v>Municipal Office</v>
          </cell>
          <cell r="DQ6" t="str">
            <v/>
          </cell>
          <cell r="DR6" t="str">
            <v>Focal Person</v>
          </cell>
          <cell r="DS6" t="str">
            <v/>
          </cell>
          <cell r="DT6" t="str">
            <v/>
          </cell>
          <cell r="DU6" t="str">
            <v/>
          </cell>
          <cell r="DV6" t="str">
            <v/>
          </cell>
          <cell r="DW6" t="str">
            <v/>
          </cell>
          <cell r="DX6" t="str">
            <v/>
          </cell>
          <cell r="DY6" t="str">
            <v/>
          </cell>
          <cell r="DZ6" t="str">
            <v/>
          </cell>
          <cell r="EA6" t="str">
            <v/>
          </cell>
          <cell r="EB6" t="str">
            <v/>
          </cell>
          <cell r="EC6" t="str">
            <v/>
          </cell>
          <cell r="ED6" t="str">
            <v/>
          </cell>
          <cell r="EE6" t="str">
            <v/>
          </cell>
          <cell r="EF6" t="str">
            <v/>
          </cell>
          <cell r="EG6" t="str">
            <v/>
          </cell>
          <cell r="EH6" t="str">
            <v/>
          </cell>
          <cell r="EI6" t="str">
            <v/>
          </cell>
          <cell r="EJ6">
            <v>0</v>
          </cell>
          <cell r="EK6">
            <v>0</v>
          </cell>
          <cell r="EL6">
            <v>0</v>
          </cell>
          <cell r="EM6">
            <v>0</v>
          </cell>
          <cell r="EN6">
            <v>0</v>
          </cell>
          <cell r="EO6">
            <v>0</v>
          </cell>
          <cell r="EP6" t="str">
            <v/>
          </cell>
          <cell r="EQ6" t="str">
            <v>Housing Recovery and Reconstruction Platform</v>
          </cell>
          <cell r="ER6" t="str">
            <v/>
          </cell>
          <cell r="ES6" t="str">
            <v>District Coordinator</v>
          </cell>
          <cell r="ET6" t="str">
            <v/>
          </cell>
          <cell r="EU6" t="str">
            <v>Housing Recovery and Reconstruction Platform</v>
          </cell>
          <cell r="EV6" t="str">
            <v/>
          </cell>
          <cell r="EW6" t="str">
            <v>DIstrict Information Management Officer</v>
          </cell>
          <cell r="EX6" t="str">
            <v/>
          </cell>
          <cell r="EY6" t="str">
            <v>Housing Recovery and Reconstruction Platform</v>
          </cell>
          <cell r="EZ6" t="str">
            <v/>
          </cell>
          <cell r="FA6" t="str">
            <v>District Technical Officer</v>
          </cell>
          <cell r="FB6" t="str">
            <v/>
          </cell>
        </row>
        <row r="7">
          <cell r="A7">
            <v>7004</v>
          </cell>
          <cell r="B7" t="str">
            <v>Dhankuta</v>
          </cell>
          <cell r="C7" t="str">
            <v>Khalsa Chhintang Shahidbhumi Gaunpalika</v>
          </cell>
          <cell r="D7">
            <v>87</v>
          </cell>
          <cell r="E7">
            <v>179</v>
          </cell>
          <cell r="F7">
            <v>266</v>
          </cell>
          <cell r="G7" t="str">
            <v>Stone and cement mortar masonry</v>
          </cell>
          <cell r="H7">
            <v>0.38</v>
          </cell>
          <cell r="I7">
            <v>0.44</v>
          </cell>
          <cell r="J7" t="str">
            <v>Stone and Mud Mortar Masonary</v>
          </cell>
          <cell r="K7">
            <v>99.25</v>
          </cell>
          <cell r="L7">
            <v>90.09</v>
          </cell>
          <cell r="M7" t="str">
            <v>Brick and Cement Mortar Masonary</v>
          </cell>
          <cell r="N7">
            <v>0</v>
          </cell>
          <cell r="O7">
            <v>0.39</v>
          </cell>
          <cell r="P7" t="str">
            <v>Brick and mud mortar Masonry</v>
          </cell>
          <cell r="Q7">
            <v>0</v>
          </cell>
          <cell r="R7">
            <v>0.77</v>
          </cell>
          <cell r="S7" t="str">
            <v>Reinforced cement concrete (RCC) frame</v>
          </cell>
          <cell r="T7">
            <v>0.38</v>
          </cell>
          <cell r="U7">
            <v>0.28999999999999998</v>
          </cell>
          <cell r="V7" t="str">
            <v>Hybrid structure</v>
          </cell>
          <cell r="W7">
            <v>0</v>
          </cell>
          <cell r="X7">
            <v>0</v>
          </cell>
          <cell r="Y7" t="str">
            <v>Timber frame structure</v>
          </cell>
          <cell r="Z7">
            <v>0</v>
          </cell>
          <cell r="AA7">
            <v>0.24</v>
          </cell>
          <cell r="AB7" t="str">
            <v>Hollow concrete block Masonry</v>
          </cell>
          <cell r="AC7">
            <v>0</v>
          </cell>
          <cell r="AD7">
            <v>0</v>
          </cell>
          <cell r="AE7" t="str">
            <v>Dry stone Masonry</v>
          </cell>
          <cell r="AF7">
            <v>0</v>
          </cell>
          <cell r="AG7">
            <v>0.04</v>
          </cell>
          <cell r="AH7" t="str">
            <v>Adobe structures</v>
          </cell>
          <cell r="AI7">
            <v>0</v>
          </cell>
          <cell r="AJ7">
            <v>7.52</v>
          </cell>
          <cell r="AK7" t="str">
            <v>Bamboo</v>
          </cell>
          <cell r="AL7">
            <v>0</v>
          </cell>
          <cell r="AM7">
            <v>0.22</v>
          </cell>
          <cell r="AN7" t="str">
            <v>Compressed stabilized earth block (SCEB) Masonry</v>
          </cell>
          <cell r="AO7">
            <v>0</v>
          </cell>
          <cell r="AP7">
            <v>0</v>
          </cell>
          <cell r="AQ7" t="str">
            <v>Light steel frame structures</v>
          </cell>
          <cell r="AR7">
            <v>0</v>
          </cell>
          <cell r="AS7">
            <v>0</v>
          </cell>
          <cell r="AT7">
            <v>176</v>
          </cell>
          <cell r="AU7">
            <v>50</v>
          </cell>
          <cell r="AV7">
            <v>50</v>
          </cell>
          <cell r="AW7">
            <v>30</v>
          </cell>
          <cell r="AX7">
            <v>0</v>
          </cell>
          <cell r="AY7" t="str">
            <v/>
          </cell>
          <cell r="AZ7" t="str">
            <v/>
          </cell>
          <cell r="BA7">
            <v>3</v>
          </cell>
          <cell r="BB7" t="str">
            <v/>
          </cell>
          <cell r="BC7" t="str">
            <v/>
          </cell>
          <cell r="BD7" t="str">
            <v/>
          </cell>
          <cell r="BE7" t="str">
            <v/>
          </cell>
          <cell r="BF7" t="str">
            <v/>
          </cell>
          <cell r="BG7" t="str">
            <v/>
          </cell>
          <cell r="BH7" t="str">
            <v/>
          </cell>
          <cell r="BI7" t="str">
            <v/>
          </cell>
          <cell r="BJ7" t="str">
            <v/>
          </cell>
          <cell r="BK7">
            <v>1412</v>
          </cell>
          <cell r="BL7" t="str">
            <v/>
          </cell>
          <cell r="BM7" t="str">
            <v/>
          </cell>
          <cell r="BN7">
            <v>1486</v>
          </cell>
          <cell r="BO7" t="str">
            <v/>
          </cell>
          <cell r="BP7" t="str">
            <v/>
          </cell>
          <cell r="BQ7">
            <v>151</v>
          </cell>
          <cell r="BR7" t="str">
            <v/>
          </cell>
          <cell r="BS7" t="str">
            <v/>
          </cell>
          <cell r="BT7">
            <v>176</v>
          </cell>
          <cell r="BU7" t="str">
            <v/>
          </cell>
          <cell r="BV7" t="str">
            <v/>
          </cell>
          <cell r="BW7" t="str">
            <v/>
          </cell>
          <cell r="BX7" t="str">
            <v/>
          </cell>
          <cell r="BY7" t="str">
            <v/>
          </cell>
          <cell r="BZ7">
            <v>4896</v>
          </cell>
          <cell r="CA7" t="str">
            <v/>
          </cell>
          <cell r="CB7" t="str">
            <v/>
          </cell>
          <cell r="CC7">
            <v>15223</v>
          </cell>
          <cell r="CD7" t="str">
            <v/>
          </cell>
          <cell r="CE7" t="str">
            <v/>
          </cell>
          <cell r="CF7">
            <v>200</v>
          </cell>
          <cell r="CG7" t="str">
            <v/>
          </cell>
          <cell r="CH7" t="str">
            <v/>
          </cell>
          <cell r="CI7">
            <v>7810</v>
          </cell>
          <cell r="CJ7" t="str">
            <v/>
          </cell>
          <cell r="CK7" t="str">
            <v/>
          </cell>
          <cell r="CL7" t="str">
            <v>Skilled</v>
          </cell>
          <cell r="CM7" t="str">
            <v/>
          </cell>
          <cell r="CN7" t="str">
            <v>Labor</v>
          </cell>
          <cell r="CO7" t="str">
            <v/>
          </cell>
          <cell r="CP7" t="str">
            <v/>
          </cell>
          <cell r="CQ7" t="str">
            <v/>
          </cell>
          <cell r="CR7" t="str">
            <v/>
          </cell>
          <cell r="CS7" t="str">
            <v/>
          </cell>
          <cell r="CT7" t="str">
            <v/>
          </cell>
          <cell r="CU7" t="str">
            <v/>
          </cell>
          <cell r="CV7" t="str">
            <v>Municipal Office</v>
          </cell>
          <cell r="CW7" t="str">
            <v/>
          </cell>
          <cell r="CX7" t="str">
            <v>Chairman</v>
          </cell>
          <cell r="CY7" t="str">
            <v/>
          </cell>
          <cell r="CZ7" t="str">
            <v>Municipal Office</v>
          </cell>
          <cell r="DA7" t="str">
            <v/>
          </cell>
          <cell r="DB7" t="str">
            <v>Deputy Chairman</v>
          </cell>
          <cell r="DC7" t="str">
            <v/>
          </cell>
          <cell r="DD7" t="str">
            <v>Municipal Office</v>
          </cell>
          <cell r="DE7" t="str">
            <v/>
          </cell>
          <cell r="DF7" t="str">
            <v>Chief Adminstration Officer</v>
          </cell>
          <cell r="DG7" t="str">
            <v/>
          </cell>
          <cell r="DH7" t="str">
            <v>NRA/GMALI</v>
          </cell>
          <cell r="DI7" t="str">
            <v/>
          </cell>
          <cell r="DJ7" t="str">
            <v>NRA Chief-District</v>
          </cell>
          <cell r="DK7" t="str">
            <v/>
          </cell>
          <cell r="DL7" t="str">
            <v>DLPIU-Building</v>
          </cell>
          <cell r="DM7" t="str">
            <v/>
          </cell>
          <cell r="DN7" t="str">
            <v>DUDBC.DLPIU Chief</v>
          </cell>
          <cell r="DO7" t="str">
            <v/>
          </cell>
          <cell r="DP7" t="str">
            <v>Municipal Office</v>
          </cell>
          <cell r="DQ7" t="str">
            <v/>
          </cell>
          <cell r="DR7" t="str">
            <v>Focal Person</v>
          </cell>
          <cell r="DS7" t="str">
            <v/>
          </cell>
          <cell r="DT7" t="str">
            <v/>
          </cell>
          <cell r="DU7" t="str">
            <v/>
          </cell>
          <cell r="DV7" t="str">
            <v/>
          </cell>
          <cell r="DW7" t="str">
            <v/>
          </cell>
          <cell r="DX7" t="str">
            <v/>
          </cell>
          <cell r="DY7" t="str">
            <v/>
          </cell>
          <cell r="DZ7" t="str">
            <v/>
          </cell>
          <cell r="EA7" t="str">
            <v/>
          </cell>
          <cell r="EB7" t="str">
            <v/>
          </cell>
          <cell r="EC7" t="str">
            <v/>
          </cell>
          <cell r="ED7" t="str">
            <v/>
          </cell>
          <cell r="EE7" t="str">
            <v/>
          </cell>
          <cell r="EF7" t="str">
            <v/>
          </cell>
          <cell r="EG7" t="str">
            <v/>
          </cell>
          <cell r="EH7" t="str">
            <v/>
          </cell>
          <cell r="EI7" t="str">
            <v/>
          </cell>
          <cell r="EJ7">
            <v>0</v>
          </cell>
          <cell r="EK7">
            <v>0</v>
          </cell>
          <cell r="EL7">
            <v>0</v>
          </cell>
          <cell r="EM7">
            <v>0</v>
          </cell>
          <cell r="EN7">
            <v>0</v>
          </cell>
          <cell r="EO7">
            <v>0</v>
          </cell>
          <cell r="EP7" t="str">
            <v/>
          </cell>
          <cell r="EQ7" t="str">
            <v>Housing Recovery and Reconstruction Platform</v>
          </cell>
          <cell r="ER7" t="str">
            <v/>
          </cell>
          <cell r="ES7" t="str">
            <v>District Coordinator</v>
          </cell>
          <cell r="ET7" t="str">
            <v/>
          </cell>
          <cell r="EU7" t="str">
            <v>Housing Recovery and Reconstruction Platform</v>
          </cell>
          <cell r="EV7" t="str">
            <v/>
          </cell>
          <cell r="EW7" t="str">
            <v>DIstrict Information Management Officer</v>
          </cell>
          <cell r="EX7" t="str">
            <v/>
          </cell>
          <cell r="EY7" t="str">
            <v>Housing Recovery and Reconstruction Platform</v>
          </cell>
          <cell r="EZ7" t="str">
            <v/>
          </cell>
          <cell r="FA7" t="str">
            <v>District Technical Officer</v>
          </cell>
          <cell r="FB7" t="str">
            <v/>
          </cell>
        </row>
        <row r="8">
          <cell r="A8">
            <v>7005</v>
          </cell>
          <cell r="B8" t="str">
            <v>Dhankuta</v>
          </cell>
          <cell r="C8" t="str">
            <v>Mahalaxmi Nagarpalika</v>
          </cell>
          <cell r="D8">
            <v>450</v>
          </cell>
          <cell r="E8">
            <v>1093</v>
          </cell>
          <cell r="F8">
            <v>1543</v>
          </cell>
          <cell r="G8" t="str">
            <v>Stone and cement mortar masonry</v>
          </cell>
          <cell r="H8">
            <v>0.19</v>
          </cell>
          <cell r="I8">
            <v>0.44</v>
          </cell>
          <cell r="J8" t="str">
            <v>Stone and Mud Mortar Masonary</v>
          </cell>
          <cell r="K8">
            <v>89.24</v>
          </cell>
          <cell r="L8">
            <v>90.09</v>
          </cell>
          <cell r="M8" t="str">
            <v>Brick and Cement Mortar Masonary</v>
          </cell>
          <cell r="N8">
            <v>0.06</v>
          </cell>
          <cell r="O8">
            <v>0.39</v>
          </cell>
          <cell r="P8" t="str">
            <v>Brick and mud mortar Masonry</v>
          </cell>
          <cell r="Q8">
            <v>0.39</v>
          </cell>
          <cell r="R8">
            <v>0.77</v>
          </cell>
          <cell r="S8" t="str">
            <v>Reinforced cement concrete (RCC) frame</v>
          </cell>
          <cell r="T8">
            <v>0.19</v>
          </cell>
          <cell r="U8">
            <v>0.28999999999999998</v>
          </cell>
          <cell r="V8" t="str">
            <v>Hybrid structure</v>
          </cell>
          <cell r="W8">
            <v>0</v>
          </cell>
          <cell r="X8">
            <v>0</v>
          </cell>
          <cell r="Y8" t="str">
            <v>Timber frame structure</v>
          </cell>
          <cell r="Z8">
            <v>0.13</v>
          </cell>
          <cell r="AA8">
            <v>0.24</v>
          </cell>
          <cell r="AB8" t="str">
            <v>Hollow concrete block Masonry</v>
          </cell>
          <cell r="AC8">
            <v>0</v>
          </cell>
          <cell r="AD8">
            <v>0</v>
          </cell>
          <cell r="AE8" t="str">
            <v>Dry stone Masonry</v>
          </cell>
          <cell r="AF8">
            <v>0.06</v>
          </cell>
          <cell r="AG8">
            <v>0.04</v>
          </cell>
          <cell r="AH8" t="str">
            <v>Adobe structures</v>
          </cell>
          <cell r="AI8">
            <v>9.5299999999999994</v>
          </cell>
          <cell r="AJ8">
            <v>7.52</v>
          </cell>
          <cell r="AK8" t="str">
            <v>Bamboo</v>
          </cell>
          <cell r="AL8">
            <v>0.19</v>
          </cell>
          <cell r="AM8">
            <v>0.22</v>
          </cell>
          <cell r="AN8" t="str">
            <v>Compressed stabilized earth block (SCEB) Masonry</v>
          </cell>
          <cell r="AO8">
            <v>0</v>
          </cell>
          <cell r="AP8">
            <v>0</v>
          </cell>
          <cell r="AQ8" t="str">
            <v>Light steel frame structures</v>
          </cell>
          <cell r="AR8">
            <v>0</v>
          </cell>
          <cell r="AS8">
            <v>0</v>
          </cell>
          <cell r="AT8">
            <v>1035</v>
          </cell>
          <cell r="AU8">
            <v>497</v>
          </cell>
          <cell r="AV8">
            <v>497</v>
          </cell>
          <cell r="AW8">
            <v>343</v>
          </cell>
          <cell r="AX8">
            <v>0</v>
          </cell>
          <cell r="AY8" t="str">
            <v/>
          </cell>
          <cell r="AZ8" t="str">
            <v/>
          </cell>
          <cell r="BA8">
            <v>36</v>
          </cell>
          <cell r="BB8" t="str">
            <v/>
          </cell>
          <cell r="BC8" t="str">
            <v/>
          </cell>
          <cell r="BD8" t="str">
            <v/>
          </cell>
          <cell r="BE8" t="str">
            <v/>
          </cell>
          <cell r="BF8" t="str">
            <v/>
          </cell>
          <cell r="BG8" t="str">
            <v/>
          </cell>
          <cell r="BH8" t="str">
            <v/>
          </cell>
          <cell r="BI8" t="str">
            <v/>
          </cell>
          <cell r="BJ8" t="str">
            <v/>
          </cell>
          <cell r="BK8">
            <v>14143</v>
          </cell>
          <cell r="BL8" t="str">
            <v/>
          </cell>
          <cell r="BM8" t="str">
            <v/>
          </cell>
          <cell r="BN8">
            <v>14751</v>
          </cell>
          <cell r="BO8" t="str">
            <v/>
          </cell>
          <cell r="BP8" t="str">
            <v/>
          </cell>
          <cell r="BQ8">
            <v>1512</v>
          </cell>
          <cell r="BR8" t="str">
            <v/>
          </cell>
          <cell r="BS8" t="str">
            <v/>
          </cell>
          <cell r="BT8">
            <v>1752</v>
          </cell>
          <cell r="BU8" t="str">
            <v/>
          </cell>
          <cell r="BV8" t="str">
            <v/>
          </cell>
          <cell r="BW8" t="str">
            <v/>
          </cell>
          <cell r="BX8" t="str">
            <v/>
          </cell>
          <cell r="BY8" t="str">
            <v/>
          </cell>
          <cell r="BZ8">
            <v>48582</v>
          </cell>
          <cell r="CA8" t="str">
            <v/>
          </cell>
          <cell r="CB8" t="str">
            <v/>
          </cell>
          <cell r="CC8">
            <v>152601</v>
          </cell>
          <cell r="CD8" t="str">
            <v/>
          </cell>
          <cell r="CE8" t="str">
            <v/>
          </cell>
          <cell r="CF8">
            <v>1984</v>
          </cell>
          <cell r="CG8" t="str">
            <v/>
          </cell>
          <cell r="CH8" t="str">
            <v/>
          </cell>
          <cell r="CI8">
            <v>82672</v>
          </cell>
          <cell r="CJ8" t="str">
            <v/>
          </cell>
          <cell r="CK8" t="str">
            <v/>
          </cell>
          <cell r="CL8" t="str">
            <v>Skilled</v>
          </cell>
          <cell r="CM8" t="str">
            <v/>
          </cell>
          <cell r="CN8" t="str">
            <v>Labor</v>
          </cell>
          <cell r="CO8" t="str">
            <v/>
          </cell>
          <cell r="CP8" t="str">
            <v/>
          </cell>
          <cell r="CQ8" t="str">
            <v/>
          </cell>
          <cell r="CR8" t="str">
            <v/>
          </cell>
          <cell r="CS8" t="str">
            <v/>
          </cell>
          <cell r="CT8" t="str">
            <v/>
          </cell>
          <cell r="CU8" t="str">
            <v/>
          </cell>
          <cell r="CV8" t="str">
            <v>Municipal Office</v>
          </cell>
          <cell r="CW8" t="str">
            <v/>
          </cell>
          <cell r="CX8" t="str">
            <v>Mayor</v>
          </cell>
          <cell r="CY8" t="str">
            <v/>
          </cell>
          <cell r="CZ8" t="str">
            <v>Municipal Office</v>
          </cell>
          <cell r="DA8" t="str">
            <v/>
          </cell>
          <cell r="DB8" t="str">
            <v>Deputy Mayor</v>
          </cell>
          <cell r="DC8" t="str">
            <v/>
          </cell>
          <cell r="DD8" t="str">
            <v>Municipal Office</v>
          </cell>
          <cell r="DE8" t="str">
            <v/>
          </cell>
          <cell r="DF8" t="str">
            <v>Chief Adminstration Officer</v>
          </cell>
          <cell r="DG8" t="str">
            <v/>
          </cell>
          <cell r="DH8" t="str">
            <v>NRA/GMALI</v>
          </cell>
          <cell r="DI8" t="str">
            <v/>
          </cell>
          <cell r="DJ8" t="str">
            <v>NRA Chief-District</v>
          </cell>
          <cell r="DK8" t="str">
            <v/>
          </cell>
          <cell r="DL8" t="str">
            <v>DLPIU-Building</v>
          </cell>
          <cell r="DM8" t="str">
            <v/>
          </cell>
          <cell r="DN8" t="str">
            <v>DUDBC.DLPIU Chief</v>
          </cell>
          <cell r="DO8" t="str">
            <v/>
          </cell>
          <cell r="DP8" t="str">
            <v>Municipal Office</v>
          </cell>
          <cell r="DQ8" t="str">
            <v/>
          </cell>
          <cell r="DR8" t="str">
            <v>Focal Person</v>
          </cell>
          <cell r="DS8" t="str">
            <v/>
          </cell>
          <cell r="DT8" t="str">
            <v/>
          </cell>
          <cell r="DU8" t="str">
            <v/>
          </cell>
          <cell r="DV8" t="str">
            <v/>
          </cell>
          <cell r="DW8" t="str">
            <v/>
          </cell>
          <cell r="DX8" t="str">
            <v/>
          </cell>
          <cell r="DY8" t="str">
            <v/>
          </cell>
          <cell r="DZ8" t="str">
            <v/>
          </cell>
          <cell r="EA8" t="str">
            <v/>
          </cell>
          <cell r="EB8" t="str">
            <v/>
          </cell>
          <cell r="EC8" t="str">
            <v/>
          </cell>
          <cell r="ED8" t="str">
            <v/>
          </cell>
          <cell r="EE8" t="str">
            <v/>
          </cell>
          <cell r="EF8" t="str">
            <v/>
          </cell>
          <cell r="EG8" t="str">
            <v/>
          </cell>
          <cell r="EH8" t="str">
            <v/>
          </cell>
          <cell r="EI8" t="str">
            <v/>
          </cell>
          <cell r="EJ8">
            <v>0</v>
          </cell>
          <cell r="EK8">
            <v>0</v>
          </cell>
          <cell r="EL8">
            <v>0</v>
          </cell>
          <cell r="EM8">
            <v>0</v>
          </cell>
          <cell r="EN8">
            <v>0</v>
          </cell>
          <cell r="EO8">
            <v>0</v>
          </cell>
          <cell r="EP8" t="str">
            <v/>
          </cell>
          <cell r="EQ8" t="str">
            <v>Housing Recovery and Reconstruction Platform</v>
          </cell>
          <cell r="ER8" t="str">
            <v/>
          </cell>
          <cell r="ES8" t="str">
            <v>District Coordinator</v>
          </cell>
          <cell r="ET8" t="str">
            <v/>
          </cell>
          <cell r="EU8" t="str">
            <v>Housing Recovery and Reconstruction Platform</v>
          </cell>
          <cell r="EV8" t="str">
            <v/>
          </cell>
          <cell r="EW8" t="str">
            <v>DIstrict Information Management Officer</v>
          </cell>
          <cell r="EX8" t="str">
            <v/>
          </cell>
          <cell r="EY8" t="str">
            <v>Housing Recovery and Reconstruction Platform</v>
          </cell>
          <cell r="EZ8" t="str">
            <v/>
          </cell>
          <cell r="FA8" t="str">
            <v>District Technical Officer</v>
          </cell>
          <cell r="FB8" t="str">
            <v/>
          </cell>
        </row>
        <row r="9">
          <cell r="A9">
            <v>7006</v>
          </cell>
          <cell r="B9" t="str">
            <v>Dhankuta</v>
          </cell>
          <cell r="C9" t="str">
            <v>Pakhribas Nagarpalika</v>
          </cell>
          <cell r="D9">
            <v>390</v>
          </cell>
          <cell r="E9">
            <v>356</v>
          </cell>
          <cell r="F9">
            <v>746</v>
          </cell>
          <cell r="G9" t="str">
            <v>Stone and cement mortar masonry</v>
          </cell>
          <cell r="H9">
            <v>0.13</v>
          </cell>
          <cell r="I9">
            <v>0.44</v>
          </cell>
          <cell r="J9" t="str">
            <v>Stone and Mud Mortar Masonary</v>
          </cell>
          <cell r="K9">
            <v>96.51</v>
          </cell>
          <cell r="L9">
            <v>90.09</v>
          </cell>
          <cell r="M9" t="str">
            <v>Brick and Cement Mortar Masonary</v>
          </cell>
          <cell r="N9">
            <v>0.13</v>
          </cell>
          <cell r="O9">
            <v>0.39</v>
          </cell>
          <cell r="P9" t="str">
            <v>Brick and mud mortar Masonry</v>
          </cell>
          <cell r="Q9">
            <v>0.13</v>
          </cell>
          <cell r="R9">
            <v>0.77</v>
          </cell>
          <cell r="S9" t="str">
            <v>Reinforced cement concrete (RCC) frame</v>
          </cell>
          <cell r="T9">
            <v>0.27</v>
          </cell>
          <cell r="U9">
            <v>0.28999999999999998</v>
          </cell>
          <cell r="V9" t="str">
            <v>Hybrid structure</v>
          </cell>
          <cell r="W9">
            <v>0</v>
          </cell>
          <cell r="X9">
            <v>0</v>
          </cell>
          <cell r="Y9" t="str">
            <v>Timber frame structure</v>
          </cell>
          <cell r="Z9">
            <v>0.4</v>
          </cell>
          <cell r="AA9">
            <v>0.24</v>
          </cell>
          <cell r="AB9" t="str">
            <v>Hollow concrete block Masonry</v>
          </cell>
          <cell r="AC9">
            <v>0</v>
          </cell>
          <cell r="AD9">
            <v>0</v>
          </cell>
          <cell r="AE9" t="str">
            <v>Dry stone Masonry</v>
          </cell>
          <cell r="AF9">
            <v>0</v>
          </cell>
          <cell r="AG9">
            <v>0.04</v>
          </cell>
          <cell r="AH9" t="str">
            <v>Adobe structures</v>
          </cell>
          <cell r="AI9">
            <v>2.41</v>
          </cell>
          <cell r="AJ9">
            <v>7.52</v>
          </cell>
          <cell r="AK9" t="str">
            <v>Bamboo</v>
          </cell>
          <cell r="AL9">
            <v>0</v>
          </cell>
          <cell r="AM9">
            <v>0.22</v>
          </cell>
          <cell r="AN9" t="str">
            <v>Compressed stabilized earth block (SCEB) Masonry</v>
          </cell>
          <cell r="AO9">
            <v>0</v>
          </cell>
          <cell r="AP9">
            <v>0</v>
          </cell>
          <cell r="AQ9" t="str">
            <v>Light steel frame structures</v>
          </cell>
          <cell r="AR9">
            <v>0</v>
          </cell>
          <cell r="AS9">
            <v>0</v>
          </cell>
          <cell r="AT9">
            <v>333</v>
          </cell>
          <cell r="AU9">
            <v>112</v>
          </cell>
          <cell r="AV9">
            <v>112</v>
          </cell>
          <cell r="AW9">
            <v>59</v>
          </cell>
          <cell r="AX9">
            <v>0</v>
          </cell>
          <cell r="AY9" t="str">
            <v/>
          </cell>
          <cell r="AZ9" t="str">
            <v/>
          </cell>
          <cell r="BA9">
            <v>1</v>
          </cell>
          <cell r="BB9" t="str">
            <v/>
          </cell>
          <cell r="BC9" t="str">
            <v/>
          </cell>
          <cell r="BD9" t="str">
            <v/>
          </cell>
          <cell r="BE9" t="str">
            <v/>
          </cell>
          <cell r="BF9" t="str">
            <v/>
          </cell>
          <cell r="BG9" t="str">
            <v/>
          </cell>
          <cell r="BH9" t="str">
            <v/>
          </cell>
          <cell r="BI9" t="str">
            <v/>
          </cell>
          <cell r="BJ9" t="str">
            <v/>
          </cell>
          <cell r="BK9">
            <v>3171</v>
          </cell>
          <cell r="BL9" t="str">
            <v/>
          </cell>
          <cell r="BM9" t="str">
            <v/>
          </cell>
          <cell r="BN9">
            <v>3321</v>
          </cell>
          <cell r="BO9" t="str">
            <v/>
          </cell>
          <cell r="BP9" t="str">
            <v/>
          </cell>
          <cell r="BQ9">
            <v>339</v>
          </cell>
          <cell r="BR9" t="str">
            <v/>
          </cell>
          <cell r="BS9" t="str">
            <v/>
          </cell>
          <cell r="BT9">
            <v>394</v>
          </cell>
          <cell r="BU9" t="str">
            <v/>
          </cell>
          <cell r="BV9" t="str">
            <v/>
          </cell>
          <cell r="BW9" t="str">
            <v/>
          </cell>
          <cell r="BX9" t="str">
            <v/>
          </cell>
          <cell r="BY9" t="str">
            <v/>
          </cell>
          <cell r="BZ9">
            <v>10963</v>
          </cell>
          <cell r="CA9" t="str">
            <v/>
          </cell>
          <cell r="CB9" t="str">
            <v/>
          </cell>
          <cell r="CC9">
            <v>34229</v>
          </cell>
          <cell r="CD9" t="str">
            <v/>
          </cell>
          <cell r="CE9" t="str">
            <v/>
          </cell>
          <cell r="CF9">
            <v>448</v>
          </cell>
          <cell r="CG9" t="str">
            <v/>
          </cell>
          <cell r="CH9" t="str">
            <v/>
          </cell>
          <cell r="CI9">
            <v>21991</v>
          </cell>
          <cell r="CJ9" t="str">
            <v/>
          </cell>
          <cell r="CK9" t="str">
            <v/>
          </cell>
          <cell r="CL9" t="str">
            <v>Skilled</v>
          </cell>
          <cell r="CM9" t="str">
            <v/>
          </cell>
          <cell r="CN9" t="str">
            <v>Labor</v>
          </cell>
          <cell r="CO9" t="str">
            <v/>
          </cell>
          <cell r="CP9" t="str">
            <v/>
          </cell>
          <cell r="CQ9" t="str">
            <v/>
          </cell>
          <cell r="CR9" t="str">
            <v/>
          </cell>
          <cell r="CS9" t="str">
            <v/>
          </cell>
          <cell r="CT9" t="str">
            <v/>
          </cell>
          <cell r="CU9" t="str">
            <v/>
          </cell>
          <cell r="CV9" t="str">
            <v>Municipal Office</v>
          </cell>
          <cell r="CW9" t="str">
            <v/>
          </cell>
          <cell r="CX9" t="str">
            <v>Mayor</v>
          </cell>
          <cell r="CY9" t="str">
            <v/>
          </cell>
          <cell r="CZ9" t="str">
            <v>Municipal Office</v>
          </cell>
          <cell r="DA9" t="str">
            <v/>
          </cell>
          <cell r="DB9" t="str">
            <v>Deputy Mayor</v>
          </cell>
          <cell r="DC9" t="str">
            <v/>
          </cell>
          <cell r="DD9" t="str">
            <v>Municipal Office</v>
          </cell>
          <cell r="DE9" t="str">
            <v/>
          </cell>
          <cell r="DF9" t="str">
            <v>Chief Adminstration Officer</v>
          </cell>
          <cell r="DG9" t="str">
            <v/>
          </cell>
          <cell r="DH9" t="str">
            <v>NRA/GMALI</v>
          </cell>
          <cell r="DI9" t="str">
            <v/>
          </cell>
          <cell r="DJ9" t="str">
            <v>NRA Chief-District</v>
          </cell>
          <cell r="DK9" t="str">
            <v/>
          </cell>
          <cell r="DL9" t="str">
            <v>DLPIU-Building</v>
          </cell>
          <cell r="DM9" t="str">
            <v/>
          </cell>
          <cell r="DN9" t="str">
            <v>DUDBC.DLPIU Chief</v>
          </cell>
          <cell r="DO9" t="str">
            <v/>
          </cell>
          <cell r="DP9" t="str">
            <v>Municipal Office</v>
          </cell>
          <cell r="DQ9" t="str">
            <v/>
          </cell>
          <cell r="DR9" t="str">
            <v>Focal Person</v>
          </cell>
          <cell r="DS9" t="str">
            <v/>
          </cell>
          <cell r="DT9" t="str">
            <v/>
          </cell>
          <cell r="DU9" t="str">
            <v/>
          </cell>
          <cell r="DV9" t="str">
            <v/>
          </cell>
          <cell r="DW9" t="str">
            <v/>
          </cell>
          <cell r="DX9" t="str">
            <v/>
          </cell>
          <cell r="DY9" t="str">
            <v/>
          </cell>
          <cell r="DZ9" t="str">
            <v/>
          </cell>
          <cell r="EA9" t="str">
            <v/>
          </cell>
          <cell r="EB9" t="str">
            <v/>
          </cell>
          <cell r="EC9" t="str">
            <v/>
          </cell>
          <cell r="ED9" t="str">
            <v/>
          </cell>
          <cell r="EE9" t="str">
            <v/>
          </cell>
          <cell r="EF9" t="str">
            <v/>
          </cell>
          <cell r="EG9" t="str">
            <v/>
          </cell>
          <cell r="EH9" t="str">
            <v/>
          </cell>
          <cell r="EI9" t="str">
            <v/>
          </cell>
          <cell r="EJ9">
            <v>0</v>
          </cell>
          <cell r="EK9">
            <v>0</v>
          </cell>
          <cell r="EL9">
            <v>0</v>
          </cell>
          <cell r="EM9">
            <v>0</v>
          </cell>
          <cell r="EN9">
            <v>0</v>
          </cell>
          <cell r="EO9">
            <v>0</v>
          </cell>
          <cell r="EP9" t="str">
            <v/>
          </cell>
          <cell r="EQ9" t="str">
            <v>Housing Recovery and Reconstruction Platform</v>
          </cell>
          <cell r="ER9" t="str">
            <v/>
          </cell>
          <cell r="ES9" t="str">
            <v>District Coordinator</v>
          </cell>
          <cell r="ET9" t="str">
            <v/>
          </cell>
          <cell r="EU9" t="str">
            <v>Housing Recovery and Reconstruction Platform</v>
          </cell>
          <cell r="EV9" t="str">
            <v/>
          </cell>
          <cell r="EW9" t="str">
            <v>DIstrict Information Management Officer</v>
          </cell>
          <cell r="EX9" t="str">
            <v/>
          </cell>
          <cell r="EY9" t="str">
            <v>Housing Recovery and Reconstruction Platform</v>
          </cell>
          <cell r="EZ9" t="str">
            <v/>
          </cell>
          <cell r="FA9" t="str">
            <v>District Technical Officer</v>
          </cell>
          <cell r="FB9" t="str">
            <v/>
          </cell>
        </row>
        <row r="10">
          <cell r="A10">
            <v>7007</v>
          </cell>
          <cell r="B10" t="str">
            <v>Dhankuta</v>
          </cell>
          <cell r="C10" t="str">
            <v>Sangurigadhi Gaunpalika</v>
          </cell>
          <cell r="D10">
            <v>113</v>
          </cell>
          <cell r="E10">
            <v>109</v>
          </cell>
          <cell r="F10">
            <v>222</v>
          </cell>
          <cell r="G10" t="str">
            <v>Stone and cement mortar masonry</v>
          </cell>
          <cell r="H10">
            <v>0.45</v>
          </cell>
          <cell r="I10">
            <v>0.44</v>
          </cell>
          <cell r="J10" t="str">
            <v>Stone and Mud Mortar Masonary</v>
          </cell>
          <cell r="K10">
            <v>96.4</v>
          </cell>
          <cell r="L10">
            <v>90.09</v>
          </cell>
          <cell r="M10" t="str">
            <v>Brick and Cement Mortar Masonary</v>
          </cell>
          <cell r="N10">
            <v>1.35</v>
          </cell>
          <cell r="O10">
            <v>0.39</v>
          </cell>
          <cell r="P10" t="str">
            <v>Brick and mud mortar Masonry</v>
          </cell>
          <cell r="Q10">
            <v>0</v>
          </cell>
          <cell r="R10">
            <v>0.77</v>
          </cell>
          <cell r="S10" t="str">
            <v>Reinforced cement concrete (RCC) frame</v>
          </cell>
          <cell r="T10">
            <v>0</v>
          </cell>
          <cell r="U10">
            <v>0.28999999999999998</v>
          </cell>
          <cell r="V10" t="str">
            <v>Hybrid structure</v>
          </cell>
          <cell r="W10">
            <v>0</v>
          </cell>
          <cell r="X10">
            <v>0</v>
          </cell>
          <cell r="Y10" t="str">
            <v>Timber frame structure</v>
          </cell>
          <cell r="Z10">
            <v>0.45</v>
          </cell>
          <cell r="AA10">
            <v>0.24</v>
          </cell>
          <cell r="AB10" t="str">
            <v>Hollow concrete block Masonry</v>
          </cell>
          <cell r="AC10">
            <v>0</v>
          </cell>
          <cell r="AD10">
            <v>0</v>
          </cell>
          <cell r="AE10" t="str">
            <v>Dry stone Masonry</v>
          </cell>
          <cell r="AF10">
            <v>0</v>
          </cell>
          <cell r="AG10">
            <v>0.04</v>
          </cell>
          <cell r="AH10" t="str">
            <v>Adobe structures</v>
          </cell>
          <cell r="AI10">
            <v>0</v>
          </cell>
          <cell r="AJ10">
            <v>7.52</v>
          </cell>
          <cell r="AK10" t="str">
            <v>Bamboo</v>
          </cell>
          <cell r="AL10">
            <v>1.35</v>
          </cell>
          <cell r="AM10">
            <v>0.22</v>
          </cell>
          <cell r="AN10" t="str">
            <v>Compressed stabilized earth block (SCEB) Masonry</v>
          </cell>
          <cell r="AO10">
            <v>0</v>
          </cell>
          <cell r="AP10">
            <v>0</v>
          </cell>
          <cell r="AQ10" t="str">
            <v>Light steel frame structures</v>
          </cell>
          <cell r="AR10">
            <v>0</v>
          </cell>
          <cell r="AS10">
            <v>0</v>
          </cell>
          <cell r="AT10">
            <v>103</v>
          </cell>
          <cell r="AU10">
            <v>34</v>
          </cell>
          <cell r="AV10">
            <v>34</v>
          </cell>
          <cell r="AW10">
            <v>16</v>
          </cell>
          <cell r="AX10">
            <v>0</v>
          </cell>
          <cell r="AY10" t="str">
            <v/>
          </cell>
          <cell r="AZ10" t="str">
            <v/>
          </cell>
          <cell r="BA10">
            <v>6</v>
          </cell>
          <cell r="BB10" t="str">
            <v/>
          </cell>
          <cell r="BC10" t="str">
            <v/>
          </cell>
          <cell r="BD10" t="str">
            <v/>
          </cell>
          <cell r="BE10" t="str">
            <v/>
          </cell>
          <cell r="BF10" t="str">
            <v/>
          </cell>
          <cell r="BG10" t="str">
            <v/>
          </cell>
          <cell r="BH10" t="str">
            <v/>
          </cell>
          <cell r="BI10" t="str">
            <v/>
          </cell>
          <cell r="BJ10" t="str">
            <v/>
          </cell>
          <cell r="BK10">
            <v>1033</v>
          </cell>
          <cell r="BL10" t="str">
            <v/>
          </cell>
          <cell r="BM10" t="str">
            <v/>
          </cell>
          <cell r="BN10">
            <v>938</v>
          </cell>
          <cell r="BO10" t="str">
            <v/>
          </cell>
          <cell r="BP10" t="str">
            <v/>
          </cell>
          <cell r="BQ10">
            <v>109</v>
          </cell>
          <cell r="BR10" t="str">
            <v/>
          </cell>
          <cell r="BS10" t="str">
            <v/>
          </cell>
          <cell r="BT10">
            <v>122</v>
          </cell>
          <cell r="BU10" t="str">
            <v/>
          </cell>
          <cell r="BV10" t="str">
            <v/>
          </cell>
          <cell r="BW10" t="str">
            <v/>
          </cell>
          <cell r="BX10" t="str">
            <v/>
          </cell>
          <cell r="BY10" t="str">
            <v/>
          </cell>
          <cell r="BZ10">
            <v>3173</v>
          </cell>
          <cell r="CA10" t="str">
            <v/>
          </cell>
          <cell r="CB10" t="str">
            <v/>
          </cell>
          <cell r="CC10">
            <v>11448</v>
          </cell>
          <cell r="CD10" t="str">
            <v/>
          </cell>
          <cell r="CE10" t="str">
            <v/>
          </cell>
          <cell r="CF10">
            <v>130</v>
          </cell>
          <cell r="CG10" t="str">
            <v/>
          </cell>
          <cell r="CH10" t="str">
            <v/>
          </cell>
          <cell r="CI10">
            <v>26187</v>
          </cell>
          <cell r="CJ10" t="str">
            <v/>
          </cell>
          <cell r="CK10" t="str">
            <v/>
          </cell>
          <cell r="CL10" t="str">
            <v>Skilled</v>
          </cell>
          <cell r="CM10" t="str">
            <v/>
          </cell>
          <cell r="CN10" t="str">
            <v>Labor</v>
          </cell>
          <cell r="CO10" t="str">
            <v/>
          </cell>
          <cell r="CP10" t="str">
            <v/>
          </cell>
          <cell r="CQ10" t="str">
            <v/>
          </cell>
          <cell r="CR10" t="str">
            <v/>
          </cell>
          <cell r="CS10" t="str">
            <v/>
          </cell>
          <cell r="CT10" t="str">
            <v/>
          </cell>
          <cell r="CU10" t="str">
            <v/>
          </cell>
          <cell r="CV10" t="str">
            <v>Municipal Office</v>
          </cell>
          <cell r="CW10" t="str">
            <v/>
          </cell>
          <cell r="CX10" t="str">
            <v>Chairman</v>
          </cell>
          <cell r="CY10" t="str">
            <v/>
          </cell>
          <cell r="CZ10" t="str">
            <v>Municipal Office</v>
          </cell>
          <cell r="DA10" t="str">
            <v/>
          </cell>
          <cell r="DB10" t="str">
            <v>Deputy Chairman</v>
          </cell>
          <cell r="DC10" t="str">
            <v/>
          </cell>
          <cell r="DD10" t="str">
            <v>Municipal Office</v>
          </cell>
          <cell r="DE10" t="str">
            <v/>
          </cell>
          <cell r="DF10" t="str">
            <v>Chief Adminstration Officer</v>
          </cell>
          <cell r="DG10" t="str">
            <v/>
          </cell>
          <cell r="DH10" t="str">
            <v>NRA/GMALI</v>
          </cell>
          <cell r="DI10" t="str">
            <v/>
          </cell>
          <cell r="DJ10" t="str">
            <v>NRA Chief-District</v>
          </cell>
          <cell r="DK10" t="str">
            <v/>
          </cell>
          <cell r="DL10" t="str">
            <v>DLPIU-Building</v>
          </cell>
          <cell r="DM10" t="str">
            <v/>
          </cell>
          <cell r="DN10" t="str">
            <v>DUDBC.DLPIU Chief</v>
          </cell>
          <cell r="DO10" t="str">
            <v/>
          </cell>
          <cell r="DP10" t="str">
            <v>Municipal Office</v>
          </cell>
          <cell r="DQ10" t="str">
            <v/>
          </cell>
          <cell r="DR10" t="str">
            <v>Focal Person</v>
          </cell>
          <cell r="DS10" t="str">
            <v/>
          </cell>
          <cell r="DT10" t="str">
            <v/>
          </cell>
          <cell r="DU10" t="str">
            <v/>
          </cell>
          <cell r="DV10" t="str">
            <v/>
          </cell>
          <cell r="DW10" t="str">
            <v/>
          </cell>
          <cell r="DX10" t="str">
            <v/>
          </cell>
          <cell r="DY10" t="str">
            <v/>
          </cell>
          <cell r="DZ10" t="str">
            <v/>
          </cell>
          <cell r="EA10" t="str">
            <v/>
          </cell>
          <cell r="EB10" t="str">
            <v/>
          </cell>
          <cell r="EC10" t="str">
            <v/>
          </cell>
          <cell r="ED10" t="str">
            <v/>
          </cell>
          <cell r="EE10" t="str">
            <v/>
          </cell>
          <cell r="EF10" t="str">
            <v/>
          </cell>
          <cell r="EG10" t="str">
            <v/>
          </cell>
          <cell r="EH10" t="str">
            <v/>
          </cell>
          <cell r="EI10" t="str">
            <v/>
          </cell>
          <cell r="EJ10">
            <v>0</v>
          </cell>
          <cell r="EK10">
            <v>0</v>
          </cell>
          <cell r="EL10">
            <v>0</v>
          </cell>
          <cell r="EM10">
            <v>0</v>
          </cell>
          <cell r="EN10">
            <v>0</v>
          </cell>
          <cell r="EO10">
            <v>0</v>
          </cell>
          <cell r="EP10" t="str">
            <v/>
          </cell>
          <cell r="EQ10" t="str">
            <v>Housing Recovery and Reconstruction Platform</v>
          </cell>
          <cell r="ER10" t="str">
            <v/>
          </cell>
          <cell r="ES10" t="str">
            <v>District Coordinator</v>
          </cell>
          <cell r="ET10" t="str">
            <v/>
          </cell>
          <cell r="EU10" t="str">
            <v>Housing Recovery and Reconstruction Platform</v>
          </cell>
          <cell r="EV10" t="str">
            <v/>
          </cell>
          <cell r="EW10" t="str">
            <v>DIstrict Information Management Officer</v>
          </cell>
          <cell r="EX10" t="str">
            <v/>
          </cell>
          <cell r="EY10" t="str">
            <v>Housing Recovery and Reconstruction Platform</v>
          </cell>
          <cell r="EZ10" t="str">
            <v/>
          </cell>
          <cell r="FA10" t="str">
            <v>District Technical Officer</v>
          </cell>
          <cell r="FB10" t="str">
            <v/>
          </cell>
        </row>
        <row r="11">
          <cell r="A11">
            <v>9001</v>
          </cell>
          <cell r="B11" t="str">
            <v>Sankhuwasabha</v>
          </cell>
          <cell r="C11" t="str">
            <v>Bhotkhola Gaunpalika</v>
          </cell>
          <cell r="D11">
            <v>6</v>
          </cell>
          <cell r="E11">
            <v>40</v>
          </cell>
          <cell r="F11">
            <v>46</v>
          </cell>
          <cell r="G11" t="str">
            <v>Stone and cement mortar masonry</v>
          </cell>
          <cell r="H11">
            <v>0</v>
          </cell>
          <cell r="I11">
            <v>0.6</v>
          </cell>
          <cell r="J11" t="str">
            <v>Stone and Mud Mortar Masonary</v>
          </cell>
          <cell r="K11">
            <v>71.739999999999995</v>
          </cell>
          <cell r="L11">
            <v>77</v>
          </cell>
          <cell r="M11" t="str">
            <v>Brick and Cement Mortar Masonary</v>
          </cell>
          <cell r="N11">
            <v>0</v>
          </cell>
          <cell r="O11">
            <v>0.33</v>
          </cell>
          <cell r="P11" t="str">
            <v>Brick and mud mortar Masonry</v>
          </cell>
          <cell r="Q11">
            <v>0</v>
          </cell>
          <cell r="R11">
            <v>0.51</v>
          </cell>
          <cell r="S11" t="str">
            <v>Reinforced cement concrete (RCC) frame</v>
          </cell>
          <cell r="T11">
            <v>0</v>
          </cell>
          <cell r="U11">
            <v>0.51</v>
          </cell>
          <cell r="V11" t="str">
            <v>Hybrid structure</v>
          </cell>
          <cell r="W11">
            <v>0</v>
          </cell>
          <cell r="X11">
            <v>0</v>
          </cell>
          <cell r="Y11" t="str">
            <v>Timber frame structure</v>
          </cell>
          <cell r="Z11">
            <v>0</v>
          </cell>
          <cell r="AA11">
            <v>0.8</v>
          </cell>
          <cell r="AB11" t="str">
            <v>Hollow concrete block Masonry</v>
          </cell>
          <cell r="AC11">
            <v>0</v>
          </cell>
          <cell r="AD11">
            <v>0</v>
          </cell>
          <cell r="AE11" t="str">
            <v>Dry stone Masonry</v>
          </cell>
          <cell r="AF11">
            <v>28.26</v>
          </cell>
          <cell r="AG11">
            <v>0.28999999999999998</v>
          </cell>
          <cell r="AH11" t="str">
            <v>Adobe structures</v>
          </cell>
          <cell r="AI11">
            <v>0</v>
          </cell>
          <cell r="AJ11">
            <v>18.559999999999999</v>
          </cell>
          <cell r="AK11" t="str">
            <v>Bamboo</v>
          </cell>
          <cell r="AL11">
            <v>0</v>
          </cell>
          <cell r="AM11">
            <v>1.4</v>
          </cell>
          <cell r="AN11" t="str">
            <v>Compressed stabilized earth block (SCEB) Masonry</v>
          </cell>
          <cell r="AO11">
            <v>0</v>
          </cell>
          <cell r="AP11">
            <v>0</v>
          </cell>
          <cell r="AQ11" t="str">
            <v>Light steel frame structures</v>
          </cell>
          <cell r="AR11">
            <v>0</v>
          </cell>
          <cell r="AS11">
            <v>0</v>
          </cell>
          <cell r="AT11">
            <v>35</v>
          </cell>
          <cell r="AU11">
            <v>35</v>
          </cell>
          <cell r="AV11">
            <v>35</v>
          </cell>
          <cell r="AW11">
            <v>7</v>
          </cell>
          <cell r="AX11">
            <v>0</v>
          </cell>
          <cell r="AY11" t="str">
            <v/>
          </cell>
          <cell r="AZ11" t="str">
            <v/>
          </cell>
          <cell r="BA11">
            <v>1</v>
          </cell>
          <cell r="BB11" t="str">
            <v/>
          </cell>
          <cell r="BC11" t="str">
            <v/>
          </cell>
          <cell r="BD11" t="str">
            <v/>
          </cell>
          <cell r="BE11" t="str">
            <v/>
          </cell>
          <cell r="BF11" t="str">
            <v/>
          </cell>
          <cell r="BG11" t="str">
            <v/>
          </cell>
          <cell r="BH11" t="str">
            <v/>
          </cell>
          <cell r="BI11" t="str">
            <v/>
          </cell>
          <cell r="BJ11" t="str">
            <v/>
          </cell>
          <cell r="BK11">
            <v>980</v>
          </cell>
          <cell r="BL11" t="str">
            <v/>
          </cell>
          <cell r="BM11" t="str">
            <v/>
          </cell>
          <cell r="BN11">
            <v>1050</v>
          </cell>
          <cell r="BO11" t="str">
            <v/>
          </cell>
          <cell r="BP11" t="str">
            <v/>
          </cell>
          <cell r="BQ11">
            <v>105</v>
          </cell>
          <cell r="BR11" t="str">
            <v/>
          </cell>
          <cell r="BS11" t="str">
            <v/>
          </cell>
          <cell r="BT11">
            <v>123</v>
          </cell>
          <cell r="BU11" t="str">
            <v/>
          </cell>
          <cell r="BV11" t="str">
            <v/>
          </cell>
          <cell r="BW11" t="str">
            <v/>
          </cell>
          <cell r="BX11" t="str">
            <v/>
          </cell>
          <cell r="BY11" t="str">
            <v/>
          </cell>
          <cell r="BZ11">
            <v>3430</v>
          </cell>
          <cell r="CA11" t="str">
            <v/>
          </cell>
          <cell r="CB11" t="str">
            <v/>
          </cell>
          <cell r="CC11">
            <v>10500</v>
          </cell>
          <cell r="CD11" t="str">
            <v/>
          </cell>
          <cell r="CE11" t="str">
            <v/>
          </cell>
          <cell r="CF11">
            <v>140</v>
          </cell>
          <cell r="CG11" t="str">
            <v/>
          </cell>
          <cell r="CH11" t="str">
            <v/>
          </cell>
          <cell r="CI11">
            <v>0</v>
          </cell>
          <cell r="CJ11" t="str">
            <v/>
          </cell>
          <cell r="CK11" t="str">
            <v/>
          </cell>
          <cell r="CL11" t="str">
            <v>Skilled</v>
          </cell>
          <cell r="CM11" t="str">
            <v/>
          </cell>
          <cell r="CN11" t="str">
            <v>Labor</v>
          </cell>
          <cell r="CO11" t="str">
            <v/>
          </cell>
          <cell r="CP11" t="str">
            <v/>
          </cell>
          <cell r="CQ11" t="str">
            <v/>
          </cell>
          <cell r="CR11" t="str">
            <v/>
          </cell>
          <cell r="CS11" t="str">
            <v/>
          </cell>
          <cell r="CT11" t="str">
            <v/>
          </cell>
          <cell r="CU11" t="str">
            <v/>
          </cell>
          <cell r="CV11" t="str">
            <v>Municipal Office</v>
          </cell>
          <cell r="CW11" t="str">
            <v/>
          </cell>
          <cell r="CX11" t="str">
            <v>Chairman</v>
          </cell>
          <cell r="CY11" t="str">
            <v/>
          </cell>
          <cell r="CZ11" t="str">
            <v>Municipal Office</v>
          </cell>
          <cell r="DA11" t="str">
            <v/>
          </cell>
          <cell r="DB11" t="str">
            <v>Deputy Chairman</v>
          </cell>
          <cell r="DC11" t="str">
            <v/>
          </cell>
          <cell r="DD11" t="str">
            <v>Municipal Office</v>
          </cell>
          <cell r="DE11" t="str">
            <v/>
          </cell>
          <cell r="DF11" t="str">
            <v>Chief Adminstration Officer</v>
          </cell>
          <cell r="DG11" t="str">
            <v/>
          </cell>
          <cell r="DH11" t="str">
            <v>NRA/GMALI</v>
          </cell>
          <cell r="DI11" t="str">
            <v/>
          </cell>
          <cell r="DJ11" t="str">
            <v>NRA Chief-District</v>
          </cell>
          <cell r="DK11" t="str">
            <v/>
          </cell>
          <cell r="DL11" t="str">
            <v>DLPIU-Building</v>
          </cell>
          <cell r="DM11" t="str">
            <v/>
          </cell>
          <cell r="DN11" t="str">
            <v>DUDBC.DLPIU Chief</v>
          </cell>
          <cell r="DO11" t="str">
            <v/>
          </cell>
          <cell r="DP11" t="str">
            <v>Municipal Office</v>
          </cell>
          <cell r="DQ11" t="str">
            <v/>
          </cell>
          <cell r="DR11" t="str">
            <v>Focal Person</v>
          </cell>
          <cell r="DS11" t="str">
            <v/>
          </cell>
          <cell r="DT11" t="str">
            <v/>
          </cell>
          <cell r="DU11" t="str">
            <v/>
          </cell>
          <cell r="DV11" t="str">
            <v/>
          </cell>
          <cell r="DW11" t="str">
            <v/>
          </cell>
          <cell r="DX11" t="str">
            <v/>
          </cell>
          <cell r="DY11" t="str">
            <v/>
          </cell>
          <cell r="DZ11" t="str">
            <v/>
          </cell>
          <cell r="EA11" t="str">
            <v/>
          </cell>
          <cell r="EB11" t="str">
            <v/>
          </cell>
          <cell r="EC11" t="str">
            <v/>
          </cell>
          <cell r="ED11" t="str">
            <v/>
          </cell>
          <cell r="EE11" t="str">
            <v/>
          </cell>
          <cell r="EF11" t="str">
            <v/>
          </cell>
          <cell r="EG11" t="str">
            <v/>
          </cell>
          <cell r="EH11" t="str">
            <v/>
          </cell>
          <cell r="EI11" t="str">
            <v/>
          </cell>
          <cell r="EJ11">
            <v>0</v>
          </cell>
          <cell r="EK11">
            <v>0</v>
          </cell>
          <cell r="EL11">
            <v>0</v>
          </cell>
          <cell r="EM11">
            <v>0</v>
          </cell>
          <cell r="EN11">
            <v>0</v>
          </cell>
          <cell r="EO11">
            <v>0</v>
          </cell>
          <cell r="EP11" t="str">
            <v/>
          </cell>
          <cell r="EQ11" t="str">
            <v>Housing Recovery and Reconstruction Platform</v>
          </cell>
          <cell r="ER11" t="str">
            <v/>
          </cell>
          <cell r="ES11" t="str">
            <v>District Coordinator</v>
          </cell>
          <cell r="ET11" t="str">
            <v/>
          </cell>
          <cell r="EU11" t="str">
            <v>Housing Recovery and Reconstruction Platform</v>
          </cell>
          <cell r="EV11" t="str">
            <v/>
          </cell>
          <cell r="EW11" t="str">
            <v>DIstrict Information Management Officer</v>
          </cell>
          <cell r="EX11" t="str">
            <v/>
          </cell>
          <cell r="EY11" t="str">
            <v>Housing Recovery and Reconstruction Platform</v>
          </cell>
          <cell r="EZ11" t="str">
            <v/>
          </cell>
          <cell r="FA11" t="str">
            <v>District Technical Officer</v>
          </cell>
          <cell r="FB11" t="str">
            <v/>
          </cell>
        </row>
        <row r="12">
          <cell r="A12">
            <v>9002</v>
          </cell>
          <cell r="B12" t="str">
            <v>Sankhuwasabha</v>
          </cell>
          <cell r="C12" t="str">
            <v>Chainpur Nagarpalika</v>
          </cell>
          <cell r="D12">
            <v>15</v>
          </cell>
          <cell r="E12">
            <v>182</v>
          </cell>
          <cell r="F12">
            <v>197</v>
          </cell>
          <cell r="G12" t="str">
            <v>Stone and cement mortar masonry</v>
          </cell>
          <cell r="H12">
            <v>0</v>
          </cell>
          <cell r="I12">
            <v>0.6</v>
          </cell>
          <cell r="J12" t="str">
            <v>Stone and Mud Mortar Masonary</v>
          </cell>
          <cell r="K12">
            <v>95.94</v>
          </cell>
          <cell r="L12">
            <v>77</v>
          </cell>
          <cell r="M12" t="str">
            <v>Brick and Cement Mortar Masonary</v>
          </cell>
          <cell r="N12">
            <v>1.02</v>
          </cell>
          <cell r="O12">
            <v>0.33</v>
          </cell>
          <cell r="P12" t="str">
            <v>Brick and mud mortar Masonry</v>
          </cell>
          <cell r="Q12">
            <v>2.54</v>
          </cell>
          <cell r="R12">
            <v>0.51</v>
          </cell>
          <cell r="S12" t="str">
            <v>Reinforced cement concrete (RCC) frame</v>
          </cell>
          <cell r="T12">
            <v>0</v>
          </cell>
          <cell r="U12">
            <v>0.51</v>
          </cell>
          <cell r="V12" t="str">
            <v>Hybrid structure</v>
          </cell>
          <cell r="W12">
            <v>0</v>
          </cell>
          <cell r="X12">
            <v>0</v>
          </cell>
          <cell r="Y12" t="str">
            <v>Timber frame structure</v>
          </cell>
          <cell r="Z12">
            <v>0</v>
          </cell>
          <cell r="AA12">
            <v>0.8</v>
          </cell>
          <cell r="AB12" t="str">
            <v>Hollow concrete block Masonry</v>
          </cell>
          <cell r="AC12">
            <v>0</v>
          </cell>
          <cell r="AD12">
            <v>0</v>
          </cell>
          <cell r="AE12" t="str">
            <v>Dry stone Masonry</v>
          </cell>
          <cell r="AF12">
            <v>0</v>
          </cell>
          <cell r="AG12">
            <v>0.28999999999999998</v>
          </cell>
          <cell r="AH12" t="str">
            <v>Adobe structures</v>
          </cell>
          <cell r="AI12">
            <v>0.51</v>
          </cell>
          <cell r="AJ12">
            <v>18.559999999999999</v>
          </cell>
          <cell r="AK12" t="str">
            <v>Bamboo</v>
          </cell>
          <cell r="AL12">
            <v>0</v>
          </cell>
          <cell r="AM12">
            <v>1.4</v>
          </cell>
          <cell r="AN12" t="str">
            <v>Compressed stabilized earth block (SCEB) Masonry</v>
          </cell>
          <cell r="AO12">
            <v>0</v>
          </cell>
          <cell r="AP12">
            <v>0</v>
          </cell>
          <cell r="AQ12" t="str">
            <v>Light steel frame structures</v>
          </cell>
          <cell r="AR12">
            <v>0</v>
          </cell>
          <cell r="AS12">
            <v>0</v>
          </cell>
          <cell r="AT12">
            <v>160</v>
          </cell>
          <cell r="AU12">
            <v>51</v>
          </cell>
          <cell r="AV12">
            <v>51</v>
          </cell>
          <cell r="AW12">
            <v>23</v>
          </cell>
          <cell r="AX12">
            <v>0</v>
          </cell>
          <cell r="AY12" t="str">
            <v/>
          </cell>
          <cell r="AZ12" t="str">
            <v/>
          </cell>
          <cell r="BA12">
            <v>26</v>
          </cell>
          <cell r="BB12" t="str">
            <v/>
          </cell>
          <cell r="BC12" t="str">
            <v/>
          </cell>
          <cell r="BD12" t="str">
            <v/>
          </cell>
          <cell r="BE12" t="str">
            <v/>
          </cell>
          <cell r="BF12" t="str">
            <v/>
          </cell>
          <cell r="BG12" t="str">
            <v/>
          </cell>
          <cell r="BH12" t="str">
            <v/>
          </cell>
          <cell r="BI12" t="str">
            <v/>
          </cell>
          <cell r="BJ12" t="str">
            <v/>
          </cell>
          <cell r="BK12">
            <v>1513</v>
          </cell>
          <cell r="BL12" t="str">
            <v/>
          </cell>
          <cell r="BM12" t="str">
            <v/>
          </cell>
          <cell r="BN12">
            <v>1417</v>
          </cell>
          <cell r="BO12" t="str">
            <v/>
          </cell>
          <cell r="BP12" t="str">
            <v/>
          </cell>
          <cell r="BQ12">
            <v>161</v>
          </cell>
          <cell r="BR12" t="str">
            <v/>
          </cell>
          <cell r="BS12" t="str">
            <v/>
          </cell>
          <cell r="BT12">
            <v>182</v>
          </cell>
          <cell r="BU12" t="str">
            <v/>
          </cell>
          <cell r="BV12" t="str">
            <v/>
          </cell>
          <cell r="BW12" t="str">
            <v/>
          </cell>
          <cell r="BX12" t="str">
            <v/>
          </cell>
          <cell r="BY12" t="str">
            <v/>
          </cell>
          <cell r="BZ12">
            <v>4937</v>
          </cell>
          <cell r="CA12" t="str">
            <v/>
          </cell>
          <cell r="CB12" t="str">
            <v/>
          </cell>
          <cell r="CC12">
            <v>16897</v>
          </cell>
          <cell r="CD12" t="str">
            <v/>
          </cell>
          <cell r="CE12" t="str">
            <v/>
          </cell>
          <cell r="CF12">
            <v>203</v>
          </cell>
          <cell r="CG12" t="str">
            <v/>
          </cell>
          <cell r="CH12" t="str">
            <v/>
          </cell>
          <cell r="CI12">
            <v>58762</v>
          </cell>
          <cell r="CJ12" t="str">
            <v/>
          </cell>
          <cell r="CK12" t="str">
            <v/>
          </cell>
          <cell r="CL12" t="str">
            <v>Skilled</v>
          </cell>
          <cell r="CM12" t="str">
            <v/>
          </cell>
          <cell r="CN12" t="str">
            <v>Labor</v>
          </cell>
          <cell r="CO12" t="str">
            <v/>
          </cell>
          <cell r="CP12" t="str">
            <v/>
          </cell>
          <cell r="CQ12" t="str">
            <v/>
          </cell>
          <cell r="CR12" t="str">
            <v/>
          </cell>
          <cell r="CS12" t="str">
            <v/>
          </cell>
          <cell r="CT12" t="str">
            <v/>
          </cell>
          <cell r="CU12" t="str">
            <v/>
          </cell>
          <cell r="CV12" t="str">
            <v>Municipal Office</v>
          </cell>
          <cell r="CW12" t="str">
            <v/>
          </cell>
          <cell r="CX12" t="str">
            <v>Mayor</v>
          </cell>
          <cell r="CY12" t="str">
            <v/>
          </cell>
          <cell r="CZ12" t="str">
            <v>Municipal Office</v>
          </cell>
          <cell r="DA12" t="str">
            <v/>
          </cell>
          <cell r="DB12" t="str">
            <v>Deputy Mayor</v>
          </cell>
          <cell r="DC12" t="str">
            <v/>
          </cell>
          <cell r="DD12" t="str">
            <v>Municipal Office</v>
          </cell>
          <cell r="DE12" t="str">
            <v/>
          </cell>
          <cell r="DF12" t="str">
            <v>Chief Adminstration Officer</v>
          </cell>
          <cell r="DG12" t="str">
            <v/>
          </cell>
          <cell r="DH12" t="str">
            <v>NRA/GMALI</v>
          </cell>
          <cell r="DI12" t="str">
            <v/>
          </cell>
          <cell r="DJ12" t="str">
            <v>NRA Chief-District</v>
          </cell>
          <cell r="DK12" t="str">
            <v/>
          </cell>
          <cell r="DL12" t="str">
            <v>DLPIU-Building</v>
          </cell>
          <cell r="DM12" t="str">
            <v/>
          </cell>
          <cell r="DN12" t="str">
            <v>DUDBC.DLPIU Chief</v>
          </cell>
          <cell r="DO12" t="str">
            <v/>
          </cell>
          <cell r="DP12" t="str">
            <v>Municipal Office</v>
          </cell>
          <cell r="DQ12" t="str">
            <v/>
          </cell>
          <cell r="DR12" t="str">
            <v>Focal Person</v>
          </cell>
          <cell r="DS12" t="str">
            <v/>
          </cell>
          <cell r="DT12" t="str">
            <v/>
          </cell>
          <cell r="DU12" t="str">
            <v/>
          </cell>
          <cell r="DV12" t="str">
            <v/>
          </cell>
          <cell r="DW12" t="str">
            <v/>
          </cell>
          <cell r="DX12" t="str">
            <v/>
          </cell>
          <cell r="DY12" t="str">
            <v/>
          </cell>
          <cell r="DZ12" t="str">
            <v/>
          </cell>
          <cell r="EA12" t="str">
            <v/>
          </cell>
          <cell r="EB12" t="str">
            <v/>
          </cell>
          <cell r="EC12" t="str">
            <v/>
          </cell>
          <cell r="ED12" t="str">
            <v/>
          </cell>
          <cell r="EE12" t="str">
            <v/>
          </cell>
          <cell r="EF12" t="str">
            <v/>
          </cell>
          <cell r="EG12" t="str">
            <v/>
          </cell>
          <cell r="EH12" t="str">
            <v/>
          </cell>
          <cell r="EI12" t="str">
            <v/>
          </cell>
          <cell r="EJ12">
            <v>0</v>
          </cell>
          <cell r="EK12">
            <v>0</v>
          </cell>
          <cell r="EL12">
            <v>0</v>
          </cell>
          <cell r="EM12">
            <v>0</v>
          </cell>
          <cell r="EN12">
            <v>0</v>
          </cell>
          <cell r="EO12">
            <v>0</v>
          </cell>
          <cell r="EP12" t="str">
            <v/>
          </cell>
          <cell r="EQ12" t="str">
            <v>Housing Recovery and Reconstruction Platform</v>
          </cell>
          <cell r="ER12" t="str">
            <v/>
          </cell>
          <cell r="ES12" t="str">
            <v>District Coordinator</v>
          </cell>
          <cell r="ET12" t="str">
            <v/>
          </cell>
          <cell r="EU12" t="str">
            <v>Housing Recovery and Reconstruction Platform</v>
          </cell>
          <cell r="EV12" t="str">
            <v/>
          </cell>
          <cell r="EW12" t="str">
            <v>DIstrict Information Management Officer</v>
          </cell>
          <cell r="EX12" t="str">
            <v/>
          </cell>
          <cell r="EY12" t="str">
            <v>Housing Recovery and Reconstruction Platform</v>
          </cell>
          <cell r="EZ12" t="str">
            <v/>
          </cell>
          <cell r="FA12" t="str">
            <v>District Technical Officer</v>
          </cell>
          <cell r="FB12" t="str">
            <v/>
          </cell>
        </row>
        <row r="13">
          <cell r="A13">
            <v>9003</v>
          </cell>
          <cell r="B13" t="str">
            <v>Sankhuwasabha</v>
          </cell>
          <cell r="C13" t="str">
            <v>Chichila Gaunpalika</v>
          </cell>
          <cell r="D13">
            <v>67</v>
          </cell>
          <cell r="E13">
            <v>63</v>
          </cell>
          <cell r="F13">
            <v>130</v>
          </cell>
          <cell r="G13" t="str">
            <v>Stone and cement mortar masonry</v>
          </cell>
          <cell r="H13">
            <v>2.31</v>
          </cell>
          <cell r="I13">
            <v>0.6</v>
          </cell>
          <cell r="J13" t="str">
            <v>Stone and Mud Mortar Masonary</v>
          </cell>
          <cell r="K13">
            <v>63.85</v>
          </cell>
          <cell r="L13">
            <v>77</v>
          </cell>
          <cell r="M13" t="str">
            <v>Brick and Cement Mortar Masonary</v>
          </cell>
          <cell r="N13">
            <v>0</v>
          </cell>
          <cell r="O13">
            <v>0.33</v>
          </cell>
          <cell r="P13" t="str">
            <v>Brick and mud mortar Masonry</v>
          </cell>
          <cell r="Q13">
            <v>0</v>
          </cell>
          <cell r="R13">
            <v>0.51</v>
          </cell>
          <cell r="S13" t="str">
            <v>Reinforced cement concrete (RCC) frame</v>
          </cell>
          <cell r="T13">
            <v>0</v>
          </cell>
          <cell r="U13">
            <v>0.51</v>
          </cell>
          <cell r="V13" t="str">
            <v>Hybrid structure</v>
          </cell>
          <cell r="W13">
            <v>0</v>
          </cell>
          <cell r="X13">
            <v>0</v>
          </cell>
          <cell r="Y13" t="str">
            <v>Timber frame structure</v>
          </cell>
          <cell r="Z13">
            <v>1.54</v>
          </cell>
          <cell r="AA13">
            <v>0.8</v>
          </cell>
          <cell r="AB13" t="str">
            <v>Hollow concrete block Masonry</v>
          </cell>
          <cell r="AC13">
            <v>0</v>
          </cell>
          <cell r="AD13">
            <v>0</v>
          </cell>
          <cell r="AE13" t="str">
            <v>Dry stone Masonry</v>
          </cell>
          <cell r="AF13">
            <v>0</v>
          </cell>
          <cell r="AG13">
            <v>0.28999999999999998</v>
          </cell>
          <cell r="AH13" t="str">
            <v>Adobe structures</v>
          </cell>
          <cell r="AI13">
            <v>31.54</v>
          </cell>
          <cell r="AJ13">
            <v>18.559999999999999</v>
          </cell>
          <cell r="AK13" t="str">
            <v>Bamboo</v>
          </cell>
          <cell r="AL13">
            <v>0.77</v>
          </cell>
          <cell r="AM13">
            <v>1.4</v>
          </cell>
          <cell r="AN13" t="str">
            <v>Compressed stabilized earth block (SCEB) Masonry</v>
          </cell>
          <cell r="AO13">
            <v>0</v>
          </cell>
          <cell r="AP13">
            <v>0</v>
          </cell>
          <cell r="AQ13" t="str">
            <v>Light steel frame structures</v>
          </cell>
          <cell r="AR13">
            <v>0</v>
          </cell>
          <cell r="AS13">
            <v>0</v>
          </cell>
          <cell r="AT13">
            <v>62</v>
          </cell>
          <cell r="AU13">
            <v>13</v>
          </cell>
          <cell r="AV13">
            <v>13</v>
          </cell>
          <cell r="AW13">
            <v>9</v>
          </cell>
          <cell r="AX13">
            <v>0</v>
          </cell>
          <cell r="AY13" t="str">
            <v/>
          </cell>
          <cell r="AZ13" t="str">
            <v/>
          </cell>
          <cell r="BA13">
            <v>1</v>
          </cell>
          <cell r="BB13" t="str">
            <v/>
          </cell>
          <cell r="BC13" t="str">
            <v/>
          </cell>
          <cell r="BD13" t="str">
            <v/>
          </cell>
          <cell r="BE13" t="str">
            <v/>
          </cell>
          <cell r="BF13" t="str">
            <v/>
          </cell>
          <cell r="BG13" t="str">
            <v/>
          </cell>
          <cell r="BH13" t="str">
            <v/>
          </cell>
          <cell r="BI13" t="str">
            <v/>
          </cell>
          <cell r="BJ13" t="str">
            <v/>
          </cell>
          <cell r="BK13">
            <v>362</v>
          </cell>
          <cell r="BL13" t="str">
            <v/>
          </cell>
          <cell r="BM13" t="str">
            <v/>
          </cell>
          <cell r="BN13">
            <v>367</v>
          </cell>
          <cell r="BO13" t="str">
            <v/>
          </cell>
          <cell r="BP13" t="str">
            <v/>
          </cell>
          <cell r="BQ13">
            <v>39</v>
          </cell>
          <cell r="BR13" t="str">
            <v/>
          </cell>
          <cell r="BS13" t="str">
            <v/>
          </cell>
          <cell r="BT13">
            <v>44</v>
          </cell>
          <cell r="BU13" t="str">
            <v/>
          </cell>
          <cell r="BV13" t="str">
            <v/>
          </cell>
          <cell r="BW13" t="str">
            <v/>
          </cell>
          <cell r="BX13" t="str">
            <v/>
          </cell>
          <cell r="BY13" t="str">
            <v/>
          </cell>
          <cell r="BZ13">
            <v>1230</v>
          </cell>
          <cell r="CA13" t="str">
            <v/>
          </cell>
          <cell r="CB13" t="str">
            <v/>
          </cell>
          <cell r="CC13">
            <v>3941</v>
          </cell>
          <cell r="CD13" t="str">
            <v/>
          </cell>
          <cell r="CE13" t="str">
            <v/>
          </cell>
          <cell r="CF13">
            <v>50</v>
          </cell>
          <cell r="CG13" t="str">
            <v/>
          </cell>
          <cell r="CH13" t="str">
            <v/>
          </cell>
          <cell r="CI13">
            <v>5770</v>
          </cell>
          <cell r="CJ13" t="str">
            <v/>
          </cell>
          <cell r="CK13" t="str">
            <v/>
          </cell>
          <cell r="CL13" t="str">
            <v>Skilled</v>
          </cell>
          <cell r="CM13" t="str">
            <v/>
          </cell>
          <cell r="CN13" t="str">
            <v>Labor</v>
          </cell>
          <cell r="CO13" t="str">
            <v/>
          </cell>
          <cell r="CP13" t="str">
            <v/>
          </cell>
          <cell r="CQ13" t="str">
            <v/>
          </cell>
          <cell r="CR13" t="str">
            <v/>
          </cell>
          <cell r="CS13" t="str">
            <v/>
          </cell>
          <cell r="CT13" t="str">
            <v/>
          </cell>
          <cell r="CU13" t="str">
            <v/>
          </cell>
          <cell r="CV13" t="str">
            <v>Municipal Office</v>
          </cell>
          <cell r="CW13" t="str">
            <v/>
          </cell>
          <cell r="CX13" t="str">
            <v>Chairman</v>
          </cell>
          <cell r="CY13" t="str">
            <v/>
          </cell>
          <cell r="CZ13" t="str">
            <v>Municipal Office</v>
          </cell>
          <cell r="DA13" t="str">
            <v/>
          </cell>
          <cell r="DB13" t="str">
            <v>Deputy Chairman</v>
          </cell>
          <cell r="DC13" t="str">
            <v/>
          </cell>
          <cell r="DD13" t="str">
            <v>Municipal Office</v>
          </cell>
          <cell r="DE13" t="str">
            <v/>
          </cell>
          <cell r="DF13" t="str">
            <v>Chief Adminstration Officer</v>
          </cell>
          <cell r="DG13" t="str">
            <v/>
          </cell>
          <cell r="DH13" t="str">
            <v>NRA/GMALI</v>
          </cell>
          <cell r="DI13" t="str">
            <v/>
          </cell>
          <cell r="DJ13" t="str">
            <v>NRA Chief-District</v>
          </cell>
          <cell r="DK13" t="str">
            <v/>
          </cell>
          <cell r="DL13" t="str">
            <v>DLPIU-Building</v>
          </cell>
          <cell r="DM13" t="str">
            <v/>
          </cell>
          <cell r="DN13" t="str">
            <v>DUDBC.DLPIU Chief</v>
          </cell>
          <cell r="DO13" t="str">
            <v/>
          </cell>
          <cell r="DP13" t="str">
            <v>Municipal Office</v>
          </cell>
          <cell r="DQ13" t="str">
            <v/>
          </cell>
          <cell r="DR13" t="str">
            <v>Focal Person</v>
          </cell>
          <cell r="DS13" t="str">
            <v/>
          </cell>
          <cell r="DT13" t="str">
            <v/>
          </cell>
          <cell r="DU13" t="str">
            <v/>
          </cell>
          <cell r="DV13" t="str">
            <v/>
          </cell>
          <cell r="DW13" t="str">
            <v/>
          </cell>
          <cell r="DX13" t="str">
            <v/>
          </cell>
          <cell r="DY13" t="str">
            <v/>
          </cell>
          <cell r="DZ13" t="str">
            <v/>
          </cell>
          <cell r="EA13" t="str">
            <v/>
          </cell>
          <cell r="EB13" t="str">
            <v/>
          </cell>
          <cell r="EC13" t="str">
            <v/>
          </cell>
          <cell r="ED13" t="str">
            <v/>
          </cell>
          <cell r="EE13" t="str">
            <v/>
          </cell>
          <cell r="EF13" t="str">
            <v/>
          </cell>
          <cell r="EG13" t="str">
            <v/>
          </cell>
          <cell r="EH13" t="str">
            <v/>
          </cell>
          <cell r="EI13" t="str">
            <v/>
          </cell>
          <cell r="EJ13">
            <v>0</v>
          </cell>
          <cell r="EK13">
            <v>0</v>
          </cell>
          <cell r="EL13">
            <v>0</v>
          </cell>
          <cell r="EM13">
            <v>0</v>
          </cell>
          <cell r="EN13">
            <v>0</v>
          </cell>
          <cell r="EO13">
            <v>0</v>
          </cell>
          <cell r="EP13" t="str">
            <v/>
          </cell>
          <cell r="EQ13" t="str">
            <v>Housing Recovery and Reconstruction Platform</v>
          </cell>
          <cell r="ER13" t="str">
            <v/>
          </cell>
          <cell r="ES13" t="str">
            <v>District Coordinator</v>
          </cell>
          <cell r="ET13" t="str">
            <v/>
          </cell>
          <cell r="EU13" t="str">
            <v>Housing Recovery and Reconstruction Platform</v>
          </cell>
          <cell r="EV13" t="str">
            <v/>
          </cell>
          <cell r="EW13" t="str">
            <v>DIstrict Information Management Officer</v>
          </cell>
          <cell r="EX13" t="str">
            <v/>
          </cell>
          <cell r="EY13" t="str">
            <v>Housing Recovery and Reconstruction Platform</v>
          </cell>
          <cell r="EZ13" t="str">
            <v/>
          </cell>
          <cell r="FA13" t="str">
            <v>District Technical Officer</v>
          </cell>
          <cell r="FB13" t="str">
            <v/>
          </cell>
        </row>
        <row r="14">
          <cell r="A14">
            <v>9004</v>
          </cell>
          <cell r="B14" t="str">
            <v>Sankhuwasabha</v>
          </cell>
          <cell r="C14" t="str">
            <v>Dharmadevi Nagarpalika</v>
          </cell>
          <cell r="D14">
            <v>514</v>
          </cell>
          <cell r="E14">
            <v>192</v>
          </cell>
          <cell r="F14">
            <v>706</v>
          </cell>
          <cell r="G14" t="str">
            <v>Stone and cement mortar masonry</v>
          </cell>
          <cell r="H14">
            <v>0.71</v>
          </cell>
          <cell r="I14">
            <v>0.6</v>
          </cell>
          <cell r="J14" t="str">
            <v>Stone and Mud Mortar Masonary</v>
          </cell>
          <cell r="K14">
            <v>96.74</v>
          </cell>
          <cell r="L14">
            <v>77</v>
          </cell>
          <cell r="M14" t="str">
            <v>Brick and Cement Mortar Masonary</v>
          </cell>
          <cell r="N14">
            <v>0</v>
          </cell>
          <cell r="O14">
            <v>0.33</v>
          </cell>
          <cell r="P14" t="str">
            <v>Brick and mud mortar Masonry</v>
          </cell>
          <cell r="Q14">
            <v>0.14000000000000001</v>
          </cell>
          <cell r="R14">
            <v>0.51</v>
          </cell>
          <cell r="S14" t="str">
            <v>Reinforced cement concrete (RCC) frame</v>
          </cell>
          <cell r="T14">
            <v>0</v>
          </cell>
          <cell r="U14">
            <v>0.51</v>
          </cell>
          <cell r="V14" t="str">
            <v>Hybrid structure</v>
          </cell>
          <cell r="W14">
            <v>0</v>
          </cell>
          <cell r="X14">
            <v>0</v>
          </cell>
          <cell r="Y14" t="str">
            <v>Timber frame structure</v>
          </cell>
          <cell r="Z14">
            <v>0.42</v>
          </cell>
          <cell r="AA14">
            <v>0.8</v>
          </cell>
          <cell r="AB14" t="str">
            <v>Hollow concrete block Masonry</v>
          </cell>
          <cell r="AC14">
            <v>0</v>
          </cell>
          <cell r="AD14">
            <v>0</v>
          </cell>
          <cell r="AE14" t="str">
            <v>Dry stone Masonry</v>
          </cell>
          <cell r="AF14">
            <v>0</v>
          </cell>
          <cell r="AG14">
            <v>0.28999999999999998</v>
          </cell>
          <cell r="AH14" t="str">
            <v>Adobe structures</v>
          </cell>
          <cell r="AI14">
            <v>0.56999999999999995</v>
          </cell>
          <cell r="AJ14">
            <v>18.559999999999999</v>
          </cell>
          <cell r="AK14" t="str">
            <v>Bamboo</v>
          </cell>
          <cell r="AL14">
            <v>1.42</v>
          </cell>
          <cell r="AM14">
            <v>1.4</v>
          </cell>
          <cell r="AN14" t="str">
            <v>Compressed stabilized earth block (SCEB) Masonry</v>
          </cell>
          <cell r="AO14">
            <v>0</v>
          </cell>
          <cell r="AP14">
            <v>0</v>
          </cell>
          <cell r="AQ14" t="str">
            <v>Light steel frame structures</v>
          </cell>
          <cell r="AR14">
            <v>0</v>
          </cell>
          <cell r="AS14">
            <v>0</v>
          </cell>
          <cell r="AT14">
            <v>141</v>
          </cell>
          <cell r="AU14">
            <v>59</v>
          </cell>
          <cell r="AV14">
            <v>59</v>
          </cell>
          <cell r="AW14">
            <v>33</v>
          </cell>
          <cell r="AX14">
            <v>0</v>
          </cell>
          <cell r="AY14" t="str">
            <v/>
          </cell>
          <cell r="AZ14" t="str">
            <v/>
          </cell>
          <cell r="BA14">
            <v>37</v>
          </cell>
          <cell r="BB14" t="str">
            <v/>
          </cell>
          <cell r="BC14" t="str">
            <v/>
          </cell>
          <cell r="BD14" t="str">
            <v/>
          </cell>
          <cell r="BE14" t="str">
            <v/>
          </cell>
          <cell r="BF14" t="str">
            <v/>
          </cell>
          <cell r="BG14" t="str">
            <v/>
          </cell>
          <cell r="BH14" t="str">
            <v/>
          </cell>
          <cell r="BI14" t="str">
            <v/>
          </cell>
          <cell r="BJ14" t="str">
            <v/>
          </cell>
          <cell r="BK14">
            <v>1657</v>
          </cell>
          <cell r="BL14" t="str">
            <v/>
          </cell>
          <cell r="BM14" t="str">
            <v/>
          </cell>
          <cell r="BN14">
            <v>1745</v>
          </cell>
          <cell r="BO14" t="str">
            <v/>
          </cell>
          <cell r="BP14" t="str">
            <v/>
          </cell>
          <cell r="BQ14">
            <v>177</v>
          </cell>
          <cell r="BR14" t="str">
            <v/>
          </cell>
          <cell r="BS14" t="str">
            <v/>
          </cell>
          <cell r="BT14">
            <v>206</v>
          </cell>
          <cell r="BU14" t="str">
            <v/>
          </cell>
          <cell r="BV14" t="str">
            <v/>
          </cell>
          <cell r="BW14" t="str">
            <v/>
          </cell>
          <cell r="BX14" t="str">
            <v/>
          </cell>
          <cell r="BY14" t="str">
            <v/>
          </cell>
          <cell r="BZ14">
            <v>5747</v>
          </cell>
          <cell r="CA14" t="str">
            <v/>
          </cell>
          <cell r="CB14" t="str">
            <v/>
          </cell>
          <cell r="CC14">
            <v>17854</v>
          </cell>
          <cell r="CD14" t="str">
            <v/>
          </cell>
          <cell r="CE14" t="str">
            <v/>
          </cell>
          <cell r="CF14">
            <v>235</v>
          </cell>
          <cell r="CG14" t="str">
            <v/>
          </cell>
          <cell r="CH14" t="str">
            <v/>
          </cell>
          <cell r="CI14">
            <v>8592</v>
          </cell>
          <cell r="CJ14" t="str">
            <v/>
          </cell>
          <cell r="CK14" t="str">
            <v/>
          </cell>
          <cell r="CL14" t="str">
            <v>Skilled</v>
          </cell>
          <cell r="CM14" t="str">
            <v/>
          </cell>
          <cell r="CN14" t="str">
            <v>Labor</v>
          </cell>
          <cell r="CO14" t="str">
            <v/>
          </cell>
          <cell r="CP14" t="str">
            <v/>
          </cell>
          <cell r="CQ14" t="str">
            <v/>
          </cell>
          <cell r="CR14" t="str">
            <v/>
          </cell>
          <cell r="CS14" t="str">
            <v/>
          </cell>
          <cell r="CT14" t="str">
            <v/>
          </cell>
          <cell r="CU14" t="str">
            <v/>
          </cell>
          <cell r="CV14" t="str">
            <v>Municipal Office</v>
          </cell>
          <cell r="CW14" t="str">
            <v/>
          </cell>
          <cell r="CX14" t="str">
            <v>Mayor</v>
          </cell>
          <cell r="CY14" t="str">
            <v/>
          </cell>
          <cell r="CZ14" t="str">
            <v>Municipal Office</v>
          </cell>
          <cell r="DA14" t="str">
            <v/>
          </cell>
          <cell r="DB14" t="str">
            <v>Deputy Mayor</v>
          </cell>
          <cell r="DC14" t="str">
            <v/>
          </cell>
          <cell r="DD14" t="str">
            <v>Municipal Office</v>
          </cell>
          <cell r="DE14" t="str">
            <v/>
          </cell>
          <cell r="DF14" t="str">
            <v>Chief Adminstration Officer</v>
          </cell>
          <cell r="DG14" t="str">
            <v/>
          </cell>
          <cell r="DH14" t="str">
            <v>NRA/GMALI</v>
          </cell>
          <cell r="DI14" t="str">
            <v/>
          </cell>
          <cell r="DJ14" t="str">
            <v>NRA Chief-District</v>
          </cell>
          <cell r="DK14" t="str">
            <v/>
          </cell>
          <cell r="DL14" t="str">
            <v>DLPIU-Building</v>
          </cell>
          <cell r="DM14" t="str">
            <v/>
          </cell>
          <cell r="DN14" t="str">
            <v>DUDBC.DLPIU Chief</v>
          </cell>
          <cell r="DO14" t="str">
            <v/>
          </cell>
          <cell r="DP14" t="str">
            <v>Municipal Office</v>
          </cell>
          <cell r="DQ14" t="str">
            <v/>
          </cell>
          <cell r="DR14" t="str">
            <v>Focal Person</v>
          </cell>
          <cell r="DS14" t="str">
            <v/>
          </cell>
          <cell r="DT14" t="str">
            <v/>
          </cell>
          <cell r="DU14" t="str">
            <v/>
          </cell>
          <cell r="DV14" t="str">
            <v/>
          </cell>
          <cell r="DW14" t="str">
            <v/>
          </cell>
          <cell r="DX14" t="str">
            <v/>
          </cell>
          <cell r="DY14" t="str">
            <v/>
          </cell>
          <cell r="DZ14" t="str">
            <v/>
          </cell>
          <cell r="EA14" t="str">
            <v/>
          </cell>
          <cell r="EB14" t="str">
            <v/>
          </cell>
          <cell r="EC14" t="str">
            <v/>
          </cell>
          <cell r="ED14" t="str">
            <v/>
          </cell>
          <cell r="EE14" t="str">
            <v/>
          </cell>
          <cell r="EF14" t="str">
            <v/>
          </cell>
          <cell r="EG14" t="str">
            <v/>
          </cell>
          <cell r="EH14" t="str">
            <v/>
          </cell>
          <cell r="EI14" t="str">
            <v/>
          </cell>
          <cell r="EJ14">
            <v>0</v>
          </cell>
          <cell r="EK14">
            <v>0</v>
          </cell>
          <cell r="EL14">
            <v>0</v>
          </cell>
          <cell r="EM14">
            <v>0</v>
          </cell>
          <cell r="EN14">
            <v>0</v>
          </cell>
          <cell r="EO14">
            <v>0</v>
          </cell>
          <cell r="EP14" t="str">
            <v/>
          </cell>
          <cell r="EQ14" t="str">
            <v>Housing Recovery and Reconstruction Platform</v>
          </cell>
          <cell r="ER14" t="str">
            <v/>
          </cell>
          <cell r="ES14" t="str">
            <v>District Coordinator</v>
          </cell>
          <cell r="ET14" t="str">
            <v/>
          </cell>
          <cell r="EU14" t="str">
            <v>Housing Recovery and Reconstruction Platform</v>
          </cell>
          <cell r="EV14" t="str">
            <v/>
          </cell>
          <cell r="EW14" t="str">
            <v>DIstrict Information Management Officer</v>
          </cell>
          <cell r="EX14" t="str">
            <v/>
          </cell>
          <cell r="EY14" t="str">
            <v>Housing Recovery and Reconstruction Platform</v>
          </cell>
          <cell r="EZ14" t="str">
            <v/>
          </cell>
          <cell r="FA14" t="str">
            <v>District Technical Officer</v>
          </cell>
          <cell r="FB14" t="str">
            <v/>
          </cell>
        </row>
        <row r="15">
          <cell r="A15">
            <v>9005</v>
          </cell>
          <cell r="B15" t="str">
            <v>Sankhuwasabha</v>
          </cell>
          <cell r="C15" t="str">
            <v>Khandbari Nagarpalika</v>
          </cell>
          <cell r="D15">
            <v>1264</v>
          </cell>
          <cell r="E15">
            <v>902</v>
          </cell>
          <cell r="F15">
            <v>2166</v>
          </cell>
          <cell r="G15" t="str">
            <v>Stone and cement mortar masonry</v>
          </cell>
          <cell r="H15">
            <v>0.98</v>
          </cell>
          <cell r="I15">
            <v>0.6</v>
          </cell>
          <cell r="J15" t="str">
            <v>Stone and Mud Mortar Masonary</v>
          </cell>
          <cell r="K15">
            <v>53.95</v>
          </cell>
          <cell r="L15">
            <v>77</v>
          </cell>
          <cell r="M15" t="str">
            <v>Brick and Cement Mortar Masonary</v>
          </cell>
          <cell r="N15">
            <v>0.7</v>
          </cell>
          <cell r="O15">
            <v>0.33</v>
          </cell>
          <cell r="P15" t="str">
            <v>Brick and mud mortar Masonry</v>
          </cell>
          <cell r="Q15">
            <v>0.47</v>
          </cell>
          <cell r="R15">
            <v>0.51</v>
          </cell>
          <cell r="S15" t="str">
            <v>Reinforced cement concrete (RCC) frame</v>
          </cell>
          <cell r="T15">
            <v>1.17</v>
          </cell>
          <cell r="U15">
            <v>0.51</v>
          </cell>
          <cell r="V15" t="str">
            <v>Hybrid structure</v>
          </cell>
          <cell r="W15">
            <v>0</v>
          </cell>
          <cell r="X15">
            <v>0</v>
          </cell>
          <cell r="Y15" t="str">
            <v>Timber frame structure</v>
          </cell>
          <cell r="Z15">
            <v>1.45</v>
          </cell>
          <cell r="AA15">
            <v>0.8</v>
          </cell>
          <cell r="AB15" t="str">
            <v>Hollow concrete block Masonry</v>
          </cell>
          <cell r="AC15">
            <v>0</v>
          </cell>
          <cell r="AD15">
            <v>0</v>
          </cell>
          <cell r="AE15" t="str">
            <v>Dry stone Masonry</v>
          </cell>
          <cell r="AF15">
            <v>0.05</v>
          </cell>
          <cell r="AG15">
            <v>0.28999999999999998</v>
          </cell>
          <cell r="AH15" t="str">
            <v>Adobe structures</v>
          </cell>
          <cell r="AI15">
            <v>38.75</v>
          </cell>
          <cell r="AJ15">
            <v>18.559999999999999</v>
          </cell>
          <cell r="AK15" t="str">
            <v>Bamboo</v>
          </cell>
          <cell r="AL15">
            <v>2.48</v>
          </cell>
          <cell r="AM15">
            <v>1.4</v>
          </cell>
          <cell r="AN15" t="str">
            <v>Compressed stabilized earth block (SCEB) Masonry</v>
          </cell>
          <cell r="AO15">
            <v>0</v>
          </cell>
          <cell r="AP15">
            <v>0</v>
          </cell>
          <cell r="AQ15" t="str">
            <v>Light steel frame structures</v>
          </cell>
          <cell r="AR15">
            <v>0</v>
          </cell>
          <cell r="AS15">
            <v>0</v>
          </cell>
          <cell r="AT15">
            <v>745</v>
          </cell>
          <cell r="AU15">
            <v>286</v>
          </cell>
          <cell r="AV15">
            <v>286</v>
          </cell>
          <cell r="AW15">
            <v>117</v>
          </cell>
          <cell r="AX15">
            <v>0</v>
          </cell>
          <cell r="AY15" t="str">
            <v/>
          </cell>
          <cell r="AZ15" t="str">
            <v/>
          </cell>
          <cell r="BA15">
            <v>126</v>
          </cell>
          <cell r="BB15" t="str">
            <v/>
          </cell>
          <cell r="BC15" t="str">
            <v/>
          </cell>
          <cell r="BD15" t="str">
            <v/>
          </cell>
          <cell r="BE15" t="str">
            <v/>
          </cell>
          <cell r="BF15" t="str">
            <v/>
          </cell>
          <cell r="BG15" t="str">
            <v/>
          </cell>
          <cell r="BH15" t="str">
            <v/>
          </cell>
          <cell r="BI15" t="str">
            <v/>
          </cell>
          <cell r="BJ15" t="str">
            <v/>
          </cell>
          <cell r="BK15">
            <v>7962</v>
          </cell>
          <cell r="BL15" t="str">
            <v/>
          </cell>
          <cell r="BM15" t="str">
            <v/>
          </cell>
          <cell r="BN15">
            <v>8161</v>
          </cell>
          <cell r="BO15" t="str">
            <v/>
          </cell>
          <cell r="BP15" t="str">
            <v/>
          </cell>
          <cell r="BQ15">
            <v>850</v>
          </cell>
          <cell r="BR15" t="str">
            <v/>
          </cell>
          <cell r="BS15" t="str">
            <v/>
          </cell>
          <cell r="BT15">
            <v>982</v>
          </cell>
          <cell r="BU15" t="str">
            <v/>
          </cell>
          <cell r="BV15" t="str">
            <v/>
          </cell>
          <cell r="BW15" t="str">
            <v/>
          </cell>
          <cell r="BX15" t="str">
            <v/>
          </cell>
          <cell r="BY15" t="str">
            <v/>
          </cell>
          <cell r="BZ15">
            <v>27221</v>
          </cell>
          <cell r="CA15" t="str">
            <v/>
          </cell>
          <cell r="CB15" t="str">
            <v/>
          </cell>
          <cell r="CC15">
            <v>86561</v>
          </cell>
          <cell r="CD15" t="str">
            <v/>
          </cell>
          <cell r="CE15" t="str">
            <v/>
          </cell>
          <cell r="CF15">
            <v>1114</v>
          </cell>
          <cell r="CG15" t="str">
            <v/>
          </cell>
          <cell r="CH15" t="str">
            <v/>
          </cell>
          <cell r="CI15">
            <v>106384</v>
          </cell>
          <cell r="CJ15" t="str">
            <v/>
          </cell>
          <cell r="CK15" t="str">
            <v/>
          </cell>
          <cell r="CL15" t="str">
            <v>Skilled</v>
          </cell>
          <cell r="CM15" t="str">
            <v/>
          </cell>
          <cell r="CN15" t="str">
            <v>Labor</v>
          </cell>
          <cell r="CO15" t="str">
            <v/>
          </cell>
          <cell r="CP15" t="str">
            <v/>
          </cell>
          <cell r="CQ15" t="str">
            <v/>
          </cell>
          <cell r="CR15" t="str">
            <v/>
          </cell>
          <cell r="CS15" t="str">
            <v/>
          </cell>
          <cell r="CT15" t="str">
            <v/>
          </cell>
          <cell r="CU15" t="str">
            <v/>
          </cell>
          <cell r="CV15" t="str">
            <v>Municipal Office</v>
          </cell>
          <cell r="CW15" t="str">
            <v/>
          </cell>
          <cell r="CX15" t="str">
            <v>Mayor</v>
          </cell>
          <cell r="CY15" t="str">
            <v/>
          </cell>
          <cell r="CZ15" t="str">
            <v>Municipal Office</v>
          </cell>
          <cell r="DA15" t="str">
            <v/>
          </cell>
          <cell r="DB15" t="str">
            <v>Deputy Mayor</v>
          </cell>
          <cell r="DC15" t="str">
            <v/>
          </cell>
          <cell r="DD15" t="str">
            <v>Municipal Office</v>
          </cell>
          <cell r="DE15" t="str">
            <v/>
          </cell>
          <cell r="DF15" t="str">
            <v>Chief Adminstration Officer</v>
          </cell>
          <cell r="DG15" t="str">
            <v/>
          </cell>
          <cell r="DH15" t="str">
            <v>NRA/GMALI</v>
          </cell>
          <cell r="DI15" t="str">
            <v/>
          </cell>
          <cell r="DJ15" t="str">
            <v>NRA Chief-District</v>
          </cell>
          <cell r="DK15" t="str">
            <v/>
          </cell>
          <cell r="DL15" t="str">
            <v>DLPIU-Building</v>
          </cell>
          <cell r="DM15" t="str">
            <v/>
          </cell>
          <cell r="DN15" t="str">
            <v>DUDBC.DLPIU Chief</v>
          </cell>
          <cell r="DO15" t="str">
            <v/>
          </cell>
          <cell r="DP15" t="str">
            <v>Municipal Office</v>
          </cell>
          <cell r="DQ15" t="str">
            <v/>
          </cell>
          <cell r="DR15" t="str">
            <v>Focal Person</v>
          </cell>
          <cell r="DS15" t="str">
            <v/>
          </cell>
          <cell r="DT15" t="str">
            <v/>
          </cell>
          <cell r="DU15" t="str">
            <v/>
          </cell>
          <cell r="DV15" t="str">
            <v/>
          </cell>
          <cell r="DW15" t="str">
            <v/>
          </cell>
          <cell r="DX15" t="str">
            <v/>
          </cell>
          <cell r="DY15" t="str">
            <v/>
          </cell>
          <cell r="DZ15" t="str">
            <v/>
          </cell>
          <cell r="EA15" t="str">
            <v/>
          </cell>
          <cell r="EB15" t="str">
            <v/>
          </cell>
          <cell r="EC15" t="str">
            <v/>
          </cell>
          <cell r="ED15" t="str">
            <v/>
          </cell>
          <cell r="EE15" t="str">
            <v/>
          </cell>
          <cell r="EF15" t="str">
            <v/>
          </cell>
          <cell r="EG15" t="str">
            <v/>
          </cell>
          <cell r="EH15" t="str">
            <v/>
          </cell>
          <cell r="EI15" t="str">
            <v/>
          </cell>
          <cell r="EJ15">
            <v>0</v>
          </cell>
          <cell r="EK15">
            <v>0</v>
          </cell>
          <cell r="EL15">
            <v>0</v>
          </cell>
          <cell r="EM15">
            <v>0</v>
          </cell>
          <cell r="EN15">
            <v>0</v>
          </cell>
          <cell r="EO15">
            <v>0</v>
          </cell>
          <cell r="EP15" t="str">
            <v/>
          </cell>
          <cell r="EQ15" t="str">
            <v>Housing Recovery and Reconstruction Platform</v>
          </cell>
          <cell r="ER15" t="str">
            <v/>
          </cell>
          <cell r="ES15" t="str">
            <v>District Coordinator</v>
          </cell>
          <cell r="ET15" t="str">
            <v/>
          </cell>
          <cell r="EU15" t="str">
            <v>Housing Recovery and Reconstruction Platform</v>
          </cell>
          <cell r="EV15" t="str">
            <v/>
          </cell>
          <cell r="EW15" t="str">
            <v>DIstrict Information Management Officer</v>
          </cell>
          <cell r="EX15" t="str">
            <v/>
          </cell>
          <cell r="EY15" t="str">
            <v>Housing Recovery and Reconstruction Platform</v>
          </cell>
          <cell r="EZ15" t="str">
            <v/>
          </cell>
          <cell r="FA15" t="str">
            <v>District Technical Officer</v>
          </cell>
          <cell r="FB15" t="str">
            <v/>
          </cell>
        </row>
        <row r="16">
          <cell r="A16">
            <v>9006</v>
          </cell>
          <cell r="B16" t="str">
            <v>Sankhuwasabha</v>
          </cell>
          <cell r="C16" t="str">
            <v>Madi Nagarpalika</v>
          </cell>
          <cell r="D16">
            <v>532</v>
          </cell>
          <cell r="E16">
            <v>297</v>
          </cell>
          <cell r="F16">
            <v>829</v>
          </cell>
          <cell r="G16" t="str">
            <v>Stone and cement mortar masonry</v>
          </cell>
          <cell r="H16">
            <v>0.24</v>
          </cell>
          <cell r="I16">
            <v>0.6</v>
          </cell>
          <cell r="J16" t="str">
            <v>Stone and Mud Mortar Masonary</v>
          </cell>
          <cell r="K16">
            <v>98.31</v>
          </cell>
          <cell r="L16">
            <v>77</v>
          </cell>
          <cell r="M16" t="str">
            <v>Brick and Cement Mortar Masonary</v>
          </cell>
          <cell r="N16">
            <v>0</v>
          </cell>
          <cell r="O16">
            <v>0.33</v>
          </cell>
          <cell r="P16" t="str">
            <v>Brick and mud mortar Masonry</v>
          </cell>
          <cell r="Q16">
            <v>0.24</v>
          </cell>
          <cell r="R16">
            <v>0.51</v>
          </cell>
          <cell r="S16" t="str">
            <v>Reinforced cement concrete (RCC) frame</v>
          </cell>
          <cell r="T16">
            <v>0</v>
          </cell>
          <cell r="U16">
            <v>0.51</v>
          </cell>
          <cell r="V16" t="str">
            <v>Hybrid structure</v>
          </cell>
          <cell r="W16">
            <v>0</v>
          </cell>
          <cell r="X16">
            <v>0</v>
          </cell>
          <cell r="Y16" t="str">
            <v>Timber frame structure</v>
          </cell>
          <cell r="Z16">
            <v>0</v>
          </cell>
          <cell r="AA16">
            <v>0.8</v>
          </cell>
          <cell r="AB16" t="str">
            <v>Hollow concrete block Masonry</v>
          </cell>
          <cell r="AC16">
            <v>0</v>
          </cell>
          <cell r="AD16">
            <v>0</v>
          </cell>
          <cell r="AE16" t="str">
            <v>Dry stone Masonry</v>
          </cell>
          <cell r="AF16">
            <v>0</v>
          </cell>
          <cell r="AG16">
            <v>0.28999999999999998</v>
          </cell>
          <cell r="AH16" t="str">
            <v>Adobe structures</v>
          </cell>
          <cell r="AI16">
            <v>0.84</v>
          </cell>
          <cell r="AJ16">
            <v>18.559999999999999</v>
          </cell>
          <cell r="AK16" t="str">
            <v>Bamboo</v>
          </cell>
          <cell r="AL16">
            <v>0.36</v>
          </cell>
          <cell r="AM16">
            <v>1.4</v>
          </cell>
          <cell r="AN16" t="str">
            <v>Compressed stabilized earth block (SCEB) Masonry</v>
          </cell>
          <cell r="AO16">
            <v>0</v>
          </cell>
          <cell r="AP16">
            <v>0</v>
          </cell>
          <cell r="AQ16" t="str">
            <v>Light steel frame structures</v>
          </cell>
          <cell r="AR16">
            <v>0</v>
          </cell>
          <cell r="AS16">
            <v>0</v>
          </cell>
          <cell r="AT16">
            <v>232</v>
          </cell>
          <cell r="AU16">
            <v>104</v>
          </cell>
          <cell r="AV16">
            <v>104</v>
          </cell>
          <cell r="AW16">
            <v>45</v>
          </cell>
          <cell r="AX16">
            <v>0</v>
          </cell>
          <cell r="AY16" t="str">
            <v/>
          </cell>
          <cell r="AZ16" t="str">
            <v/>
          </cell>
          <cell r="BA16">
            <v>67</v>
          </cell>
          <cell r="BB16" t="str">
            <v/>
          </cell>
          <cell r="BC16" t="str">
            <v/>
          </cell>
          <cell r="BD16" t="str">
            <v/>
          </cell>
          <cell r="BE16" t="str">
            <v/>
          </cell>
          <cell r="BF16" t="str">
            <v/>
          </cell>
          <cell r="BG16" t="str">
            <v/>
          </cell>
          <cell r="BH16" t="str">
            <v/>
          </cell>
          <cell r="BI16" t="str">
            <v/>
          </cell>
          <cell r="BJ16" t="str">
            <v/>
          </cell>
          <cell r="BK16">
            <v>2943</v>
          </cell>
          <cell r="BL16" t="str">
            <v/>
          </cell>
          <cell r="BM16" t="str">
            <v/>
          </cell>
          <cell r="BN16">
            <v>3085</v>
          </cell>
          <cell r="BO16" t="str">
            <v/>
          </cell>
          <cell r="BP16" t="str">
            <v/>
          </cell>
          <cell r="BQ16">
            <v>315</v>
          </cell>
          <cell r="BR16" t="str">
            <v/>
          </cell>
          <cell r="BS16" t="str">
            <v/>
          </cell>
          <cell r="BT16">
            <v>365</v>
          </cell>
          <cell r="BU16" t="str">
            <v/>
          </cell>
          <cell r="BV16" t="str">
            <v/>
          </cell>
          <cell r="BW16" t="str">
            <v/>
          </cell>
          <cell r="BX16" t="str">
            <v/>
          </cell>
          <cell r="BY16" t="str">
            <v/>
          </cell>
          <cell r="BZ16">
            <v>10181</v>
          </cell>
          <cell r="CA16" t="str">
            <v/>
          </cell>
          <cell r="CB16" t="str">
            <v/>
          </cell>
          <cell r="CC16">
            <v>31760</v>
          </cell>
          <cell r="CD16" t="str">
            <v/>
          </cell>
          <cell r="CE16" t="str">
            <v/>
          </cell>
          <cell r="CF16">
            <v>416</v>
          </cell>
          <cell r="CG16" t="str">
            <v/>
          </cell>
          <cell r="CH16" t="str">
            <v/>
          </cell>
          <cell r="CI16">
            <v>19581</v>
          </cell>
          <cell r="CJ16" t="str">
            <v/>
          </cell>
          <cell r="CK16" t="str">
            <v/>
          </cell>
          <cell r="CL16" t="str">
            <v>Skilled</v>
          </cell>
          <cell r="CM16" t="str">
            <v/>
          </cell>
          <cell r="CN16" t="str">
            <v>Labor</v>
          </cell>
          <cell r="CO16" t="str">
            <v/>
          </cell>
          <cell r="CP16" t="str">
            <v/>
          </cell>
          <cell r="CQ16" t="str">
            <v/>
          </cell>
          <cell r="CR16" t="str">
            <v/>
          </cell>
          <cell r="CS16" t="str">
            <v/>
          </cell>
          <cell r="CT16" t="str">
            <v/>
          </cell>
          <cell r="CU16" t="str">
            <v/>
          </cell>
          <cell r="CV16" t="str">
            <v>Municipal Office</v>
          </cell>
          <cell r="CW16" t="str">
            <v/>
          </cell>
          <cell r="CX16" t="str">
            <v>Mayor</v>
          </cell>
          <cell r="CY16" t="str">
            <v/>
          </cell>
          <cell r="CZ16" t="str">
            <v>Municipal Office</v>
          </cell>
          <cell r="DA16" t="str">
            <v/>
          </cell>
          <cell r="DB16" t="str">
            <v>Deputy Mayor</v>
          </cell>
          <cell r="DC16" t="str">
            <v/>
          </cell>
          <cell r="DD16" t="str">
            <v>Municipal Office</v>
          </cell>
          <cell r="DE16" t="str">
            <v/>
          </cell>
          <cell r="DF16" t="str">
            <v>Chief Adminstration Officer</v>
          </cell>
          <cell r="DG16" t="str">
            <v/>
          </cell>
          <cell r="DH16" t="str">
            <v>NRA/GMALI</v>
          </cell>
          <cell r="DI16" t="str">
            <v/>
          </cell>
          <cell r="DJ16" t="str">
            <v>NRA Chief-District</v>
          </cell>
          <cell r="DK16" t="str">
            <v/>
          </cell>
          <cell r="DL16" t="str">
            <v>DLPIU-Building</v>
          </cell>
          <cell r="DM16" t="str">
            <v/>
          </cell>
          <cell r="DN16" t="str">
            <v>DUDBC.DLPIU Chief</v>
          </cell>
          <cell r="DO16" t="str">
            <v/>
          </cell>
          <cell r="DP16" t="str">
            <v>Municipal Office</v>
          </cell>
          <cell r="DQ16" t="str">
            <v/>
          </cell>
          <cell r="DR16" t="str">
            <v>Focal Person</v>
          </cell>
          <cell r="DS16" t="str">
            <v/>
          </cell>
          <cell r="DT16" t="str">
            <v/>
          </cell>
          <cell r="DU16" t="str">
            <v/>
          </cell>
          <cell r="DV16" t="str">
            <v/>
          </cell>
          <cell r="DW16" t="str">
            <v/>
          </cell>
          <cell r="DX16" t="str">
            <v/>
          </cell>
          <cell r="DY16" t="str">
            <v/>
          </cell>
          <cell r="DZ16" t="str">
            <v/>
          </cell>
          <cell r="EA16" t="str">
            <v/>
          </cell>
          <cell r="EB16" t="str">
            <v/>
          </cell>
          <cell r="EC16" t="str">
            <v/>
          </cell>
          <cell r="ED16" t="str">
            <v/>
          </cell>
          <cell r="EE16" t="str">
            <v/>
          </cell>
          <cell r="EF16" t="str">
            <v/>
          </cell>
          <cell r="EG16" t="str">
            <v/>
          </cell>
          <cell r="EH16" t="str">
            <v/>
          </cell>
          <cell r="EI16" t="str">
            <v/>
          </cell>
          <cell r="EJ16">
            <v>0</v>
          </cell>
          <cell r="EK16">
            <v>0</v>
          </cell>
          <cell r="EL16">
            <v>0</v>
          </cell>
          <cell r="EM16">
            <v>0</v>
          </cell>
          <cell r="EN16">
            <v>0</v>
          </cell>
          <cell r="EO16">
            <v>0</v>
          </cell>
          <cell r="EP16" t="str">
            <v/>
          </cell>
          <cell r="EQ16" t="str">
            <v>Housing Recovery and Reconstruction Platform</v>
          </cell>
          <cell r="ER16" t="str">
            <v/>
          </cell>
          <cell r="ES16" t="str">
            <v>District Coordinator</v>
          </cell>
          <cell r="ET16" t="str">
            <v/>
          </cell>
          <cell r="EU16" t="str">
            <v>Housing Recovery and Reconstruction Platform</v>
          </cell>
          <cell r="EV16" t="str">
            <v/>
          </cell>
          <cell r="EW16" t="str">
            <v>DIstrict Information Management Officer</v>
          </cell>
          <cell r="EX16" t="str">
            <v/>
          </cell>
          <cell r="EY16" t="str">
            <v>Housing Recovery and Reconstruction Platform</v>
          </cell>
          <cell r="EZ16" t="str">
            <v/>
          </cell>
          <cell r="FA16" t="str">
            <v>District Technical Officer</v>
          </cell>
          <cell r="FB16" t="str">
            <v/>
          </cell>
        </row>
        <row r="17">
          <cell r="A17">
            <v>9007</v>
          </cell>
          <cell r="B17" t="str">
            <v>Sankhuwasabha</v>
          </cell>
          <cell r="C17" t="str">
            <v>Makalu Gaunpalika</v>
          </cell>
          <cell r="D17">
            <v>73</v>
          </cell>
          <cell r="E17">
            <v>207</v>
          </cell>
          <cell r="F17">
            <v>280</v>
          </cell>
          <cell r="G17" t="str">
            <v>Stone and cement mortar masonry</v>
          </cell>
          <cell r="H17">
            <v>0</v>
          </cell>
          <cell r="I17">
            <v>0.6</v>
          </cell>
          <cell r="J17" t="str">
            <v>Stone and Mud Mortar Masonary</v>
          </cell>
          <cell r="K17">
            <v>99.29</v>
          </cell>
          <cell r="L17">
            <v>77</v>
          </cell>
          <cell r="M17" t="str">
            <v>Brick and Cement Mortar Masonary</v>
          </cell>
          <cell r="N17">
            <v>0</v>
          </cell>
          <cell r="O17">
            <v>0.33</v>
          </cell>
          <cell r="P17" t="str">
            <v>Brick and mud mortar Masonry</v>
          </cell>
          <cell r="Q17">
            <v>0</v>
          </cell>
          <cell r="R17">
            <v>0.51</v>
          </cell>
          <cell r="S17" t="str">
            <v>Reinforced cement concrete (RCC) frame</v>
          </cell>
          <cell r="T17">
            <v>0</v>
          </cell>
          <cell r="U17">
            <v>0.51</v>
          </cell>
          <cell r="V17" t="str">
            <v>Hybrid structure</v>
          </cell>
          <cell r="W17">
            <v>0</v>
          </cell>
          <cell r="X17">
            <v>0</v>
          </cell>
          <cell r="Y17" t="str">
            <v>Timber frame structure</v>
          </cell>
          <cell r="Z17">
            <v>0.36</v>
          </cell>
          <cell r="AA17">
            <v>0.8</v>
          </cell>
          <cell r="AB17" t="str">
            <v>Hollow concrete block Masonry</v>
          </cell>
          <cell r="AC17">
            <v>0</v>
          </cell>
          <cell r="AD17">
            <v>0</v>
          </cell>
          <cell r="AE17" t="str">
            <v>Dry stone Masonry</v>
          </cell>
          <cell r="AF17">
            <v>0</v>
          </cell>
          <cell r="AG17">
            <v>0.28999999999999998</v>
          </cell>
          <cell r="AH17" t="str">
            <v>Adobe structures</v>
          </cell>
          <cell r="AI17">
            <v>0</v>
          </cell>
          <cell r="AJ17">
            <v>18.559999999999999</v>
          </cell>
          <cell r="AK17" t="str">
            <v>Bamboo</v>
          </cell>
          <cell r="AL17">
            <v>0.36</v>
          </cell>
          <cell r="AM17">
            <v>1.4</v>
          </cell>
          <cell r="AN17" t="str">
            <v>Compressed stabilized earth block (SCEB) Masonry</v>
          </cell>
          <cell r="AO17">
            <v>0</v>
          </cell>
          <cell r="AP17">
            <v>0</v>
          </cell>
          <cell r="AQ17" t="str">
            <v>Light steel frame structures</v>
          </cell>
          <cell r="AR17">
            <v>0</v>
          </cell>
          <cell r="AS17">
            <v>0</v>
          </cell>
          <cell r="AT17">
            <v>188</v>
          </cell>
          <cell r="AU17">
            <v>39</v>
          </cell>
          <cell r="AV17">
            <v>39</v>
          </cell>
          <cell r="AW17">
            <v>1</v>
          </cell>
          <cell r="AX17">
            <v>0</v>
          </cell>
          <cell r="AY17" t="str">
            <v/>
          </cell>
          <cell r="AZ17" t="str">
            <v/>
          </cell>
          <cell r="BA17">
            <v>13</v>
          </cell>
          <cell r="BB17" t="str">
            <v/>
          </cell>
          <cell r="BC17" t="str">
            <v/>
          </cell>
          <cell r="BD17" t="str">
            <v/>
          </cell>
          <cell r="BE17" t="str">
            <v/>
          </cell>
          <cell r="BF17" t="str">
            <v/>
          </cell>
          <cell r="BG17" t="str">
            <v/>
          </cell>
          <cell r="BH17" t="str">
            <v/>
          </cell>
          <cell r="BI17" t="str">
            <v/>
          </cell>
          <cell r="BJ17" t="str">
            <v/>
          </cell>
          <cell r="BK17">
            <v>1096</v>
          </cell>
          <cell r="BL17" t="str">
            <v/>
          </cell>
          <cell r="BM17" t="str">
            <v/>
          </cell>
          <cell r="BN17">
            <v>1165</v>
          </cell>
          <cell r="BO17" t="str">
            <v/>
          </cell>
          <cell r="BP17" t="str">
            <v/>
          </cell>
          <cell r="BQ17">
            <v>117</v>
          </cell>
          <cell r="BR17" t="str">
            <v/>
          </cell>
          <cell r="BS17" t="str">
            <v/>
          </cell>
          <cell r="BT17">
            <v>137</v>
          </cell>
          <cell r="BU17" t="str">
            <v/>
          </cell>
          <cell r="BV17" t="str">
            <v/>
          </cell>
          <cell r="BW17" t="str">
            <v/>
          </cell>
          <cell r="BX17" t="str">
            <v/>
          </cell>
          <cell r="BY17" t="str">
            <v/>
          </cell>
          <cell r="BZ17">
            <v>3820</v>
          </cell>
          <cell r="CA17" t="str">
            <v/>
          </cell>
          <cell r="CB17" t="str">
            <v/>
          </cell>
          <cell r="CC17">
            <v>11775</v>
          </cell>
          <cell r="CD17" t="str">
            <v/>
          </cell>
          <cell r="CE17" t="str">
            <v/>
          </cell>
          <cell r="CF17">
            <v>156</v>
          </cell>
          <cell r="CG17" t="str">
            <v/>
          </cell>
          <cell r="CH17" t="str">
            <v/>
          </cell>
          <cell r="CI17">
            <v>2634</v>
          </cell>
          <cell r="CJ17" t="str">
            <v/>
          </cell>
          <cell r="CK17" t="str">
            <v/>
          </cell>
          <cell r="CL17" t="str">
            <v>Skilled</v>
          </cell>
          <cell r="CM17" t="str">
            <v/>
          </cell>
          <cell r="CN17" t="str">
            <v>Labor</v>
          </cell>
          <cell r="CO17" t="str">
            <v/>
          </cell>
          <cell r="CP17" t="str">
            <v/>
          </cell>
          <cell r="CQ17" t="str">
            <v/>
          </cell>
          <cell r="CR17" t="str">
            <v/>
          </cell>
          <cell r="CS17" t="str">
            <v/>
          </cell>
          <cell r="CT17" t="str">
            <v/>
          </cell>
          <cell r="CU17" t="str">
            <v/>
          </cell>
          <cell r="CV17" t="str">
            <v>Municipal Office</v>
          </cell>
          <cell r="CW17" t="str">
            <v/>
          </cell>
          <cell r="CX17" t="str">
            <v>Chairman</v>
          </cell>
          <cell r="CY17" t="str">
            <v/>
          </cell>
          <cell r="CZ17" t="str">
            <v>Municipal Office</v>
          </cell>
          <cell r="DA17" t="str">
            <v/>
          </cell>
          <cell r="DB17" t="str">
            <v>Deputy Chairman</v>
          </cell>
          <cell r="DC17" t="str">
            <v/>
          </cell>
          <cell r="DD17" t="str">
            <v>Municipal Office</v>
          </cell>
          <cell r="DE17" t="str">
            <v/>
          </cell>
          <cell r="DF17" t="str">
            <v>Chief Adminstration Officer</v>
          </cell>
          <cell r="DG17" t="str">
            <v/>
          </cell>
          <cell r="DH17" t="str">
            <v>NRA/GMALI</v>
          </cell>
          <cell r="DI17" t="str">
            <v/>
          </cell>
          <cell r="DJ17" t="str">
            <v>NRA Chief-District</v>
          </cell>
          <cell r="DK17" t="str">
            <v/>
          </cell>
          <cell r="DL17" t="str">
            <v>DLPIU-Building</v>
          </cell>
          <cell r="DM17" t="str">
            <v/>
          </cell>
          <cell r="DN17" t="str">
            <v>DUDBC.DLPIU Chief</v>
          </cell>
          <cell r="DO17" t="str">
            <v/>
          </cell>
          <cell r="DP17" t="str">
            <v>Municipal Office</v>
          </cell>
          <cell r="DQ17" t="str">
            <v/>
          </cell>
          <cell r="DR17" t="str">
            <v>Focal Person</v>
          </cell>
          <cell r="DS17" t="str">
            <v/>
          </cell>
          <cell r="DT17" t="str">
            <v/>
          </cell>
          <cell r="DU17" t="str">
            <v/>
          </cell>
          <cell r="DV17" t="str">
            <v/>
          </cell>
          <cell r="DW17" t="str">
            <v/>
          </cell>
          <cell r="DX17" t="str">
            <v/>
          </cell>
          <cell r="DY17" t="str">
            <v/>
          </cell>
          <cell r="DZ17" t="str">
            <v/>
          </cell>
          <cell r="EA17" t="str">
            <v/>
          </cell>
          <cell r="EB17" t="str">
            <v/>
          </cell>
          <cell r="EC17" t="str">
            <v/>
          </cell>
          <cell r="ED17" t="str">
            <v/>
          </cell>
          <cell r="EE17" t="str">
            <v/>
          </cell>
          <cell r="EF17" t="str">
            <v/>
          </cell>
          <cell r="EG17" t="str">
            <v/>
          </cell>
          <cell r="EH17" t="str">
            <v/>
          </cell>
          <cell r="EI17" t="str">
            <v/>
          </cell>
          <cell r="EJ17">
            <v>0</v>
          </cell>
          <cell r="EK17">
            <v>0</v>
          </cell>
          <cell r="EL17">
            <v>0</v>
          </cell>
          <cell r="EM17">
            <v>0</v>
          </cell>
          <cell r="EN17">
            <v>0</v>
          </cell>
          <cell r="EO17">
            <v>0</v>
          </cell>
          <cell r="EP17" t="str">
            <v/>
          </cell>
          <cell r="EQ17" t="str">
            <v>Housing Recovery and Reconstruction Platform</v>
          </cell>
          <cell r="ER17" t="str">
            <v/>
          </cell>
          <cell r="ES17" t="str">
            <v>District Coordinator</v>
          </cell>
          <cell r="ET17" t="str">
            <v/>
          </cell>
          <cell r="EU17" t="str">
            <v>Housing Recovery and Reconstruction Platform</v>
          </cell>
          <cell r="EV17" t="str">
            <v/>
          </cell>
          <cell r="EW17" t="str">
            <v>DIstrict Information Management Officer</v>
          </cell>
          <cell r="EX17" t="str">
            <v/>
          </cell>
          <cell r="EY17" t="str">
            <v>Housing Recovery and Reconstruction Platform</v>
          </cell>
          <cell r="EZ17" t="str">
            <v/>
          </cell>
          <cell r="FA17" t="str">
            <v>District Technical Officer</v>
          </cell>
          <cell r="FB17" t="str">
            <v/>
          </cell>
        </row>
        <row r="18">
          <cell r="A18">
            <v>9008</v>
          </cell>
          <cell r="B18" t="str">
            <v>Sankhuwasabha</v>
          </cell>
          <cell r="C18" t="str">
            <v>Panchakhapan Nagarpalika</v>
          </cell>
          <cell r="D18">
            <v>187</v>
          </cell>
          <cell r="E18">
            <v>230</v>
          </cell>
          <cell r="F18">
            <v>417</v>
          </cell>
          <cell r="G18" t="str">
            <v>Stone and cement mortar masonry</v>
          </cell>
          <cell r="H18">
            <v>0</v>
          </cell>
          <cell r="I18">
            <v>0.6</v>
          </cell>
          <cell r="J18" t="str">
            <v>Stone and Mud Mortar Masonary</v>
          </cell>
          <cell r="K18">
            <v>89.69</v>
          </cell>
          <cell r="L18">
            <v>77</v>
          </cell>
          <cell r="M18" t="str">
            <v>Brick and Cement Mortar Masonary</v>
          </cell>
          <cell r="N18">
            <v>0</v>
          </cell>
          <cell r="O18">
            <v>0.33</v>
          </cell>
          <cell r="P18" t="str">
            <v>Brick and mud mortar Masonry</v>
          </cell>
          <cell r="Q18">
            <v>1.92</v>
          </cell>
          <cell r="R18">
            <v>0.51</v>
          </cell>
          <cell r="S18" t="str">
            <v>Reinforced cement concrete (RCC) frame</v>
          </cell>
          <cell r="T18">
            <v>0.24</v>
          </cell>
          <cell r="U18">
            <v>0.51</v>
          </cell>
          <cell r="V18" t="str">
            <v>Hybrid structure</v>
          </cell>
          <cell r="W18">
            <v>0</v>
          </cell>
          <cell r="X18">
            <v>0</v>
          </cell>
          <cell r="Y18" t="str">
            <v>Timber frame structure</v>
          </cell>
          <cell r="Z18">
            <v>0.24</v>
          </cell>
          <cell r="AA18">
            <v>0.8</v>
          </cell>
          <cell r="AB18" t="str">
            <v>Hollow concrete block Masonry</v>
          </cell>
          <cell r="AC18">
            <v>0</v>
          </cell>
          <cell r="AD18">
            <v>0</v>
          </cell>
          <cell r="AE18" t="str">
            <v>Dry stone Masonry</v>
          </cell>
          <cell r="AF18">
            <v>0</v>
          </cell>
          <cell r="AG18">
            <v>0.28999999999999998</v>
          </cell>
          <cell r="AH18" t="str">
            <v>Adobe structures</v>
          </cell>
          <cell r="AI18">
            <v>6.95</v>
          </cell>
          <cell r="AJ18">
            <v>18.559999999999999</v>
          </cell>
          <cell r="AK18" t="str">
            <v>Bamboo</v>
          </cell>
          <cell r="AL18">
            <v>0.96</v>
          </cell>
          <cell r="AM18">
            <v>1.4</v>
          </cell>
          <cell r="AN18" t="str">
            <v>Compressed stabilized earth block (SCEB) Masonry</v>
          </cell>
          <cell r="AO18">
            <v>0</v>
          </cell>
          <cell r="AP18">
            <v>0</v>
          </cell>
          <cell r="AQ18" t="str">
            <v>Light steel frame structures</v>
          </cell>
          <cell r="AR18">
            <v>0</v>
          </cell>
          <cell r="AS18">
            <v>0</v>
          </cell>
          <cell r="AT18">
            <v>157</v>
          </cell>
          <cell r="AU18">
            <v>55</v>
          </cell>
          <cell r="AV18">
            <v>55</v>
          </cell>
          <cell r="AW18">
            <v>29</v>
          </cell>
          <cell r="AX18">
            <v>0</v>
          </cell>
          <cell r="AY18" t="str">
            <v/>
          </cell>
          <cell r="AZ18" t="str">
            <v/>
          </cell>
          <cell r="BA18">
            <v>56</v>
          </cell>
          <cell r="BB18" t="str">
            <v/>
          </cell>
          <cell r="BC18" t="str">
            <v/>
          </cell>
          <cell r="BD18" t="str">
            <v/>
          </cell>
          <cell r="BE18" t="str">
            <v/>
          </cell>
          <cell r="BF18" t="str">
            <v/>
          </cell>
          <cell r="BG18" t="str">
            <v/>
          </cell>
          <cell r="BH18" t="str">
            <v/>
          </cell>
          <cell r="BI18" t="str">
            <v/>
          </cell>
          <cell r="BJ18" t="str">
            <v/>
          </cell>
          <cell r="BK18">
            <v>1545</v>
          </cell>
          <cell r="BL18" t="str">
            <v/>
          </cell>
          <cell r="BM18" t="str">
            <v/>
          </cell>
          <cell r="BN18">
            <v>1585</v>
          </cell>
          <cell r="BO18" t="str">
            <v/>
          </cell>
          <cell r="BP18" t="str">
            <v/>
          </cell>
          <cell r="BQ18">
            <v>165</v>
          </cell>
          <cell r="BR18" t="str">
            <v/>
          </cell>
          <cell r="BS18" t="str">
            <v/>
          </cell>
          <cell r="BT18">
            <v>191</v>
          </cell>
          <cell r="BU18" t="str">
            <v/>
          </cell>
          <cell r="BV18" t="str">
            <v/>
          </cell>
          <cell r="BW18" t="str">
            <v/>
          </cell>
          <cell r="BX18" t="str">
            <v/>
          </cell>
          <cell r="BY18" t="str">
            <v/>
          </cell>
          <cell r="BZ18">
            <v>5285</v>
          </cell>
          <cell r="CA18" t="str">
            <v/>
          </cell>
          <cell r="CB18" t="str">
            <v/>
          </cell>
          <cell r="CC18">
            <v>16787</v>
          </cell>
          <cell r="CD18" t="str">
            <v/>
          </cell>
          <cell r="CE18" t="str">
            <v/>
          </cell>
          <cell r="CF18">
            <v>216</v>
          </cell>
          <cell r="CG18" t="str">
            <v/>
          </cell>
          <cell r="CH18" t="str">
            <v/>
          </cell>
          <cell r="CI18">
            <v>20058</v>
          </cell>
          <cell r="CJ18" t="str">
            <v/>
          </cell>
          <cell r="CK18" t="str">
            <v/>
          </cell>
          <cell r="CL18" t="str">
            <v>Skilled</v>
          </cell>
          <cell r="CM18" t="str">
            <v/>
          </cell>
          <cell r="CN18" t="str">
            <v>Labor</v>
          </cell>
          <cell r="CO18" t="str">
            <v/>
          </cell>
          <cell r="CP18" t="str">
            <v/>
          </cell>
          <cell r="CQ18" t="str">
            <v/>
          </cell>
          <cell r="CR18" t="str">
            <v/>
          </cell>
          <cell r="CS18" t="str">
            <v/>
          </cell>
          <cell r="CT18" t="str">
            <v/>
          </cell>
          <cell r="CU18" t="str">
            <v/>
          </cell>
          <cell r="CV18" t="str">
            <v>Municipal Office</v>
          </cell>
          <cell r="CW18" t="str">
            <v/>
          </cell>
          <cell r="CX18" t="str">
            <v>Mayor</v>
          </cell>
          <cell r="CY18" t="str">
            <v/>
          </cell>
          <cell r="CZ18" t="str">
            <v>Municipal Office</v>
          </cell>
          <cell r="DA18" t="str">
            <v/>
          </cell>
          <cell r="DB18" t="str">
            <v>Deputy Mayor</v>
          </cell>
          <cell r="DC18" t="str">
            <v/>
          </cell>
          <cell r="DD18" t="str">
            <v>Municipal Office</v>
          </cell>
          <cell r="DE18" t="str">
            <v/>
          </cell>
          <cell r="DF18" t="str">
            <v>Chief Adminstration Officer</v>
          </cell>
          <cell r="DG18" t="str">
            <v/>
          </cell>
          <cell r="DH18" t="str">
            <v>NRA/GMALI</v>
          </cell>
          <cell r="DI18" t="str">
            <v/>
          </cell>
          <cell r="DJ18" t="str">
            <v>NRA Chief-District</v>
          </cell>
          <cell r="DK18" t="str">
            <v/>
          </cell>
          <cell r="DL18" t="str">
            <v>DLPIU-Building</v>
          </cell>
          <cell r="DM18" t="str">
            <v/>
          </cell>
          <cell r="DN18" t="str">
            <v>DUDBC.DLPIU Chief</v>
          </cell>
          <cell r="DO18" t="str">
            <v/>
          </cell>
          <cell r="DP18" t="str">
            <v>Municipal Office</v>
          </cell>
          <cell r="DQ18" t="str">
            <v/>
          </cell>
          <cell r="DR18" t="str">
            <v>Focal Person</v>
          </cell>
          <cell r="DS18" t="str">
            <v/>
          </cell>
          <cell r="DT18" t="str">
            <v/>
          </cell>
          <cell r="DU18" t="str">
            <v/>
          </cell>
          <cell r="DV18" t="str">
            <v/>
          </cell>
          <cell r="DW18" t="str">
            <v/>
          </cell>
          <cell r="DX18" t="str">
            <v/>
          </cell>
          <cell r="DY18" t="str">
            <v/>
          </cell>
          <cell r="DZ18" t="str">
            <v/>
          </cell>
          <cell r="EA18" t="str">
            <v/>
          </cell>
          <cell r="EB18" t="str">
            <v/>
          </cell>
          <cell r="EC18" t="str">
            <v/>
          </cell>
          <cell r="ED18" t="str">
            <v/>
          </cell>
          <cell r="EE18" t="str">
            <v/>
          </cell>
          <cell r="EF18" t="str">
            <v/>
          </cell>
          <cell r="EG18" t="str">
            <v/>
          </cell>
          <cell r="EH18" t="str">
            <v/>
          </cell>
          <cell r="EI18" t="str">
            <v/>
          </cell>
          <cell r="EJ18">
            <v>0</v>
          </cell>
          <cell r="EK18">
            <v>0</v>
          </cell>
          <cell r="EL18">
            <v>0</v>
          </cell>
          <cell r="EM18">
            <v>0</v>
          </cell>
          <cell r="EN18">
            <v>0</v>
          </cell>
          <cell r="EO18">
            <v>0</v>
          </cell>
          <cell r="EP18" t="str">
            <v/>
          </cell>
          <cell r="EQ18" t="str">
            <v>Housing Recovery and Reconstruction Platform</v>
          </cell>
          <cell r="ER18" t="str">
            <v/>
          </cell>
          <cell r="ES18" t="str">
            <v>District Coordinator</v>
          </cell>
          <cell r="ET18" t="str">
            <v/>
          </cell>
          <cell r="EU18" t="str">
            <v>Housing Recovery and Reconstruction Platform</v>
          </cell>
          <cell r="EV18" t="str">
            <v/>
          </cell>
          <cell r="EW18" t="str">
            <v>DIstrict Information Management Officer</v>
          </cell>
          <cell r="EX18" t="str">
            <v/>
          </cell>
          <cell r="EY18" t="str">
            <v>Housing Recovery and Reconstruction Platform</v>
          </cell>
          <cell r="EZ18" t="str">
            <v/>
          </cell>
          <cell r="FA18" t="str">
            <v>District Technical Officer</v>
          </cell>
          <cell r="FB18" t="str">
            <v/>
          </cell>
        </row>
        <row r="19">
          <cell r="A19">
            <v>9009</v>
          </cell>
          <cell r="B19" t="str">
            <v>Sankhuwasabha</v>
          </cell>
          <cell r="C19" t="str">
            <v>Sabhapokhari Gaunpalika</v>
          </cell>
          <cell r="D19">
            <v>31</v>
          </cell>
          <cell r="E19">
            <v>127</v>
          </cell>
          <cell r="F19">
            <v>158</v>
          </cell>
          <cell r="G19" t="str">
            <v>Stone and cement mortar masonry</v>
          </cell>
          <cell r="H19">
            <v>0</v>
          </cell>
          <cell r="I19">
            <v>0.6</v>
          </cell>
          <cell r="J19" t="str">
            <v>Stone and Mud Mortar Masonary</v>
          </cell>
          <cell r="K19">
            <v>72.150000000000006</v>
          </cell>
          <cell r="L19">
            <v>77</v>
          </cell>
          <cell r="M19" t="str">
            <v>Brick and Cement Mortar Masonary</v>
          </cell>
          <cell r="N19">
            <v>0</v>
          </cell>
          <cell r="O19">
            <v>0.33</v>
          </cell>
          <cell r="P19" t="str">
            <v>Brick and mud mortar Masonry</v>
          </cell>
          <cell r="Q19">
            <v>0</v>
          </cell>
          <cell r="R19">
            <v>0.51</v>
          </cell>
          <cell r="S19" t="str">
            <v>Reinforced cement concrete (RCC) frame</v>
          </cell>
          <cell r="T19">
            <v>0</v>
          </cell>
          <cell r="U19">
            <v>0.51</v>
          </cell>
          <cell r="V19" t="str">
            <v>Hybrid structure</v>
          </cell>
          <cell r="W19">
            <v>0</v>
          </cell>
          <cell r="X19">
            <v>0</v>
          </cell>
          <cell r="Y19" t="str">
            <v>Timber frame structure</v>
          </cell>
          <cell r="Z19">
            <v>0</v>
          </cell>
          <cell r="AA19">
            <v>0.8</v>
          </cell>
          <cell r="AB19" t="str">
            <v>Hollow concrete block Masonry</v>
          </cell>
          <cell r="AC19">
            <v>0</v>
          </cell>
          <cell r="AD19">
            <v>0</v>
          </cell>
          <cell r="AE19" t="str">
            <v>Dry stone Masonry</v>
          </cell>
          <cell r="AF19">
            <v>0</v>
          </cell>
          <cell r="AG19">
            <v>0.28999999999999998</v>
          </cell>
          <cell r="AH19" t="str">
            <v>Adobe structures</v>
          </cell>
          <cell r="AI19">
            <v>27.85</v>
          </cell>
          <cell r="AJ19">
            <v>18.559999999999999</v>
          </cell>
          <cell r="AK19" t="str">
            <v>Bamboo</v>
          </cell>
          <cell r="AL19">
            <v>0</v>
          </cell>
          <cell r="AM19">
            <v>1.4</v>
          </cell>
          <cell r="AN19" t="str">
            <v>Compressed stabilized earth block (SCEB) Masonry</v>
          </cell>
          <cell r="AO19">
            <v>0</v>
          </cell>
          <cell r="AP19">
            <v>0</v>
          </cell>
          <cell r="AQ19" t="str">
            <v>Light steel frame structures</v>
          </cell>
          <cell r="AR19">
            <v>0</v>
          </cell>
          <cell r="AS19">
            <v>0</v>
          </cell>
          <cell r="AT19">
            <v>73</v>
          </cell>
          <cell r="AU19">
            <v>17</v>
          </cell>
          <cell r="AV19">
            <v>17</v>
          </cell>
          <cell r="AW19">
            <v>6</v>
          </cell>
          <cell r="AX19">
            <v>0</v>
          </cell>
          <cell r="AY19" t="str">
            <v/>
          </cell>
          <cell r="AZ19" t="str">
            <v/>
          </cell>
          <cell r="BA19">
            <v>41</v>
          </cell>
          <cell r="BB19" t="str">
            <v/>
          </cell>
          <cell r="BC19" t="str">
            <v/>
          </cell>
          <cell r="BD19" t="str">
            <v/>
          </cell>
          <cell r="BE19" t="str">
            <v/>
          </cell>
          <cell r="BF19" t="str">
            <v/>
          </cell>
          <cell r="BG19" t="str">
            <v/>
          </cell>
          <cell r="BH19" t="str">
            <v/>
          </cell>
          <cell r="BI19" t="str">
            <v/>
          </cell>
          <cell r="BJ19" t="str">
            <v/>
          </cell>
          <cell r="BK19">
            <v>485</v>
          </cell>
          <cell r="BL19" t="str">
            <v/>
          </cell>
          <cell r="BM19" t="str">
            <v/>
          </cell>
          <cell r="BN19">
            <v>500</v>
          </cell>
          <cell r="BO19" t="str">
            <v/>
          </cell>
          <cell r="BP19" t="str">
            <v/>
          </cell>
          <cell r="BQ19">
            <v>52</v>
          </cell>
          <cell r="BR19" t="str">
            <v/>
          </cell>
          <cell r="BS19" t="str">
            <v/>
          </cell>
          <cell r="BT19">
            <v>60</v>
          </cell>
          <cell r="BU19" t="str">
            <v/>
          </cell>
          <cell r="BV19" t="str">
            <v/>
          </cell>
          <cell r="BW19" t="str">
            <v/>
          </cell>
          <cell r="BX19" t="str">
            <v/>
          </cell>
          <cell r="BY19" t="str">
            <v/>
          </cell>
          <cell r="BZ19">
            <v>1663</v>
          </cell>
          <cell r="CA19" t="str">
            <v/>
          </cell>
          <cell r="CB19" t="str">
            <v/>
          </cell>
          <cell r="CC19">
            <v>5261</v>
          </cell>
          <cell r="CD19" t="str">
            <v/>
          </cell>
          <cell r="CE19" t="str">
            <v/>
          </cell>
          <cell r="CF19">
            <v>68</v>
          </cell>
          <cell r="CG19" t="str">
            <v/>
          </cell>
          <cell r="CH19" t="str">
            <v/>
          </cell>
          <cell r="CI19">
            <v>5614</v>
          </cell>
          <cell r="CJ19" t="str">
            <v/>
          </cell>
          <cell r="CK19" t="str">
            <v/>
          </cell>
          <cell r="CL19" t="str">
            <v>Skilled</v>
          </cell>
          <cell r="CM19" t="str">
            <v/>
          </cell>
          <cell r="CN19" t="str">
            <v>Labor</v>
          </cell>
          <cell r="CO19" t="str">
            <v/>
          </cell>
          <cell r="CP19" t="str">
            <v/>
          </cell>
          <cell r="CQ19" t="str">
            <v/>
          </cell>
          <cell r="CR19" t="str">
            <v/>
          </cell>
          <cell r="CS19" t="str">
            <v/>
          </cell>
          <cell r="CT19" t="str">
            <v/>
          </cell>
          <cell r="CU19" t="str">
            <v/>
          </cell>
          <cell r="CV19" t="str">
            <v>Municipal Office</v>
          </cell>
          <cell r="CW19" t="str">
            <v/>
          </cell>
          <cell r="CX19" t="str">
            <v>Chairman</v>
          </cell>
          <cell r="CY19" t="str">
            <v/>
          </cell>
          <cell r="CZ19" t="str">
            <v>Municipal Office</v>
          </cell>
          <cell r="DA19" t="str">
            <v/>
          </cell>
          <cell r="DB19" t="str">
            <v>Deputy Chairman</v>
          </cell>
          <cell r="DC19" t="str">
            <v/>
          </cell>
          <cell r="DD19" t="str">
            <v>Municipal Office</v>
          </cell>
          <cell r="DE19" t="str">
            <v/>
          </cell>
          <cell r="DF19" t="str">
            <v>Chief Adminstration Officer</v>
          </cell>
          <cell r="DG19" t="str">
            <v/>
          </cell>
          <cell r="DH19" t="str">
            <v>NRA/GMALI</v>
          </cell>
          <cell r="DI19" t="str">
            <v/>
          </cell>
          <cell r="DJ19" t="str">
            <v>NRA Chief-District</v>
          </cell>
          <cell r="DK19" t="str">
            <v/>
          </cell>
          <cell r="DL19" t="str">
            <v>DLPIU-Building</v>
          </cell>
          <cell r="DM19" t="str">
            <v/>
          </cell>
          <cell r="DN19" t="str">
            <v>DUDBC.DLPIU Chief</v>
          </cell>
          <cell r="DO19" t="str">
            <v/>
          </cell>
          <cell r="DP19" t="str">
            <v>Municipal Office</v>
          </cell>
          <cell r="DQ19" t="str">
            <v/>
          </cell>
          <cell r="DR19" t="str">
            <v>Focal Person</v>
          </cell>
          <cell r="DS19" t="str">
            <v/>
          </cell>
          <cell r="DT19" t="str">
            <v/>
          </cell>
          <cell r="DU19" t="str">
            <v/>
          </cell>
          <cell r="DV19" t="str">
            <v/>
          </cell>
          <cell r="DW19" t="str">
            <v/>
          </cell>
          <cell r="DX19" t="str">
            <v/>
          </cell>
          <cell r="DY19" t="str">
            <v/>
          </cell>
          <cell r="DZ19" t="str">
            <v/>
          </cell>
          <cell r="EA19" t="str">
            <v/>
          </cell>
          <cell r="EB19" t="str">
            <v/>
          </cell>
          <cell r="EC19" t="str">
            <v/>
          </cell>
          <cell r="ED19" t="str">
            <v/>
          </cell>
          <cell r="EE19" t="str">
            <v/>
          </cell>
          <cell r="EF19" t="str">
            <v/>
          </cell>
          <cell r="EG19" t="str">
            <v/>
          </cell>
          <cell r="EH19" t="str">
            <v/>
          </cell>
          <cell r="EI19" t="str">
            <v/>
          </cell>
          <cell r="EJ19">
            <v>0</v>
          </cell>
          <cell r="EK19">
            <v>0</v>
          </cell>
          <cell r="EL19">
            <v>0</v>
          </cell>
          <cell r="EM19">
            <v>0</v>
          </cell>
          <cell r="EN19">
            <v>0</v>
          </cell>
          <cell r="EO19">
            <v>0</v>
          </cell>
          <cell r="EP19" t="str">
            <v/>
          </cell>
          <cell r="EQ19" t="str">
            <v>Housing Recovery and Reconstruction Platform</v>
          </cell>
          <cell r="ER19" t="str">
            <v/>
          </cell>
          <cell r="ES19" t="str">
            <v>District Coordinator</v>
          </cell>
          <cell r="ET19" t="str">
            <v/>
          </cell>
          <cell r="EU19" t="str">
            <v>Housing Recovery and Reconstruction Platform</v>
          </cell>
          <cell r="EV19" t="str">
            <v/>
          </cell>
          <cell r="EW19" t="str">
            <v>DIstrict Information Management Officer</v>
          </cell>
          <cell r="EX19" t="str">
            <v/>
          </cell>
          <cell r="EY19" t="str">
            <v>Housing Recovery and Reconstruction Platform</v>
          </cell>
          <cell r="EZ19" t="str">
            <v/>
          </cell>
          <cell r="FA19" t="str">
            <v>District Technical Officer</v>
          </cell>
          <cell r="FB19" t="str">
            <v/>
          </cell>
        </row>
        <row r="20">
          <cell r="A20">
            <v>9010</v>
          </cell>
          <cell r="B20" t="str">
            <v>Sankhuwasabha</v>
          </cell>
          <cell r="C20" t="str">
            <v>Silichong Gaunpalika</v>
          </cell>
          <cell r="D20">
            <v>40</v>
          </cell>
          <cell r="E20">
            <v>200</v>
          </cell>
          <cell r="F20">
            <v>240</v>
          </cell>
          <cell r="G20" t="str">
            <v>Stone and cement mortar masonry</v>
          </cell>
          <cell r="H20">
            <v>0</v>
          </cell>
          <cell r="I20">
            <v>0.6</v>
          </cell>
          <cell r="J20" t="str">
            <v>Stone and Mud Mortar Masonary</v>
          </cell>
          <cell r="K20">
            <v>98.33</v>
          </cell>
          <cell r="L20">
            <v>77</v>
          </cell>
          <cell r="M20" t="str">
            <v>Brick and Cement Mortar Masonary</v>
          </cell>
          <cell r="N20">
            <v>0</v>
          </cell>
          <cell r="O20">
            <v>0.33</v>
          </cell>
          <cell r="P20" t="str">
            <v>Brick and mud mortar Masonry</v>
          </cell>
          <cell r="Q20">
            <v>0</v>
          </cell>
          <cell r="R20">
            <v>0.51</v>
          </cell>
          <cell r="S20" t="str">
            <v>Reinforced cement concrete (RCC) frame</v>
          </cell>
          <cell r="T20">
            <v>0</v>
          </cell>
          <cell r="U20">
            <v>0.51</v>
          </cell>
          <cell r="V20" t="str">
            <v>Hybrid structure</v>
          </cell>
          <cell r="W20">
            <v>0</v>
          </cell>
          <cell r="X20">
            <v>0</v>
          </cell>
          <cell r="Y20" t="str">
            <v>Timber frame structure</v>
          </cell>
          <cell r="Z20">
            <v>1.25</v>
          </cell>
          <cell r="AA20">
            <v>0.8</v>
          </cell>
          <cell r="AB20" t="str">
            <v>Hollow concrete block Masonry</v>
          </cell>
          <cell r="AC20">
            <v>0</v>
          </cell>
          <cell r="AD20">
            <v>0</v>
          </cell>
          <cell r="AE20" t="str">
            <v>Dry stone Masonry</v>
          </cell>
          <cell r="AF20">
            <v>0.42</v>
          </cell>
          <cell r="AG20">
            <v>0.28999999999999998</v>
          </cell>
          <cell r="AH20" t="str">
            <v>Adobe structures</v>
          </cell>
          <cell r="AI20">
            <v>0</v>
          </cell>
          <cell r="AJ20">
            <v>18.559999999999999</v>
          </cell>
          <cell r="AK20" t="str">
            <v>Bamboo</v>
          </cell>
          <cell r="AL20">
            <v>0</v>
          </cell>
          <cell r="AM20">
            <v>1.4</v>
          </cell>
          <cell r="AN20" t="str">
            <v>Compressed stabilized earth block (SCEB) Masonry</v>
          </cell>
          <cell r="AO20">
            <v>0</v>
          </cell>
          <cell r="AP20">
            <v>0</v>
          </cell>
          <cell r="AQ20" t="str">
            <v>Light steel frame structures</v>
          </cell>
          <cell r="AR20">
            <v>0</v>
          </cell>
          <cell r="AS20">
            <v>0</v>
          </cell>
          <cell r="AT20">
            <v>188</v>
          </cell>
          <cell r="AU20">
            <v>51</v>
          </cell>
          <cell r="AV20">
            <v>51</v>
          </cell>
          <cell r="AW20">
            <v>12</v>
          </cell>
          <cell r="AX20">
            <v>0</v>
          </cell>
          <cell r="AY20" t="str">
            <v/>
          </cell>
          <cell r="AZ20" t="str">
            <v/>
          </cell>
          <cell r="BA20">
            <v>5</v>
          </cell>
          <cell r="BB20" t="str">
            <v/>
          </cell>
          <cell r="BC20" t="str">
            <v/>
          </cell>
          <cell r="BD20" t="str">
            <v/>
          </cell>
          <cell r="BE20" t="str">
            <v/>
          </cell>
          <cell r="BF20" t="str">
            <v/>
          </cell>
          <cell r="BG20" t="str">
            <v/>
          </cell>
          <cell r="BH20" t="str">
            <v/>
          </cell>
          <cell r="BI20" t="str">
            <v/>
          </cell>
          <cell r="BJ20" t="str">
            <v/>
          </cell>
          <cell r="BK20">
            <v>1445</v>
          </cell>
          <cell r="BL20" t="str">
            <v/>
          </cell>
          <cell r="BM20" t="str">
            <v/>
          </cell>
          <cell r="BN20">
            <v>1511</v>
          </cell>
          <cell r="BO20" t="str">
            <v/>
          </cell>
          <cell r="BP20" t="str">
            <v/>
          </cell>
          <cell r="BQ20">
            <v>155</v>
          </cell>
          <cell r="BR20" t="str">
            <v/>
          </cell>
          <cell r="BS20" t="str">
            <v/>
          </cell>
          <cell r="BT20">
            <v>179</v>
          </cell>
          <cell r="BU20" t="str">
            <v/>
          </cell>
          <cell r="BV20" t="str">
            <v/>
          </cell>
          <cell r="BW20" t="str">
            <v/>
          </cell>
          <cell r="BX20" t="str">
            <v/>
          </cell>
          <cell r="BY20" t="str">
            <v/>
          </cell>
          <cell r="BZ20">
            <v>4992</v>
          </cell>
          <cell r="CA20" t="str">
            <v/>
          </cell>
          <cell r="CB20" t="str">
            <v/>
          </cell>
          <cell r="CC20">
            <v>15606</v>
          </cell>
          <cell r="CD20" t="str">
            <v/>
          </cell>
          <cell r="CE20" t="str">
            <v/>
          </cell>
          <cell r="CF20">
            <v>204</v>
          </cell>
          <cell r="CG20" t="str">
            <v/>
          </cell>
          <cell r="CH20" t="str">
            <v/>
          </cell>
          <cell r="CI20">
            <v>10695</v>
          </cell>
          <cell r="CJ20" t="str">
            <v/>
          </cell>
          <cell r="CK20" t="str">
            <v/>
          </cell>
          <cell r="CL20" t="str">
            <v>Skilled</v>
          </cell>
          <cell r="CM20" t="str">
            <v/>
          </cell>
          <cell r="CN20" t="str">
            <v>Labor</v>
          </cell>
          <cell r="CO20" t="str">
            <v/>
          </cell>
          <cell r="CP20" t="str">
            <v/>
          </cell>
          <cell r="CQ20" t="str">
            <v/>
          </cell>
          <cell r="CR20" t="str">
            <v/>
          </cell>
          <cell r="CS20" t="str">
            <v/>
          </cell>
          <cell r="CT20" t="str">
            <v/>
          </cell>
          <cell r="CU20" t="str">
            <v/>
          </cell>
          <cell r="CV20" t="str">
            <v>Municipal Office</v>
          </cell>
          <cell r="CW20" t="str">
            <v/>
          </cell>
          <cell r="CX20" t="str">
            <v>Chairman</v>
          </cell>
          <cell r="CY20" t="str">
            <v/>
          </cell>
          <cell r="CZ20" t="str">
            <v>Municipal Office</v>
          </cell>
          <cell r="DA20" t="str">
            <v/>
          </cell>
          <cell r="DB20" t="str">
            <v>Deputy Chairman</v>
          </cell>
          <cell r="DC20" t="str">
            <v/>
          </cell>
          <cell r="DD20" t="str">
            <v>Municipal Office</v>
          </cell>
          <cell r="DE20" t="str">
            <v/>
          </cell>
          <cell r="DF20" t="str">
            <v>Chief Adminstration Officer</v>
          </cell>
          <cell r="DG20" t="str">
            <v/>
          </cell>
          <cell r="DH20" t="str">
            <v>NRA/GMALI</v>
          </cell>
          <cell r="DI20" t="str">
            <v/>
          </cell>
          <cell r="DJ20" t="str">
            <v>NRA Chief-District</v>
          </cell>
          <cell r="DK20" t="str">
            <v/>
          </cell>
          <cell r="DL20" t="str">
            <v>DLPIU-Building</v>
          </cell>
          <cell r="DM20" t="str">
            <v/>
          </cell>
          <cell r="DN20" t="str">
            <v>DUDBC.DLPIU Chief</v>
          </cell>
          <cell r="DO20" t="str">
            <v/>
          </cell>
          <cell r="DP20" t="str">
            <v>Municipal Office</v>
          </cell>
          <cell r="DQ20" t="str">
            <v/>
          </cell>
          <cell r="DR20" t="str">
            <v>Focal Person</v>
          </cell>
          <cell r="DS20" t="str">
            <v/>
          </cell>
          <cell r="DT20" t="str">
            <v/>
          </cell>
          <cell r="DU20" t="str">
            <v/>
          </cell>
          <cell r="DV20" t="str">
            <v/>
          </cell>
          <cell r="DW20" t="str">
            <v/>
          </cell>
          <cell r="DX20" t="str">
            <v/>
          </cell>
          <cell r="DY20" t="str">
            <v/>
          </cell>
          <cell r="DZ20" t="str">
            <v/>
          </cell>
          <cell r="EA20" t="str">
            <v/>
          </cell>
          <cell r="EB20" t="str">
            <v/>
          </cell>
          <cell r="EC20" t="str">
            <v/>
          </cell>
          <cell r="ED20" t="str">
            <v/>
          </cell>
          <cell r="EE20" t="str">
            <v/>
          </cell>
          <cell r="EF20" t="str">
            <v/>
          </cell>
          <cell r="EG20" t="str">
            <v/>
          </cell>
          <cell r="EH20" t="str">
            <v/>
          </cell>
          <cell r="EI20" t="str">
            <v/>
          </cell>
          <cell r="EJ20">
            <v>0</v>
          </cell>
          <cell r="EK20">
            <v>0</v>
          </cell>
          <cell r="EL20">
            <v>0</v>
          </cell>
          <cell r="EM20">
            <v>0</v>
          </cell>
          <cell r="EN20">
            <v>0</v>
          </cell>
          <cell r="EO20">
            <v>0</v>
          </cell>
          <cell r="EP20" t="str">
            <v/>
          </cell>
          <cell r="EQ20" t="str">
            <v>Housing Recovery and Reconstruction Platform</v>
          </cell>
          <cell r="ER20" t="str">
            <v/>
          </cell>
          <cell r="ES20" t="str">
            <v>District Coordinator</v>
          </cell>
          <cell r="ET20" t="str">
            <v/>
          </cell>
          <cell r="EU20" t="str">
            <v>Housing Recovery and Reconstruction Platform</v>
          </cell>
          <cell r="EV20" t="str">
            <v/>
          </cell>
          <cell r="EW20" t="str">
            <v>DIstrict Information Management Officer</v>
          </cell>
          <cell r="EX20" t="str">
            <v/>
          </cell>
          <cell r="EY20" t="str">
            <v>Housing Recovery and Reconstruction Platform</v>
          </cell>
          <cell r="EZ20" t="str">
            <v/>
          </cell>
          <cell r="FA20" t="str">
            <v>District Technical Officer</v>
          </cell>
          <cell r="FB20" t="str">
            <v/>
          </cell>
        </row>
        <row r="21">
          <cell r="A21">
            <v>10001</v>
          </cell>
          <cell r="B21" t="str">
            <v>Bhojpur</v>
          </cell>
          <cell r="C21" t="str">
            <v>Aamchowk Gaunpalika</v>
          </cell>
          <cell r="D21">
            <v>279</v>
          </cell>
          <cell r="E21">
            <v>413</v>
          </cell>
          <cell r="F21">
            <v>692</v>
          </cell>
          <cell r="G21" t="str">
            <v>Stone and cement mortar masonry</v>
          </cell>
          <cell r="H21">
            <v>0.57999999999999996</v>
          </cell>
          <cell r="I21">
            <v>7.0000000000000007E-2</v>
          </cell>
          <cell r="J21" t="str">
            <v>Stone and Mud Mortar Masonary</v>
          </cell>
          <cell r="K21">
            <v>97.98</v>
          </cell>
          <cell r="L21">
            <v>74.7</v>
          </cell>
          <cell r="M21" t="str">
            <v>Brick and Cement Mortar Masonary</v>
          </cell>
          <cell r="N21">
            <v>0</v>
          </cell>
          <cell r="O21">
            <v>0.02</v>
          </cell>
          <cell r="P21" t="str">
            <v>Brick and mud mortar Masonry</v>
          </cell>
          <cell r="Q21">
            <v>0</v>
          </cell>
          <cell r="R21">
            <v>0.06</v>
          </cell>
          <cell r="S21" t="str">
            <v>Reinforced cement concrete (RCC) frame</v>
          </cell>
          <cell r="T21">
            <v>0</v>
          </cell>
          <cell r="U21">
            <v>0</v>
          </cell>
          <cell r="V21" t="str">
            <v>Hybrid structure</v>
          </cell>
          <cell r="W21">
            <v>0</v>
          </cell>
          <cell r="X21">
            <v>0</v>
          </cell>
          <cell r="Y21" t="str">
            <v>Timber frame structure</v>
          </cell>
          <cell r="Z21">
            <v>1.3</v>
          </cell>
          <cell r="AA21">
            <v>0.73</v>
          </cell>
          <cell r="AB21" t="str">
            <v>Hollow concrete block Masonry</v>
          </cell>
          <cell r="AC21">
            <v>0</v>
          </cell>
          <cell r="AD21">
            <v>0</v>
          </cell>
          <cell r="AE21" t="str">
            <v>Dry stone Masonry</v>
          </cell>
          <cell r="AF21">
            <v>0</v>
          </cell>
          <cell r="AG21">
            <v>0.03</v>
          </cell>
          <cell r="AH21" t="str">
            <v>Adobe structures</v>
          </cell>
          <cell r="AI21">
            <v>0.14000000000000001</v>
          </cell>
          <cell r="AJ21">
            <v>24.05</v>
          </cell>
          <cell r="AK21" t="str">
            <v>Bamboo</v>
          </cell>
          <cell r="AL21">
            <v>0</v>
          </cell>
          <cell r="AM21">
            <v>0.33</v>
          </cell>
          <cell r="AN21" t="str">
            <v>Compressed stabilized earth block (SCEB) Masonry</v>
          </cell>
          <cell r="AO21">
            <v>0</v>
          </cell>
          <cell r="AP21">
            <v>0</v>
          </cell>
          <cell r="AQ21" t="str">
            <v>Light steel frame structures</v>
          </cell>
          <cell r="AR21">
            <v>0</v>
          </cell>
          <cell r="AS21">
            <v>0</v>
          </cell>
          <cell r="AT21">
            <v>407</v>
          </cell>
          <cell r="AU21">
            <v>316</v>
          </cell>
          <cell r="AV21">
            <v>316</v>
          </cell>
          <cell r="AW21">
            <v>0</v>
          </cell>
          <cell r="AX21">
            <v>0</v>
          </cell>
          <cell r="AY21" t="str">
            <v/>
          </cell>
          <cell r="AZ21" t="str">
            <v/>
          </cell>
          <cell r="BA21">
            <v>7</v>
          </cell>
          <cell r="BB21" t="str">
            <v/>
          </cell>
          <cell r="BC21" t="str">
            <v/>
          </cell>
          <cell r="BD21" t="str">
            <v/>
          </cell>
          <cell r="BE21" t="str">
            <v/>
          </cell>
          <cell r="BF21" t="str">
            <v/>
          </cell>
          <cell r="BG21" t="str">
            <v/>
          </cell>
          <cell r="BH21" t="str">
            <v/>
          </cell>
          <cell r="BI21" t="str">
            <v/>
          </cell>
          <cell r="BJ21" t="str">
            <v/>
          </cell>
          <cell r="BK21">
            <v>8822</v>
          </cell>
          <cell r="BL21" t="str">
            <v/>
          </cell>
          <cell r="BM21" t="str">
            <v/>
          </cell>
          <cell r="BN21">
            <v>9415</v>
          </cell>
          <cell r="BO21" t="str">
            <v/>
          </cell>
          <cell r="BP21" t="str">
            <v/>
          </cell>
          <cell r="BQ21">
            <v>945</v>
          </cell>
          <cell r="BR21" t="str">
            <v/>
          </cell>
          <cell r="BS21" t="str">
            <v/>
          </cell>
          <cell r="BT21">
            <v>1101</v>
          </cell>
          <cell r="BU21" t="str">
            <v/>
          </cell>
          <cell r="BV21" t="str">
            <v/>
          </cell>
          <cell r="BW21" t="str">
            <v/>
          </cell>
          <cell r="BX21" t="str">
            <v/>
          </cell>
          <cell r="BY21" t="str">
            <v/>
          </cell>
          <cell r="BZ21">
            <v>30812</v>
          </cell>
          <cell r="CA21" t="str">
            <v/>
          </cell>
          <cell r="CB21" t="str">
            <v/>
          </cell>
          <cell r="CC21">
            <v>94647</v>
          </cell>
          <cell r="CD21" t="str">
            <v/>
          </cell>
          <cell r="CE21" t="str">
            <v/>
          </cell>
          <cell r="CF21">
            <v>1258</v>
          </cell>
          <cell r="CG21" t="str">
            <v/>
          </cell>
          <cell r="CH21" t="str">
            <v/>
          </cell>
          <cell r="CI21">
            <v>10697</v>
          </cell>
          <cell r="CJ21" t="str">
            <v/>
          </cell>
          <cell r="CK21" t="str">
            <v/>
          </cell>
          <cell r="CL21" t="str">
            <v>Skilled</v>
          </cell>
          <cell r="CM21" t="str">
            <v/>
          </cell>
          <cell r="CN21" t="str">
            <v>Labor</v>
          </cell>
          <cell r="CO21" t="str">
            <v/>
          </cell>
          <cell r="CP21" t="str">
            <v/>
          </cell>
          <cell r="CQ21" t="str">
            <v/>
          </cell>
          <cell r="CR21" t="str">
            <v/>
          </cell>
          <cell r="CS21" t="str">
            <v/>
          </cell>
          <cell r="CT21" t="str">
            <v/>
          </cell>
          <cell r="CU21" t="str">
            <v/>
          </cell>
          <cell r="CV21" t="str">
            <v>Municipal Office</v>
          </cell>
          <cell r="CW21" t="str">
            <v/>
          </cell>
          <cell r="CX21" t="str">
            <v>Chairman</v>
          </cell>
          <cell r="CY21" t="str">
            <v/>
          </cell>
          <cell r="CZ21" t="str">
            <v>Municipal Office</v>
          </cell>
          <cell r="DA21" t="str">
            <v/>
          </cell>
          <cell r="DB21" t="str">
            <v>Deputy Chairman</v>
          </cell>
          <cell r="DC21" t="str">
            <v/>
          </cell>
          <cell r="DD21" t="str">
            <v>Municipal Office</v>
          </cell>
          <cell r="DE21" t="str">
            <v/>
          </cell>
          <cell r="DF21" t="str">
            <v>Chief Adminstration Officer</v>
          </cell>
          <cell r="DG21" t="str">
            <v/>
          </cell>
          <cell r="DH21" t="str">
            <v>NRA/GMALI</v>
          </cell>
          <cell r="DI21" t="str">
            <v/>
          </cell>
          <cell r="DJ21" t="str">
            <v>NRA Chief-District</v>
          </cell>
          <cell r="DK21" t="str">
            <v/>
          </cell>
          <cell r="DL21" t="str">
            <v>DLPIU-Building</v>
          </cell>
          <cell r="DM21" t="str">
            <v/>
          </cell>
          <cell r="DN21" t="str">
            <v>DUDBC.DLPIU Chief</v>
          </cell>
          <cell r="DO21" t="str">
            <v/>
          </cell>
          <cell r="DP21" t="str">
            <v>Municipal Office</v>
          </cell>
          <cell r="DQ21" t="str">
            <v/>
          </cell>
          <cell r="DR21" t="str">
            <v>Focal Person</v>
          </cell>
          <cell r="DS21" t="str">
            <v/>
          </cell>
          <cell r="DT21" t="str">
            <v/>
          </cell>
          <cell r="DU21" t="str">
            <v/>
          </cell>
          <cell r="DV21" t="str">
            <v/>
          </cell>
          <cell r="DW21" t="str">
            <v/>
          </cell>
          <cell r="DX21" t="str">
            <v/>
          </cell>
          <cell r="DY21" t="str">
            <v/>
          </cell>
          <cell r="DZ21" t="str">
            <v/>
          </cell>
          <cell r="EA21" t="str">
            <v/>
          </cell>
          <cell r="EB21" t="str">
            <v/>
          </cell>
          <cell r="EC21" t="str">
            <v/>
          </cell>
          <cell r="ED21" t="str">
            <v/>
          </cell>
          <cell r="EE21" t="str">
            <v/>
          </cell>
          <cell r="EF21" t="str">
            <v/>
          </cell>
          <cell r="EG21" t="str">
            <v/>
          </cell>
          <cell r="EH21" t="str">
            <v/>
          </cell>
          <cell r="EI21" t="str">
            <v/>
          </cell>
          <cell r="EJ21">
            <v>0</v>
          </cell>
          <cell r="EK21">
            <v>0</v>
          </cell>
          <cell r="EL21">
            <v>0</v>
          </cell>
          <cell r="EM21">
            <v>0</v>
          </cell>
          <cell r="EN21">
            <v>0</v>
          </cell>
          <cell r="EO21">
            <v>0</v>
          </cell>
          <cell r="EP21" t="str">
            <v/>
          </cell>
          <cell r="EQ21" t="str">
            <v>Housing Recovery and Reconstruction Platform</v>
          </cell>
          <cell r="ER21" t="str">
            <v/>
          </cell>
          <cell r="ES21" t="str">
            <v>District Coordinator</v>
          </cell>
          <cell r="ET21" t="str">
            <v/>
          </cell>
          <cell r="EU21" t="str">
            <v>Housing Recovery and Reconstruction Platform</v>
          </cell>
          <cell r="EV21" t="str">
            <v/>
          </cell>
          <cell r="EW21" t="str">
            <v>DIstrict Information Management Officer</v>
          </cell>
          <cell r="EX21" t="str">
            <v/>
          </cell>
          <cell r="EY21" t="str">
            <v>Housing Recovery and Reconstruction Platform</v>
          </cell>
          <cell r="EZ21" t="str">
            <v/>
          </cell>
          <cell r="FA21" t="str">
            <v>District Technical Officer</v>
          </cell>
          <cell r="FB21" t="str">
            <v/>
          </cell>
        </row>
        <row r="22">
          <cell r="A22">
            <v>10002</v>
          </cell>
          <cell r="B22" t="str">
            <v>Bhojpur</v>
          </cell>
          <cell r="C22" t="str">
            <v>Arun Gaunpalika</v>
          </cell>
          <cell r="D22">
            <v>306</v>
          </cell>
          <cell r="E22">
            <v>415</v>
          </cell>
          <cell r="F22">
            <v>721</v>
          </cell>
          <cell r="G22" t="str">
            <v>Stone and cement mortar masonry</v>
          </cell>
          <cell r="H22">
            <v>0</v>
          </cell>
          <cell r="I22">
            <v>7.0000000000000007E-2</v>
          </cell>
          <cell r="J22" t="str">
            <v>Stone and Mud Mortar Masonary</v>
          </cell>
          <cell r="K22">
            <v>99.58</v>
          </cell>
          <cell r="L22">
            <v>74.7</v>
          </cell>
          <cell r="M22" t="str">
            <v>Brick and Cement Mortar Masonary</v>
          </cell>
          <cell r="N22">
            <v>0</v>
          </cell>
          <cell r="O22">
            <v>0.02</v>
          </cell>
          <cell r="P22" t="str">
            <v>Brick and mud mortar Masonry</v>
          </cell>
          <cell r="Q22">
            <v>0.28000000000000003</v>
          </cell>
          <cell r="R22">
            <v>0.06</v>
          </cell>
          <cell r="S22" t="str">
            <v>Reinforced cement concrete (RCC) frame</v>
          </cell>
          <cell r="T22">
            <v>0</v>
          </cell>
          <cell r="U22">
            <v>0</v>
          </cell>
          <cell r="V22" t="str">
            <v>Hybrid structure</v>
          </cell>
          <cell r="W22">
            <v>0</v>
          </cell>
          <cell r="X22">
            <v>0</v>
          </cell>
          <cell r="Y22" t="str">
            <v>Timber frame structure</v>
          </cell>
          <cell r="Z22">
            <v>0.14000000000000001</v>
          </cell>
          <cell r="AA22">
            <v>0.73</v>
          </cell>
          <cell r="AB22" t="str">
            <v>Hollow concrete block Masonry</v>
          </cell>
          <cell r="AC22">
            <v>0</v>
          </cell>
          <cell r="AD22">
            <v>0</v>
          </cell>
          <cell r="AE22" t="str">
            <v>Dry stone Masonry</v>
          </cell>
          <cell r="AF22">
            <v>0</v>
          </cell>
          <cell r="AG22">
            <v>0.03</v>
          </cell>
          <cell r="AH22" t="str">
            <v>Adobe structures</v>
          </cell>
          <cell r="AI22">
            <v>0</v>
          </cell>
          <cell r="AJ22">
            <v>24.05</v>
          </cell>
          <cell r="AK22" t="str">
            <v>Bamboo</v>
          </cell>
          <cell r="AL22">
            <v>0</v>
          </cell>
          <cell r="AM22">
            <v>0.33</v>
          </cell>
          <cell r="AN22" t="str">
            <v>Compressed stabilized earth block (SCEB) Masonry</v>
          </cell>
          <cell r="AO22">
            <v>0</v>
          </cell>
          <cell r="AP22">
            <v>0</v>
          </cell>
          <cell r="AQ22" t="str">
            <v>Light steel frame structures</v>
          </cell>
          <cell r="AR22">
            <v>0</v>
          </cell>
          <cell r="AS22">
            <v>0</v>
          </cell>
          <cell r="AT22">
            <v>341</v>
          </cell>
          <cell r="AU22">
            <v>219</v>
          </cell>
          <cell r="AV22">
            <v>219</v>
          </cell>
          <cell r="AW22">
            <v>108</v>
          </cell>
          <cell r="AX22">
            <v>0</v>
          </cell>
          <cell r="AY22" t="str">
            <v/>
          </cell>
          <cell r="AZ22" t="str">
            <v/>
          </cell>
          <cell r="BA22">
            <v>69</v>
          </cell>
          <cell r="BB22" t="str">
            <v/>
          </cell>
          <cell r="BC22" t="str">
            <v/>
          </cell>
          <cell r="BD22" t="str">
            <v/>
          </cell>
          <cell r="BE22" t="str">
            <v/>
          </cell>
          <cell r="BF22" t="str">
            <v/>
          </cell>
          <cell r="BG22" t="str">
            <v/>
          </cell>
          <cell r="BH22" t="str">
            <v/>
          </cell>
          <cell r="BI22" t="str">
            <v/>
          </cell>
          <cell r="BJ22" t="str">
            <v/>
          </cell>
          <cell r="BK22">
            <v>6144</v>
          </cell>
          <cell r="BL22" t="str">
            <v/>
          </cell>
          <cell r="BM22" t="str">
            <v/>
          </cell>
          <cell r="BN22">
            <v>6557</v>
          </cell>
          <cell r="BO22" t="str">
            <v/>
          </cell>
          <cell r="BP22" t="str">
            <v/>
          </cell>
          <cell r="BQ22">
            <v>658</v>
          </cell>
          <cell r="BR22" t="str">
            <v/>
          </cell>
          <cell r="BS22" t="str">
            <v/>
          </cell>
          <cell r="BT22">
            <v>767</v>
          </cell>
          <cell r="BU22" t="str">
            <v/>
          </cell>
          <cell r="BV22" t="str">
            <v/>
          </cell>
          <cell r="BW22" t="str">
            <v/>
          </cell>
          <cell r="BX22" t="str">
            <v/>
          </cell>
          <cell r="BY22" t="str">
            <v/>
          </cell>
          <cell r="BZ22">
            <v>21458</v>
          </cell>
          <cell r="CA22" t="str">
            <v/>
          </cell>
          <cell r="CB22" t="str">
            <v/>
          </cell>
          <cell r="CC22">
            <v>65911</v>
          </cell>
          <cell r="CD22" t="str">
            <v/>
          </cell>
          <cell r="CE22" t="str">
            <v/>
          </cell>
          <cell r="CF22">
            <v>876</v>
          </cell>
          <cell r="CG22" t="str">
            <v/>
          </cell>
          <cell r="CH22" t="str">
            <v/>
          </cell>
          <cell r="CI22">
            <v>7377</v>
          </cell>
          <cell r="CJ22" t="str">
            <v/>
          </cell>
          <cell r="CK22" t="str">
            <v/>
          </cell>
          <cell r="CL22" t="str">
            <v>Skilled</v>
          </cell>
          <cell r="CM22" t="str">
            <v/>
          </cell>
          <cell r="CN22" t="str">
            <v>Labor</v>
          </cell>
          <cell r="CO22" t="str">
            <v/>
          </cell>
          <cell r="CP22" t="str">
            <v/>
          </cell>
          <cell r="CQ22" t="str">
            <v/>
          </cell>
          <cell r="CR22" t="str">
            <v/>
          </cell>
          <cell r="CS22" t="str">
            <v/>
          </cell>
          <cell r="CT22" t="str">
            <v/>
          </cell>
          <cell r="CU22" t="str">
            <v/>
          </cell>
          <cell r="CV22" t="str">
            <v>Municipal Office</v>
          </cell>
          <cell r="CW22" t="str">
            <v/>
          </cell>
          <cell r="CX22" t="str">
            <v>Chairman</v>
          </cell>
          <cell r="CY22" t="str">
            <v/>
          </cell>
          <cell r="CZ22" t="str">
            <v>Municipal Office</v>
          </cell>
          <cell r="DA22" t="str">
            <v/>
          </cell>
          <cell r="DB22" t="str">
            <v>Deputy Chairman</v>
          </cell>
          <cell r="DC22" t="str">
            <v/>
          </cell>
          <cell r="DD22" t="str">
            <v>Municipal Office</v>
          </cell>
          <cell r="DE22" t="str">
            <v/>
          </cell>
          <cell r="DF22" t="str">
            <v>Chief Adminstration Officer</v>
          </cell>
          <cell r="DG22" t="str">
            <v/>
          </cell>
          <cell r="DH22" t="str">
            <v>NRA/GMALI</v>
          </cell>
          <cell r="DI22" t="str">
            <v/>
          </cell>
          <cell r="DJ22" t="str">
            <v>NRA Chief-District</v>
          </cell>
          <cell r="DK22" t="str">
            <v/>
          </cell>
          <cell r="DL22" t="str">
            <v>DLPIU-Building</v>
          </cell>
          <cell r="DM22" t="str">
            <v/>
          </cell>
          <cell r="DN22" t="str">
            <v>DUDBC.DLPIU Chief</v>
          </cell>
          <cell r="DO22" t="str">
            <v/>
          </cell>
          <cell r="DP22" t="str">
            <v>Municipal Office</v>
          </cell>
          <cell r="DQ22" t="str">
            <v/>
          </cell>
          <cell r="DR22" t="str">
            <v>Focal Person</v>
          </cell>
          <cell r="DS22" t="str">
            <v/>
          </cell>
          <cell r="DT22" t="str">
            <v/>
          </cell>
          <cell r="DU22" t="str">
            <v/>
          </cell>
          <cell r="DV22" t="str">
            <v/>
          </cell>
          <cell r="DW22" t="str">
            <v/>
          </cell>
          <cell r="DX22" t="str">
            <v/>
          </cell>
          <cell r="DY22" t="str">
            <v/>
          </cell>
          <cell r="DZ22" t="str">
            <v/>
          </cell>
          <cell r="EA22" t="str">
            <v/>
          </cell>
          <cell r="EB22" t="str">
            <v/>
          </cell>
          <cell r="EC22" t="str">
            <v/>
          </cell>
          <cell r="ED22" t="str">
            <v/>
          </cell>
          <cell r="EE22" t="str">
            <v/>
          </cell>
          <cell r="EF22" t="str">
            <v/>
          </cell>
          <cell r="EG22" t="str">
            <v/>
          </cell>
          <cell r="EH22" t="str">
            <v/>
          </cell>
          <cell r="EI22" t="str">
            <v/>
          </cell>
          <cell r="EJ22">
            <v>0</v>
          </cell>
          <cell r="EK22">
            <v>0</v>
          </cell>
          <cell r="EL22">
            <v>0</v>
          </cell>
          <cell r="EM22">
            <v>0</v>
          </cell>
          <cell r="EN22">
            <v>0</v>
          </cell>
          <cell r="EO22">
            <v>0</v>
          </cell>
          <cell r="EP22" t="str">
            <v/>
          </cell>
          <cell r="EQ22" t="str">
            <v>Housing Recovery and Reconstruction Platform</v>
          </cell>
          <cell r="ER22" t="str">
            <v/>
          </cell>
          <cell r="ES22" t="str">
            <v>District Coordinator</v>
          </cell>
          <cell r="ET22" t="str">
            <v/>
          </cell>
          <cell r="EU22" t="str">
            <v>Housing Recovery and Reconstruction Platform</v>
          </cell>
          <cell r="EV22" t="str">
            <v/>
          </cell>
          <cell r="EW22" t="str">
            <v>DIstrict Information Management Officer</v>
          </cell>
          <cell r="EX22" t="str">
            <v/>
          </cell>
          <cell r="EY22" t="str">
            <v>Housing Recovery and Reconstruction Platform</v>
          </cell>
          <cell r="EZ22" t="str">
            <v/>
          </cell>
          <cell r="FA22" t="str">
            <v>District Technical Officer</v>
          </cell>
          <cell r="FB22" t="str">
            <v/>
          </cell>
        </row>
        <row r="23">
          <cell r="A23">
            <v>10003</v>
          </cell>
          <cell r="B23" t="str">
            <v>Bhojpur</v>
          </cell>
          <cell r="C23" t="str">
            <v>Bhojpur Nagarpalika</v>
          </cell>
          <cell r="D23">
            <v>756</v>
          </cell>
          <cell r="E23">
            <v>1170</v>
          </cell>
          <cell r="F23">
            <v>1926</v>
          </cell>
          <cell r="G23" t="str">
            <v>Stone and cement mortar masonry</v>
          </cell>
          <cell r="H23">
            <v>0</v>
          </cell>
          <cell r="I23">
            <v>7.0000000000000007E-2</v>
          </cell>
          <cell r="J23" t="str">
            <v>Stone and Mud Mortar Masonary</v>
          </cell>
          <cell r="K23">
            <v>15.47</v>
          </cell>
          <cell r="L23">
            <v>74.7</v>
          </cell>
          <cell r="M23" t="str">
            <v>Brick and Cement Mortar Masonary</v>
          </cell>
          <cell r="N23">
            <v>0.1</v>
          </cell>
          <cell r="O23">
            <v>0.02</v>
          </cell>
          <cell r="P23" t="str">
            <v>Brick and mud mortar Masonry</v>
          </cell>
          <cell r="Q23">
            <v>0.05</v>
          </cell>
          <cell r="R23">
            <v>0.06</v>
          </cell>
          <cell r="S23" t="str">
            <v>Reinforced cement concrete (RCC) frame</v>
          </cell>
          <cell r="T23">
            <v>0</v>
          </cell>
          <cell r="U23">
            <v>0</v>
          </cell>
          <cell r="V23" t="str">
            <v>Hybrid structure</v>
          </cell>
          <cell r="W23">
            <v>0</v>
          </cell>
          <cell r="X23">
            <v>0</v>
          </cell>
          <cell r="Y23" t="str">
            <v>Timber frame structure</v>
          </cell>
          <cell r="Z23">
            <v>0.05</v>
          </cell>
          <cell r="AA23">
            <v>0.73</v>
          </cell>
          <cell r="AB23" t="str">
            <v>Hollow concrete block Masonry</v>
          </cell>
          <cell r="AC23">
            <v>0</v>
          </cell>
          <cell r="AD23">
            <v>0</v>
          </cell>
          <cell r="AE23" t="str">
            <v>Dry stone Masonry</v>
          </cell>
          <cell r="AF23">
            <v>0</v>
          </cell>
          <cell r="AG23">
            <v>0.03</v>
          </cell>
          <cell r="AH23" t="str">
            <v>Adobe structures</v>
          </cell>
          <cell r="AI23">
            <v>84.16</v>
          </cell>
          <cell r="AJ23">
            <v>24.05</v>
          </cell>
          <cell r="AK23" t="str">
            <v>Bamboo</v>
          </cell>
          <cell r="AL23">
            <v>0.16</v>
          </cell>
          <cell r="AM23">
            <v>0.33</v>
          </cell>
          <cell r="AN23" t="str">
            <v>Compressed stabilized earth block (SCEB) Masonry</v>
          </cell>
          <cell r="AO23">
            <v>0</v>
          </cell>
          <cell r="AP23">
            <v>0</v>
          </cell>
          <cell r="AQ23" t="str">
            <v>Light steel frame structures</v>
          </cell>
          <cell r="AR23">
            <v>0</v>
          </cell>
          <cell r="AS23">
            <v>0</v>
          </cell>
          <cell r="AT23">
            <v>1071</v>
          </cell>
          <cell r="AU23">
            <v>359</v>
          </cell>
          <cell r="AV23">
            <v>359</v>
          </cell>
          <cell r="AW23">
            <v>107</v>
          </cell>
          <cell r="AX23">
            <v>0</v>
          </cell>
          <cell r="AY23" t="str">
            <v/>
          </cell>
          <cell r="AZ23" t="str">
            <v/>
          </cell>
          <cell r="BA23">
            <v>68</v>
          </cell>
          <cell r="BB23" t="str">
            <v/>
          </cell>
          <cell r="BC23" t="str">
            <v/>
          </cell>
          <cell r="BD23" t="str">
            <v/>
          </cell>
          <cell r="BE23" t="str">
            <v/>
          </cell>
          <cell r="BF23" t="str">
            <v/>
          </cell>
          <cell r="BG23" t="str">
            <v/>
          </cell>
          <cell r="BH23" t="str">
            <v/>
          </cell>
          <cell r="BI23" t="str">
            <v/>
          </cell>
          <cell r="BJ23" t="str">
            <v/>
          </cell>
          <cell r="BK23">
            <v>7368</v>
          </cell>
          <cell r="BL23" t="str">
            <v/>
          </cell>
          <cell r="BM23" t="str">
            <v/>
          </cell>
          <cell r="BN23">
            <v>7522</v>
          </cell>
          <cell r="BO23" t="str">
            <v/>
          </cell>
          <cell r="BP23" t="str">
            <v/>
          </cell>
          <cell r="BQ23">
            <v>787</v>
          </cell>
          <cell r="BR23" t="str">
            <v/>
          </cell>
          <cell r="BS23" t="str">
            <v/>
          </cell>
          <cell r="BT23">
            <v>908</v>
          </cell>
          <cell r="BU23" t="str">
            <v/>
          </cell>
          <cell r="BV23" t="str">
            <v/>
          </cell>
          <cell r="BW23" t="str">
            <v/>
          </cell>
          <cell r="BX23" t="str">
            <v/>
          </cell>
          <cell r="BY23" t="str">
            <v/>
          </cell>
          <cell r="BZ23">
            <v>25137</v>
          </cell>
          <cell r="CA23" t="str">
            <v/>
          </cell>
          <cell r="CB23" t="str">
            <v/>
          </cell>
          <cell r="CC23">
            <v>80207</v>
          </cell>
          <cell r="CD23" t="str">
            <v/>
          </cell>
          <cell r="CE23" t="str">
            <v/>
          </cell>
          <cell r="CF23">
            <v>1029</v>
          </cell>
          <cell r="CG23" t="str">
            <v/>
          </cell>
          <cell r="CH23" t="str">
            <v/>
          </cell>
          <cell r="CI23">
            <v>107240</v>
          </cell>
          <cell r="CJ23" t="str">
            <v/>
          </cell>
          <cell r="CK23" t="str">
            <v/>
          </cell>
          <cell r="CL23" t="str">
            <v>Skilled</v>
          </cell>
          <cell r="CM23" t="str">
            <v/>
          </cell>
          <cell r="CN23" t="str">
            <v>Labor</v>
          </cell>
          <cell r="CO23" t="str">
            <v/>
          </cell>
          <cell r="CP23" t="str">
            <v/>
          </cell>
          <cell r="CQ23" t="str">
            <v/>
          </cell>
          <cell r="CR23" t="str">
            <v/>
          </cell>
          <cell r="CS23" t="str">
            <v/>
          </cell>
          <cell r="CT23" t="str">
            <v/>
          </cell>
          <cell r="CU23" t="str">
            <v/>
          </cell>
          <cell r="CV23" t="str">
            <v>Municipal Office</v>
          </cell>
          <cell r="CW23" t="str">
            <v/>
          </cell>
          <cell r="CX23" t="str">
            <v>Mayor</v>
          </cell>
          <cell r="CY23" t="str">
            <v/>
          </cell>
          <cell r="CZ23" t="str">
            <v>Municipal Office</v>
          </cell>
          <cell r="DA23" t="str">
            <v/>
          </cell>
          <cell r="DB23" t="str">
            <v>Deputy Mayor</v>
          </cell>
          <cell r="DC23" t="str">
            <v/>
          </cell>
          <cell r="DD23" t="str">
            <v>Municipal Office</v>
          </cell>
          <cell r="DE23" t="str">
            <v/>
          </cell>
          <cell r="DF23" t="str">
            <v>Chief Adminstration Officer</v>
          </cell>
          <cell r="DG23" t="str">
            <v/>
          </cell>
          <cell r="DH23" t="str">
            <v>NRA/GMALI</v>
          </cell>
          <cell r="DI23" t="str">
            <v/>
          </cell>
          <cell r="DJ23" t="str">
            <v>NRA Chief-District</v>
          </cell>
          <cell r="DK23" t="str">
            <v/>
          </cell>
          <cell r="DL23" t="str">
            <v>DLPIU-Building</v>
          </cell>
          <cell r="DM23" t="str">
            <v/>
          </cell>
          <cell r="DN23" t="str">
            <v>DUDBC.DLPIU Chief</v>
          </cell>
          <cell r="DO23" t="str">
            <v/>
          </cell>
          <cell r="DP23" t="str">
            <v>Municipal Office</v>
          </cell>
          <cell r="DQ23" t="str">
            <v/>
          </cell>
          <cell r="DR23" t="str">
            <v>Focal Person</v>
          </cell>
          <cell r="DS23" t="str">
            <v/>
          </cell>
          <cell r="DT23" t="str">
            <v/>
          </cell>
          <cell r="DU23" t="str">
            <v/>
          </cell>
          <cell r="DV23" t="str">
            <v/>
          </cell>
          <cell r="DW23" t="str">
            <v/>
          </cell>
          <cell r="DX23" t="str">
            <v/>
          </cell>
          <cell r="DY23" t="str">
            <v/>
          </cell>
          <cell r="DZ23" t="str">
            <v/>
          </cell>
          <cell r="EA23" t="str">
            <v/>
          </cell>
          <cell r="EB23" t="str">
            <v/>
          </cell>
          <cell r="EC23" t="str">
            <v/>
          </cell>
          <cell r="ED23" t="str">
            <v/>
          </cell>
          <cell r="EE23" t="str">
            <v/>
          </cell>
          <cell r="EF23" t="str">
            <v/>
          </cell>
          <cell r="EG23" t="str">
            <v/>
          </cell>
          <cell r="EH23" t="str">
            <v/>
          </cell>
          <cell r="EI23" t="str">
            <v/>
          </cell>
          <cell r="EJ23">
            <v>0</v>
          </cell>
          <cell r="EK23">
            <v>0</v>
          </cell>
          <cell r="EL23">
            <v>0</v>
          </cell>
          <cell r="EM23">
            <v>0</v>
          </cell>
          <cell r="EN23">
            <v>0</v>
          </cell>
          <cell r="EO23">
            <v>0</v>
          </cell>
          <cell r="EP23" t="str">
            <v/>
          </cell>
          <cell r="EQ23" t="str">
            <v>Housing Recovery and Reconstruction Platform</v>
          </cell>
          <cell r="ER23" t="str">
            <v/>
          </cell>
          <cell r="ES23" t="str">
            <v>District Coordinator</v>
          </cell>
          <cell r="ET23" t="str">
            <v/>
          </cell>
          <cell r="EU23" t="str">
            <v>Housing Recovery and Reconstruction Platform</v>
          </cell>
          <cell r="EV23" t="str">
            <v/>
          </cell>
          <cell r="EW23" t="str">
            <v>DIstrict Information Management Officer</v>
          </cell>
          <cell r="EX23" t="str">
            <v/>
          </cell>
          <cell r="EY23" t="str">
            <v>Housing Recovery and Reconstruction Platform</v>
          </cell>
          <cell r="EZ23" t="str">
            <v/>
          </cell>
          <cell r="FA23" t="str">
            <v>District Technical Officer</v>
          </cell>
          <cell r="FB23" t="str">
            <v/>
          </cell>
        </row>
        <row r="24">
          <cell r="A24">
            <v>10004</v>
          </cell>
          <cell r="B24" t="str">
            <v>Bhojpur</v>
          </cell>
          <cell r="C24" t="str">
            <v>Hatuwagadhi Gaunpalika</v>
          </cell>
          <cell r="D24">
            <v>217</v>
          </cell>
          <cell r="E24">
            <v>263</v>
          </cell>
          <cell r="F24">
            <v>480</v>
          </cell>
          <cell r="G24" t="str">
            <v>Stone and cement mortar masonry</v>
          </cell>
          <cell r="H24">
            <v>0.63</v>
          </cell>
          <cell r="I24">
            <v>7.0000000000000007E-2</v>
          </cell>
          <cell r="J24" t="str">
            <v>Stone and Mud Mortar Masonary</v>
          </cell>
          <cell r="K24">
            <v>32.08</v>
          </cell>
          <cell r="L24">
            <v>74.7</v>
          </cell>
          <cell r="M24" t="str">
            <v>Brick and Cement Mortar Masonary</v>
          </cell>
          <cell r="N24">
            <v>0</v>
          </cell>
          <cell r="O24">
            <v>0.02</v>
          </cell>
          <cell r="P24" t="str">
            <v>Brick and mud mortar Masonry</v>
          </cell>
          <cell r="Q24">
            <v>0</v>
          </cell>
          <cell r="R24">
            <v>0.06</v>
          </cell>
          <cell r="S24" t="str">
            <v>Reinforced cement concrete (RCC) frame</v>
          </cell>
          <cell r="T24">
            <v>0</v>
          </cell>
          <cell r="U24">
            <v>0</v>
          </cell>
          <cell r="V24" t="str">
            <v>Hybrid structure</v>
          </cell>
          <cell r="W24">
            <v>0</v>
          </cell>
          <cell r="X24">
            <v>0</v>
          </cell>
          <cell r="Y24" t="str">
            <v>Timber frame structure</v>
          </cell>
          <cell r="Z24">
            <v>0</v>
          </cell>
          <cell r="AA24">
            <v>0.73</v>
          </cell>
          <cell r="AB24" t="str">
            <v>Hollow concrete block Masonry</v>
          </cell>
          <cell r="AC24">
            <v>0</v>
          </cell>
          <cell r="AD24">
            <v>0</v>
          </cell>
          <cell r="AE24" t="str">
            <v>Dry stone Masonry</v>
          </cell>
          <cell r="AF24">
            <v>0</v>
          </cell>
          <cell r="AG24">
            <v>0.03</v>
          </cell>
          <cell r="AH24" t="str">
            <v>Adobe structures</v>
          </cell>
          <cell r="AI24">
            <v>67.290000000000006</v>
          </cell>
          <cell r="AJ24">
            <v>24.05</v>
          </cell>
          <cell r="AK24" t="str">
            <v>Bamboo</v>
          </cell>
          <cell r="AL24">
            <v>0</v>
          </cell>
          <cell r="AM24">
            <v>0.33</v>
          </cell>
          <cell r="AN24" t="str">
            <v>Compressed stabilized earth block (SCEB) Masonry</v>
          </cell>
          <cell r="AO24">
            <v>0</v>
          </cell>
          <cell r="AP24">
            <v>0</v>
          </cell>
          <cell r="AQ24" t="str">
            <v>Light steel frame structures</v>
          </cell>
          <cell r="AR24">
            <v>0</v>
          </cell>
          <cell r="AS24">
            <v>0</v>
          </cell>
          <cell r="AT24">
            <v>265</v>
          </cell>
          <cell r="AU24">
            <v>173</v>
          </cell>
          <cell r="AV24">
            <v>173</v>
          </cell>
          <cell r="AW24">
            <v>32</v>
          </cell>
          <cell r="AX24">
            <v>0</v>
          </cell>
          <cell r="AY24" t="str">
            <v/>
          </cell>
          <cell r="AZ24" t="str">
            <v/>
          </cell>
          <cell r="BA24">
            <v>0</v>
          </cell>
          <cell r="BB24" t="str">
            <v/>
          </cell>
          <cell r="BC24" t="str">
            <v/>
          </cell>
          <cell r="BD24" t="str">
            <v/>
          </cell>
          <cell r="BE24" t="str">
            <v/>
          </cell>
          <cell r="BF24" t="str">
            <v/>
          </cell>
          <cell r="BG24" t="str">
            <v/>
          </cell>
          <cell r="BH24" t="str">
            <v/>
          </cell>
          <cell r="BI24" t="str">
            <v/>
          </cell>
          <cell r="BJ24" t="str">
            <v/>
          </cell>
          <cell r="BK24">
            <v>4869</v>
          </cell>
          <cell r="BL24" t="str">
            <v/>
          </cell>
          <cell r="BM24" t="str">
            <v/>
          </cell>
          <cell r="BN24">
            <v>5121</v>
          </cell>
          <cell r="BO24" t="str">
            <v/>
          </cell>
          <cell r="BP24" t="str">
            <v/>
          </cell>
          <cell r="BQ24">
            <v>521</v>
          </cell>
          <cell r="BR24" t="str">
            <v/>
          </cell>
          <cell r="BS24" t="str">
            <v/>
          </cell>
          <cell r="BT24">
            <v>605</v>
          </cell>
          <cell r="BU24" t="str">
            <v/>
          </cell>
          <cell r="BV24" t="str">
            <v/>
          </cell>
          <cell r="BW24" t="str">
            <v/>
          </cell>
          <cell r="BX24" t="str">
            <v/>
          </cell>
          <cell r="BY24" t="str">
            <v/>
          </cell>
          <cell r="BZ24">
            <v>16874</v>
          </cell>
          <cell r="CA24" t="str">
            <v/>
          </cell>
          <cell r="CB24" t="str">
            <v/>
          </cell>
          <cell r="CC24">
            <v>52492</v>
          </cell>
          <cell r="CD24" t="str">
            <v/>
          </cell>
          <cell r="CE24" t="str">
            <v/>
          </cell>
          <cell r="CF24">
            <v>689</v>
          </cell>
          <cell r="CG24" t="str">
            <v/>
          </cell>
          <cell r="CH24" t="str">
            <v/>
          </cell>
          <cell r="CI24">
            <v>27588</v>
          </cell>
          <cell r="CJ24" t="str">
            <v/>
          </cell>
          <cell r="CK24" t="str">
            <v/>
          </cell>
          <cell r="CL24" t="str">
            <v>Skilled</v>
          </cell>
          <cell r="CM24" t="str">
            <v/>
          </cell>
          <cell r="CN24" t="str">
            <v>Labor</v>
          </cell>
          <cell r="CO24" t="str">
            <v/>
          </cell>
          <cell r="CP24" t="str">
            <v/>
          </cell>
          <cell r="CQ24" t="str">
            <v/>
          </cell>
          <cell r="CR24" t="str">
            <v/>
          </cell>
          <cell r="CS24" t="str">
            <v/>
          </cell>
          <cell r="CT24" t="str">
            <v/>
          </cell>
          <cell r="CU24" t="str">
            <v/>
          </cell>
          <cell r="CV24" t="str">
            <v>Municipal Office</v>
          </cell>
          <cell r="CW24" t="str">
            <v/>
          </cell>
          <cell r="CX24" t="str">
            <v>Chairman</v>
          </cell>
          <cell r="CY24" t="str">
            <v/>
          </cell>
          <cell r="CZ24" t="str">
            <v>Municipal Office</v>
          </cell>
          <cell r="DA24" t="str">
            <v/>
          </cell>
          <cell r="DB24" t="str">
            <v>Deputy Chairman</v>
          </cell>
          <cell r="DC24" t="str">
            <v/>
          </cell>
          <cell r="DD24" t="str">
            <v>Municipal Office</v>
          </cell>
          <cell r="DE24" t="str">
            <v/>
          </cell>
          <cell r="DF24" t="str">
            <v>Chief Adminstration Officer</v>
          </cell>
          <cell r="DG24" t="str">
            <v/>
          </cell>
          <cell r="DH24" t="str">
            <v>NRA/GMALI</v>
          </cell>
          <cell r="DI24" t="str">
            <v/>
          </cell>
          <cell r="DJ24" t="str">
            <v>NRA Chief-District</v>
          </cell>
          <cell r="DK24" t="str">
            <v/>
          </cell>
          <cell r="DL24" t="str">
            <v>DLPIU-Building</v>
          </cell>
          <cell r="DM24" t="str">
            <v/>
          </cell>
          <cell r="DN24" t="str">
            <v>DUDBC.DLPIU Chief</v>
          </cell>
          <cell r="DO24" t="str">
            <v/>
          </cell>
          <cell r="DP24" t="str">
            <v>Municipal Office</v>
          </cell>
          <cell r="DQ24" t="str">
            <v/>
          </cell>
          <cell r="DR24" t="str">
            <v>Focal Person</v>
          </cell>
          <cell r="DS24" t="str">
            <v/>
          </cell>
          <cell r="DT24" t="str">
            <v/>
          </cell>
          <cell r="DU24" t="str">
            <v/>
          </cell>
          <cell r="DV24" t="str">
            <v/>
          </cell>
          <cell r="DW24" t="str">
            <v/>
          </cell>
          <cell r="DX24" t="str">
            <v/>
          </cell>
          <cell r="DY24" t="str">
            <v/>
          </cell>
          <cell r="DZ24" t="str">
            <v/>
          </cell>
          <cell r="EA24" t="str">
            <v/>
          </cell>
          <cell r="EB24" t="str">
            <v/>
          </cell>
          <cell r="EC24" t="str">
            <v/>
          </cell>
          <cell r="ED24" t="str">
            <v/>
          </cell>
          <cell r="EE24" t="str">
            <v/>
          </cell>
          <cell r="EF24" t="str">
            <v/>
          </cell>
          <cell r="EG24" t="str">
            <v/>
          </cell>
          <cell r="EH24" t="str">
            <v/>
          </cell>
          <cell r="EI24" t="str">
            <v/>
          </cell>
          <cell r="EJ24">
            <v>0</v>
          </cell>
          <cell r="EK24">
            <v>0</v>
          </cell>
          <cell r="EL24">
            <v>0</v>
          </cell>
          <cell r="EM24">
            <v>0</v>
          </cell>
          <cell r="EN24">
            <v>0</v>
          </cell>
          <cell r="EO24">
            <v>0</v>
          </cell>
          <cell r="EP24" t="str">
            <v/>
          </cell>
          <cell r="EQ24" t="str">
            <v>Housing Recovery and Reconstruction Platform</v>
          </cell>
          <cell r="ER24" t="str">
            <v/>
          </cell>
          <cell r="ES24" t="str">
            <v>District Coordinator</v>
          </cell>
          <cell r="ET24" t="str">
            <v/>
          </cell>
          <cell r="EU24" t="str">
            <v>Housing Recovery and Reconstruction Platform</v>
          </cell>
          <cell r="EV24" t="str">
            <v/>
          </cell>
          <cell r="EW24" t="str">
            <v>DIstrict Information Management Officer</v>
          </cell>
          <cell r="EX24" t="str">
            <v/>
          </cell>
          <cell r="EY24" t="str">
            <v>Housing Recovery and Reconstruction Platform</v>
          </cell>
          <cell r="EZ24" t="str">
            <v/>
          </cell>
          <cell r="FA24" t="str">
            <v>District Technical Officer</v>
          </cell>
          <cell r="FB24" t="str">
            <v/>
          </cell>
        </row>
        <row r="25">
          <cell r="A25">
            <v>10005</v>
          </cell>
          <cell r="B25" t="str">
            <v>Bhojpur</v>
          </cell>
          <cell r="C25" t="str">
            <v>Pauwadungma Gaunpalika</v>
          </cell>
          <cell r="D25">
            <v>104</v>
          </cell>
          <cell r="E25">
            <v>406</v>
          </cell>
          <cell r="F25">
            <v>510</v>
          </cell>
          <cell r="G25" t="str">
            <v>Stone and cement mortar masonry</v>
          </cell>
          <cell r="H25">
            <v>0</v>
          </cell>
          <cell r="I25">
            <v>7.0000000000000007E-2</v>
          </cell>
          <cell r="J25" t="str">
            <v>Stone and Mud Mortar Masonary</v>
          </cell>
          <cell r="K25">
            <v>99.02</v>
          </cell>
          <cell r="L25">
            <v>74.7</v>
          </cell>
          <cell r="M25" t="str">
            <v>Brick and Cement Mortar Masonary</v>
          </cell>
          <cell r="N25">
            <v>0</v>
          </cell>
          <cell r="O25">
            <v>0.02</v>
          </cell>
          <cell r="P25" t="str">
            <v>Brick and mud mortar Masonry</v>
          </cell>
          <cell r="Q25">
            <v>0</v>
          </cell>
          <cell r="R25">
            <v>0.06</v>
          </cell>
          <cell r="S25" t="str">
            <v>Reinforced cement concrete (RCC) frame</v>
          </cell>
          <cell r="T25">
            <v>0</v>
          </cell>
          <cell r="U25">
            <v>0</v>
          </cell>
          <cell r="V25" t="str">
            <v>Hybrid structure</v>
          </cell>
          <cell r="W25">
            <v>0</v>
          </cell>
          <cell r="X25">
            <v>0</v>
          </cell>
          <cell r="Y25" t="str">
            <v>Timber frame structure</v>
          </cell>
          <cell r="Z25">
            <v>0</v>
          </cell>
          <cell r="AA25">
            <v>0.73</v>
          </cell>
          <cell r="AB25" t="str">
            <v>Hollow concrete block Masonry</v>
          </cell>
          <cell r="AC25">
            <v>0</v>
          </cell>
          <cell r="AD25">
            <v>0</v>
          </cell>
          <cell r="AE25" t="str">
            <v>Dry stone Masonry</v>
          </cell>
          <cell r="AF25">
            <v>0.2</v>
          </cell>
          <cell r="AG25">
            <v>0.03</v>
          </cell>
          <cell r="AH25" t="str">
            <v>Adobe structures</v>
          </cell>
          <cell r="AI25">
            <v>0.59</v>
          </cell>
          <cell r="AJ25">
            <v>24.05</v>
          </cell>
          <cell r="AK25" t="str">
            <v>Bamboo</v>
          </cell>
          <cell r="AL25">
            <v>0.2</v>
          </cell>
          <cell r="AM25">
            <v>0.33</v>
          </cell>
          <cell r="AN25" t="str">
            <v>Compressed stabilized earth block (SCEB) Masonry</v>
          </cell>
          <cell r="AO25">
            <v>0</v>
          </cell>
          <cell r="AP25">
            <v>0</v>
          </cell>
          <cell r="AQ25" t="str">
            <v>Light steel frame structures</v>
          </cell>
          <cell r="AR25">
            <v>0</v>
          </cell>
          <cell r="AS25">
            <v>0</v>
          </cell>
          <cell r="AT25">
            <v>340</v>
          </cell>
          <cell r="AU25">
            <v>188</v>
          </cell>
          <cell r="AV25">
            <v>188</v>
          </cell>
          <cell r="AW25">
            <v>101</v>
          </cell>
          <cell r="AX25">
            <v>0</v>
          </cell>
          <cell r="AY25" t="str">
            <v/>
          </cell>
          <cell r="AZ25" t="str">
            <v/>
          </cell>
          <cell r="BA25">
            <v>56</v>
          </cell>
          <cell r="BB25" t="str">
            <v/>
          </cell>
          <cell r="BC25" t="str">
            <v/>
          </cell>
          <cell r="BD25" t="str">
            <v/>
          </cell>
          <cell r="BE25" t="str">
            <v/>
          </cell>
          <cell r="BF25" t="str">
            <v/>
          </cell>
          <cell r="BG25" t="str">
            <v/>
          </cell>
          <cell r="BH25" t="str">
            <v/>
          </cell>
          <cell r="BI25" t="str">
            <v/>
          </cell>
          <cell r="BJ25" t="str">
            <v/>
          </cell>
          <cell r="BK25">
            <v>5271</v>
          </cell>
          <cell r="BL25" t="str">
            <v/>
          </cell>
          <cell r="BM25" t="str">
            <v/>
          </cell>
          <cell r="BN25">
            <v>5603</v>
          </cell>
          <cell r="BO25" t="str">
            <v/>
          </cell>
          <cell r="BP25" t="str">
            <v/>
          </cell>
          <cell r="BQ25">
            <v>564</v>
          </cell>
          <cell r="BR25" t="str">
            <v/>
          </cell>
          <cell r="BS25" t="str">
            <v/>
          </cell>
          <cell r="BT25">
            <v>657</v>
          </cell>
          <cell r="BU25" t="str">
            <v/>
          </cell>
          <cell r="BV25" t="str">
            <v/>
          </cell>
          <cell r="BW25" t="str">
            <v/>
          </cell>
          <cell r="BX25" t="str">
            <v/>
          </cell>
          <cell r="BY25" t="str">
            <v/>
          </cell>
          <cell r="BZ25">
            <v>18371</v>
          </cell>
          <cell r="CA25" t="str">
            <v/>
          </cell>
          <cell r="CB25" t="str">
            <v/>
          </cell>
          <cell r="CC25">
            <v>56632</v>
          </cell>
          <cell r="CD25" t="str">
            <v/>
          </cell>
          <cell r="CE25" t="str">
            <v/>
          </cell>
          <cell r="CF25">
            <v>750</v>
          </cell>
          <cell r="CG25" t="str">
            <v/>
          </cell>
          <cell r="CH25" t="str">
            <v/>
          </cell>
          <cell r="CI25">
            <v>12947</v>
          </cell>
          <cell r="CJ25" t="str">
            <v/>
          </cell>
          <cell r="CK25" t="str">
            <v/>
          </cell>
          <cell r="CL25" t="str">
            <v>Skilled</v>
          </cell>
          <cell r="CM25" t="str">
            <v/>
          </cell>
          <cell r="CN25" t="str">
            <v>Labor</v>
          </cell>
          <cell r="CO25" t="str">
            <v/>
          </cell>
          <cell r="CP25" t="str">
            <v/>
          </cell>
          <cell r="CQ25" t="str">
            <v/>
          </cell>
          <cell r="CR25" t="str">
            <v/>
          </cell>
          <cell r="CS25" t="str">
            <v/>
          </cell>
          <cell r="CT25" t="str">
            <v/>
          </cell>
          <cell r="CU25" t="str">
            <v/>
          </cell>
          <cell r="CV25" t="str">
            <v>Municipal Office</v>
          </cell>
          <cell r="CW25" t="str">
            <v/>
          </cell>
          <cell r="CX25" t="str">
            <v>Chairman</v>
          </cell>
          <cell r="CY25" t="str">
            <v/>
          </cell>
          <cell r="CZ25" t="str">
            <v>Municipal Office</v>
          </cell>
          <cell r="DA25" t="str">
            <v/>
          </cell>
          <cell r="DB25" t="str">
            <v>Deputy Chairman</v>
          </cell>
          <cell r="DC25" t="str">
            <v/>
          </cell>
          <cell r="DD25" t="str">
            <v>Municipal Office</v>
          </cell>
          <cell r="DE25" t="str">
            <v/>
          </cell>
          <cell r="DF25" t="str">
            <v>Chief Adminstration Officer</v>
          </cell>
          <cell r="DG25" t="str">
            <v/>
          </cell>
          <cell r="DH25" t="str">
            <v>NRA/GMALI</v>
          </cell>
          <cell r="DI25" t="str">
            <v/>
          </cell>
          <cell r="DJ25" t="str">
            <v>NRA Chief-District</v>
          </cell>
          <cell r="DK25" t="str">
            <v/>
          </cell>
          <cell r="DL25" t="str">
            <v>DLPIU-Building</v>
          </cell>
          <cell r="DM25" t="str">
            <v/>
          </cell>
          <cell r="DN25" t="str">
            <v>DUDBC.DLPIU Chief</v>
          </cell>
          <cell r="DO25" t="str">
            <v/>
          </cell>
          <cell r="DP25" t="str">
            <v>Municipal Office</v>
          </cell>
          <cell r="DQ25" t="str">
            <v/>
          </cell>
          <cell r="DR25" t="str">
            <v>Focal Person</v>
          </cell>
          <cell r="DS25" t="str">
            <v/>
          </cell>
          <cell r="DT25" t="str">
            <v/>
          </cell>
          <cell r="DU25" t="str">
            <v/>
          </cell>
          <cell r="DV25" t="str">
            <v/>
          </cell>
          <cell r="DW25" t="str">
            <v/>
          </cell>
          <cell r="DX25" t="str">
            <v/>
          </cell>
          <cell r="DY25" t="str">
            <v/>
          </cell>
          <cell r="DZ25" t="str">
            <v/>
          </cell>
          <cell r="EA25" t="str">
            <v/>
          </cell>
          <cell r="EB25" t="str">
            <v/>
          </cell>
          <cell r="EC25" t="str">
            <v/>
          </cell>
          <cell r="ED25" t="str">
            <v/>
          </cell>
          <cell r="EE25" t="str">
            <v/>
          </cell>
          <cell r="EF25" t="str">
            <v/>
          </cell>
          <cell r="EG25" t="str">
            <v/>
          </cell>
          <cell r="EH25" t="str">
            <v/>
          </cell>
          <cell r="EI25" t="str">
            <v/>
          </cell>
          <cell r="EJ25">
            <v>0</v>
          </cell>
          <cell r="EK25">
            <v>0</v>
          </cell>
          <cell r="EL25">
            <v>0</v>
          </cell>
          <cell r="EM25">
            <v>0</v>
          </cell>
          <cell r="EN25">
            <v>0</v>
          </cell>
          <cell r="EO25">
            <v>0</v>
          </cell>
          <cell r="EP25" t="str">
            <v/>
          </cell>
          <cell r="EQ25" t="str">
            <v>Housing Recovery and Reconstruction Platform</v>
          </cell>
          <cell r="ER25" t="str">
            <v/>
          </cell>
          <cell r="ES25" t="str">
            <v>District Coordinator</v>
          </cell>
          <cell r="ET25" t="str">
            <v/>
          </cell>
          <cell r="EU25" t="str">
            <v>Housing Recovery and Reconstruction Platform</v>
          </cell>
          <cell r="EV25" t="str">
            <v/>
          </cell>
          <cell r="EW25" t="str">
            <v>DIstrict Information Management Officer</v>
          </cell>
          <cell r="EX25" t="str">
            <v/>
          </cell>
          <cell r="EY25" t="str">
            <v>Housing Recovery and Reconstruction Platform</v>
          </cell>
          <cell r="EZ25" t="str">
            <v/>
          </cell>
          <cell r="FA25" t="str">
            <v>District Technical Officer</v>
          </cell>
          <cell r="FB25" t="str">
            <v/>
          </cell>
        </row>
        <row r="26">
          <cell r="A26">
            <v>10006</v>
          </cell>
          <cell r="B26" t="str">
            <v>Bhojpur</v>
          </cell>
          <cell r="C26" t="str">
            <v>Ramprasad Rai Gaunpalika</v>
          </cell>
          <cell r="D26">
            <v>500</v>
          </cell>
          <cell r="E26">
            <v>693</v>
          </cell>
          <cell r="F26">
            <v>1193</v>
          </cell>
          <cell r="G26" t="str">
            <v>Stone and cement mortar masonry</v>
          </cell>
          <cell r="H26">
            <v>0</v>
          </cell>
          <cell r="I26">
            <v>7.0000000000000007E-2</v>
          </cell>
          <cell r="J26" t="str">
            <v>Stone and Mud Mortar Masonary</v>
          </cell>
          <cell r="K26">
            <v>96.14</v>
          </cell>
          <cell r="L26">
            <v>74.7</v>
          </cell>
          <cell r="M26" t="str">
            <v>Brick and Cement Mortar Masonary</v>
          </cell>
          <cell r="N26">
            <v>0</v>
          </cell>
          <cell r="O26">
            <v>0.02</v>
          </cell>
          <cell r="P26" t="str">
            <v>Brick and mud mortar Masonry</v>
          </cell>
          <cell r="Q26">
            <v>0</v>
          </cell>
          <cell r="R26">
            <v>0.06</v>
          </cell>
          <cell r="S26" t="str">
            <v>Reinforced cement concrete (RCC) frame</v>
          </cell>
          <cell r="T26">
            <v>0</v>
          </cell>
          <cell r="U26">
            <v>0</v>
          </cell>
          <cell r="V26" t="str">
            <v>Hybrid structure</v>
          </cell>
          <cell r="W26">
            <v>0</v>
          </cell>
          <cell r="X26">
            <v>0</v>
          </cell>
          <cell r="Y26" t="str">
            <v>Timber frame structure</v>
          </cell>
          <cell r="Z26">
            <v>0.17</v>
          </cell>
          <cell r="AA26">
            <v>0.73</v>
          </cell>
          <cell r="AB26" t="str">
            <v>Hollow concrete block Masonry</v>
          </cell>
          <cell r="AC26">
            <v>0</v>
          </cell>
          <cell r="AD26">
            <v>0</v>
          </cell>
          <cell r="AE26" t="str">
            <v>Dry stone Masonry</v>
          </cell>
          <cell r="AF26">
            <v>0.08</v>
          </cell>
          <cell r="AG26">
            <v>0.03</v>
          </cell>
          <cell r="AH26" t="str">
            <v>Adobe structures</v>
          </cell>
          <cell r="AI26">
            <v>3.52</v>
          </cell>
          <cell r="AJ26">
            <v>24.05</v>
          </cell>
          <cell r="AK26" t="str">
            <v>Bamboo</v>
          </cell>
          <cell r="AL26">
            <v>0.08</v>
          </cell>
          <cell r="AM26">
            <v>0.33</v>
          </cell>
          <cell r="AN26" t="str">
            <v>Compressed stabilized earth block (SCEB) Masonry</v>
          </cell>
          <cell r="AO26">
            <v>0</v>
          </cell>
          <cell r="AP26">
            <v>0</v>
          </cell>
          <cell r="AQ26" t="str">
            <v>Light steel frame structures</v>
          </cell>
          <cell r="AR26">
            <v>0</v>
          </cell>
          <cell r="AS26">
            <v>0</v>
          </cell>
          <cell r="AT26">
            <v>616</v>
          </cell>
          <cell r="AU26">
            <v>181</v>
          </cell>
          <cell r="AV26">
            <v>181</v>
          </cell>
          <cell r="AW26">
            <v>97</v>
          </cell>
          <cell r="AX26">
            <v>0</v>
          </cell>
          <cell r="AY26" t="str">
            <v/>
          </cell>
          <cell r="AZ26" t="str">
            <v/>
          </cell>
          <cell r="BA26">
            <v>62</v>
          </cell>
          <cell r="BB26" t="str">
            <v/>
          </cell>
          <cell r="BC26" t="str">
            <v/>
          </cell>
          <cell r="BD26" t="str">
            <v/>
          </cell>
          <cell r="BE26" t="str">
            <v/>
          </cell>
          <cell r="BF26" t="str">
            <v/>
          </cell>
          <cell r="BG26" t="str">
            <v/>
          </cell>
          <cell r="BH26" t="str">
            <v/>
          </cell>
          <cell r="BI26" t="str">
            <v/>
          </cell>
          <cell r="BJ26" t="str">
            <v/>
          </cell>
          <cell r="BK26">
            <v>5097</v>
          </cell>
          <cell r="BL26" t="str">
            <v/>
          </cell>
          <cell r="BM26" t="str">
            <v/>
          </cell>
          <cell r="BN26">
            <v>5397</v>
          </cell>
          <cell r="BO26" t="str">
            <v/>
          </cell>
          <cell r="BP26" t="str">
            <v/>
          </cell>
          <cell r="BQ26">
            <v>546</v>
          </cell>
          <cell r="BR26" t="str">
            <v/>
          </cell>
          <cell r="BS26" t="str">
            <v/>
          </cell>
          <cell r="BT26">
            <v>635</v>
          </cell>
          <cell r="BU26" t="str">
            <v/>
          </cell>
          <cell r="BV26" t="str">
            <v/>
          </cell>
          <cell r="BW26" t="str">
            <v/>
          </cell>
          <cell r="BX26" t="str">
            <v/>
          </cell>
          <cell r="BY26" t="str">
            <v/>
          </cell>
          <cell r="BZ26">
            <v>17728</v>
          </cell>
          <cell r="CA26" t="str">
            <v/>
          </cell>
          <cell r="CB26" t="str">
            <v/>
          </cell>
          <cell r="CC26">
            <v>54822</v>
          </cell>
          <cell r="CD26" t="str">
            <v/>
          </cell>
          <cell r="CE26" t="str">
            <v/>
          </cell>
          <cell r="CF26">
            <v>724</v>
          </cell>
          <cell r="CG26" t="str">
            <v/>
          </cell>
          <cell r="CH26" t="str">
            <v/>
          </cell>
          <cell r="CI26">
            <v>18257</v>
          </cell>
          <cell r="CJ26" t="str">
            <v/>
          </cell>
          <cell r="CK26" t="str">
            <v/>
          </cell>
          <cell r="CL26" t="str">
            <v>Skilled</v>
          </cell>
          <cell r="CM26" t="str">
            <v/>
          </cell>
          <cell r="CN26" t="str">
            <v>Labor</v>
          </cell>
          <cell r="CO26" t="str">
            <v/>
          </cell>
          <cell r="CP26" t="str">
            <v/>
          </cell>
          <cell r="CQ26" t="str">
            <v/>
          </cell>
          <cell r="CR26" t="str">
            <v/>
          </cell>
          <cell r="CS26" t="str">
            <v/>
          </cell>
          <cell r="CT26" t="str">
            <v/>
          </cell>
          <cell r="CU26" t="str">
            <v/>
          </cell>
          <cell r="CV26" t="str">
            <v>Municipal Office</v>
          </cell>
          <cell r="CW26" t="str">
            <v/>
          </cell>
          <cell r="CX26" t="str">
            <v>Chairman</v>
          </cell>
          <cell r="CY26" t="str">
            <v/>
          </cell>
          <cell r="CZ26" t="str">
            <v>Municipal Office</v>
          </cell>
          <cell r="DA26" t="str">
            <v/>
          </cell>
          <cell r="DB26" t="str">
            <v>Deputy Chairman</v>
          </cell>
          <cell r="DC26" t="str">
            <v/>
          </cell>
          <cell r="DD26" t="str">
            <v>Municipal Office</v>
          </cell>
          <cell r="DE26" t="str">
            <v/>
          </cell>
          <cell r="DF26" t="str">
            <v>Chief Adminstration Officer</v>
          </cell>
          <cell r="DG26" t="str">
            <v/>
          </cell>
          <cell r="DH26" t="str">
            <v>NRA/GMALI</v>
          </cell>
          <cell r="DI26" t="str">
            <v/>
          </cell>
          <cell r="DJ26" t="str">
            <v>NRA Chief-District</v>
          </cell>
          <cell r="DK26" t="str">
            <v/>
          </cell>
          <cell r="DL26" t="str">
            <v>DLPIU-Building</v>
          </cell>
          <cell r="DM26" t="str">
            <v/>
          </cell>
          <cell r="DN26" t="str">
            <v>DUDBC.DLPIU Chief</v>
          </cell>
          <cell r="DO26" t="str">
            <v/>
          </cell>
          <cell r="DP26" t="str">
            <v>Municipal Office</v>
          </cell>
          <cell r="DQ26" t="str">
            <v/>
          </cell>
          <cell r="DR26" t="str">
            <v>Focal Person</v>
          </cell>
          <cell r="DS26" t="str">
            <v/>
          </cell>
          <cell r="DT26" t="str">
            <v/>
          </cell>
          <cell r="DU26" t="str">
            <v/>
          </cell>
          <cell r="DV26" t="str">
            <v/>
          </cell>
          <cell r="DW26" t="str">
            <v/>
          </cell>
          <cell r="DX26" t="str">
            <v/>
          </cell>
          <cell r="DY26" t="str">
            <v/>
          </cell>
          <cell r="DZ26" t="str">
            <v/>
          </cell>
          <cell r="EA26" t="str">
            <v/>
          </cell>
          <cell r="EB26" t="str">
            <v/>
          </cell>
          <cell r="EC26" t="str">
            <v/>
          </cell>
          <cell r="ED26" t="str">
            <v/>
          </cell>
          <cell r="EE26" t="str">
            <v/>
          </cell>
          <cell r="EF26" t="str">
            <v/>
          </cell>
          <cell r="EG26" t="str">
            <v/>
          </cell>
          <cell r="EH26" t="str">
            <v/>
          </cell>
          <cell r="EI26" t="str">
            <v/>
          </cell>
          <cell r="EJ26">
            <v>0</v>
          </cell>
          <cell r="EK26">
            <v>0</v>
          </cell>
          <cell r="EL26">
            <v>0</v>
          </cell>
          <cell r="EM26">
            <v>0</v>
          </cell>
          <cell r="EN26">
            <v>0</v>
          </cell>
          <cell r="EO26">
            <v>0</v>
          </cell>
          <cell r="EP26" t="str">
            <v/>
          </cell>
          <cell r="EQ26" t="str">
            <v>Housing Recovery and Reconstruction Platform</v>
          </cell>
          <cell r="ER26" t="str">
            <v/>
          </cell>
          <cell r="ES26" t="str">
            <v>District Coordinator</v>
          </cell>
          <cell r="ET26" t="str">
            <v/>
          </cell>
          <cell r="EU26" t="str">
            <v>Housing Recovery and Reconstruction Platform</v>
          </cell>
          <cell r="EV26" t="str">
            <v/>
          </cell>
          <cell r="EW26" t="str">
            <v>DIstrict Information Management Officer</v>
          </cell>
          <cell r="EX26" t="str">
            <v/>
          </cell>
          <cell r="EY26" t="str">
            <v>Housing Recovery and Reconstruction Platform</v>
          </cell>
          <cell r="EZ26" t="str">
            <v/>
          </cell>
          <cell r="FA26" t="str">
            <v>District Technical Officer</v>
          </cell>
          <cell r="FB26" t="str">
            <v/>
          </cell>
        </row>
        <row r="27">
          <cell r="A27">
            <v>10007</v>
          </cell>
          <cell r="B27" t="str">
            <v>Bhojpur</v>
          </cell>
          <cell r="C27" t="str">
            <v>Salpasilichho Gaunpalika</v>
          </cell>
          <cell r="D27">
            <v>308</v>
          </cell>
          <cell r="E27">
            <v>1108</v>
          </cell>
          <cell r="F27">
            <v>1416</v>
          </cell>
          <cell r="G27" t="str">
            <v>Stone and cement mortar masonry</v>
          </cell>
          <cell r="H27">
            <v>0</v>
          </cell>
          <cell r="I27">
            <v>7.0000000000000007E-2</v>
          </cell>
          <cell r="J27" t="str">
            <v>Stone and Mud Mortar Masonary</v>
          </cell>
          <cell r="K27">
            <v>94.84</v>
          </cell>
          <cell r="L27">
            <v>74.7</v>
          </cell>
          <cell r="M27" t="str">
            <v>Brick and Cement Mortar Masonary</v>
          </cell>
          <cell r="N27">
            <v>0</v>
          </cell>
          <cell r="O27">
            <v>0.02</v>
          </cell>
          <cell r="P27" t="str">
            <v>Brick and mud mortar Masonry</v>
          </cell>
          <cell r="Q27">
            <v>0</v>
          </cell>
          <cell r="R27">
            <v>0.06</v>
          </cell>
          <cell r="S27" t="str">
            <v>Reinforced cement concrete (RCC) frame</v>
          </cell>
          <cell r="T27">
            <v>0</v>
          </cell>
          <cell r="U27">
            <v>0</v>
          </cell>
          <cell r="V27" t="str">
            <v>Hybrid structure</v>
          </cell>
          <cell r="W27">
            <v>0</v>
          </cell>
          <cell r="X27">
            <v>0</v>
          </cell>
          <cell r="Y27" t="str">
            <v>Timber frame structure</v>
          </cell>
          <cell r="Z27">
            <v>3.46</v>
          </cell>
          <cell r="AA27">
            <v>0.73</v>
          </cell>
          <cell r="AB27" t="str">
            <v>Hollow concrete block Masonry</v>
          </cell>
          <cell r="AC27">
            <v>0</v>
          </cell>
          <cell r="AD27">
            <v>0</v>
          </cell>
          <cell r="AE27" t="str">
            <v>Dry stone Masonry</v>
          </cell>
          <cell r="AF27">
            <v>7.0000000000000007E-2</v>
          </cell>
          <cell r="AG27">
            <v>0.03</v>
          </cell>
          <cell r="AH27" t="str">
            <v>Adobe structures</v>
          </cell>
          <cell r="AI27">
            <v>7.0000000000000007E-2</v>
          </cell>
          <cell r="AJ27">
            <v>24.05</v>
          </cell>
          <cell r="AK27" t="str">
            <v>Bamboo</v>
          </cell>
          <cell r="AL27">
            <v>1.55</v>
          </cell>
          <cell r="AM27">
            <v>0.33</v>
          </cell>
          <cell r="AN27" t="str">
            <v>Compressed stabilized earth block (SCEB) Masonry</v>
          </cell>
          <cell r="AO27">
            <v>0</v>
          </cell>
          <cell r="AP27">
            <v>0</v>
          </cell>
          <cell r="AQ27" t="str">
            <v>Light steel frame structures</v>
          </cell>
          <cell r="AR27">
            <v>0</v>
          </cell>
          <cell r="AS27">
            <v>0</v>
          </cell>
          <cell r="AT27">
            <v>1121</v>
          </cell>
          <cell r="AU27">
            <v>1281</v>
          </cell>
          <cell r="AV27">
            <v>1281</v>
          </cell>
          <cell r="AW27">
            <v>223</v>
          </cell>
          <cell r="AX27">
            <v>0</v>
          </cell>
          <cell r="AY27" t="str">
            <v/>
          </cell>
          <cell r="AZ27" t="str">
            <v/>
          </cell>
          <cell r="BA27">
            <v>2</v>
          </cell>
          <cell r="BB27" t="str">
            <v/>
          </cell>
          <cell r="BC27" t="str">
            <v/>
          </cell>
          <cell r="BD27" t="str">
            <v/>
          </cell>
          <cell r="BE27" t="str">
            <v/>
          </cell>
          <cell r="BF27" t="str">
            <v/>
          </cell>
          <cell r="BG27" t="str">
            <v/>
          </cell>
          <cell r="BH27" t="str">
            <v/>
          </cell>
          <cell r="BI27" t="str">
            <v/>
          </cell>
          <cell r="BJ27" t="str">
            <v/>
          </cell>
          <cell r="BK27">
            <v>35352</v>
          </cell>
          <cell r="BL27" t="str">
            <v/>
          </cell>
          <cell r="BM27" t="str">
            <v/>
          </cell>
          <cell r="BN27">
            <v>37372</v>
          </cell>
          <cell r="BO27" t="str">
            <v/>
          </cell>
          <cell r="BP27" t="str">
            <v/>
          </cell>
          <cell r="BQ27">
            <v>3784</v>
          </cell>
          <cell r="BR27" t="str">
            <v/>
          </cell>
          <cell r="BS27" t="str">
            <v/>
          </cell>
          <cell r="BT27">
            <v>4401</v>
          </cell>
          <cell r="BU27" t="str">
            <v/>
          </cell>
          <cell r="BV27" t="str">
            <v/>
          </cell>
          <cell r="BW27" t="str">
            <v/>
          </cell>
          <cell r="BX27" t="str">
            <v/>
          </cell>
          <cell r="BY27" t="str">
            <v/>
          </cell>
          <cell r="BZ27">
            <v>122849</v>
          </cell>
          <cell r="CA27" t="str">
            <v/>
          </cell>
          <cell r="CB27" t="str">
            <v/>
          </cell>
          <cell r="CC27">
            <v>380485</v>
          </cell>
          <cell r="CD27" t="str">
            <v/>
          </cell>
          <cell r="CE27" t="str">
            <v/>
          </cell>
          <cell r="CF27">
            <v>5018</v>
          </cell>
          <cell r="CG27" t="str">
            <v/>
          </cell>
          <cell r="CH27" t="str">
            <v/>
          </cell>
          <cell r="CI27">
            <v>145465</v>
          </cell>
          <cell r="CJ27" t="str">
            <v/>
          </cell>
          <cell r="CK27" t="str">
            <v/>
          </cell>
          <cell r="CL27" t="str">
            <v>Skilled</v>
          </cell>
          <cell r="CM27" t="str">
            <v/>
          </cell>
          <cell r="CN27" t="str">
            <v>Labor</v>
          </cell>
          <cell r="CO27" t="str">
            <v/>
          </cell>
          <cell r="CP27" t="str">
            <v/>
          </cell>
          <cell r="CQ27" t="str">
            <v/>
          </cell>
          <cell r="CR27" t="str">
            <v/>
          </cell>
          <cell r="CS27" t="str">
            <v/>
          </cell>
          <cell r="CT27" t="str">
            <v/>
          </cell>
          <cell r="CU27" t="str">
            <v/>
          </cell>
          <cell r="CV27" t="str">
            <v>Municipal Office</v>
          </cell>
          <cell r="CW27" t="str">
            <v/>
          </cell>
          <cell r="CX27" t="str">
            <v>Chairman</v>
          </cell>
          <cell r="CY27" t="str">
            <v/>
          </cell>
          <cell r="CZ27" t="str">
            <v>Municipal Office</v>
          </cell>
          <cell r="DA27" t="str">
            <v/>
          </cell>
          <cell r="DB27" t="str">
            <v>Deputy Chairman</v>
          </cell>
          <cell r="DC27" t="str">
            <v/>
          </cell>
          <cell r="DD27" t="str">
            <v>Municipal Office</v>
          </cell>
          <cell r="DE27" t="str">
            <v/>
          </cell>
          <cell r="DF27" t="str">
            <v>Chief Adminstration Officer</v>
          </cell>
          <cell r="DG27" t="str">
            <v/>
          </cell>
          <cell r="DH27" t="str">
            <v>NRA/GMALI</v>
          </cell>
          <cell r="DI27" t="str">
            <v/>
          </cell>
          <cell r="DJ27" t="str">
            <v>NRA Chief-District</v>
          </cell>
          <cell r="DK27" t="str">
            <v/>
          </cell>
          <cell r="DL27" t="str">
            <v>DLPIU-Building</v>
          </cell>
          <cell r="DM27" t="str">
            <v/>
          </cell>
          <cell r="DN27" t="str">
            <v>DUDBC.DLPIU Chief</v>
          </cell>
          <cell r="DO27" t="str">
            <v/>
          </cell>
          <cell r="DP27" t="str">
            <v>Municipal Office</v>
          </cell>
          <cell r="DQ27" t="str">
            <v/>
          </cell>
          <cell r="DR27" t="str">
            <v>Focal Person</v>
          </cell>
          <cell r="DS27" t="str">
            <v/>
          </cell>
          <cell r="DT27" t="str">
            <v/>
          </cell>
          <cell r="DU27" t="str">
            <v/>
          </cell>
          <cell r="DV27" t="str">
            <v/>
          </cell>
          <cell r="DW27" t="str">
            <v/>
          </cell>
          <cell r="DX27" t="str">
            <v/>
          </cell>
          <cell r="DY27" t="str">
            <v/>
          </cell>
          <cell r="DZ27" t="str">
            <v/>
          </cell>
          <cell r="EA27" t="str">
            <v/>
          </cell>
          <cell r="EB27" t="str">
            <v/>
          </cell>
          <cell r="EC27" t="str">
            <v/>
          </cell>
          <cell r="ED27" t="str">
            <v/>
          </cell>
          <cell r="EE27" t="str">
            <v/>
          </cell>
          <cell r="EF27" t="str">
            <v/>
          </cell>
          <cell r="EG27" t="str">
            <v/>
          </cell>
          <cell r="EH27" t="str">
            <v/>
          </cell>
          <cell r="EI27" t="str">
            <v/>
          </cell>
          <cell r="EJ27">
            <v>0</v>
          </cell>
          <cell r="EK27">
            <v>0</v>
          </cell>
          <cell r="EL27">
            <v>0</v>
          </cell>
          <cell r="EM27">
            <v>0</v>
          </cell>
          <cell r="EN27">
            <v>0</v>
          </cell>
          <cell r="EO27">
            <v>0</v>
          </cell>
          <cell r="EP27" t="str">
            <v/>
          </cell>
          <cell r="EQ27" t="str">
            <v>Housing Recovery and Reconstruction Platform</v>
          </cell>
          <cell r="ER27" t="str">
            <v/>
          </cell>
          <cell r="ES27" t="str">
            <v>District Coordinator</v>
          </cell>
          <cell r="ET27" t="str">
            <v/>
          </cell>
          <cell r="EU27" t="str">
            <v>Housing Recovery and Reconstruction Platform</v>
          </cell>
          <cell r="EV27" t="str">
            <v/>
          </cell>
          <cell r="EW27" t="str">
            <v>DIstrict Information Management Officer</v>
          </cell>
          <cell r="EX27" t="str">
            <v/>
          </cell>
          <cell r="EY27" t="str">
            <v>Housing Recovery and Reconstruction Platform</v>
          </cell>
          <cell r="EZ27" t="str">
            <v/>
          </cell>
          <cell r="FA27" t="str">
            <v>District Technical Officer</v>
          </cell>
          <cell r="FB27" t="str">
            <v/>
          </cell>
        </row>
        <row r="28">
          <cell r="A28">
            <v>10008</v>
          </cell>
          <cell r="B28" t="str">
            <v>Bhojpur</v>
          </cell>
          <cell r="C28" t="str">
            <v>Shadananda Nagarpalika</v>
          </cell>
          <cell r="D28">
            <v>454</v>
          </cell>
          <cell r="E28">
            <v>1170</v>
          </cell>
          <cell r="F28">
            <v>1624</v>
          </cell>
          <cell r="G28" t="str">
            <v>Stone and cement mortar masonry</v>
          </cell>
          <cell r="H28">
            <v>0</v>
          </cell>
          <cell r="I28">
            <v>7.0000000000000007E-2</v>
          </cell>
          <cell r="J28" t="str">
            <v>Stone and Mud Mortar Masonary</v>
          </cell>
          <cell r="K28">
            <v>99.08</v>
          </cell>
          <cell r="L28">
            <v>74.7</v>
          </cell>
          <cell r="M28" t="str">
            <v>Brick and Cement Mortar Masonary</v>
          </cell>
          <cell r="N28">
            <v>0</v>
          </cell>
          <cell r="O28">
            <v>0.02</v>
          </cell>
          <cell r="P28" t="str">
            <v>Brick and mud mortar Masonry</v>
          </cell>
          <cell r="Q28">
            <v>0.12</v>
          </cell>
          <cell r="R28">
            <v>0.06</v>
          </cell>
          <cell r="S28" t="str">
            <v>Reinforced cement concrete (RCC) frame</v>
          </cell>
          <cell r="T28">
            <v>0</v>
          </cell>
          <cell r="U28">
            <v>0</v>
          </cell>
          <cell r="V28" t="str">
            <v>Hybrid structure</v>
          </cell>
          <cell r="W28">
            <v>0</v>
          </cell>
          <cell r="X28">
            <v>0</v>
          </cell>
          <cell r="Y28" t="str">
            <v>Timber frame structure</v>
          </cell>
          <cell r="Z28">
            <v>0.37</v>
          </cell>
          <cell r="AA28">
            <v>0.73</v>
          </cell>
          <cell r="AB28" t="str">
            <v>Hollow concrete block Masonry</v>
          </cell>
          <cell r="AC28">
            <v>0</v>
          </cell>
          <cell r="AD28">
            <v>0</v>
          </cell>
          <cell r="AE28" t="str">
            <v>Dry stone Masonry</v>
          </cell>
          <cell r="AF28">
            <v>0</v>
          </cell>
          <cell r="AG28">
            <v>0.03</v>
          </cell>
          <cell r="AH28" t="str">
            <v>Adobe structures</v>
          </cell>
          <cell r="AI28">
            <v>0.37</v>
          </cell>
          <cell r="AJ28">
            <v>24.05</v>
          </cell>
          <cell r="AK28" t="str">
            <v>Bamboo</v>
          </cell>
          <cell r="AL28">
            <v>0.06</v>
          </cell>
          <cell r="AM28">
            <v>0.33</v>
          </cell>
          <cell r="AN28" t="str">
            <v>Compressed stabilized earth block (SCEB) Masonry</v>
          </cell>
          <cell r="AO28">
            <v>0</v>
          </cell>
          <cell r="AP28">
            <v>0</v>
          </cell>
          <cell r="AQ28" t="str">
            <v>Light steel frame structures</v>
          </cell>
          <cell r="AR28">
            <v>0</v>
          </cell>
          <cell r="AS28">
            <v>0</v>
          </cell>
          <cell r="AT28">
            <v>1057</v>
          </cell>
          <cell r="AU28">
            <v>957</v>
          </cell>
          <cell r="AV28">
            <v>957</v>
          </cell>
          <cell r="AW28">
            <v>115</v>
          </cell>
          <cell r="AX28">
            <v>0</v>
          </cell>
          <cell r="AY28" t="str">
            <v/>
          </cell>
          <cell r="AZ28" t="str">
            <v/>
          </cell>
          <cell r="BA28">
            <v>82</v>
          </cell>
          <cell r="BB28" t="str">
            <v/>
          </cell>
          <cell r="BC28" t="str">
            <v/>
          </cell>
          <cell r="BD28" t="str">
            <v/>
          </cell>
          <cell r="BE28" t="str">
            <v/>
          </cell>
          <cell r="BF28" t="str">
            <v/>
          </cell>
          <cell r="BG28" t="str">
            <v/>
          </cell>
          <cell r="BH28" t="str">
            <v/>
          </cell>
          <cell r="BI28" t="str">
            <v/>
          </cell>
          <cell r="BJ28" t="str">
            <v/>
          </cell>
          <cell r="BK28">
            <v>27316</v>
          </cell>
          <cell r="BL28" t="str">
            <v/>
          </cell>
          <cell r="BM28" t="str">
            <v/>
          </cell>
          <cell r="BN28">
            <v>27917</v>
          </cell>
          <cell r="BO28" t="str">
            <v/>
          </cell>
          <cell r="BP28" t="str">
            <v/>
          </cell>
          <cell r="BQ28">
            <v>2917</v>
          </cell>
          <cell r="BR28" t="str">
            <v/>
          </cell>
          <cell r="BS28" t="str">
            <v/>
          </cell>
          <cell r="BT28">
            <v>3366</v>
          </cell>
          <cell r="BU28" t="str">
            <v/>
          </cell>
          <cell r="BV28" t="str">
            <v/>
          </cell>
          <cell r="BW28" t="str">
            <v/>
          </cell>
          <cell r="BX28" t="str">
            <v/>
          </cell>
          <cell r="BY28" t="str">
            <v/>
          </cell>
          <cell r="BZ28">
            <v>93243</v>
          </cell>
          <cell r="CA28" t="str">
            <v/>
          </cell>
          <cell r="CB28" t="str">
            <v/>
          </cell>
          <cell r="CC28">
            <v>297243</v>
          </cell>
          <cell r="CD28" t="str">
            <v/>
          </cell>
          <cell r="CE28" t="str">
            <v/>
          </cell>
          <cell r="CF28">
            <v>3815</v>
          </cell>
          <cell r="CG28" t="str">
            <v/>
          </cell>
          <cell r="CH28" t="str">
            <v/>
          </cell>
          <cell r="CI28">
            <v>388787</v>
          </cell>
          <cell r="CJ28" t="str">
            <v/>
          </cell>
          <cell r="CK28" t="str">
            <v/>
          </cell>
          <cell r="CL28" t="str">
            <v>Skilled</v>
          </cell>
          <cell r="CM28" t="str">
            <v/>
          </cell>
          <cell r="CN28" t="str">
            <v>Labor</v>
          </cell>
          <cell r="CO28" t="str">
            <v/>
          </cell>
          <cell r="CP28" t="str">
            <v/>
          </cell>
          <cell r="CQ28" t="str">
            <v/>
          </cell>
          <cell r="CR28" t="str">
            <v/>
          </cell>
          <cell r="CS28" t="str">
            <v/>
          </cell>
          <cell r="CT28" t="str">
            <v/>
          </cell>
          <cell r="CU28" t="str">
            <v/>
          </cell>
          <cell r="CV28" t="str">
            <v>Municipal Office</v>
          </cell>
          <cell r="CW28" t="str">
            <v/>
          </cell>
          <cell r="CX28" t="str">
            <v>Mayor</v>
          </cell>
          <cell r="CY28" t="str">
            <v/>
          </cell>
          <cell r="CZ28" t="str">
            <v>Municipal Office</v>
          </cell>
          <cell r="DA28" t="str">
            <v/>
          </cell>
          <cell r="DB28" t="str">
            <v>Deputy Mayor</v>
          </cell>
          <cell r="DC28" t="str">
            <v/>
          </cell>
          <cell r="DD28" t="str">
            <v>Municipal Office</v>
          </cell>
          <cell r="DE28" t="str">
            <v/>
          </cell>
          <cell r="DF28" t="str">
            <v>Chief Adminstration Officer</v>
          </cell>
          <cell r="DG28" t="str">
            <v/>
          </cell>
          <cell r="DH28" t="str">
            <v>NRA/GMALI</v>
          </cell>
          <cell r="DI28" t="str">
            <v/>
          </cell>
          <cell r="DJ28" t="str">
            <v>NRA Chief-District</v>
          </cell>
          <cell r="DK28" t="str">
            <v/>
          </cell>
          <cell r="DL28" t="str">
            <v>DLPIU-Building</v>
          </cell>
          <cell r="DM28" t="str">
            <v/>
          </cell>
          <cell r="DN28" t="str">
            <v>DUDBC.DLPIU Chief</v>
          </cell>
          <cell r="DO28" t="str">
            <v/>
          </cell>
          <cell r="DP28" t="str">
            <v>Municipal Office</v>
          </cell>
          <cell r="DQ28" t="str">
            <v/>
          </cell>
          <cell r="DR28" t="str">
            <v>Focal Person</v>
          </cell>
          <cell r="DS28" t="str">
            <v/>
          </cell>
          <cell r="DT28" t="str">
            <v/>
          </cell>
          <cell r="DU28" t="str">
            <v/>
          </cell>
          <cell r="DV28" t="str">
            <v/>
          </cell>
          <cell r="DW28" t="str">
            <v/>
          </cell>
          <cell r="DX28" t="str">
            <v/>
          </cell>
          <cell r="DY28" t="str">
            <v/>
          </cell>
          <cell r="DZ28" t="str">
            <v/>
          </cell>
          <cell r="EA28" t="str">
            <v/>
          </cell>
          <cell r="EB28" t="str">
            <v/>
          </cell>
          <cell r="EC28" t="str">
            <v/>
          </cell>
          <cell r="ED28" t="str">
            <v/>
          </cell>
          <cell r="EE28" t="str">
            <v/>
          </cell>
          <cell r="EF28" t="str">
            <v/>
          </cell>
          <cell r="EG28" t="str">
            <v/>
          </cell>
          <cell r="EH28" t="str">
            <v/>
          </cell>
          <cell r="EI28" t="str">
            <v/>
          </cell>
          <cell r="EJ28">
            <v>0</v>
          </cell>
          <cell r="EK28">
            <v>0</v>
          </cell>
          <cell r="EL28">
            <v>0</v>
          </cell>
          <cell r="EM28">
            <v>0</v>
          </cell>
          <cell r="EN28">
            <v>0</v>
          </cell>
          <cell r="EO28">
            <v>0</v>
          </cell>
          <cell r="EP28" t="str">
            <v/>
          </cell>
          <cell r="EQ28" t="str">
            <v>Housing Recovery and Reconstruction Platform</v>
          </cell>
          <cell r="ER28" t="str">
            <v/>
          </cell>
          <cell r="ES28" t="str">
            <v>District Coordinator</v>
          </cell>
          <cell r="ET28" t="str">
            <v/>
          </cell>
          <cell r="EU28" t="str">
            <v>Housing Recovery and Reconstruction Platform</v>
          </cell>
          <cell r="EV28" t="str">
            <v/>
          </cell>
          <cell r="EW28" t="str">
            <v>DIstrict Information Management Officer</v>
          </cell>
          <cell r="EX28" t="str">
            <v/>
          </cell>
          <cell r="EY28" t="str">
            <v>Housing Recovery and Reconstruction Platform</v>
          </cell>
          <cell r="EZ28" t="str">
            <v/>
          </cell>
          <cell r="FA28" t="str">
            <v>District Technical Officer</v>
          </cell>
          <cell r="FB28" t="str">
            <v/>
          </cell>
        </row>
        <row r="29">
          <cell r="A29">
            <v>10009</v>
          </cell>
          <cell r="B29" t="str">
            <v>Bhojpur</v>
          </cell>
          <cell r="C29" t="str">
            <v>Tyamkemaiyung Gaunpalika</v>
          </cell>
          <cell r="D29">
            <v>171</v>
          </cell>
          <cell r="E29">
            <v>646</v>
          </cell>
          <cell r="F29">
            <v>817</v>
          </cell>
          <cell r="G29" t="str">
            <v>Stone and cement mortar masonry</v>
          </cell>
          <cell r="H29">
            <v>0</v>
          </cell>
          <cell r="I29">
            <v>7.0000000000000007E-2</v>
          </cell>
          <cell r="J29" t="str">
            <v>Stone and Mud Mortar Masonary</v>
          </cell>
          <cell r="K29">
            <v>67.81</v>
          </cell>
          <cell r="L29">
            <v>74.7</v>
          </cell>
          <cell r="M29" t="str">
            <v>Brick and Cement Mortar Masonary</v>
          </cell>
          <cell r="N29">
            <v>0</v>
          </cell>
          <cell r="O29">
            <v>0.02</v>
          </cell>
          <cell r="P29" t="str">
            <v>Brick and mud mortar Masonry</v>
          </cell>
          <cell r="Q29">
            <v>0.12</v>
          </cell>
          <cell r="R29">
            <v>0.06</v>
          </cell>
          <cell r="S29" t="str">
            <v>Reinforced cement concrete (RCC) frame</v>
          </cell>
          <cell r="T29">
            <v>0</v>
          </cell>
          <cell r="U29">
            <v>0</v>
          </cell>
          <cell r="V29" t="str">
            <v>Hybrid structure</v>
          </cell>
          <cell r="W29">
            <v>0</v>
          </cell>
          <cell r="X29">
            <v>0</v>
          </cell>
          <cell r="Y29" t="str">
            <v>Timber frame structure</v>
          </cell>
          <cell r="Z29">
            <v>0</v>
          </cell>
          <cell r="AA29">
            <v>0.73</v>
          </cell>
          <cell r="AB29" t="str">
            <v>Hollow concrete block Masonry</v>
          </cell>
          <cell r="AC29">
            <v>0</v>
          </cell>
          <cell r="AD29">
            <v>0</v>
          </cell>
          <cell r="AE29" t="str">
            <v>Dry stone Masonry</v>
          </cell>
          <cell r="AF29">
            <v>0</v>
          </cell>
          <cell r="AG29">
            <v>0.03</v>
          </cell>
          <cell r="AH29" t="str">
            <v>Adobe structures</v>
          </cell>
          <cell r="AI29">
            <v>31.7</v>
          </cell>
          <cell r="AJ29">
            <v>24.05</v>
          </cell>
          <cell r="AK29" t="str">
            <v>Bamboo</v>
          </cell>
          <cell r="AL29">
            <v>0.37</v>
          </cell>
          <cell r="AM29">
            <v>0.33</v>
          </cell>
          <cell r="AN29" t="str">
            <v>Compressed stabilized earth block (SCEB) Masonry</v>
          </cell>
          <cell r="AO29">
            <v>0</v>
          </cell>
          <cell r="AP29">
            <v>0</v>
          </cell>
          <cell r="AQ29" t="str">
            <v>Light steel frame structures</v>
          </cell>
          <cell r="AR29">
            <v>0</v>
          </cell>
          <cell r="AS29">
            <v>0</v>
          </cell>
          <cell r="AT29">
            <v>531</v>
          </cell>
          <cell r="AU29">
            <v>112</v>
          </cell>
          <cell r="AV29">
            <v>112</v>
          </cell>
          <cell r="AW29">
            <v>46</v>
          </cell>
          <cell r="AX29">
            <v>0</v>
          </cell>
          <cell r="AY29" t="str">
            <v/>
          </cell>
          <cell r="AZ29" t="str">
            <v/>
          </cell>
          <cell r="BA29">
            <v>107</v>
          </cell>
          <cell r="BB29" t="str">
            <v/>
          </cell>
          <cell r="BC29" t="str">
            <v/>
          </cell>
          <cell r="BD29" t="str">
            <v/>
          </cell>
          <cell r="BE29" t="str">
            <v/>
          </cell>
          <cell r="BF29" t="str">
            <v/>
          </cell>
          <cell r="BG29" t="str">
            <v/>
          </cell>
          <cell r="BH29" t="str">
            <v/>
          </cell>
          <cell r="BI29" t="str">
            <v/>
          </cell>
          <cell r="BJ29" t="str">
            <v/>
          </cell>
          <cell r="BK29">
            <v>3162</v>
          </cell>
          <cell r="BL29" t="str">
            <v/>
          </cell>
          <cell r="BM29" t="str">
            <v/>
          </cell>
          <cell r="BN29">
            <v>3320</v>
          </cell>
          <cell r="BO29" t="str">
            <v/>
          </cell>
          <cell r="BP29" t="str">
            <v/>
          </cell>
          <cell r="BQ29">
            <v>338</v>
          </cell>
          <cell r="BR29" t="str">
            <v/>
          </cell>
          <cell r="BS29" t="str">
            <v/>
          </cell>
          <cell r="BT29">
            <v>393</v>
          </cell>
          <cell r="BU29" t="str">
            <v/>
          </cell>
          <cell r="BV29" t="str">
            <v/>
          </cell>
          <cell r="BW29" t="str">
            <v/>
          </cell>
          <cell r="BX29" t="str">
            <v/>
          </cell>
          <cell r="BY29" t="str">
            <v/>
          </cell>
          <cell r="BZ29">
            <v>10948</v>
          </cell>
          <cell r="CA29" t="str">
            <v/>
          </cell>
          <cell r="CB29" t="str">
            <v/>
          </cell>
          <cell r="CC29">
            <v>34103</v>
          </cell>
          <cell r="CD29" t="str">
            <v/>
          </cell>
          <cell r="CE29" t="str">
            <v/>
          </cell>
          <cell r="CF29">
            <v>447</v>
          </cell>
          <cell r="CG29" t="str">
            <v/>
          </cell>
          <cell r="CH29" t="str">
            <v/>
          </cell>
          <cell r="CI29">
            <v>19390</v>
          </cell>
          <cell r="CJ29" t="str">
            <v/>
          </cell>
          <cell r="CK29" t="str">
            <v/>
          </cell>
          <cell r="CL29" t="str">
            <v>Skilled</v>
          </cell>
          <cell r="CM29" t="str">
            <v/>
          </cell>
          <cell r="CN29" t="str">
            <v>Labor</v>
          </cell>
          <cell r="CO29" t="str">
            <v/>
          </cell>
          <cell r="CP29" t="str">
            <v/>
          </cell>
          <cell r="CQ29" t="str">
            <v/>
          </cell>
          <cell r="CR29" t="str">
            <v/>
          </cell>
          <cell r="CS29" t="str">
            <v/>
          </cell>
          <cell r="CT29" t="str">
            <v/>
          </cell>
          <cell r="CU29" t="str">
            <v/>
          </cell>
          <cell r="CV29" t="str">
            <v>Municipal Office</v>
          </cell>
          <cell r="CW29" t="str">
            <v/>
          </cell>
          <cell r="CX29" t="str">
            <v>Chairman</v>
          </cell>
          <cell r="CY29" t="str">
            <v/>
          </cell>
          <cell r="CZ29" t="str">
            <v>Municipal Office</v>
          </cell>
          <cell r="DA29" t="str">
            <v/>
          </cell>
          <cell r="DB29" t="str">
            <v>Deputy Chairman</v>
          </cell>
          <cell r="DC29" t="str">
            <v/>
          </cell>
          <cell r="DD29" t="str">
            <v>Municipal Office</v>
          </cell>
          <cell r="DE29" t="str">
            <v/>
          </cell>
          <cell r="DF29" t="str">
            <v>Chief Adminstration Officer</v>
          </cell>
          <cell r="DG29" t="str">
            <v/>
          </cell>
          <cell r="DH29" t="str">
            <v>NRA/GMALI</v>
          </cell>
          <cell r="DI29" t="str">
            <v/>
          </cell>
          <cell r="DJ29" t="str">
            <v>NRA Chief-District</v>
          </cell>
          <cell r="DK29" t="str">
            <v/>
          </cell>
          <cell r="DL29" t="str">
            <v>DLPIU-Building</v>
          </cell>
          <cell r="DM29" t="str">
            <v/>
          </cell>
          <cell r="DN29" t="str">
            <v>DUDBC.DLPIU Chief</v>
          </cell>
          <cell r="DO29" t="str">
            <v/>
          </cell>
          <cell r="DP29" t="str">
            <v>Municipal Office</v>
          </cell>
          <cell r="DQ29" t="str">
            <v/>
          </cell>
          <cell r="DR29" t="str">
            <v>Focal Person</v>
          </cell>
          <cell r="DS29" t="str">
            <v/>
          </cell>
          <cell r="DT29" t="str">
            <v/>
          </cell>
          <cell r="DU29" t="str">
            <v/>
          </cell>
          <cell r="DV29" t="str">
            <v/>
          </cell>
          <cell r="DW29" t="str">
            <v/>
          </cell>
          <cell r="DX29" t="str">
            <v/>
          </cell>
          <cell r="DY29" t="str">
            <v/>
          </cell>
          <cell r="DZ29" t="str">
            <v/>
          </cell>
          <cell r="EA29" t="str">
            <v/>
          </cell>
          <cell r="EB29" t="str">
            <v/>
          </cell>
          <cell r="EC29" t="str">
            <v/>
          </cell>
          <cell r="ED29" t="str">
            <v/>
          </cell>
          <cell r="EE29" t="str">
            <v/>
          </cell>
          <cell r="EF29" t="str">
            <v/>
          </cell>
          <cell r="EG29" t="str">
            <v/>
          </cell>
          <cell r="EH29" t="str">
            <v/>
          </cell>
          <cell r="EI29" t="str">
            <v/>
          </cell>
          <cell r="EJ29">
            <v>0</v>
          </cell>
          <cell r="EK29">
            <v>0</v>
          </cell>
          <cell r="EL29">
            <v>0</v>
          </cell>
          <cell r="EM29">
            <v>0</v>
          </cell>
          <cell r="EN29">
            <v>0</v>
          </cell>
          <cell r="EO29">
            <v>0</v>
          </cell>
          <cell r="EP29" t="str">
            <v/>
          </cell>
          <cell r="EQ29" t="str">
            <v>Housing Recovery and Reconstruction Platform</v>
          </cell>
          <cell r="ER29" t="str">
            <v/>
          </cell>
          <cell r="ES29" t="str">
            <v>District Coordinator</v>
          </cell>
          <cell r="ET29" t="str">
            <v/>
          </cell>
          <cell r="EU29" t="str">
            <v>Housing Recovery and Reconstruction Platform</v>
          </cell>
          <cell r="EV29" t="str">
            <v/>
          </cell>
          <cell r="EW29" t="str">
            <v>DIstrict Information Management Officer</v>
          </cell>
          <cell r="EX29" t="str">
            <v/>
          </cell>
          <cell r="EY29" t="str">
            <v>Housing Recovery and Reconstruction Platform</v>
          </cell>
          <cell r="EZ29" t="str">
            <v/>
          </cell>
          <cell r="FA29" t="str">
            <v>District Technical Officer</v>
          </cell>
          <cell r="FB29" t="str">
            <v/>
          </cell>
        </row>
        <row r="30">
          <cell r="A30">
            <v>11001</v>
          </cell>
          <cell r="B30" t="str">
            <v>Solukhumbu</v>
          </cell>
          <cell r="C30" t="str">
            <v>Dudhkaushika Gaunpalika</v>
          </cell>
          <cell r="D30">
            <v>1071</v>
          </cell>
          <cell r="E30">
            <v>2672</v>
          </cell>
          <cell r="F30">
            <v>3743</v>
          </cell>
          <cell r="G30" t="str">
            <v>Stone and cement mortar masonry</v>
          </cell>
          <cell r="H30">
            <v>0.05</v>
          </cell>
          <cell r="I30">
            <v>0.7</v>
          </cell>
          <cell r="J30" t="str">
            <v>Stone and Mud Mortar Masonary</v>
          </cell>
          <cell r="K30">
            <v>97.49</v>
          </cell>
          <cell r="L30">
            <v>95.03</v>
          </cell>
          <cell r="M30" t="str">
            <v>Brick and Cement Mortar Masonary</v>
          </cell>
          <cell r="N30">
            <v>0</v>
          </cell>
          <cell r="O30">
            <v>0.02</v>
          </cell>
          <cell r="P30" t="str">
            <v>Brick and mud mortar Masonry</v>
          </cell>
          <cell r="Q30">
            <v>0</v>
          </cell>
          <cell r="R30">
            <v>0.03</v>
          </cell>
          <cell r="S30" t="str">
            <v>Reinforced cement concrete (RCC) frame</v>
          </cell>
          <cell r="T30">
            <v>0</v>
          </cell>
          <cell r="U30">
            <v>0.03</v>
          </cell>
          <cell r="V30" t="str">
            <v>Hybrid structure</v>
          </cell>
          <cell r="W30">
            <v>0</v>
          </cell>
          <cell r="X30">
            <v>0</v>
          </cell>
          <cell r="Y30" t="str">
            <v>Timber frame structure</v>
          </cell>
          <cell r="Z30">
            <v>0.43</v>
          </cell>
          <cell r="AA30">
            <v>0.49</v>
          </cell>
          <cell r="AB30" t="str">
            <v>Hollow concrete block Masonry</v>
          </cell>
          <cell r="AC30">
            <v>0</v>
          </cell>
          <cell r="AD30">
            <v>0</v>
          </cell>
          <cell r="AE30" t="str">
            <v>Dry stone Masonry</v>
          </cell>
          <cell r="AF30">
            <v>0.05</v>
          </cell>
          <cell r="AG30">
            <v>1.84</v>
          </cell>
          <cell r="AH30" t="str">
            <v>Adobe structures</v>
          </cell>
          <cell r="AI30">
            <v>1.79</v>
          </cell>
          <cell r="AJ30">
            <v>1.75</v>
          </cell>
          <cell r="AK30" t="str">
            <v>Bamboo</v>
          </cell>
          <cell r="AL30">
            <v>0.19</v>
          </cell>
          <cell r="AM30">
            <v>0.11</v>
          </cell>
          <cell r="AN30" t="str">
            <v>Compressed stabilized earth block (SCEB) Masonry</v>
          </cell>
          <cell r="AO30">
            <v>0</v>
          </cell>
          <cell r="AP30">
            <v>0</v>
          </cell>
          <cell r="AQ30" t="str">
            <v>Light steel frame structures</v>
          </cell>
          <cell r="AR30">
            <v>0</v>
          </cell>
          <cell r="AS30">
            <v>0</v>
          </cell>
          <cell r="AT30">
            <v>2614</v>
          </cell>
          <cell r="AU30">
            <v>1113</v>
          </cell>
          <cell r="AV30">
            <v>1113</v>
          </cell>
          <cell r="AW30">
            <v>474</v>
          </cell>
          <cell r="AX30">
            <v>0</v>
          </cell>
          <cell r="AY30" t="str">
            <v/>
          </cell>
          <cell r="AZ30" t="str">
            <v/>
          </cell>
          <cell r="BA30">
            <v>20</v>
          </cell>
          <cell r="BB30" t="str">
            <v/>
          </cell>
          <cell r="BC30" t="str">
            <v/>
          </cell>
          <cell r="BD30" t="str">
            <v/>
          </cell>
          <cell r="BE30" t="str">
            <v/>
          </cell>
          <cell r="BF30" t="str">
            <v/>
          </cell>
          <cell r="BG30" t="str">
            <v/>
          </cell>
          <cell r="BH30" t="str">
            <v/>
          </cell>
          <cell r="BI30" t="str">
            <v>CITC-N(Education)</v>
          </cell>
          <cell r="BJ30" t="str">
            <v/>
          </cell>
          <cell r="BK30">
            <v>31221</v>
          </cell>
          <cell r="BL30" t="str">
            <v/>
          </cell>
          <cell r="BM30" t="str">
            <v/>
          </cell>
          <cell r="BN30">
            <v>32965</v>
          </cell>
          <cell r="BO30" t="str">
            <v/>
          </cell>
          <cell r="BP30" t="str">
            <v/>
          </cell>
          <cell r="BQ30">
            <v>3341</v>
          </cell>
          <cell r="BR30" t="str">
            <v/>
          </cell>
          <cell r="BS30" t="str">
            <v/>
          </cell>
          <cell r="BT30">
            <v>3885</v>
          </cell>
          <cell r="BU30" t="str">
            <v/>
          </cell>
          <cell r="BV30" t="str">
            <v/>
          </cell>
          <cell r="BW30" t="str">
            <v/>
          </cell>
          <cell r="BX30" t="str">
            <v/>
          </cell>
          <cell r="BY30" t="str">
            <v/>
          </cell>
          <cell r="BZ30">
            <v>108423</v>
          </cell>
          <cell r="CA30" t="str">
            <v/>
          </cell>
          <cell r="CB30" t="str">
            <v/>
          </cell>
          <cell r="CC30">
            <v>336149</v>
          </cell>
          <cell r="CD30" t="str">
            <v/>
          </cell>
          <cell r="CE30" t="str">
            <v/>
          </cell>
          <cell r="CF30">
            <v>4429</v>
          </cell>
          <cell r="CG30" t="str">
            <v/>
          </cell>
          <cell r="CH30" t="str">
            <v/>
          </cell>
          <cell r="CI30">
            <v>139758</v>
          </cell>
          <cell r="CJ30" t="str">
            <v/>
          </cell>
          <cell r="CK30" t="str">
            <v/>
          </cell>
          <cell r="CL30" t="str">
            <v>Skilled</v>
          </cell>
          <cell r="CM30" t="str">
            <v/>
          </cell>
          <cell r="CN30" t="str">
            <v>Labor</v>
          </cell>
          <cell r="CO30" t="str">
            <v/>
          </cell>
          <cell r="CP30" t="str">
            <v/>
          </cell>
          <cell r="CQ30" t="str">
            <v/>
          </cell>
          <cell r="CR30" t="str">
            <v/>
          </cell>
          <cell r="CS30" t="str">
            <v/>
          </cell>
          <cell r="CT30" t="str">
            <v/>
          </cell>
          <cell r="CU30" t="str">
            <v/>
          </cell>
          <cell r="CV30" t="str">
            <v>Municipal Office</v>
          </cell>
          <cell r="CW30" t="str">
            <v/>
          </cell>
          <cell r="CX30" t="str">
            <v>Chairman</v>
          </cell>
          <cell r="CY30" t="str">
            <v/>
          </cell>
          <cell r="CZ30" t="str">
            <v>Municipal Office</v>
          </cell>
          <cell r="DA30" t="str">
            <v/>
          </cell>
          <cell r="DB30" t="str">
            <v>Deputy Chairman</v>
          </cell>
          <cell r="DC30" t="str">
            <v/>
          </cell>
          <cell r="DD30" t="str">
            <v>Municipal Office</v>
          </cell>
          <cell r="DE30" t="str">
            <v/>
          </cell>
          <cell r="DF30" t="str">
            <v>Chief Adminstration Officer</v>
          </cell>
          <cell r="DG30" t="str">
            <v/>
          </cell>
          <cell r="DH30" t="str">
            <v>NRA/GMALI</v>
          </cell>
          <cell r="DI30" t="str">
            <v/>
          </cell>
          <cell r="DJ30" t="str">
            <v>NRA Chief-District</v>
          </cell>
          <cell r="DK30" t="str">
            <v/>
          </cell>
          <cell r="DL30" t="str">
            <v>DLPIU-Building</v>
          </cell>
          <cell r="DM30" t="str">
            <v/>
          </cell>
          <cell r="DN30" t="str">
            <v>DUDBC.DLPIU Chief</v>
          </cell>
          <cell r="DO30" t="str">
            <v/>
          </cell>
          <cell r="DP30" t="str">
            <v>Municipal Office</v>
          </cell>
          <cell r="DQ30" t="str">
            <v/>
          </cell>
          <cell r="DR30" t="str">
            <v>Focal Person</v>
          </cell>
          <cell r="DS30" t="str">
            <v/>
          </cell>
          <cell r="DT30" t="str">
            <v/>
          </cell>
          <cell r="DU30" t="str">
            <v/>
          </cell>
          <cell r="DV30" t="str">
            <v/>
          </cell>
          <cell r="DW30" t="str">
            <v/>
          </cell>
          <cell r="DX30" t="str">
            <v/>
          </cell>
          <cell r="DY30" t="str">
            <v/>
          </cell>
          <cell r="DZ30" t="str">
            <v/>
          </cell>
          <cell r="EA30" t="str">
            <v/>
          </cell>
          <cell r="EB30" t="str">
            <v/>
          </cell>
          <cell r="EC30" t="str">
            <v/>
          </cell>
          <cell r="ED30" t="str">
            <v/>
          </cell>
          <cell r="EE30" t="str">
            <v/>
          </cell>
          <cell r="EF30" t="str">
            <v/>
          </cell>
          <cell r="EG30" t="str">
            <v/>
          </cell>
          <cell r="EH30" t="str">
            <v/>
          </cell>
          <cell r="EI30" t="str">
            <v/>
          </cell>
          <cell r="EJ30">
            <v>0</v>
          </cell>
          <cell r="EK30">
            <v>0</v>
          </cell>
          <cell r="EL30">
            <v>0</v>
          </cell>
          <cell r="EM30">
            <v>0</v>
          </cell>
          <cell r="EN30">
            <v>0</v>
          </cell>
          <cell r="EO30">
            <v>0</v>
          </cell>
          <cell r="EP30" t="str">
            <v/>
          </cell>
          <cell r="EQ30" t="str">
            <v>Housing Recovery and Reconstruction Platform</v>
          </cell>
          <cell r="ER30" t="str">
            <v/>
          </cell>
          <cell r="ES30" t="str">
            <v>District Coordinator</v>
          </cell>
          <cell r="ET30" t="str">
            <v/>
          </cell>
          <cell r="EU30" t="str">
            <v>Housing Recovery and Reconstruction Platform</v>
          </cell>
          <cell r="EV30" t="str">
            <v/>
          </cell>
          <cell r="EW30" t="str">
            <v>DIstrict Information Management Officer</v>
          </cell>
          <cell r="EX30" t="str">
            <v/>
          </cell>
          <cell r="EY30" t="str">
            <v>Housing Recovery and Reconstruction Platform</v>
          </cell>
          <cell r="EZ30" t="str">
            <v/>
          </cell>
          <cell r="FA30" t="str">
            <v>District Technical Officer</v>
          </cell>
          <cell r="FB30" t="str">
            <v/>
          </cell>
        </row>
        <row r="31">
          <cell r="A31">
            <v>11002</v>
          </cell>
          <cell r="B31" t="str">
            <v>Solukhumbu</v>
          </cell>
          <cell r="C31" t="str">
            <v>Dudhkoshi Gaunpalika</v>
          </cell>
          <cell r="D31">
            <v>822</v>
          </cell>
          <cell r="E31">
            <v>1249</v>
          </cell>
          <cell r="F31">
            <v>2071</v>
          </cell>
          <cell r="G31" t="str">
            <v>Stone and cement mortar masonry</v>
          </cell>
          <cell r="H31">
            <v>0.05</v>
          </cell>
          <cell r="I31">
            <v>0.7</v>
          </cell>
          <cell r="J31" t="str">
            <v>Stone and Mud Mortar Masonary</v>
          </cell>
          <cell r="K31">
            <v>97.58</v>
          </cell>
          <cell r="L31">
            <v>95.03</v>
          </cell>
          <cell r="M31" t="str">
            <v>Brick and Cement Mortar Masonary</v>
          </cell>
          <cell r="N31">
            <v>0</v>
          </cell>
          <cell r="O31">
            <v>0.02</v>
          </cell>
          <cell r="P31" t="str">
            <v>Brick and mud mortar Masonry</v>
          </cell>
          <cell r="Q31">
            <v>0</v>
          </cell>
          <cell r="R31">
            <v>0.03</v>
          </cell>
          <cell r="S31" t="str">
            <v>Reinforced cement concrete (RCC) frame</v>
          </cell>
          <cell r="T31">
            <v>0</v>
          </cell>
          <cell r="U31">
            <v>0.03</v>
          </cell>
          <cell r="V31" t="str">
            <v>Hybrid structure</v>
          </cell>
          <cell r="W31">
            <v>0</v>
          </cell>
          <cell r="X31">
            <v>0</v>
          </cell>
          <cell r="Y31" t="str">
            <v>Timber frame structure</v>
          </cell>
          <cell r="Z31">
            <v>0.1</v>
          </cell>
          <cell r="AA31">
            <v>0.49</v>
          </cell>
          <cell r="AB31" t="str">
            <v>Hollow concrete block Masonry</v>
          </cell>
          <cell r="AC31">
            <v>0</v>
          </cell>
          <cell r="AD31">
            <v>0</v>
          </cell>
          <cell r="AE31" t="str">
            <v>Dry stone Masonry</v>
          </cell>
          <cell r="AF31">
            <v>2.0299999999999998</v>
          </cell>
          <cell r="AG31">
            <v>1.84</v>
          </cell>
          <cell r="AH31" t="str">
            <v>Adobe structures</v>
          </cell>
          <cell r="AI31">
            <v>0</v>
          </cell>
          <cell r="AJ31">
            <v>1.75</v>
          </cell>
          <cell r="AK31" t="str">
            <v>Bamboo</v>
          </cell>
          <cell r="AL31">
            <v>0.24</v>
          </cell>
          <cell r="AM31">
            <v>0.11</v>
          </cell>
          <cell r="AN31" t="str">
            <v>Compressed stabilized earth block (SCEB) Masonry</v>
          </cell>
          <cell r="AO31">
            <v>0</v>
          </cell>
          <cell r="AP31">
            <v>0</v>
          </cell>
          <cell r="AQ31" t="str">
            <v>Light steel frame structures</v>
          </cell>
          <cell r="AR31">
            <v>0</v>
          </cell>
          <cell r="AS31">
            <v>0</v>
          </cell>
          <cell r="AT31">
            <v>1226</v>
          </cell>
          <cell r="AU31">
            <v>987</v>
          </cell>
          <cell r="AV31">
            <v>987</v>
          </cell>
          <cell r="AW31">
            <v>14</v>
          </cell>
          <cell r="AX31">
            <v>0</v>
          </cell>
          <cell r="AY31" t="str">
            <v/>
          </cell>
          <cell r="AZ31" t="str">
            <v/>
          </cell>
          <cell r="BA31">
            <v>49</v>
          </cell>
          <cell r="BB31" t="str">
            <v/>
          </cell>
          <cell r="BC31" t="str">
            <v/>
          </cell>
          <cell r="BD31" t="str">
            <v/>
          </cell>
          <cell r="BE31" t="str">
            <v/>
          </cell>
          <cell r="BF31" t="str">
            <v/>
          </cell>
          <cell r="BG31" t="str">
            <v/>
          </cell>
          <cell r="BH31" t="str">
            <v/>
          </cell>
          <cell r="BI31" t="str">
            <v/>
          </cell>
          <cell r="BJ31" t="str">
            <v/>
          </cell>
          <cell r="BK31">
            <v>28026</v>
          </cell>
          <cell r="BL31" t="str">
            <v/>
          </cell>
          <cell r="BM31" t="str">
            <v/>
          </cell>
          <cell r="BN31">
            <v>29170</v>
          </cell>
          <cell r="BO31" t="str">
            <v/>
          </cell>
          <cell r="BP31" t="str">
            <v/>
          </cell>
          <cell r="BQ31">
            <v>2995</v>
          </cell>
          <cell r="BR31" t="str">
            <v/>
          </cell>
          <cell r="BS31" t="str">
            <v/>
          </cell>
          <cell r="BT31">
            <v>3468</v>
          </cell>
          <cell r="BU31" t="str">
            <v/>
          </cell>
          <cell r="BV31" t="str">
            <v/>
          </cell>
          <cell r="BW31" t="str">
            <v/>
          </cell>
          <cell r="BX31" t="str">
            <v/>
          </cell>
          <cell r="BY31" t="str">
            <v/>
          </cell>
          <cell r="BZ31">
            <v>95843</v>
          </cell>
          <cell r="CA31" t="str">
            <v/>
          </cell>
          <cell r="CB31" t="str">
            <v/>
          </cell>
          <cell r="CC31">
            <v>302185</v>
          </cell>
          <cell r="CD31" t="str">
            <v/>
          </cell>
          <cell r="CE31" t="str">
            <v/>
          </cell>
          <cell r="CF31">
            <v>3913</v>
          </cell>
          <cell r="CG31" t="str">
            <v/>
          </cell>
          <cell r="CH31" t="str">
            <v/>
          </cell>
          <cell r="CI31">
            <v>132682</v>
          </cell>
          <cell r="CJ31" t="str">
            <v/>
          </cell>
          <cell r="CK31" t="str">
            <v/>
          </cell>
          <cell r="CL31" t="str">
            <v>Skilled</v>
          </cell>
          <cell r="CM31" t="str">
            <v/>
          </cell>
          <cell r="CN31" t="str">
            <v>Labor</v>
          </cell>
          <cell r="CO31" t="str">
            <v/>
          </cell>
          <cell r="CP31" t="str">
            <v/>
          </cell>
          <cell r="CQ31" t="str">
            <v/>
          </cell>
          <cell r="CR31" t="str">
            <v/>
          </cell>
          <cell r="CS31" t="str">
            <v/>
          </cell>
          <cell r="CT31" t="str">
            <v/>
          </cell>
          <cell r="CU31" t="str">
            <v/>
          </cell>
          <cell r="CV31" t="str">
            <v>Municipal Office</v>
          </cell>
          <cell r="CW31" t="str">
            <v/>
          </cell>
          <cell r="CX31" t="str">
            <v>Chairman</v>
          </cell>
          <cell r="CY31" t="str">
            <v/>
          </cell>
          <cell r="CZ31" t="str">
            <v>Municipal Office</v>
          </cell>
          <cell r="DA31" t="str">
            <v/>
          </cell>
          <cell r="DB31" t="str">
            <v>Deputy Chairman</v>
          </cell>
          <cell r="DC31" t="str">
            <v/>
          </cell>
          <cell r="DD31" t="str">
            <v>Municipal Office</v>
          </cell>
          <cell r="DE31" t="str">
            <v/>
          </cell>
          <cell r="DF31" t="str">
            <v>Chief Adminstration Officer</v>
          </cell>
          <cell r="DG31" t="str">
            <v/>
          </cell>
          <cell r="DH31" t="str">
            <v>NRA/GMALI</v>
          </cell>
          <cell r="DI31" t="str">
            <v/>
          </cell>
          <cell r="DJ31" t="str">
            <v>NRA Chief-District</v>
          </cell>
          <cell r="DK31" t="str">
            <v/>
          </cell>
          <cell r="DL31" t="str">
            <v>DLPIU-Building</v>
          </cell>
          <cell r="DM31" t="str">
            <v/>
          </cell>
          <cell r="DN31" t="str">
            <v>DUDBC.DLPIU Chief</v>
          </cell>
          <cell r="DO31" t="str">
            <v/>
          </cell>
          <cell r="DP31" t="str">
            <v>Municipal Office</v>
          </cell>
          <cell r="DQ31" t="str">
            <v/>
          </cell>
          <cell r="DR31" t="str">
            <v>Focal Person</v>
          </cell>
          <cell r="DS31" t="str">
            <v/>
          </cell>
          <cell r="DT31" t="str">
            <v/>
          </cell>
          <cell r="DU31" t="str">
            <v/>
          </cell>
          <cell r="DV31" t="str">
            <v/>
          </cell>
          <cell r="DW31" t="str">
            <v/>
          </cell>
          <cell r="DX31" t="str">
            <v/>
          </cell>
          <cell r="DY31" t="str">
            <v/>
          </cell>
          <cell r="DZ31" t="str">
            <v/>
          </cell>
          <cell r="EA31" t="str">
            <v/>
          </cell>
          <cell r="EB31" t="str">
            <v/>
          </cell>
          <cell r="EC31" t="str">
            <v/>
          </cell>
          <cell r="ED31" t="str">
            <v/>
          </cell>
          <cell r="EE31" t="str">
            <v/>
          </cell>
          <cell r="EF31" t="str">
            <v/>
          </cell>
          <cell r="EG31" t="str">
            <v/>
          </cell>
          <cell r="EH31" t="str">
            <v/>
          </cell>
          <cell r="EI31" t="str">
            <v/>
          </cell>
          <cell r="EJ31">
            <v>0</v>
          </cell>
          <cell r="EK31">
            <v>0</v>
          </cell>
          <cell r="EL31">
            <v>0</v>
          </cell>
          <cell r="EM31">
            <v>0</v>
          </cell>
          <cell r="EN31">
            <v>0</v>
          </cell>
          <cell r="EO31">
            <v>0</v>
          </cell>
          <cell r="EP31" t="str">
            <v/>
          </cell>
          <cell r="EQ31" t="str">
            <v>Housing Recovery and Reconstruction Platform</v>
          </cell>
          <cell r="ER31" t="str">
            <v/>
          </cell>
          <cell r="ES31" t="str">
            <v>District Coordinator</v>
          </cell>
          <cell r="ET31" t="str">
            <v/>
          </cell>
          <cell r="EU31" t="str">
            <v>Housing Recovery and Reconstruction Platform</v>
          </cell>
          <cell r="EV31" t="str">
            <v/>
          </cell>
          <cell r="EW31" t="str">
            <v>DIstrict Information Management Officer</v>
          </cell>
          <cell r="EX31" t="str">
            <v/>
          </cell>
          <cell r="EY31" t="str">
            <v>Housing Recovery and Reconstruction Platform</v>
          </cell>
          <cell r="EZ31" t="str">
            <v/>
          </cell>
          <cell r="FA31" t="str">
            <v>District Technical Officer</v>
          </cell>
          <cell r="FB31" t="str">
            <v/>
          </cell>
        </row>
        <row r="32">
          <cell r="A32">
            <v>11003</v>
          </cell>
          <cell r="B32" t="str">
            <v>Solukhumbu</v>
          </cell>
          <cell r="C32" t="str">
            <v>Khumbupasanglahmu Gaunpalika</v>
          </cell>
          <cell r="D32">
            <v>119</v>
          </cell>
          <cell r="E32">
            <v>1435</v>
          </cell>
          <cell r="F32">
            <v>1554</v>
          </cell>
          <cell r="G32" t="str">
            <v>Stone and cement mortar masonry</v>
          </cell>
          <cell r="H32">
            <v>5.53</v>
          </cell>
          <cell r="I32">
            <v>0.7</v>
          </cell>
          <cell r="J32" t="str">
            <v>Stone and Mud Mortar Masonary</v>
          </cell>
          <cell r="K32">
            <v>78.19</v>
          </cell>
          <cell r="L32">
            <v>95.03</v>
          </cell>
          <cell r="M32" t="str">
            <v>Brick and Cement Mortar Masonary</v>
          </cell>
          <cell r="N32">
            <v>0</v>
          </cell>
          <cell r="O32">
            <v>0.02</v>
          </cell>
          <cell r="P32" t="str">
            <v>Brick and mud mortar Masonry</v>
          </cell>
          <cell r="Q32">
            <v>0.13</v>
          </cell>
          <cell r="R32">
            <v>0.03</v>
          </cell>
          <cell r="S32" t="str">
            <v>Reinforced cement concrete (RCC) frame</v>
          </cell>
          <cell r="T32">
            <v>0</v>
          </cell>
          <cell r="U32">
            <v>0.03</v>
          </cell>
          <cell r="V32" t="str">
            <v>Hybrid structure</v>
          </cell>
          <cell r="W32">
            <v>0</v>
          </cell>
          <cell r="X32">
            <v>0</v>
          </cell>
          <cell r="Y32" t="str">
            <v>Timber frame structure</v>
          </cell>
          <cell r="Z32">
            <v>0.51</v>
          </cell>
          <cell r="AA32">
            <v>0.49</v>
          </cell>
          <cell r="AB32" t="str">
            <v>Hollow concrete block Masonry</v>
          </cell>
          <cell r="AC32">
            <v>0</v>
          </cell>
          <cell r="AD32">
            <v>0</v>
          </cell>
          <cell r="AE32" t="str">
            <v>Dry stone Masonry</v>
          </cell>
          <cell r="AF32">
            <v>15.44</v>
          </cell>
          <cell r="AG32">
            <v>1.84</v>
          </cell>
          <cell r="AH32" t="str">
            <v>Adobe structures</v>
          </cell>
          <cell r="AI32">
            <v>0.19</v>
          </cell>
          <cell r="AJ32">
            <v>1.75</v>
          </cell>
          <cell r="AK32" t="str">
            <v>Bamboo</v>
          </cell>
          <cell r="AL32">
            <v>0</v>
          </cell>
          <cell r="AM32">
            <v>0.11</v>
          </cell>
          <cell r="AN32" t="str">
            <v>Compressed stabilized earth block (SCEB) Masonry</v>
          </cell>
          <cell r="AO32">
            <v>0</v>
          </cell>
          <cell r="AP32">
            <v>0</v>
          </cell>
          <cell r="AQ32" t="str">
            <v>Light steel frame structures</v>
          </cell>
          <cell r="AR32">
            <v>0</v>
          </cell>
          <cell r="AS32">
            <v>0</v>
          </cell>
          <cell r="AT32">
            <v>1337</v>
          </cell>
          <cell r="AU32">
            <v>1341</v>
          </cell>
          <cell r="AV32">
            <v>1341</v>
          </cell>
          <cell r="AW32">
            <v>0</v>
          </cell>
          <cell r="AX32">
            <v>0</v>
          </cell>
          <cell r="AY32" t="str">
            <v/>
          </cell>
          <cell r="AZ32" t="str">
            <v/>
          </cell>
          <cell r="BA32">
            <v>5</v>
          </cell>
          <cell r="BB32" t="str">
            <v/>
          </cell>
          <cell r="BC32" t="str">
            <v/>
          </cell>
          <cell r="BD32" t="str">
            <v/>
          </cell>
          <cell r="BE32" t="str">
            <v/>
          </cell>
          <cell r="BF32" t="str">
            <v/>
          </cell>
          <cell r="BG32" t="str">
            <v/>
          </cell>
          <cell r="BH32" t="str">
            <v/>
          </cell>
          <cell r="BI32" t="str">
            <v/>
          </cell>
          <cell r="BJ32" t="str">
            <v>JingF(Education)</v>
          </cell>
          <cell r="BK32">
            <v>40121</v>
          </cell>
          <cell r="BL32" t="str">
            <v/>
          </cell>
          <cell r="BM32" t="str">
            <v/>
          </cell>
          <cell r="BN32">
            <v>36244</v>
          </cell>
          <cell r="BO32" t="str">
            <v/>
          </cell>
          <cell r="BP32" t="str">
            <v/>
          </cell>
          <cell r="BQ32">
            <v>4247</v>
          </cell>
          <cell r="BR32" t="str">
            <v/>
          </cell>
          <cell r="BS32" t="str">
            <v/>
          </cell>
          <cell r="BT32">
            <v>4764</v>
          </cell>
          <cell r="BU32" t="str">
            <v/>
          </cell>
          <cell r="BV32" t="str">
            <v/>
          </cell>
          <cell r="BW32" t="str">
            <v/>
          </cell>
          <cell r="BX32" t="str">
            <v/>
          </cell>
          <cell r="BY32" t="str">
            <v/>
          </cell>
          <cell r="BZ32">
            <v>127297</v>
          </cell>
          <cell r="CA32" t="str">
            <v/>
          </cell>
          <cell r="CB32" t="str">
            <v/>
          </cell>
          <cell r="CC32">
            <v>450894</v>
          </cell>
          <cell r="CD32" t="str">
            <v/>
          </cell>
          <cell r="CE32" t="str">
            <v/>
          </cell>
          <cell r="CF32">
            <v>5233</v>
          </cell>
          <cell r="CG32" t="str">
            <v/>
          </cell>
          <cell r="CH32" t="str">
            <v/>
          </cell>
          <cell r="CI32">
            <v>1737742</v>
          </cell>
          <cell r="CJ32" t="str">
            <v/>
          </cell>
          <cell r="CK32" t="str">
            <v/>
          </cell>
          <cell r="CL32" t="str">
            <v>Skilled</v>
          </cell>
          <cell r="CM32" t="str">
            <v/>
          </cell>
          <cell r="CN32" t="str">
            <v>Labor</v>
          </cell>
          <cell r="CO32" t="str">
            <v/>
          </cell>
          <cell r="CP32" t="str">
            <v/>
          </cell>
          <cell r="CQ32" t="str">
            <v/>
          </cell>
          <cell r="CR32" t="str">
            <v/>
          </cell>
          <cell r="CS32" t="str">
            <v/>
          </cell>
          <cell r="CT32" t="str">
            <v/>
          </cell>
          <cell r="CU32" t="str">
            <v/>
          </cell>
          <cell r="CV32" t="str">
            <v>Municipal Office</v>
          </cell>
          <cell r="CW32" t="str">
            <v/>
          </cell>
          <cell r="CX32" t="str">
            <v>Chairman</v>
          </cell>
          <cell r="CY32" t="str">
            <v/>
          </cell>
          <cell r="CZ32" t="str">
            <v>Municipal Office</v>
          </cell>
          <cell r="DA32" t="str">
            <v/>
          </cell>
          <cell r="DB32" t="str">
            <v>Deputy Chairman</v>
          </cell>
          <cell r="DC32" t="str">
            <v/>
          </cell>
          <cell r="DD32" t="str">
            <v>Municipal Office</v>
          </cell>
          <cell r="DE32" t="str">
            <v/>
          </cell>
          <cell r="DF32" t="str">
            <v>Chief Adminstration Officer</v>
          </cell>
          <cell r="DG32" t="str">
            <v/>
          </cell>
          <cell r="DH32" t="str">
            <v>NRA/GMALI</v>
          </cell>
          <cell r="DI32" t="str">
            <v/>
          </cell>
          <cell r="DJ32" t="str">
            <v>NRA Chief-District</v>
          </cell>
          <cell r="DK32" t="str">
            <v/>
          </cell>
          <cell r="DL32" t="str">
            <v>DLPIU-Building</v>
          </cell>
          <cell r="DM32" t="str">
            <v/>
          </cell>
          <cell r="DN32" t="str">
            <v>DUDBC.DLPIU Chief</v>
          </cell>
          <cell r="DO32" t="str">
            <v/>
          </cell>
          <cell r="DP32" t="str">
            <v>Municipal Office</v>
          </cell>
          <cell r="DQ32" t="str">
            <v/>
          </cell>
          <cell r="DR32" t="str">
            <v>Focal Person</v>
          </cell>
          <cell r="DS32" t="str">
            <v/>
          </cell>
          <cell r="DT32" t="str">
            <v/>
          </cell>
          <cell r="DU32" t="str">
            <v/>
          </cell>
          <cell r="DV32" t="str">
            <v/>
          </cell>
          <cell r="DW32" t="str">
            <v/>
          </cell>
          <cell r="DX32" t="str">
            <v/>
          </cell>
          <cell r="DY32" t="str">
            <v/>
          </cell>
          <cell r="DZ32" t="str">
            <v/>
          </cell>
          <cell r="EA32" t="str">
            <v/>
          </cell>
          <cell r="EB32" t="str">
            <v/>
          </cell>
          <cell r="EC32" t="str">
            <v/>
          </cell>
          <cell r="ED32" t="str">
            <v/>
          </cell>
          <cell r="EE32" t="str">
            <v/>
          </cell>
          <cell r="EF32" t="str">
            <v/>
          </cell>
          <cell r="EG32" t="str">
            <v/>
          </cell>
          <cell r="EH32" t="str">
            <v/>
          </cell>
          <cell r="EI32" t="str">
            <v/>
          </cell>
          <cell r="EJ32">
            <v>0</v>
          </cell>
          <cell r="EK32">
            <v>0</v>
          </cell>
          <cell r="EL32">
            <v>0</v>
          </cell>
          <cell r="EM32">
            <v>0</v>
          </cell>
          <cell r="EN32">
            <v>0</v>
          </cell>
          <cell r="EO32">
            <v>0</v>
          </cell>
          <cell r="EP32" t="str">
            <v/>
          </cell>
          <cell r="EQ32" t="str">
            <v>Housing Recovery and Reconstruction Platform</v>
          </cell>
          <cell r="ER32" t="str">
            <v/>
          </cell>
          <cell r="ES32" t="str">
            <v>District Coordinator</v>
          </cell>
          <cell r="ET32" t="str">
            <v/>
          </cell>
          <cell r="EU32" t="str">
            <v>Housing Recovery and Reconstruction Platform</v>
          </cell>
          <cell r="EV32" t="str">
            <v/>
          </cell>
          <cell r="EW32" t="str">
            <v>DIstrict Information Management Officer</v>
          </cell>
          <cell r="EX32" t="str">
            <v/>
          </cell>
          <cell r="EY32" t="str">
            <v>Housing Recovery and Reconstruction Platform</v>
          </cell>
          <cell r="EZ32" t="str">
            <v/>
          </cell>
          <cell r="FA32" t="str">
            <v>District Technical Officer</v>
          </cell>
          <cell r="FB32" t="str">
            <v/>
          </cell>
        </row>
        <row r="33">
          <cell r="A33">
            <v>11004</v>
          </cell>
          <cell r="B33" t="str">
            <v>Solukhumbu</v>
          </cell>
          <cell r="C33" t="str">
            <v>Likhupike Gaunpalika</v>
          </cell>
          <cell r="D33">
            <v>125</v>
          </cell>
          <cell r="E33">
            <v>1178</v>
          </cell>
          <cell r="F33">
            <v>1303</v>
          </cell>
          <cell r="G33" t="str">
            <v>Stone and cement mortar masonry</v>
          </cell>
          <cell r="H33">
            <v>0.15</v>
          </cell>
          <cell r="I33">
            <v>0.7</v>
          </cell>
          <cell r="J33" t="str">
            <v>Stone and Mud Mortar Masonary</v>
          </cell>
          <cell r="K33">
            <v>98.7</v>
          </cell>
          <cell r="L33">
            <v>95.03</v>
          </cell>
          <cell r="M33" t="str">
            <v>Brick and Cement Mortar Masonary</v>
          </cell>
          <cell r="N33">
            <v>0</v>
          </cell>
          <cell r="O33">
            <v>0.02</v>
          </cell>
          <cell r="P33" t="str">
            <v>Brick and mud mortar Masonry</v>
          </cell>
          <cell r="Q33">
            <v>0</v>
          </cell>
          <cell r="R33">
            <v>0.03</v>
          </cell>
          <cell r="S33" t="str">
            <v>Reinforced cement concrete (RCC) frame</v>
          </cell>
          <cell r="T33">
            <v>0</v>
          </cell>
          <cell r="U33">
            <v>0.03</v>
          </cell>
          <cell r="V33" t="str">
            <v>Hybrid structure</v>
          </cell>
          <cell r="W33">
            <v>0</v>
          </cell>
          <cell r="X33">
            <v>0</v>
          </cell>
          <cell r="Y33" t="str">
            <v>Timber frame structure</v>
          </cell>
          <cell r="Z33">
            <v>0.77</v>
          </cell>
          <cell r="AA33">
            <v>0.49</v>
          </cell>
          <cell r="AB33" t="str">
            <v>Hollow concrete block Masonry</v>
          </cell>
          <cell r="AC33">
            <v>0</v>
          </cell>
          <cell r="AD33">
            <v>0</v>
          </cell>
          <cell r="AE33" t="str">
            <v>Dry stone Masonry</v>
          </cell>
          <cell r="AF33">
            <v>0.15</v>
          </cell>
          <cell r="AG33">
            <v>1.84</v>
          </cell>
          <cell r="AH33" t="str">
            <v>Adobe structures</v>
          </cell>
          <cell r="AI33">
            <v>0.15</v>
          </cell>
          <cell r="AJ33">
            <v>1.75</v>
          </cell>
          <cell r="AK33" t="str">
            <v>Bamboo</v>
          </cell>
          <cell r="AL33">
            <v>0.08</v>
          </cell>
          <cell r="AM33">
            <v>0.11</v>
          </cell>
          <cell r="AN33" t="str">
            <v>Compressed stabilized earth block (SCEB) Masonry</v>
          </cell>
          <cell r="AO33">
            <v>0</v>
          </cell>
          <cell r="AP33">
            <v>0</v>
          </cell>
          <cell r="AQ33" t="str">
            <v>Light steel frame structures</v>
          </cell>
          <cell r="AR33">
            <v>0</v>
          </cell>
          <cell r="AS33">
            <v>0</v>
          </cell>
          <cell r="AT33">
            <v>1175</v>
          </cell>
          <cell r="AU33">
            <v>503</v>
          </cell>
          <cell r="AV33">
            <v>503</v>
          </cell>
          <cell r="AW33">
            <v>0</v>
          </cell>
          <cell r="AX33">
            <v>0</v>
          </cell>
          <cell r="AY33" t="str">
            <v/>
          </cell>
          <cell r="AZ33" t="str">
            <v/>
          </cell>
          <cell r="BA33">
            <v>48</v>
          </cell>
          <cell r="BB33" t="str">
            <v/>
          </cell>
          <cell r="BC33" t="str">
            <v/>
          </cell>
          <cell r="BD33" t="str">
            <v/>
          </cell>
          <cell r="BE33" t="str">
            <v/>
          </cell>
          <cell r="BF33" t="str">
            <v/>
          </cell>
          <cell r="BG33" t="str">
            <v/>
          </cell>
          <cell r="BH33" t="str">
            <v/>
          </cell>
          <cell r="BI33" t="str">
            <v/>
          </cell>
          <cell r="BJ33" t="str">
            <v/>
          </cell>
          <cell r="BK33">
            <v>14290</v>
          </cell>
          <cell r="BL33" t="str">
            <v/>
          </cell>
          <cell r="BM33" t="str">
            <v/>
          </cell>
          <cell r="BN33">
            <v>14751</v>
          </cell>
          <cell r="BO33" t="str">
            <v/>
          </cell>
          <cell r="BP33" t="str">
            <v/>
          </cell>
          <cell r="BQ33">
            <v>1527</v>
          </cell>
          <cell r="BR33" t="str">
            <v/>
          </cell>
          <cell r="BS33" t="str">
            <v/>
          </cell>
          <cell r="BT33">
            <v>1766</v>
          </cell>
          <cell r="BU33" t="str">
            <v/>
          </cell>
          <cell r="BV33" t="str">
            <v/>
          </cell>
          <cell r="BW33" t="str">
            <v/>
          </cell>
          <cell r="BX33" t="str">
            <v/>
          </cell>
          <cell r="BY33" t="str">
            <v/>
          </cell>
          <cell r="BZ33">
            <v>49034</v>
          </cell>
          <cell r="CA33" t="str">
            <v/>
          </cell>
          <cell r="CB33" t="str">
            <v/>
          </cell>
          <cell r="CC33">
            <v>154999</v>
          </cell>
          <cell r="CD33" t="str">
            <v/>
          </cell>
          <cell r="CE33" t="str">
            <v/>
          </cell>
          <cell r="CF33">
            <v>2005</v>
          </cell>
          <cell r="CG33" t="str">
            <v/>
          </cell>
          <cell r="CH33" t="str">
            <v/>
          </cell>
          <cell r="CI33">
            <v>161173</v>
          </cell>
          <cell r="CJ33" t="str">
            <v/>
          </cell>
          <cell r="CK33" t="str">
            <v/>
          </cell>
          <cell r="CL33" t="str">
            <v>Skilled</v>
          </cell>
          <cell r="CM33" t="str">
            <v/>
          </cell>
          <cell r="CN33" t="str">
            <v>Labor</v>
          </cell>
          <cell r="CO33" t="str">
            <v/>
          </cell>
          <cell r="CP33" t="str">
            <v/>
          </cell>
          <cell r="CQ33" t="str">
            <v/>
          </cell>
          <cell r="CR33" t="str">
            <v/>
          </cell>
          <cell r="CS33" t="str">
            <v/>
          </cell>
          <cell r="CT33" t="str">
            <v/>
          </cell>
          <cell r="CU33" t="str">
            <v/>
          </cell>
          <cell r="CV33" t="str">
            <v>Municipal Office</v>
          </cell>
          <cell r="CW33" t="str">
            <v/>
          </cell>
          <cell r="CX33" t="str">
            <v>Chairman</v>
          </cell>
          <cell r="CY33" t="str">
            <v/>
          </cell>
          <cell r="CZ33" t="str">
            <v>Municipal Office</v>
          </cell>
          <cell r="DA33" t="str">
            <v/>
          </cell>
          <cell r="DB33" t="str">
            <v>Deputy Chairman</v>
          </cell>
          <cell r="DC33" t="str">
            <v/>
          </cell>
          <cell r="DD33" t="str">
            <v>Municipal Office</v>
          </cell>
          <cell r="DE33" t="str">
            <v/>
          </cell>
          <cell r="DF33" t="str">
            <v>Chief Adminstration Officer</v>
          </cell>
          <cell r="DG33" t="str">
            <v/>
          </cell>
          <cell r="DH33" t="str">
            <v>NRA/GMALI</v>
          </cell>
          <cell r="DI33" t="str">
            <v/>
          </cell>
          <cell r="DJ33" t="str">
            <v>NRA Chief-District</v>
          </cell>
          <cell r="DK33" t="str">
            <v/>
          </cell>
          <cell r="DL33" t="str">
            <v>DLPIU-Building</v>
          </cell>
          <cell r="DM33" t="str">
            <v/>
          </cell>
          <cell r="DN33" t="str">
            <v>DUDBC.DLPIU Chief</v>
          </cell>
          <cell r="DO33" t="str">
            <v/>
          </cell>
          <cell r="DP33" t="str">
            <v>Municipal Office</v>
          </cell>
          <cell r="DQ33" t="str">
            <v/>
          </cell>
          <cell r="DR33" t="str">
            <v>Focal Person</v>
          </cell>
          <cell r="DS33" t="str">
            <v/>
          </cell>
          <cell r="DT33" t="str">
            <v/>
          </cell>
          <cell r="DU33" t="str">
            <v/>
          </cell>
          <cell r="DV33" t="str">
            <v/>
          </cell>
          <cell r="DW33" t="str">
            <v/>
          </cell>
          <cell r="DX33" t="str">
            <v/>
          </cell>
          <cell r="DY33" t="str">
            <v/>
          </cell>
          <cell r="DZ33" t="str">
            <v/>
          </cell>
          <cell r="EA33" t="str">
            <v/>
          </cell>
          <cell r="EB33" t="str">
            <v/>
          </cell>
          <cell r="EC33" t="str">
            <v/>
          </cell>
          <cell r="ED33" t="str">
            <v/>
          </cell>
          <cell r="EE33" t="str">
            <v/>
          </cell>
          <cell r="EF33" t="str">
            <v/>
          </cell>
          <cell r="EG33" t="str">
            <v/>
          </cell>
          <cell r="EH33" t="str">
            <v/>
          </cell>
          <cell r="EI33" t="str">
            <v/>
          </cell>
          <cell r="EJ33">
            <v>0</v>
          </cell>
          <cell r="EK33">
            <v>0</v>
          </cell>
          <cell r="EL33">
            <v>0</v>
          </cell>
          <cell r="EM33">
            <v>0</v>
          </cell>
          <cell r="EN33">
            <v>0</v>
          </cell>
          <cell r="EO33">
            <v>0</v>
          </cell>
          <cell r="EP33" t="str">
            <v/>
          </cell>
          <cell r="EQ33" t="str">
            <v>Housing Recovery and Reconstruction Platform</v>
          </cell>
          <cell r="ER33" t="str">
            <v/>
          </cell>
          <cell r="ES33" t="str">
            <v>District Coordinator</v>
          </cell>
          <cell r="ET33" t="str">
            <v/>
          </cell>
          <cell r="EU33" t="str">
            <v>Housing Recovery and Reconstruction Platform</v>
          </cell>
          <cell r="EV33" t="str">
            <v/>
          </cell>
          <cell r="EW33" t="str">
            <v>DIstrict Information Management Officer</v>
          </cell>
          <cell r="EX33" t="str">
            <v/>
          </cell>
          <cell r="EY33" t="str">
            <v>Housing Recovery and Reconstruction Platform</v>
          </cell>
          <cell r="EZ33" t="str">
            <v/>
          </cell>
          <cell r="FA33" t="str">
            <v>District Technical Officer</v>
          </cell>
          <cell r="FB33" t="str">
            <v/>
          </cell>
        </row>
        <row r="34">
          <cell r="A34">
            <v>11005</v>
          </cell>
          <cell r="B34" t="str">
            <v>Solukhumbu</v>
          </cell>
          <cell r="C34" t="str">
            <v>Mahakulung Gaunpalika</v>
          </cell>
          <cell r="D34">
            <v>420</v>
          </cell>
          <cell r="E34">
            <v>716</v>
          </cell>
          <cell r="F34">
            <v>1136</v>
          </cell>
          <cell r="G34" t="str">
            <v>Stone and cement mortar masonry</v>
          </cell>
          <cell r="H34">
            <v>0.26</v>
          </cell>
          <cell r="I34">
            <v>0.7</v>
          </cell>
          <cell r="J34" t="str">
            <v>Stone and Mud Mortar Masonary</v>
          </cell>
          <cell r="K34">
            <v>78.87</v>
          </cell>
          <cell r="L34">
            <v>95.03</v>
          </cell>
          <cell r="M34" t="str">
            <v>Brick and Cement Mortar Masonary</v>
          </cell>
          <cell r="N34">
            <v>0</v>
          </cell>
          <cell r="O34">
            <v>0.02</v>
          </cell>
          <cell r="P34" t="str">
            <v>Brick and mud mortar Masonry</v>
          </cell>
          <cell r="Q34">
            <v>0</v>
          </cell>
          <cell r="R34">
            <v>0.03</v>
          </cell>
          <cell r="S34" t="str">
            <v>Reinforced cement concrete (RCC) frame</v>
          </cell>
          <cell r="T34">
            <v>0.09</v>
          </cell>
          <cell r="U34">
            <v>0.03</v>
          </cell>
          <cell r="V34" t="str">
            <v>Hybrid structure</v>
          </cell>
          <cell r="W34">
            <v>0</v>
          </cell>
          <cell r="X34">
            <v>0</v>
          </cell>
          <cell r="Y34" t="str">
            <v>Timber frame structure</v>
          </cell>
          <cell r="Z34">
            <v>0.18</v>
          </cell>
          <cell r="AA34">
            <v>0.49</v>
          </cell>
          <cell r="AB34" t="str">
            <v>Hollow concrete block Masonry</v>
          </cell>
          <cell r="AC34">
            <v>0</v>
          </cell>
          <cell r="AD34">
            <v>0</v>
          </cell>
          <cell r="AE34" t="str">
            <v>Dry stone Masonry</v>
          </cell>
          <cell r="AF34">
            <v>0.53</v>
          </cell>
          <cell r="AG34">
            <v>1.84</v>
          </cell>
          <cell r="AH34" t="str">
            <v>Adobe structures</v>
          </cell>
          <cell r="AI34">
            <v>19.72</v>
          </cell>
          <cell r="AJ34">
            <v>1.75</v>
          </cell>
          <cell r="AK34" t="str">
            <v>Bamboo</v>
          </cell>
          <cell r="AL34">
            <v>0.35</v>
          </cell>
          <cell r="AM34">
            <v>0.11</v>
          </cell>
          <cell r="AN34" t="str">
            <v>Compressed stabilized earth block (SCEB) Masonry</v>
          </cell>
          <cell r="AO34">
            <v>0</v>
          </cell>
          <cell r="AP34">
            <v>0</v>
          </cell>
          <cell r="AQ34" t="str">
            <v>Light steel frame structures</v>
          </cell>
          <cell r="AR34">
            <v>0</v>
          </cell>
          <cell r="AS34">
            <v>0</v>
          </cell>
          <cell r="AT34">
            <v>604</v>
          </cell>
          <cell r="AU34">
            <v>67</v>
          </cell>
          <cell r="AV34">
            <v>67</v>
          </cell>
          <cell r="AW34">
            <v>28</v>
          </cell>
          <cell r="AX34">
            <v>0</v>
          </cell>
          <cell r="AY34" t="str">
            <v/>
          </cell>
          <cell r="AZ34" t="str">
            <v/>
          </cell>
          <cell r="BA34">
            <v>92</v>
          </cell>
          <cell r="BB34" t="str">
            <v/>
          </cell>
          <cell r="BC34" t="str">
            <v/>
          </cell>
          <cell r="BD34" t="str">
            <v/>
          </cell>
          <cell r="BE34" t="str">
            <v/>
          </cell>
          <cell r="BF34" t="str">
            <v/>
          </cell>
          <cell r="BG34" t="str">
            <v/>
          </cell>
          <cell r="BH34" t="str">
            <v/>
          </cell>
          <cell r="BI34" t="str">
            <v/>
          </cell>
          <cell r="BJ34" t="str">
            <v>CITC-N(Education),SYC(Education)</v>
          </cell>
          <cell r="BK34">
            <v>1956</v>
          </cell>
          <cell r="BL34" t="str">
            <v/>
          </cell>
          <cell r="BM34" t="str">
            <v/>
          </cell>
          <cell r="BN34">
            <v>1919</v>
          </cell>
          <cell r="BO34" t="str">
            <v/>
          </cell>
          <cell r="BP34" t="str">
            <v/>
          </cell>
          <cell r="BQ34">
            <v>208</v>
          </cell>
          <cell r="BR34" t="str">
            <v/>
          </cell>
          <cell r="BS34" t="str">
            <v/>
          </cell>
          <cell r="BT34">
            <v>238</v>
          </cell>
          <cell r="BU34" t="str">
            <v/>
          </cell>
          <cell r="BV34" t="str">
            <v/>
          </cell>
          <cell r="BW34" t="str">
            <v/>
          </cell>
          <cell r="BX34" t="str">
            <v/>
          </cell>
          <cell r="BY34" t="str">
            <v/>
          </cell>
          <cell r="BZ34">
            <v>6537</v>
          </cell>
          <cell r="CA34" t="str">
            <v/>
          </cell>
          <cell r="CB34" t="str">
            <v/>
          </cell>
          <cell r="CC34">
            <v>21560</v>
          </cell>
          <cell r="CD34" t="str">
            <v/>
          </cell>
          <cell r="CE34" t="str">
            <v/>
          </cell>
          <cell r="CF34">
            <v>268</v>
          </cell>
          <cell r="CG34" t="str">
            <v/>
          </cell>
          <cell r="CH34" t="str">
            <v/>
          </cell>
          <cell r="CI34">
            <v>51019</v>
          </cell>
          <cell r="CJ34" t="str">
            <v/>
          </cell>
          <cell r="CK34" t="str">
            <v/>
          </cell>
          <cell r="CL34" t="str">
            <v>Skilled</v>
          </cell>
          <cell r="CM34" t="str">
            <v/>
          </cell>
          <cell r="CN34" t="str">
            <v>Labor</v>
          </cell>
          <cell r="CO34" t="str">
            <v/>
          </cell>
          <cell r="CP34" t="str">
            <v/>
          </cell>
          <cell r="CQ34" t="str">
            <v/>
          </cell>
          <cell r="CR34" t="str">
            <v/>
          </cell>
          <cell r="CS34" t="str">
            <v/>
          </cell>
          <cell r="CT34" t="str">
            <v/>
          </cell>
          <cell r="CU34" t="str">
            <v/>
          </cell>
          <cell r="CV34" t="str">
            <v>Municipal Office</v>
          </cell>
          <cell r="CW34" t="str">
            <v/>
          </cell>
          <cell r="CX34" t="str">
            <v>Chairman</v>
          </cell>
          <cell r="CY34" t="str">
            <v/>
          </cell>
          <cell r="CZ34" t="str">
            <v>Municipal Office</v>
          </cell>
          <cell r="DA34" t="str">
            <v/>
          </cell>
          <cell r="DB34" t="str">
            <v>Deputy Chairman</v>
          </cell>
          <cell r="DC34" t="str">
            <v/>
          </cell>
          <cell r="DD34" t="str">
            <v>Municipal Office</v>
          </cell>
          <cell r="DE34" t="str">
            <v/>
          </cell>
          <cell r="DF34" t="str">
            <v>Chief Adminstration Officer</v>
          </cell>
          <cell r="DG34" t="str">
            <v/>
          </cell>
          <cell r="DH34" t="str">
            <v>NRA/GMALI</v>
          </cell>
          <cell r="DI34" t="str">
            <v/>
          </cell>
          <cell r="DJ34" t="str">
            <v>NRA Chief-District</v>
          </cell>
          <cell r="DK34" t="str">
            <v/>
          </cell>
          <cell r="DL34" t="str">
            <v>DLPIU-Building</v>
          </cell>
          <cell r="DM34" t="str">
            <v/>
          </cell>
          <cell r="DN34" t="str">
            <v>DUDBC.DLPIU Chief</v>
          </cell>
          <cell r="DO34" t="str">
            <v/>
          </cell>
          <cell r="DP34" t="str">
            <v>Municipal Office</v>
          </cell>
          <cell r="DQ34" t="str">
            <v/>
          </cell>
          <cell r="DR34" t="str">
            <v>Focal Person</v>
          </cell>
          <cell r="DS34" t="str">
            <v/>
          </cell>
          <cell r="DT34" t="str">
            <v/>
          </cell>
          <cell r="DU34" t="str">
            <v/>
          </cell>
          <cell r="DV34" t="str">
            <v/>
          </cell>
          <cell r="DW34" t="str">
            <v/>
          </cell>
          <cell r="DX34" t="str">
            <v/>
          </cell>
          <cell r="DY34" t="str">
            <v/>
          </cell>
          <cell r="DZ34" t="str">
            <v/>
          </cell>
          <cell r="EA34" t="str">
            <v/>
          </cell>
          <cell r="EB34" t="str">
            <v/>
          </cell>
          <cell r="EC34" t="str">
            <v/>
          </cell>
          <cell r="ED34" t="str">
            <v/>
          </cell>
          <cell r="EE34" t="str">
            <v/>
          </cell>
          <cell r="EF34" t="str">
            <v/>
          </cell>
          <cell r="EG34" t="str">
            <v/>
          </cell>
          <cell r="EH34" t="str">
            <v/>
          </cell>
          <cell r="EI34" t="str">
            <v/>
          </cell>
          <cell r="EJ34">
            <v>0</v>
          </cell>
          <cell r="EK34">
            <v>0</v>
          </cell>
          <cell r="EL34">
            <v>0</v>
          </cell>
          <cell r="EM34">
            <v>0</v>
          </cell>
          <cell r="EN34">
            <v>0</v>
          </cell>
          <cell r="EO34">
            <v>0</v>
          </cell>
          <cell r="EP34" t="str">
            <v/>
          </cell>
          <cell r="EQ34" t="str">
            <v>Housing Recovery and Reconstruction Platform</v>
          </cell>
          <cell r="ER34" t="str">
            <v/>
          </cell>
          <cell r="ES34" t="str">
            <v>District Coordinator</v>
          </cell>
          <cell r="ET34" t="str">
            <v/>
          </cell>
          <cell r="EU34" t="str">
            <v>Housing Recovery and Reconstruction Platform</v>
          </cell>
          <cell r="EV34" t="str">
            <v/>
          </cell>
          <cell r="EW34" t="str">
            <v>DIstrict Information Management Officer</v>
          </cell>
          <cell r="EX34" t="str">
            <v/>
          </cell>
          <cell r="EY34" t="str">
            <v>Housing Recovery and Reconstruction Platform</v>
          </cell>
          <cell r="EZ34" t="str">
            <v/>
          </cell>
          <cell r="FA34" t="str">
            <v>District Technical Officer</v>
          </cell>
          <cell r="FB34" t="str">
            <v/>
          </cell>
        </row>
        <row r="35">
          <cell r="A35">
            <v>11006</v>
          </cell>
          <cell r="B35" t="str">
            <v>Solukhumbu</v>
          </cell>
          <cell r="C35" t="str">
            <v>Nechasalyan Gaunpalika</v>
          </cell>
          <cell r="D35">
            <v>813</v>
          </cell>
          <cell r="E35">
            <v>2242</v>
          </cell>
          <cell r="F35">
            <v>3055</v>
          </cell>
          <cell r="G35" t="str">
            <v>Stone and cement mortar masonry</v>
          </cell>
          <cell r="H35">
            <v>0</v>
          </cell>
          <cell r="I35">
            <v>0.7</v>
          </cell>
          <cell r="J35" t="str">
            <v>Stone and Mud Mortar Masonary</v>
          </cell>
          <cell r="K35">
            <v>99.57</v>
          </cell>
          <cell r="L35">
            <v>95.03</v>
          </cell>
          <cell r="M35" t="str">
            <v>Brick and Cement Mortar Masonary</v>
          </cell>
          <cell r="N35">
            <v>0</v>
          </cell>
          <cell r="O35">
            <v>0.02</v>
          </cell>
          <cell r="P35" t="str">
            <v>Brick and mud mortar Masonry</v>
          </cell>
          <cell r="Q35">
            <v>0</v>
          </cell>
          <cell r="R35">
            <v>0.03</v>
          </cell>
          <cell r="S35" t="str">
            <v>Reinforced cement concrete (RCC) frame</v>
          </cell>
          <cell r="T35">
            <v>0</v>
          </cell>
          <cell r="U35">
            <v>0.03</v>
          </cell>
          <cell r="V35" t="str">
            <v>Hybrid structure</v>
          </cell>
          <cell r="W35">
            <v>0</v>
          </cell>
          <cell r="X35">
            <v>0</v>
          </cell>
          <cell r="Y35" t="str">
            <v>Timber frame structure</v>
          </cell>
          <cell r="Z35">
            <v>0.16</v>
          </cell>
          <cell r="AA35">
            <v>0.49</v>
          </cell>
          <cell r="AB35" t="str">
            <v>Hollow concrete block Masonry</v>
          </cell>
          <cell r="AC35">
            <v>0</v>
          </cell>
          <cell r="AD35">
            <v>0</v>
          </cell>
          <cell r="AE35" t="str">
            <v>Dry stone Masonry</v>
          </cell>
          <cell r="AF35">
            <v>0.1</v>
          </cell>
          <cell r="AG35">
            <v>1.84</v>
          </cell>
          <cell r="AH35" t="str">
            <v>Adobe structures</v>
          </cell>
          <cell r="AI35">
            <v>0.13</v>
          </cell>
          <cell r="AJ35">
            <v>1.75</v>
          </cell>
          <cell r="AK35" t="str">
            <v>Bamboo</v>
          </cell>
          <cell r="AL35">
            <v>0.03</v>
          </cell>
          <cell r="AM35">
            <v>0.11</v>
          </cell>
          <cell r="AN35" t="str">
            <v>Compressed stabilized earth block (SCEB) Masonry</v>
          </cell>
          <cell r="AO35">
            <v>0</v>
          </cell>
          <cell r="AP35">
            <v>0</v>
          </cell>
          <cell r="AQ35" t="str">
            <v>Light steel frame structures</v>
          </cell>
          <cell r="AR35">
            <v>0</v>
          </cell>
          <cell r="AS35">
            <v>0</v>
          </cell>
          <cell r="AT35">
            <v>2006</v>
          </cell>
          <cell r="AU35">
            <v>1391</v>
          </cell>
          <cell r="AV35">
            <v>1391</v>
          </cell>
          <cell r="AW35">
            <v>358</v>
          </cell>
          <cell r="AX35">
            <v>0</v>
          </cell>
          <cell r="AY35" t="str">
            <v/>
          </cell>
          <cell r="AZ35" t="str">
            <v/>
          </cell>
          <cell r="BA35">
            <v>72</v>
          </cell>
          <cell r="BB35" t="str">
            <v/>
          </cell>
          <cell r="BC35" t="str">
            <v/>
          </cell>
          <cell r="BD35" t="str">
            <v/>
          </cell>
          <cell r="BE35" t="str">
            <v/>
          </cell>
          <cell r="BF35" t="str">
            <v/>
          </cell>
          <cell r="BG35" t="str">
            <v/>
          </cell>
          <cell r="BH35" t="str">
            <v/>
          </cell>
          <cell r="BI35" t="str">
            <v/>
          </cell>
          <cell r="BJ35" t="str">
            <v/>
          </cell>
          <cell r="BK35">
            <v>39303</v>
          </cell>
          <cell r="BL35" t="str">
            <v/>
          </cell>
          <cell r="BM35" t="str">
            <v/>
          </cell>
          <cell r="BN35">
            <v>41327</v>
          </cell>
          <cell r="BO35" t="str">
            <v/>
          </cell>
          <cell r="BP35" t="str">
            <v/>
          </cell>
          <cell r="BQ35">
            <v>4205</v>
          </cell>
          <cell r="BR35" t="str">
            <v/>
          </cell>
          <cell r="BS35" t="str">
            <v/>
          </cell>
          <cell r="BT35">
            <v>4885</v>
          </cell>
          <cell r="BU35" t="str">
            <v/>
          </cell>
          <cell r="BV35" t="str">
            <v/>
          </cell>
          <cell r="BW35" t="str">
            <v/>
          </cell>
          <cell r="BX35" t="str">
            <v/>
          </cell>
          <cell r="BY35" t="str">
            <v/>
          </cell>
          <cell r="BZ35">
            <v>136189</v>
          </cell>
          <cell r="CA35" t="str">
            <v/>
          </cell>
          <cell r="CB35" t="str">
            <v/>
          </cell>
          <cell r="CC35">
            <v>423752</v>
          </cell>
          <cell r="CD35" t="str">
            <v/>
          </cell>
          <cell r="CE35" t="str">
            <v/>
          </cell>
          <cell r="CF35">
            <v>5564</v>
          </cell>
          <cell r="CG35" t="str">
            <v/>
          </cell>
          <cell r="CH35" t="str">
            <v/>
          </cell>
          <cell r="CI35">
            <v>225513</v>
          </cell>
          <cell r="CJ35" t="str">
            <v/>
          </cell>
          <cell r="CK35" t="str">
            <v/>
          </cell>
          <cell r="CL35" t="str">
            <v>Skilled</v>
          </cell>
          <cell r="CM35" t="str">
            <v/>
          </cell>
          <cell r="CN35" t="str">
            <v>Labor</v>
          </cell>
          <cell r="CO35" t="str">
            <v/>
          </cell>
          <cell r="CP35" t="str">
            <v/>
          </cell>
          <cell r="CQ35" t="str">
            <v/>
          </cell>
          <cell r="CR35" t="str">
            <v/>
          </cell>
          <cell r="CS35" t="str">
            <v/>
          </cell>
          <cell r="CT35" t="str">
            <v/>
          </cell>
          <cell r="CU35" t="str">
            <v/>
          </cell>
          <cell r="CV35" t="str">
            <v>Municipal Office</v>
          </cell>
          <cell r="CW35" t="str">
            <v/>
          </cell>
          <cell r="CX35" t="str">
            <v>Chairman</v>
          </cell>
          <cell r="CY35" t="str">
            <v/>
          </cell>
          <cell r="CZ35" t="str">
            <v>Municipal Office</v>
          </cell>
          <cell r="DA35" t="str">
            <v/>
          </cell>
          <cell r="DB35" t="str">
            <v>Deputy Chairman</v>
          </cell>
          <cell r="DC35" t="str">
            <v/>
          </cell>
          <cell r="DD35" t="str">
            <v>Municipal Office</v>
          </cell>
          <cell r="DE35" t="str">
            <v/>
          </cell>
          <cell r="DF35" t="str">
            <v>Chief Adminstration Officer</v>
          </cell>
          <cell r="DG35" t="str">
            <v/>
          </cell>
          <cell r="DH35" t="str">
            <v>NRA/GMALI</v>
          </cell>
          <cell r="DI35" t="str">
            <v/>
          </cell>
          <cell r="DJ35" t="str">
            <v>NRA Chief-District</v>
          </cell>
          <cell r="DK35" t="str">
            <v/>
          </cell>
          <cell r="DL35" t="str">
            <v>DLPIU-Building</v>
          </cell>
          <cell r="DM35" t="str">
            <v/>
          </cell>
          <cell r="DN35" t="str">
            <v>DUDBC.DLPIU Chief</v>
          </cell>
          <cell r="DO35" t="str">
            <v/>
          </cell>
          <cell r="DP35" t="str">
            <v>Municipal Office</v>
          </cell>
          <cell r="DQ35" t="str">
            <v/>
          </cell>
          <cell r="DR35" t="str">
            <v>Focal Person</v>
          </cell>
          <cell r="DS35" t="str">
            <v/>
          </cell>
          <cell r="DT35" t="str">
            <v/>
          </cell>
          <cell r="DU35" t="str">
            <v/>
          </cell>
          <cell r="DV35" t="str">
            <v/>
          </cell>
          <cell r="DW35" t="str">
            <v/>
          </cell>
          <cell r="DX35" t="str">
            <v/>
          </cell>
          <cell r="DY35" t="str">
            <v/>
          </cell>
          <cell r="DZ35" t="str">
            <v/>
          </cell>
          <cell r="EA35" t="str">
            <v/>
          </cell>
          <cell r="EB35" t="str">
            <v/>
          </cell>
          <cell r="EC35" t="str">
            <v/>
          </cell>
          <cell r="ED35" t="str">
            <v/>
          </cell>
          <cell r="EE35" t="str">
            <v/>
          </cell>
          <cell r="EF35" t="str">
            <v/>
          </cell>
          <cell r="EG35" t="str">
            <v/>
          </cell>
          <cell r="EH35" t="str">
            <v/>
          </cell>
          <cell r="EI35" t="str">
            <v/>
          </cell>
          <cell r="EJ35">
            <v>0</v>
          </cell>
          <cell r="EK35">
            <v>0</v>
          </cell>
          <cell r="EL35">
            <v>0</v>
          </cell>
          <cell r="EM35">
            <v>0</v>
          </cell>
          <cell r="EN35">
            <v>0</v>
          </cell>
          <cell r="EO35">
            <v>0</v>
          </cell>
          <cell r="EP35" t="str">
            <v/>
          </cell>
          <cell r="EQ35" t="str">
            <v>Housing Recovery and Reconstruction Platform</v>
          </cell>
          <cell r="ER35" t="str">
            <v/>
          </cell>
          <cell r="ES35" t="str">
            <v>District Coordinator</v>
          </cell>
          <cell r="ET35" t="str">
            <v/>
          </cell>
          <cell r="EU35" t="str">
            <v>Housing Recovery and Reconstruction Platform</v>
          </cell>
          <cell r="EV35" t="str">
            <v/>
          </cell>
          <cell r="EW35" t="str">
            <v>DIstrict Information Management Officer</v>
          </cell>
          <cell r="EX35" t="str">
            <v/>
          </cell>
          <cell r="EY35" t="str">
            <v>Housing Recovery and Reconstruction Platform</v>
          </cell>
          <cell r="EZ35" t="str">
            <v/>
          </cell>
          <cell r="FA35" t="str">
            <v>District Technical Officer</v>
          </cell>
          <cell r="FB35" t="str">
            <v/>
          </cell>
        </row>
        <row r="36">
          <cell r="A36">
            <v>11007</v>
          </cell>
          <cell r="B36" t="str">
            <v>Solukhumbu</v>
          </cell>
          <cell r="C36" t="str">
            <v>Solududhakunda Nagarpalika</v>
          </cell>
          <cell r="D36">
            <v>764</v>
          </cell>
          <cell r="E36">
            <v>2247</v>
          </cell>
          <cell r="F36">
            <v>3011</v>
          </cell>
          <cell r="G36" t="str">
            <v>Stone and cement mortar masonry</v>
          </cell>
          <cell r="H36">
            <v>0.76</v>
          </cell>
          <cell r="I36">
            <v>0.7</v>
          </cell>
          <cell r="J36" t="str">
            <v>Stone and Mud Mortar Masonary</v>
          </cell>
          <cell r="K36">
            <v>97.31</v>
          </cell>
          <cell r="L36">
            <v>95.03</v>
          </cell>
          <cell r="M36" t="str">
            <v>Brick and Cement Mortar Masonary</v>
          </cell>
          <cell r="N36">
            <v>0.1</v>
          </cell>
          <cell r="O36">
            <v>0.02</v>
          </cell>
          <cell r="P36" t="str">
            <v>Brick and mud mortar Masonry</v>
          </cell>
          <cell r="Q36">
            <v>7.0000000000000007E-2</v>
          </cell>
          <cell r="R36">
            <v>0.03</v>
          </cell>
          <cell r="S36" t="str">
            <v>Reinforced cement concrete (RCC) frame</v>
          </cell>
          <cell r="T36">
            <v>0.13</v>
          </cell>
          <cell r="U36">
            <v>0.03</v>
          </cell>
          <cell r="V36" t="str">
            <v>Hybrid structure</v>
          </cell>
          <cell r="W36">
            <v>0</v>
          </cell>
          <cell r="X36">
            <v>0</v>
          </cell>
          <cell r="Y36" t="str">
            <v>Timber frame structure</v>
          </cell>
          <cell r="Z36">
            <v>0.93</v>
          </cell>
          <cell r="AA36">
            <v>0.49</v>
          </cell>
          <cell r="AB36" t="str">
            <v>Hollow concrete block Masonry</v>
          </cell>
          <cell r="AC36">
            <v>0</v>
          </cell>
          <cell r="AD36">
            <v>0</v>
          </cell>
          <cell r="AE36" t="str">
            <v>Dry stone Masonry</v>
          </cell>
          <cell r="AF36">
            <v>0.56000000000000005</v>
          </cell>
          <cell r="AG36">
            <v>1.84</v>
          </cell>
          <cell r="AH36" t="str">
            <v>Adobe structures</v>
          </cell>
          <cell r="AI36">
            <v>0.13</v>
          </cell>
          <cell r="AJ36">
            <v>1.75</v>
          </cell>
          <cell r="AK36" t="str">
            <v>Bamboo</v>
          </cell>
          <cell r="AL36">
            <v>0</v>
          </cell>
          <cell r="AM36">
            <v>0.11</v>
          </cell>
          <cell r="AN36" t="str">
            <v>Compressed stabilized earth block (SCEB) Masonry</v>
          </cell>
          <cell r="AO36">
            <v>0</v>
          </cell>
          <cell r="AP36">
            <v>0</v>
          </cell>
          <cell r="AQ36" t="str">
            <v>Light steel frame structures</v>
          </cell>
          <cell r="AR36">
            <v>0</v>
          </cell>
          <cell r="AS36">
            <v>0</v>
          </cell>
          <cell r="AT36">
            <v>2181</v>
          </cell>
          <cell r="AU36">
            <v>1449</v>
          </cell>
          <cell r="AV36">
            <v>1449</v>
          </cell>
          <cell r="AW36">
            <v>105</v>
          </cell>
          <cell r="AX36">
            <v>0</v>
          </cell>
          <cell r="AY36" t="str">
            <v/>
          </cell>
          <cell r="AZ36" t="str">
            <v/>
          </cell>
          <cell r="BA36">
            <v>104</v>
          </cell>
          <cell r="BB36" t="str">
            <v/>
          </cell>
          <cell r="BC36" t="str">
            <v/>
          </cell>
          <cell r="BD36" t="str">
            <v/>
          </cell>
          <cell r="BE36" t="str">
            <v/>
          </cell>
          <cell r="BF36" t="str">
            <v/>
          </cell>
          <cell r="BG36" t="str">
            <v/>
          </cell>
          <cell r="BH36" t="str">
            <v/>
          </cell>
          <cell r="BI36" t="str">
            <v/>
          </cell>
          <cell r="BJ36" t="str">
            <v/>
          </cell>
          <cell r="BK36">
            <v>42527</v>
          </cell>
          <cell r="BL36" t="str">
            <v/>
          </cell>
          <cell r="BM36" t="str">
            <v/>
          </cell>
          <cell r="BN36">
            <v>42574</v>
          </cell>
          <cell r="BO36" t="str">
            <v/>
          </cell>
          <cell r="BP36" t="str">
            <v/>
          </cell>
          <cell r="BQ36">
            <v>4531</v>
          </cell>
          <cell r="BR36" t="str">
            <v/>
          </cell>
          <cell r="BS36" t="str">
            <v/>
          </cell>
          <cell r="BT36">
            <v>5193</v>
          </cell>
          <cell r="BU36" t="str">
            <v/>
          </cell>
          <cell r="BV36" t="str">
            <v/>
          </cell>
          <cell r="BW36" t="str">
            <v/>
          </cell>
          <cell r="BX36" t="str">
            <v/>
          </cell>
          <cell r="BY36" t="str">
            <v/>
          </cell>
          <cell r="BZ36">
            <v>141173</v>
          </cell>
          <cell r="CA36" t="str">
            <v/>
          </cell>
          <cell r="CB36" t="str">
            <v/>
          </cell>
          <cell r="CC36">
            <v>462493</v>
          </cell>
          <cell r="CD36" t="str">
            <v/>
          </cell>
          <cell r="CE36" t="str">
            <v/>
          </cell>
          <cell r="CF36">
            <v>5768</v>
          </cell>
          <cell r="CG36" t="str">
            <v/>
          </cell>
          <cell r="CH36" t="str">
            <v/>
          </cell>
          <cell r="CI36">
            <v>487184</v>
          </cell>
          <cell r="CJ36" t="str">
            <v/>
          </cell>
          <cell r="CK36" t="str">
            <v/>
          </cell>
          <cell r="CL36" t="str">
            <v>Skilled</v>
          </cell>
          <cell r="CM36" t="str">
            <v/>
          </cell>
          <cell r="CN36" t="str">
            <v>Labor</v>
          </cell>
          <cell r="CO36" t="str">
            <v/>
          </cell>
          <cell r="CP36" t="str">
            <v/>
          </cell>
          <cell r="CQ36" t="str">
            <v/>
          </cell>
          <cell r="CR36" t="str">
            <v/>
          </cell>
          <cell r="CS36" t="str">
            <v/>
          </cell>
          <cell r="CT36" t="str">
            <v/>
          </cell>
          <cell r="CU36" t="str">
            <v/>
          </cell>
          <cell r="CV36" t="str">
            <v>Municipal Office</v>
          </cell>
          <cell r="CW36" t="str">
            <v/>
          </cell>
          <cell r="CX36" t="str">
            <v>Mayor</v>
          </cell>
          <cell r="CY36" t="str">
            <v/>
          </cell>
          <cell r="CZ36" t="str">
            <v>Municipal Office</v>
          </cell>
          <cell r="DA36" t="str">
            <v/>
          </cell>
          <cell r="DB36" t="str">
            <v>Deputy Mayor</v>
          </cell>
          <cell r="DC36" t="str">
            <v/>
          </cell>
          <cell r="DD36" t="str">
            <v>Municipal Office</v>
          </cell>
          <cell r="DE36" t="str">
            <v/>
          </cell>
          <cell r="DF36" t="str">
            <v>Chief Adminstration Officer</v>
          </cell>
          <cell r="DG36" t="str">
            <v/>
          </cell>
          <cell r="DH36" t="str">
            <v>NRA/GMALI</v>
          </cell>
          <cell r="DI36" t="str">
            <v/>
          </cell>
          <cell r="DJ36" t="str">
            <v>NRA Chief-District</v>
          </cell>
          <cell r="DK36" t="str">
            <v/>
          </cell>
          <cell r="DL36" t="str">
            <v>DLPIU-Building</v>
          </cell>
          <cell r="DM36" t="str">
            <v/>
          </cell>
          <cell r="DN36" t="str">
            <v>DUDBC.DLPIU Chief</v>
          </cell>
          <cell r="DO36" t="str">
            <v/>
          </cell>
          <cell r="DP36" t="str">
            <v>Municipal Office</v>
          </cell>
          <cell r="DQ36" t="str">
            <v/>
          </cell>
          <cell r="DR36" t="str">
            <v>Focal Person</v>
          </cell>
          <cell r="DS36" t="str">
            <v/>
          </cell>
          <cell r="DT36" t="str">
            <v/>
          </cell>
          <cell r="DU36" t="str">
            <v/>
          </cell>
          <cell r="DV36" t="str">
            <v/>
          </cell>
          <cell r="DW36" t="str">
            <v/>
          </cell>
          <cell r="DX36" t="str">
            <v/>
          </cell>
          <cell r="DY36" t="str">
            <v/>
          </cell>
          <cell r="DZ36" t="str">
            <v/>
          </cell>
          <cell r="EA36" t="str">
            <v/>
          </cell>
          <cell r="EB36" t="str">
            <v/>
          </cell>
          <cell r="EC36" t="str">
            <v/>
          </cell>
          <cell r="ED36" t="str">
            <v/>
          </cell>
          <cell r="EE36" t="str">
            <v/>
          </cell>
          <cell r="EF36" t="str">
            <v/>
          </cell>
          <cell r="EG36" t="str">
            <v/>
          </cell>
          <cell r="EH36" t="str">
            <v/>
          </cell>
          <cell r="EI36" t="str">
            <v/>
          </cell>
          <cell r="EJ36">
            <v>0</v>
          </cell>
          <cell r="EK36">
            <v>0</v>
          </cell>
          <cell r="EL36">
            <v>0</v>
          </cell>
          <cell r="EM36">
            <v>0</v>
          </cell>
          <cell r="EN36">
            <v>0</v>
          </cell>
          <cell r="EO36">
            <v>0</v>
          </cell>
          <cell r="EP36" t="str">
            <v/>
          </cell>
          <cell r="EQ36" t="str">
            <v>Housing Recovery and Reconstruction Platform</v>
          </cell>
          <cell r="ER36" t="str">
            <v/>
          </cell>
          <cell r="ES36" t="str">
            <v>District Coordinator</v>
          </cell>
          <cell r="ET36" t="str">
            <v/>
          </cell>
          <cell r="EU36" t="str">
            <v>Housing Recovery and Reconstruction Platform</v>
          </cell>
          <cell r="EV36" t="str">
            <v/>
          </cell>
          <cell r="EW36" t="str">
            <v>DIstrict Information Management Officer</v>
          </cell>
          <cell r="EX36" t="str">
            <v/>
          </cell>
          <cell r="EY36" t="str">
            <v>Housing Recovery and Reconstruction Platform</v>
          </cell>
          <cell r="EZ36" t="str">
            <v/>
          </cell>
          <cell r="FA36" t="str">
            <v>District Technical Officer</v>
          </cell>
          <cell r="FB36" t="str">
            <v/>
          </cell>
        </row>
        <row r="37">
          <cell r="A37">
            <v>11008</v>
          </cell>
          <cell r="B37" t="str">
            <v>Solukhumbu</v>
          </cell>
          <cell r="C37" t="str">
            <v>Sotang Gaunpalika</v>
          </cell>
          <cell r="D37">
            <v>377</v>
          </cell>
          <cell r="E37">
            <v>1210</v>
          </cell>
          <cell r="F37">
            <v>1587</v>
          </cell>
          <cell r="G37" t="str">
            <v>Stone and cement mortar masonry</v>
          </cell>
          <cell r="H37">
            <v>0.32</v>
          </cell>
          <cell r="I37">
            <v>0.7</v>
          </cell>
          <cell r="J37" t="str">
            <v>Stone and Mud Mortar Masonary</v>
          </cell>
          <cell r="K37">
            <v>97.92</v>
          </cell>
          <cell r="L37">
            <v>95.03</v>
          </cell>
          <cell r="M37" t="str">
            <v>Brick and Cement Mortar Masonary</v>
          </cell>
          <cell r="N37">
            <v>0</v>
          </cell>
          <cell r="O37">
            <v>0.02</v>
          </cell>
          <cell r="P37" t="str">
            <v>Brick and mud mortar Masonry</v>
          </cell>
          <cell r="Q37">
            <v>0.06</v>
          </cell>
          <cell r="R37">
            <v>0.03</v>
          </cell>
          <cell r="S37" t="str">
            <v>Reinforced cement concrete (RCC) frame</v>
          </cell>
          <cell r="T37">
            <v>0</v>
          </cell>
          <cell r="U37">
            <v>0.03</v>
          </cell>
          <cell r="V37" t="str">
            <v>Hybrid structure</v>
          </cell>
          <cell r="W37">
            <v>0</v>
          </cell>
          <cell r="X37">
            <v>0</v>
          </cell>
          <cell r="Y37" t="str">
            <v>Timber frame structure</v>
          </cell>
          <cell r="Z37">
            <v>0.95</v>
          </cell>
          <cell r="AA37">
            <v>0.49</v>
          </cell>
          <cell r="AB37" t="str">
            <v>Hollow concrete block Masonry</v>
          </cell>
          <cell r="AC37">
            <v>0</v>
          </cell>
          <cell r="AD37">
            <v>0</v>
          </cell>
          <cell r="AE37" t="str">
            <v>Dry stone Masonry</v>
          </cell>
          <cell r="AF37">
            <v>0.63</v>
          </cell>
          <cell r="AG37">
            <v>1.84</v>
          </cell>
          <cell r="AH37" t="str">
            <v>Adobe structures</v>
          </cell>
          <cell r="AI37">
            <v>0.06</v>
          </cell>
          <cell r="AJ37">
            <v>1.75</v>
          </cell>
          <cell r="AK37" t="str">
            <v>Bamboo</v>
          </cell>
          <cell r="AL37">
            <v>0.06</v>
          </cell>
          <cell r="AM37">
            <v>0.11</v>
          </cell>
          <cell r="AN37" t="str">
            <v>Compressed stabilized earth block (SCEB) Masonry</v>
          </cell>
          <cell r="AO37">
            <v>0</v>
          </cell>
          <cell r="AP37">
            <v>0</v>
          </cell>
          <cell r="AQ37" t="str">
            <v>Light steel frame structures</v>
          </cell>
          <cell r="AR37">
            <v>0</v>
          </cell>
          <cell r="AS37">
            <v>0</v>
          </cell>
          <cell r="AT37">
            <v>903</v>
          </cell>
          <cell r="AU37">
            <v>555</v>
          </cell>
          <cell r="AV37">
            <v>555</v>
          </cell>
          <cell r="AW37">
            <v>72</v>
          </cell>
          <cell r="AX37">
            <v>0</v>
          </cell>
          <cell r="AY37" t="str">
            <v/>
          </cell>
          <cell r="AZ37" t="str">
            <v/>
          </cell>
          <cell r="BA37">
            <v>292</v>
          </cell>
          <cell r="BB37" t="str">
            <v/>
          </cell>
          <cell r="BC37" t="str">
            <v/>
          </cell>
          <cell r="BD37" t="str">
            <v/>
          </cell>
          <cell r="BE37" t="str">
            <v/>
          </cell>
          <cell r="BF37" t="str">
            <v/>
          </cell>
          <cell r="BG37" t="str">
            <v/>
          </cell>
          <cell r="BH37" t="str">
            <v/>
          </cell>
          <cell r="BI37" t="str">
            <v/>
          </cell>
          <cell r="BJ37" t="str">
            <v/>
          </cell>
          <cell r="BK37">
            <v>15495</v>
          </cell>
          <cell r="BL37" t="str">
            <v/>
          </cell>
          <cell r="BM37" t="str">
            <v/>
          </cell>
          <cell r="BN37">
            <v>16446</v>
          </cell>
          <cell r="BO37" t="str">
            <v/>
          </cell>
          <cell r="BP37" t="str">
            <v/>
          </cell>
          <cell r="BQ37">
            <v>1659</v>
          </cell>
          <cell r="BR37" t="str">
            <v/>
          </cell>
          <cell r="BS37" t="str">
            <v/>
          </cell>
          <cell r="BT37">
            <v>1931</v>
          </cell>
          <cell r="BU37" t="str">
            <v/>
          </cell>
          <cell r="BV37" t="str">
            <v/>
          </cell>
          <cell r="BW37" t="str">
            <v/>
          </cell>
          <cell r="BX37" t="str">
            <v/>
          </cell>
          <cell r="BY37" t="str">
            <v/>
          </cell>
          <cell r="BZ37">
            <v>53960</v>
          </cell>
          <cell r="CA37" t="str">
            <v/>
          </cell>
          <cell r="CB37" t="str">
            <v/>
          </cell>
          <cell r="CC37">
            <v>166546</v>
          </cell>
          <cell r="CD37" t="str">
            <v/>
          </cell>
          <cell r="CE37" t="str">
            <v/>
          </cell>
          <cell r="CF37">
            <v>2203</v>
          </cell>
          <cell r="CG37" t="str">
            <v/>
          </cell>
          <cell r="CH37" t="str">
            <v/>
          </cell>
          <cell r="CI37">
            <v>44886</v>
          </cell>
          <cell r="CJ37" t="str">
            <v/>
          </cell>
          <cell r="CK37" t="str">
            <v/>
          </cell>
          <cell r="CL37" t="str">
            <v>Skilled</v>
          </cell>
          <cell r="CM37" t="str">
            <v/>
          </cell>
          <cell r="CN37" t="str">
            <v>Labor</v>
          </cell>
          <cell r="CO37" t="str">
            <v/>
          </cell>
          <cell r="CP37" t="str">
            <v/>
          </cell>
          <cell r="CQ37" t="str">
            <v/>
          </cell>
          <cell r="CR37" t="str">
            <v/>
          </cell>
          <cell r="CS37" t="str">
            <v/>
          </cell>
          <cell r="CT37" t="str">
            <v/>
          </cell>
          <cell r="CU37" t="str">
            <v/>
          </cell>
          <cell r="CV37" t="str">
            <v>Municipal Office</v>
          </cell>
          <cell r="CW37" t="str">
            <v/>
          </cell>
          <cell r="CX37" t="str">
            <v>Chairman</v>
          </cell>
          <cell r="CY37" t="str">
            <v/>
          </cell>
          <cell r="CZ37" t="str">
            <v>Municipal Office</v>
          </cell>
          <cell r="DA37" t="str">
            <v/>
          </cell>
          <cell r="DB37" t="str">
            <v>Deputy Chairman</v>
          </cell>
          <cell r="DC37" t="str">
            <v/>
          </cell>
          <cell r="DD37" t="str">
            <v>Municipal Office</v>
          </cell>
          <cell r="DE37" t="str">
            <v/>
          </cell>
          <cell r="DF37" t="str">
            <v>Chief Adminstration Officer</v>
          </cell>
          <cell r="DG37" t="str">
            <v/>
          </cell>
          <cell r="DH37" t="str">
            <v>NRA/GMALI</v>
          </cell>
          <cell r="DI37" t="str">
            <v/>
          </cell>
          <cell r="DJ37" t="str">
            <v>NRA Chief-District</v>
          </cell>
          <cell r="DK37" t="str">
            <v/>
          </cell>
          <cell r="DL37" t="str">
            <v>DLPIU-Building</v>
          </cell>
          <cell r="DM37" t="str">
            <v/>
          </cell>
          <cell r="DN37" t="str">
            <v>DUDBC.DLPIU Chief</v>
          </cell>
          <cell r="DO37" t="str">
            <v/>
          </cell>
          <cell r="DP37" t="str">
            <v>Municipal Office</v>
          </cell>
          <cell r="DQ37" t="str">
            <v/>
          </cell>
          <cell r="DR37" t="str">
            <v>Focal Person</v>
          </cell>
          <cell r="DS37" t="str">
            <v/>
          </cell>
          <cell r="DT37" t="str">
            <v/>
          </cell>
          <cell r="DU37" t="str">
            <v/>
          </cell>
          <cell r="DV37" t="str">
            <v/>
          </cell>
          <cell r="DW37" t="str">
            <v/>
          </cell>
          <cell r="DX37" t="str">
            <v/>
          </cell>
          <cell r="DY37" t="str">
            <v/>
          </cell>
          <cell r="DZ37" t="str">
            <v/>
          </cell>
          <cell r="EA37" t="str">
            <v/>
          </cell>
          <cell r="EB37" t="str">
            <v/>
          </cell>
          <cell r="EC37" t="str">
            <v/>
          </cell>
          <cell r="ED37" t="str">
            <v/>
          </cell>
          <cell r="EE37" t="str">
            <v/>
          </cell>
          <cell r="EF37" t="str">
            <v/>
          </cell>
          <cell r="EG37" t="str">
            <v/>
          </cell>
          <cell r="EH37" t="str">
            <v/>
          </cell>
          <cell r="EI37" t="str">
            <v/>
          </cell>
          <cell r="EJ37">
            <v>0</v>
          </cell>
          <cell r="EK37">
            <v>0</v>
          </cell>
          <cell r="EL37">
            <v>0</v>
          </cell>
          <cell r="EM37">
            <v>0</v>
          </cell>
          <cell r="EN37">
            <v>0</v>
          </cell>
          <cell r="EO37">
            <v>0</v>
          </cell>
          <cell r="EP37" t="str">
            <v/>
          </cell>
          <cell r="EQ37" t="str">
            <v>Housing Recovery and Reconstruction Platform</v>
          </cell>
          <cell r="ER37" t="str">
            <v/>
          </cell>
          <cell r="ES37" t="str">
            <v>District Coordinator</v>
          </cell>
          <cell r="ET37" t="str">
            <v/>
          </cell>
          <cell r="EU37" t="str">
            <v>Housing Recovery and Reconstruction Platform</v>
          </cell>
          <cell r="EV37" t="str">
            <v/>
          </cell>
          <cell r="EW37" t="str">
            <v>DIstrict Information Management Officer</v>
          </cell>
          <cell r="EX37" t="str">
            <v/>
          </cell>
          <cell r="EY37" t="str">
            <v>Housing Recovery and Reconstruction Platform</v>
          </cell>
          <cell r="EZ37" t="str">
            <v/>
          </cell>
          <cell r="FA37" t="str">
            <v>District Technical Officer</v>
          </cell>
          <cell r="FB37" t="str">
            <v/>
          </cell>
        </row>
        <row r="38">
          <cell r="A38">
            <v>12001</v>
          </cell>
          <cell r="B38" t="str">
            <v>Okhaldhunga</v>
          </cell>
          <cell r="C38" t="str">
            <v>Champadevi Gaunpalika</v>
          </cell>
          <cell r="D38">
            <v>1486</v>
          </cell>
          <cell r="E38">
            <v>3379</v>
          </cell>
          <cell r="F38">
            <v>4865</v>
          </cell>
          <cell r="G38" t="str">
            <v>Stone and cement mortar masonry</v>
          </cell>
          <cell r="H38">
            <v>0.08</v>
          </cell>
          <cell r="I38">
            <v>0.38</v>
          </cell>
          <cell r="J38" t="str">
            <v>Stone and Mud Mortar Masonary</v>
          </cell>
          <cell r="K38">
            <v>99.12</v>
          </cell>
          <cell r="L38">
            <v>92.87</v>
          </cell>
          <cell r="M38" t="str">
            <v>Brick and Cement Mortar Masonary</v>
          </cell>
          <cell r="N38">
            <v>0</v>
          </cell>
          <cell r="O38">
            <v>0.34</v>
          </cell>
          <cell r="P38" t="str">
            <v>Brick and mud mortar Masonry</v>
          </cell>
          <cell r="Q38">
            <v>0</v>
          </cell>
          <cell r="R38">
            <v>0.02</v>
          </cell>
          <cell r="S38" t="str">
            <v>Reinforced cement concrete (RCC) frame</v>
          </cell>
          <cell r="T38">
            <v>0.04</v>
          </cell>
          <cell r="U38">
            <v>0.13</v>
          </cell>
          <cell r="V38" t="str">
            <v>Hybrid structure</v>
          </cell>
          <cell r="W38">
            <v>0</v>
          </cell>
          <cell r="X38">
            <v>0</v>
          </cell>
          <cell r="Y38" t="str">
            <v>Timber frame structure</v>
          </cell>
          <cell r="Z38">
            <v>0.28999999999999998</v>
          </cell>
          <cell r="AA38">
            <v>1.06</v>
          </cell>
          <cell r="AB38" t="str">
            <v>Hollow concrete block Masonry</v>
          </cell>
          <cell r="AC38">
            <v>0</v>
          </cell>
          <cell r="AD38">
            <v>0</v>
          </cell>
          <cell r="AE38" t="str">
            <v>Dry stone Masonry</v>
          </cell>
          <cell r="AF38">
            <v>0.06</v>
          </cell>
          <cell r="AG38">
            <v>0.12</v>
          </cell>
          <cell r="AH38" t="str">
            <v>Adobe structures</v>
          </cell>
          <cell r="AI38">
            <v>0.16</v>
          </cell>
          <cell r="AJ38">
            <v>4.33</v>
          </cell>
          <cell r="AK38" t="str">
            <v>Bamboo</v>
          </cell>
          <cell r="AL38">
            <v>0.25</v>
          </cell>
          <cell r="AM38">
            <v>0.73</v>
          </cell>
          <cell r="AN38" t="str">
            <v>Compressed stabilized earth block (SCEB) Masonry</v>
          </cell>
          <cell r="AO38">
            <v>0</v>
          </cell>
          <cell r="AP38">
            <v>0</v>
          </cell>
          <cell r="AQ38" t="str">
            <v>Light steel frame structures</v>
          </cell>
          <cell r="AR38">
            <v>0</v>
          </cell>
          <cell r="AS38">
            <v>0</v>
          </cell>
          <cell r="AT38">
            <v>3341</v>
          </cell>
          <cell r="AU38">
            <v>3257</v>
          </cell>
          <cell r="AV38">
            <v>3257</v>
          </cell>
          <cell r="AW38">
            <v>2908</v>
          </cell>
          <cell r="AX38">
            <v>2538</v>
          </cell>
          <cell r="AY38">
            <v>2908</v>
          </cell>
          <cell r="AZ38">
            <v>2538</v>
          </cell>
          <cell r="BA38">
            <v>513</v>
          </cell>
          <cell r="BB38">
            <v>464</v>
          </cell>
          <cell r="BC38">
            <v>459</v>
          </cell>
          <cell r="BD38">
            <v>0</v>
          </cell>
          <cell r="BE38">
            <v>0</v>
          </cell>
          <cell r="BF38">
            <v>0</v>
          </cell>
          <cell r="BG38" t="str">
            <v/>
          </cell>
          <cell r="BH38" t="str">
            <v/>
          </cell>
          <cell r="BI38" t="str">
            <v>CRS(Agriculture, Livestock Development and Irrigation,Employment and Livelihood,Rural Housing and Community Infrastructure)</v>
          </cell>
          <cell r="BJ38" t="str">
            <v>ACTED(Rural Housing and Community Infrastructure),HELVETAS(Rural Housing and Community Infrastructure),MEDAIR(Rural Housing and Community Infrastructure),NRA(Rural Housing and Community Infrastructure),USAID-SABAL(Rural Housing and Community Infrastructure)</v>
          </cell>
          <cell r="BK38">
            <v>70087</v>
          </cell>
          <cell r="BL38" t="str">
            <v>Y</v>
          </cell>
          <cell r="BM38">
            <v>8000</v>
          </cell>
          <cell r="BN38">
            <v>71526</v>
          </cell>
          <cell r="BO38" t="str">
            <v>Y</v>
          </cell>
          <cell r="BP38">
            <v>8000</v>
          </cell>
          <cell r="BQ38">
            <v>7482</v>
          </cell>
          <cell r="BR38" t="str">
            <v>Y</v>
          </cell>
          <cell r="BS38">
            <v>16000</v>
          </cell>
          <cell r="BT38">
            <v>8627</v>
          </cell>
          <cell r="BU38" t="str">
            <v/>
          </cell>
          <cell r="BV38" t="str">
            <v>1660</v>
          </cell>
          <cell r="BW38" t="str">
            <v/>
          </cell>
          <cell r="BX38" t="str">
            <v>Y</v>
          </cell>
          <cell r="BY38">
            <v>1180</v>
          </cell>
          <cell r="BZ38">
            <v>238153</v>
          </cell>
          <cell r="CA38" t="str">
            <v>Y</v>
          </cell>
          <cell r="CB38">
            <v>1250</v>
          </cell>
          <cell r="CC38">
            <v>761779</v>
          </cell>
          <cell r="CD38" t="str">
            <v/>
          </cell>
          <cell r="CE38">
            <v>102</v>
          </cell>
          <cell r="CF38">
            <v>9739</v>
          </cell>
          <cell r="CG38" t="str">
            <v/>
          </cell>
          <cell r="CH38" t="str">
            <v>11500</v>
          </cell>
          <cell r="CI38">
            <v>887384</v>
          </cell>
          <cell r="CJ38" t="str">
            <v/>
          </cell>
          <cell r="CK38">
            <v>27</v>
          </cell>
          <cell r="CL38" t="str">
            <v>Skilled</v>
          </cell>
          <cell r="CM38">
            <v>1200</v>
          </cell>
          <cell r="CN38" t="str">
            <v>Labor</v>
          </cell>
          <cell r="CO38">
            <v>1000</v>
          </cell>
          <cell r="CP38" t="str">
            <v/>
          </cell>
          <cell r="CQ38" t="str">
            <v/>
          </cell>
          <cell r="CR38" t="str">
            <v/>
          </cell>
          <cell r="CS38" t="str">
            <v/>
          </cell>
          <cell r="CT38" t="str">
            <v/>
          </cell>
          <cell r="CU38" t="str">
            <v/>
          </cell>
          <cell r="CV38" t="str">
            <v>Municipal Office</v>
          </cell>
          <cell r="CW38" t="str">
            <v>Navaraj K.c</v>
          </cell>
          <cell r="CX38" t="str">
            <v>Chairman</v>
          </cell>
          <cell r="CY38">
            <v>9851061684</v>
          </cell>
          <cell r="CZ38" t="str">
            <v>Municipal Office</v>
          </cell>
          <cell r="DA38" t="str">
            <v>Nirmala Devi Raika</v>
          </cell>
          <cell r="DB38" t="str">
            <v>Deputy Chairman</v>
          </cell>
          <cell r="DC38">
            <v>9860131878</v>
          </cell>
          <cell r="DD38" t="str">
            <v>Municipal Office</v>
          </cell>
          <cell r="DE38" t="str">
            <v xml:space="preserve">Tulashi Ram Vagat </v>
          </cell>
          <cell r="DF38" t="str">
            <v>Chief Adminstration Officer</v>
          </cell>
          <cell r="DG38">
            <v>9753000066</v>
          </cell>
          <cell r="DH38" t="str">
            <v>NRA/GMALI</v>
          </cell>
          <cell r="DI38" t="str">
            <v xml:space="preserve">Youbaraj Kharel </v>
          </cell>
          <cell r="DJ38" t="str">
            <v>NRA Chief-District</v>
          </cell>
          <cell r="DK38">
            <v>9852841350</v>
          </cell>
          <cell r="DL38" t="str">
            <v>DLPIU-Building</v>
          </cell>
          <cell r="DM38" t="str">
            <v xml:space="preserve">Pravakar Lal Karn </v>
          </cell>
          <cell r="DN38" t="str">
            <v>DUDBC.DLPIU Chief</v>
          </cell>
          <cell r="DO38">
            <v>9841507715</v>
          </cell>
          <cell r="DP38" t="str">
            <v>Municipal Office</v>
          </cell>
          <cell r="DQ38" t="str">
            <v>kabindra Bdr Khadka</v>
          </cell>
          <cell r="DR38" t="str">
            <v>Focal Person</v>
          </cell>
          <cell r="DS38">
            <v>9849917974</v>
          </cell>
          <cell r="DT38" t="str">
            <v/>
          </cell>
          <cell r="DU38" t="str">
            <v/>
          </cell>
          <cell r="DV38" t="str">
            <v/>
          </cell>
          <cell r="DW38" t="str">
            <v/>
          </cell>
          <cell r="DX38" t="str">
            <v/>
          </cell>
          <cell r="DY38" t="str">
            <v/>
          </cell>
          <cell r="DZ38">
            <v>6</v>
          </cell>
          <cell r="EA38" t="str">
            <v>10</v>
          </cell>
          <cell r="EB38">
            <v>6</v>
          </cell>
          <cell r="EC38" t="str">
            <v>20</v>
          </cell>
          <cell r="ED38">
            <v>6</v>
          </cell>
          <cell r="EE38" t="str">
            <v>12</v>
          </cell>
          <cell r="EF38" t="str">
            <v>107</v>
          </cell>
          <cell r="EG38" t="str">
            <v>50</v>
          </cell>
          <cell r="EH38" t="str">
            <v>354</v>
          </cell>
          <cell r="EI38" t="str">
            <v>50</v>
          </cell>
          <cell r="EJ38">
            <v>225</v>
          </cell>
          <cell r="EK38">
            <v>108</v>
          </cell>
          <cell r="EL38">
            <v>117</v>
          </cell>
          <cell r="EM38">
            <v>378</v>
          </cell>
          <cell r="EN38">
            <v>352</v>
          </cell>
          <cell r="EO38">
            <v>26</v>
          </cell>
          <cell r="EP38" t="str">
            <v/>
          </cell>
          <cell r="EQ38" t="str">
            <v>Housing Recovery and Reconstruction Platform</v>
          </cell>
          <cell r="ER38" t="str">
            <v>Prakash Basnet</v>
          </cell>
          <cell r="ES38" t="str">
            <v>District Coordinator</v>
          </cell>
          <cell r="ET38">
            <v>9851154315</v>
          </cell>
          <cell r="EU38" t="str">
            <v>Housing Recovery and Reconstruction Platform</v>
          </cell>
          <cell r="EV38" t="str">
            <v>Uttam Parajuli</v>
          </cell>
          <cell r="EW38" t="str">
            <v>DIstrict Information Management Officer</v>
          </cell>
          <cell r="EX38">
            <v>9849101335</v>
          </cell>
          <cell r="EY38" t="str">
            <v>Housing Recovery and Reconstruction Platform</v>
          </cell>
          <cell r="EZ38" t="str">
            <v xml:space="preserve">Sagar Chandra Adhikari </v>
          </cell>
          <cell r="FA38" t="str">
            <v>District Technical Officer</v>
          </cell>
          <cell r="FB38">
            <v>9860022103</v>
          </cell>
        </row>
        <row r="39">
          <cell r="A39">
            <v>12002</v>
          </cell>
          <cell r="B39" t="str">
            <v>Okhaldhunga</v>
          </cell>
          <cell r="C39" t="str">
            <v>Chisankhugadhi Gaunpalika</v>
          </cell>
          <cell r="D39">
            <v>2432</v>
          </cell>
          <cell r="E39">
            <v>1276</v>
          </cell>
          <cell r="F39">
            <v>3708</v>
          </cell>
          <cell r="G39" t="str">
            <v>Stone and cement mortar masonry</v>
          </cell>
          <cell r="H39">
            <v>0.05</v>
          </cell>
          <cell r="I39">
            <v>0.38</v>
          </cell>
          <cell r="J39" t="str">
            <v>Stone and Mud Mortar Masonary</v>
          </cell>
          <cell r="K39">
            <v>89.08</v>
          </cell>
          <cell r="L39">
            <v>92.87</v>
          </cell>
          <cell r="M39" t="str">
            <v>Brick and Cement Mortar Masonary</v>
          </cell>
          <cell r="N39">
            <v>0</v>
          </cell>
          <cell r="O39">
            <v>0.34</v>
          </cell>
          <cell r="P39" t="str">
            <v>Brick and mud mortar Masonry</v>
          </cell>
          <cell r="Q39">
            <v>0</v>
          </cell>
          <cell r="R39">
            <v>0.02</v>
          </cell>
          <cell r="S39" t="str">
            <v>Reinforced cement concrete (RCC) frame</v>
          </cell>
          <cell r="T39">
            <v>0</v>
          </cell>
          <cell r="U39">
            <v>0.13</v>
          </cell>
          <cell r="V39" t="str">
            <v>Hybrid structure</v>
          </cell>
          <cell r="W39">
            <v>0</v>
          </cell>
          <cell r="X39">
            <v>0</v>
          </cell>
          <cell r="Y39" t="str">
            <v>Timber frame structure</v>
          </cell>
          <cell r="Z39">
            <v>1.1599999999999999</v>
          </cell>
          <cell r="AA39">
            <v>1.06</v>
          </cell>
          <cell r="AB39" t="str">
            <v>Hollow concrete block Masonry</v>
          </cell>
          <cell r="AC39">
            <v>0</v>
          </cell>
          <cell r="AD39">
            <v>0</v>
          </cell>
          <cell r="AE39" t="str">
            <v>Dry stone Masonry</v>
          </cell>
          <cell r="AF39">
            <v>0.16</v>
          </cell>
          <cell r="AG39">
            <v>0.12</v>
          </cell>
          <cell r="AH39" t="str">
            <v>Adobe structures</v>
          </cell>
          <cell r="AI39">
            <v>8.6999999999999993</v>
          </cell>
          <cell r="AJ39">
            <v>4.33</v>
          </cell>
          <cell r="AK39" t="str">
            <v>Bamboo</v>
          </cell>
          <cell r="AL39">
            <v>0.84</v>
          </cell>
          <cell r="AM39">
            <v>0.73</v>
          </cell>
          <cell r="AN39" t="str">
            <v>Compressed stabilized earth block (SCEB) Masonry</v>
          </cell>
          <cell r="AO39">
            <v>0</v>
          </cell>
          <cell r="AP39">
            <v>0</v>
          </cell>
          <cell r="AQ39" t="str">
            <v>Light steel frame structures</v>
          </cell>
          <cell r="AR39">
            <v>0</v>
          </cell>
          <cell r="AS39">
            <v>0</v>
          </cell>
          <cell r="AT39">
            <v>1063</v>
          </cell>
          <cell r="AU39">
            <v>982</v>
          </cell>
          <cell r="AV39">
            <v>982</v>
          </cell>
          <cell r="AW39">
            <v>855</v>
          </cell>
          <cell r="AX39">
            <v>775</v>
          </cell>
          <cell r="AY39">
            <v>855</v>
          </cell>
          <cell r="AZ39">
            <v>755</v>
          </cell>
          <cell r="BA39">
            <v>228</v>
          </cell>
          <cell r="BB39">
            <v>151</v>
          </cell>
          <cell r="BC39">
            <v>151</v>
          </cell>
          <cell r="BD39">
            <v>0</v>
          </cell>
          <cell r="BE39">
            <v>0</v>
          </cell>
          <cell r="BF39">
            <v>0</v>
          </cell>
          <cell r="BG39" t="str">
            <v/>
          </cell>
          <cell r="BH39" t="str">
            <v/>
          </cell>
          <cell r="BI39" t="str">
            <v>NRCS(Health)</v>
          </cell>
          <cell r="BJ39" t="str">
            <v>HELVETAS(Rural Housing and Community Infrastructure),NRA(Rural Housing and Community Infrastructure)</v>
          </cell>
          <cell r="BK39">
            <v>18848</v>
          </cell>
          <cell r="BL39" t="str">
            <v>Y</v>
          </cell>
          <cell r="BM39">
            <v>7500</v>
          </cell>
          <cell r="BN39">
            <v>19721</v>
          </cell>
          <cell r="BO39" t="str">
            <v>Y</v>
          </cell>
          <cell r="BP39" t="str">
            <v/>
          </cell>
          <cell r="BQ39">
            <v>2016</v>
          </cell>
          <cell r="BR39" t="str">
            <v/>
          </cell>
          <cell r="BS39" t="str">
            <v/>
          </cell>
          <cell r="BT39">
            <v>2339</v>
          </cell>
          <cell r="BU39" t="str">
            <v/>
          </cell>
          <cell r="BV39" t="str">
            <v>1600</v>
          </cell>
          <cell r="BW39" t="str">
            <v/>
          </cell>
          <cell r="BX39" t="str">
            <v>Y</v>
          </cell>
          <cell r="BY39">
            <v>1150</v>
          </cell>
          <cell r="BZ39">
            <v>65140</v>
          </cell>
          <cell r="CA39" t="str">
            <v>Y</v>
          </cell>
          <cell r="CB39">
            <v>1230</v>
          </cell>
          <cell r="CC39">
            <v>203546</v>
          </cell>
          <cell r="CD39" t="str">
            <v/>
          </cell>
          <cell r="CE39">
            <v>105</v>
          </cell>
          <cell r="CF39">
            <v>2662</v>
          </cell>
          <cell r="CG39" t="str">
            <v/>
          </cell>
          <cell r="CH39" t="str">
            <v>12000</v>
          </cell>
          <cell r="CI39">
            <v>136251</v>
          </cell>
          <cell r="CJ39" t="str">
            <v/>
          </cell>
          <cell r="CK39">
            <v>26</v>
          </cell>
          <cell r="CL39" t="str">
            <v>Skilled</v>
          </cell>
          <cell r="CM39">
            <v>1200</v>
          </cell>
          <cell r="CN39" t="str">
            <v>Labor</v>
          </cell>
          <cell r="CO39">
            <v>1000</v>
          </cell>
          <cell r="CP39" t="str">
            <v/>
          </cell>
          <cell r="CQ39" t="str">
            <v/>
          </cell>
          <cell r="CR39" t="str">
            <v/>
          </cell>
          <cell r="CS39" t="str">
            <v/>
          </cell>
          <cell r="CT39" t="str">
            <v/>
          </cell>
          <cell r="CU39" t="str">
            <v/>
          </cell>
          <cell r="CV39" t="str">
            <v>Municipal Office</v>
          </cell>
          <cell r="CW39" t="str">
            <v>Nisant Sherma</v>
          </cell>
          <cell r="CX39" t="str">
            <v>Chairman</v>
          </cell>
          <cell r="CY39">
            <v>9852840055</v>
          </cell>
          <cell r="CZ39" t="str">
            <v>Municipal Office</v>
          </cell>
          <cell r="DA39" t="str">
            <v>Susma Rai</v>
          </cell>
          <cell r="DB39" t="str">
            <v>Deputy Chairman</v>
          </cell>
          <cell r="DC39">
            <v>9861185398</v>
          </cell>
          <cell r="DD39" t="str">
            <v>Municipal Office</v>
          </cell>
          <cell r="DE39" t="str">
            <v xml:space="preserve">Subas Paudel </v>
          </cell>
          <cell r="DF39" t="str">
            <v>Chief Adminstration Officer</v>
          </cell>
          <cell r="DG39">
            <v>9849807113</v>
          </cell>
          <cell r="DH39" t="str">
            <v>NRA/GMALI</v>
          </cell>
          <cell r="DI39" t="str">
            <v xml:space="preserve">Youbaraj Kharel </v>
          </cell>
          <cell r="DJ39" t="str">
            <v>NRA Chief-District</v>
          </cell>
          <cell r="DK39">
            <v>9852841350</v>
          </cell>
          <cell r="DL39" t="str">
            <v>DLPIU-Building</v>
          </cell>
          <cell r="DM39" t="str">
            <v xml:space="preserve">Pravakar Lal Karn </v>
          </cell>
          <cell r="DN39" t="str">
            <v>DUDBC.DLPIU Chief</v>
          </cell>
          <cell r="DO39">
            <v>9841507715</v>
          </cell>
          <cell r="DP39" t="str">
            <v>Municipal Office</v>
          </cell>
          <cell r="DQ39" t="str">
            <v>Kasindra Yadav</v>
          </cell>
          <cell r="DR39" t="str">
            <v>Focal Person</v>
          </cell>
          <cell r="DS39">
            <v>9860300612</v>
          </cell>
          <cell r="DT39" t="str">
            <v/>
          </cell>
          <cell r="DU39" t="str">
            <v/>
          </cell>
          <cell r="DV39" t="str">
            <v/>
          </cell>
          <cell r="DW39" t="str">
            <v/>
          </cell>
          <cell r="DX39" t="str">
            <v/>
          </cell>
          <cell r="DY39" t="str">
            <v/>
          </cell>
          <cell r="DZ39" t="str">
            <v/>
          </cell>
          <cell r="EA39" t="str">
            <v/>
          </cell>
          <cell r="EB39" t="str">
            <v/>
          </cell>
          <cell r="EC39" t="str">
            <v/>
          </cell>
          <cell r="ED39" t="str">
            <v/>
          </cell>
          <cell r="EE39" t="str">
            <v/>
          </cell>
          <cell r="EF39" t="str">
            <v/>
          </cell>
          <cell r="EG39" t="str">
            <v/>
          </cell>
          <cell r="EH39" t="str">
            <v/>
          </cell>
          <cell r="EI39" t="str">
            <v/>
          </cell>
          <cell r="EJ39">
            <v>81</v>
          </cell>
          <cell r="EK39">
            <v>43</v>
          </cell>
          <cell r="EL39">
            <v>38</v>
          </cell>
          <cell r="EM39">
            <v>126</v>
          </cell>
          <cell r="EN39">
            <v>1</v>
          </cell>
          <cell r="EO39">
            <v>125</v>
          </cell>
          <cell r="EP39" t="str">
            <v/>
          </cell>
          <cell r="EQ39" t="str">
            <v>Housing Recovery and Reconstruction Platform</v>
          </cell>
          <cell r="ER39" t="str">
            <v>Prakash Basnet</v>
          </cell>
          <cell r="ES39" t="str">
            <v>District Coordinator</v>
          </cell>
          <cell r="ET39">
            <v>9851154315</v>
          </cell>
          <cell r="EU39" t="str">
            <v>Housing Recovery and Reconstruction Platform</v>
          </cell>
          <cell r="EV39" t="str">
            <v>Uttam Parajuli</v>
          </cell>
          <cell r="EW39" t="str">
            <v>DIstrict Information Management Officer</v>
          </cell>
          <cell r="EX39">
            <v>9849101335</v>
          </cell>
          <cell r="EY39" t="str">
            <v>Housing Recovery and Reconstruction Platform</v>
          </cell>
          <cell r="EZ39" t="str">
            <v xml:space="preserve">Sagar Chandra Adhikari </v>
          </cell>
          <cell r="FA39" t="str">
            <v>District Technical Officer</v>
          </cell>
          <cell r="FB39">
            <v>9860022103</v>
          </cell>
        </row>
        <row r="40">
          <cell r="A40">
            <v>12003</v>
          </cell>
          <cell r="B40" t="str">
            <v>Okhaldhunga</v>
          </cell>
          <cell r="C40" t="str">
            <v>Khijidemba Gaunpalika</v>
          </cell>
          <cell r="D40">
            <v>798</v>
          </cell>
          <cell r="E40">
            <v>3167</v>
          </cell>
          <cell r="F40">
            <v>3965</v>
          </cell>
          <cell r="G40" t="str">
            <v>Stone and cement mortar masonry</v>
          </cell>
          <cell r="H40">
            <v>0</v>
          </cell>
          <cell r="I40">
            <v>0.38</v>
          </cell>
          <cell r="J40" t="str">
            <v>Stone and Mud Mortar Masonary</v>
          </cell>
          <cell r="K40">
            <v>97.96</v>
          </cell>
          <cell r="L40">
            <v>92.87</v>
          </cell>
          <cell r="M40" t="str">
            <v>Brick and Cement Mortar Masonary</v>
          </cell>
          <cell r="N40">
            <v>0</v>
          </cell>
          <cell r="O40">
            <v>0.34</v>
          </cell>
          <cell r="P40" t="str">
            <v>Brick and mud mortar Masonry</v>
          </cell>
          <cell r="Q40">
            <v>0</v>
          </cell>
          <cell r="R40">
            <v>0.02</v>
          </cell>
          <cell r="S40" t="str">
            <v>Reinforced cement concrete (RCC) frame</v>
          </cell>
          <cell r="T40">
            <v>0</v>
          </cell>
          <cell r="U40">
            <v>0.13</v>
          </cell>
          <cell r="V40" t="str">
            <v>Hybrid structure</v>
          </cell>
          <cell r="W40">
            <v>0</v>
          </cell>
          <cell r="X40">
            <v>0</v>
          </cell>
          <cell r="Y40" t="str">
            <v>Timber frame structure</v>
          </cell>
          <cell r="Z40">
            <v>1.61</v>
          </cell>
          <cell r="AA40">
            <v>1.06</v>
          </cell>
          <cell r="AB40" t="str">
            <v>Hollow concrete block Masonry</v>
          </cell>
          <cell r="AC40">
            <v>0</v>
          </cell>
          <cell r="AD40">
            <v>0</v>
          </cell>
          <cell r="AE40" t="str">
            <v>Dry stone Masonry</v>
          </cell>
          <cell r="AF40">
            <v>0.13</v>
          </cell>
          <cell r="AG40">
            <v>0.12</v>
          </cell>
          <cell r="AH40" t="str">
            <v>Adobe structures</v>
          </cell>
          <cell r="AI40">
            <v>0.05</v>
          </cell>
          <cell r="AJ40">
            <v>4.33</v>
          </cell>
          <cell r="AK40" t="str">
            <v>Bamboo</v>
          </cell>
          <cell r="AL40">
            <v>0.25</v>
          </cell>
          <cell r="AM40">
            <v>0.73</v>
          </cell>
          <cell r="AN40" t="str">
            <v>Compressed stabilized earth block (SCEB) Masonry</v>
          </cell>
          <cell r="AO40">
            <v>0</v>
          </cell>
          <cell r="AP40">
            <v>0</v>
          </cell>
          <cell r="AQ40" t="str">
            <v>Light steel frame structures</v>
          </cell>
          <cell r="AR40">
            <v>0</v>
          </cell>
          <cell r="AS40">
            <v>0</v>
          </cell>
          <cell r="AT40">
            <v>2914</v>
          </cell>
          <cell r="AU40">
            <v>2790</v>
          </cell>
          <cell r="AV40">
            <v>2782</v>
          </cell>
          <cell r="AW40">
            <v>2611</v>
          </cell>
          <cell r="AX40">
            <v>2318</v>
          </cell>
          <cell r="AY40">
            <v>2643</v>
          </cell>
          <cell r="AZ40">
            <v>2318</v>
          </cell>
          <cell r="BA40">
            <v>218</v>
          </cell>
          <cell r="BB40">
            <v>196</v>
          </cell>
          <cell r="BC40">
            <v>196</v>
          </cell>
          <cell r="BD40">
            <v>0</v>
          </cell>
          <cell r="BE40">
            <v>0</v>
          </cell>
          <cell r="BF40">
            <v>0</v>
          </cell>
          <cell r="BG40" t="str">
            <v/>
          </cell>
          <cell r="BH40" t="str">
            <v/>
          </cell>
          <cell r="BI40" t="str">
            <v>CRS(Agriculture, Livestock Development and Irrigation,Employment and Livelihood,Rural Housing and Community Infrastructure)</v>
          </cell>
          <cell r="BJ40" t="str">
            <v>ACTED(Rural Housing and Community Infrastructure),GON(Rural Housing and Community Infrastructure),HELVETAS(Rural Housing and Community Infrastructure),HRDS(Education),MCC(Agriculture, Livestock Development and Irrigation,Rural Housing and Community Infrastructure,Water, Sanitation and Hygiene),NRA(Rural Housing and Community Infrastructure)</v>
          </cell>
          <cell r="BK40">
            <v>61536</v>
          </cell>
          <cell r="BL40" t="str">
            <v>Y</v>
          </cell>
          <cell r="BM40">
            <v>8000</v>
          </cell>
          <cell r="BN40">
            <v>60684</v>
          </cell>
          <cell r="BO40" t="str">
            <v>N</v>
          </cell>
          <cell r="BP40">
            <v>8000</v>
          </cell>
          <cell r="BQ40">
            <v>6554</v>
          </cell>
          <cell r="BR40" t="str">
            <v>N</v>
          </cell>
          <cell r="BS40">
            <v>25000</v>
          </cell>
          <cell r="BT40">
            <v>7501</v>
          </cell>
          <cell r="BU40" t="str">
            <v>N</v>
          </cell>
          <cell r="BV40" t="str">
            <v>24000</v>
          </cell>
          <cell r="BW40" t="str">
            <v/>
          </cell>
          <cell r="BX40" t="str">
            <v>N</v>
          </cell>
          <cell r="BY40">
            <v>1600</v>
          </cell>
          <cell r="BZ40">
            <v>205898</v>
          </cell>
          <cell r="CA40" t="str">
            <v>N</v>
          </cell>
          <cell r="CB40">
            <v>1600</v>
          </cell>
          <cell r="CC40">
            <v>676672</v>
          </cell>
          <cell r="CD40" t="str">
            <v>N</v>
          </cell>
          <cell r="CE40">
            <v>130</v>
          </cell>
          <cell r="CF40">
            <v>8438</v>
          </cell>
          <cell r="CG40" t="str">
            <v>N</v>
          </cell>
          <cell r="CH40" t="str">
            <v>14000</v>
          </cell>
          <cell r="CI40">
            <v>1465340</v>
          </cell>
          <cell r="CJ40" t="str">
            <v>N</v>
          </cell>
          <cell r="CK40">
            <v>35</v>
          </cell>
          <cell r="CL40" t="str">
            <v>Skilled</v>
          </cell>
          <cell r="CM40">
            <v>1200</v>
          </cell>
          <cell r="CN40" t="str">
            <v>Labor</v>
          </cell>
          <cell r="CO40">
            <v>1000</v>
          </cell>
          <cell r="CP40" t="str">
            <v/>
          </cell>
          <cell r="CQ40" t="str">
            <v/>
          </cell>
          <cell r="CR40" t="str">
            <v/>
          </cell>
          <cell r="CS40" t="str">
            <v/>
          </cell>
          <cell r="CT40" t="str">
            <v/>
          </cell>
          <cell r="CU40" t="str">
            <v/>
          </cell>
          <cell r="CV40" t="str">
            <v>Municipal Office</v>
          </cell>
          <cell r="CW40" t="str">
            <v>Bed Bdr Rokka</v>
          </cell>
          <cell r="CX40" t="str">
            <v>Chairman</v>
          </cell>
          <cell r="CY40">
            <v>9843001361</v>
          </cell>
          <cell r="CZ40" t="str">
            <v>Municipal Office</v>
          </cell>
          <cell r="DA40" t="str">
            <v>Susila Tamang</v>
          </cell>
          <cell r="DB40" t="str">
            <v>Deputy Chairman</v>
          </cell>
          <cell r="DC40">
            <v>9841550944</v>
          </cell>
          <cell r="DD40" t="str">
            <v>Municipal Office</v>
          </cell>
          <cell r="DE40" t="str">
            <v>Shyam Kumar Khadka</v>
          </cell>
          <cell r="DF40" t="str">
            <v>Chief Adminstration Officer</v>
          </cell>
          <cell r="DG40">
            <v>9851191888</v>
          </cell>
          <cell r="DH40" t="str">
            <v>NRA/GMALI</v>
          </cell>
          <cell r="DI40" t="str">
            <v xml:space="preserve">Youbaraj Kharel </v>
          </cell>
          <cell r="DJ40" t="str">
            <v>NRA Chief-District</v>
          </cell>
          <cell r="DK40">
            <v>9852841350</v>
          </cell>
          <cell r="DL40" t="str">
            <v>DLPIU-Building</v>
          </cell>
          <cell r="DM40" t="str">
            <v xml:space="preserve">Pravakar Lal Karn </v>
          </cell>
          <cell r="DN40" t="str">
            <v>DUDBC.DLPIU Chief</v>
          </cell>
          <cell r="DO40">
            <v>9841507715</v>
          </cell>
          <cell r="DP40" t="str">
            <v>Municipal Office</v>
          </cell>
          <cell r="DQ40" t="str">
            <v>Lal Bdr Thapa</v>
          </cell>
          <cell r="DR40" t="str">
            <v>Focal Person</v>
          </cell>
          <cell r="DS40">
            <v>9848530059</v>
          </cell>
          <cell r="DT40" t="str">
            <v/>
          </cell>
          <cell r="DU40" t="str">
            <v/>
          </cell>
          <cell r="DV40" t="str">
            <v/>
          </cell>
          <cell r="DW40" t="str">
            <v/>
          </cell>
          <cell r="DX40" t="str">
            <v/>
          </cell>
          <cell r="DY40" t="str">
            <v/>
          </cell>
          <cell r="DZ40">
            <v>6</v>
          </cell>
          <cell r="EA40" t="str">
            <v>3</v>
          </cell>
          <cell r="EB40">
            <v>5</v>
          </cell>
          <cell r="EC40" t="str">
            <v>4</v>
          </cell>
          <cell r="ED40">
            <v>5</v>
          </cell>
          <cell r="EE40" t="str">
            <v>4</v>
          </cell>
          <cell r="EF40" t="str">
            <v>150</v>
          </cell>
          <cell r="EG40" t="str">
            <v>300</v>
          </cell>
          <cell r="EH40" t="str">
            <v>0</v>
          </cell>
          <cell r="EI40" t="str">
            <v>50</v>
          </cell>
          <cell r="EJ40">
            <v>217</v>
          </cell>
          <cell r="EK40">
            <v>128</v>
          </cell>
          <cell r="EL40">
            <v>89</v>
          </cell>
          <cell r="EM40">
            <v>353</v>
          </cell>
          <cell r="EN40">
            <v>129</v>
          </cell>
          <cell r="EO40">
            <v>224</v>
          </cell>
          <cell r="EP40" t="str">
            <v/>
          </cell>
          <cell r="EQ40" t="str">
            <v>Housing Recovery and Reconstruction Platform</v>
          </cell>
          <cell r="ER40" t="str">
            <v>Prakash Basnet</v>
          </cell>
          <cell r="ES40" t="str">
            <v>District Coordinator</v>
          </cell>
          <cell r="ET40">
            <v>9851154315</v>
          </cell>
          <cell r="EU40" t="str">
            <v>Housing Recovery and Reconstruction Platform</v>
          </cell>
          <cell r="EV40" t="str">
            <v>Uttam Parajuli</v>
          </cell>
          <cell r="EW40" t="str">
            <v>DIstrict Information Management Officer</v>
          </cell>
          <cell r="EX40">
            <v>9849101335</v>
          </cell>
          <cell r="EY40" t="str">
            <v>Housing Recovery and Reconstruction Platform</v>
          </cell>
          <cell r="EZ40" t="str">
            <v xml:space="preserve">Sagar Chandra Adhikari </v>
          </cell>
          <cell r="FA40" t="str">
            <v>District Technical Officer</v>
          </cell>
          <cell r="FB40">
            <v>9860022103</v>
          </cell>
        </row>
        <row r="41">
          <cell r="A41">
            <v>12004</v>
          </cell>
          <cell r="B41" t="str">
            <v>Okhaldhunga</v>
          </cell>
          <cell r="C41" t="str">
            <v>Likhu Gaunpalika</v>
          </cell>
          <cell r="D41">
            <v>497</v>
          </cell>
          <cell r="E41">
            <v>3382</v>
          </cell>
          <cell r="F41">
            <v>3879</v>
          </cell>
          <cell r="G41" t="str">
            <v>Stone and cement mortar masonry</v>
          </cell>
          <cell r="H41">
            <v>0.05</v>
          </cell>
          <cell r="I41">
            <v>0.38</v>
          </cell>
          <cell r="J41" t="str">
            <v>Stone and Mud Mortar Masonary</v>
          </cell>
          <cell r="K41">
            <v>98.94</v>
          </cell>
          <cell r="L41">
            <v>92.87</v>
          </cell>
          <cell r="M41" t="str">
            <v>Brick and Cement Mortar Masonary</v>
          </cell>
          <cell r="N41">
            <v>0.03</v>
          </cell>
          <cell r="O41">
            <v>0.34</v>
          </cell>
          <cell r="P41" t="str">
            <v>Brick and mud mortar Masonry</v>
          </cell>
          <cell r="Q41">
            <v>0</v>
          </cell>
          <cell r="R41">
            <v>0.02</v>
          </cell>
          <cell r="S41" t="str">
            <v>Reinforced cement concrete (RCC) frame</v>
          </cell>
          <cell r="T41">
            <v>0</v>
          </cell>
          <cell r="U41">
            <v>0.13</v>
          </cell>
          <cell r="V41" t="str">
            <v>Hybrid structure</v>
          </cell>
          <cell r="W41">
            <v>0</v>
          </cell>
          <cell r="X41">
            <v>0</v>
          </cell>
          <cell r="Y41" t="str">
            <v>Timber frame structure</v>
          </cell>
          <cell r="Z41">
            <v>0.23</v>
          </cell>
          <cell r="AA41">
            <v>1.06</v>
          </cell>
          <cell r="AB41" t="str">
            <v>Hollow concrete block Masonry</v>
          </cell>
          <cell r="AC41">
            <v>0</v>
          </cell>
          <cell r="AD41">
            <v>0</v>
          </cell>
          <cell r="AE41" t="str">
            <v>Dry stone Masonry</v>
          </cell>
          <cell r="AF41">
            <v>0.15</v>
          </cell>
          <cell r="AG41">
            <v>0.12</v>
          </cell>
          <cell r="AH41" t="str">
            <v>Adobe structures</v>
          </cell>
          <cell r="AI41">
            <v>0.08</v>
          </cell>
          <cell r="AJ41">
            <v>4.33</v>
          </cell>
          <cell r="AK41" t="str">
            <v>Bamboo</v>
          </cell>
          <cell r="AL41">
            <v>0.52</v>
          </cell>
          <cell r="AM41">
            <v>0.73</v>
          </cell>
          <cell r="AN41" t="str">
            <v>Compressed stabilized earth block (SCEB) Masonry</v>
          </cell>
          <cell r="AO41">
            <v>0</v>
          </cell>
          <cell r="AP41">
            <v>0</v>
          </cell>
          <cell r="AQ41" t="str">
            <v>Light steel frame structures</v>
          </cell>
          <cell r="AR41">
            <v>0</v>
          </cell>
          <cell r="AS41">
            <v>0</v>
          </cell>
          <cell r="AT41">
            <v>3258</v>
          </cell>
          <cell r="AU41">
            <v>3167</v>
          </cell>
          <cell r="AV41">
            <v>3167</v>
          </cell>
          <cell r="AW41">
            <v>2950</v>
          </cell>
          <cell r="AX41">
            <v>2580</v>
          </cell>
          <cell r="AY41">
            <v>2950</v>
          </cell>
          <cell r="AZ41">
            <v>2580</v>
          </cell>
          <cell r="BA41">
            <v>200</v>
          </cell>
          <cell r="BB41">
            <v>122</v>
          </cell>
          <cell r="BC41">
            <v>107</v>
          </cell>
          <cell r="BD41">
            <v>0</v>
          </cell>
          <cell r="BE41">
            <v>0</v>
          </cell>
          <cell r="BF41">
            <v>0</v>
          </cell>
          <cell r="BG41" t="str">
            <v/>
          </cell>
          <cell r="BH41" t="str">
            <v/>
          </cell>
          <cell r="BI41" t="str">
            <v>CRS(Agriculture, Livestock Development and Irrigation,Employment and Livelihood,Rural Housing and Community Infrastructure)</v>
          </cell>
          <cell r="BJ41" t="str">
            <v>GON(Rural Housing and Community Infrastructure),HELVETAS(Rural Housing and Community Infrastructure),MEDAIR(Rural Housing and Community Infrastructure),USAID-SABAL(Rural Housing and Community Infrastructure)</v>
          </cell>
          <cell r="BK41">
            <v>46263</v>
          </cell>
          <cell r="BL41" t="str">
            <v>Y</v>
          </cell>
          <cell r="BM41">
            <v>7800</v>
          </cell>
          <cell r="BN41">
            <v>47929</v>
          </cell>
          <cell r="BO41" t="str">
            <v>Y</v>
          </cell>
          <cell r="BP41">
            <v>12000</v>
          </cell>
          <cell r="BQ41">
            <v>4944</v>
          </cell>
          <cell r="BR41" t="str">
            <v/>
          </cell>
          <cell r="BS41">
            <v>17000</v>
          </cell>
          <cell r="BT41">
            <v>5721</v>
          </cell>
          <cell r="BU41" t="str">
            <v/>
          </cell>
          <cell r="BV41" t="str">
            <v>1500</v>
          </cell>
          <cell r="BW41" t="str">
            <v/>
          </cell>
          <cell r="BX41" t="str">
            <v>Y</v>
          </cell>
          <cell r="BY41">
            <v>1150</v>
          </cell>
          <cell r="BZ41">
            <v>158655</v>
          </cell>
          <cell r="CA41" t="str">
            <v>Y</v>
          </cell>
          <cell r="CB41">
            <v>1250</v>
          </cell>
          <cell r="CC41">
            <v>500681</v>
          </cell>
          <cell r="CD41" t="str">
            <v/>
          </cell>
          <cell r="CE41">
            <v>100</v>
          </cell>
          <cell r="CF41">
            <v>6484</v>
          </cell>
          <cell r="CG41" t="str">
            <v/>
          </cell>
          <cell r="CH41" t="str">
            <v>11000</v>
          </cell>
          <cell r="CI41">
            <v>410830</v>
          </cell>
          <cell r="CJ41" t="str">
            <v/>
          </cell>
          <cell r="CK41">
            <v>27</v>
          </cell>
          <cell r="CL41" t="str">
            <v>Skilled</v>
          </cell>
          <cell r="CM41">
            <v>1200</v>
          </cell>
          <cell r="CN41" t="str">
            <v>Labor</v>
          </cell>
          <cell r="CO41">
            <v>1000</v>
          </cell>
          <cell r="CP41" t="str">
            <v/>
          </cell>
          <cell r="CQ41" t="str">
            <v/>
          </cell>
          <cell r="CR41" t="str">
            <v/>
          </cell>
          <cell r="CS41" t="str">
            <v/>
          </cell>
          <cell r="CT41" t="str">
            <v/>
          </cell>
          <cell r="CU41" t="str">
            <v/>
          </cell>
          <cell r="CV41" t="str">
            <v>Municipal Office</v>
          </cell>
          <cell r="CW41" t="str">
            <v>Govinda Paudel</v>
          </cell>
          <cell r="CX41" t="str">
            <v>Chairman</v>
          </cell>
          <cell r="CY41">
            <v>9741266129</v>
          </cell>
          <cell r="CZ41" t="str">
            <v>Municipal Office</v>
          </cell>
          <cell r="DA41" t="str">
            <v>Shanta Dhungel</v>
          </cell>
          <cell r="DB41" t="str">
            <v>Deputy Chairman</v>
          </cell>
          <cell r="DC41">
            <v>9861159678</v>
          </cell>
          <cell r="DD41" t="str">
            <v>Municipal Office</v>
          </cell>
          <cell r="DE41" t="str">
            <v xml:space="preserve">Om Bdr DarjI </v>
          </cell>
          <cell r="DF41" t="str">
            <v>Chief Adminstration Officer</v>
          </cell>
          <cell r="DG41">
            <v>9849162772</v>
          </cell>
          <cell r="DH41" t="str">
            <v>NRA/GMALI</v>
          </cell>
          <cell r="DI41" t="str">
            <v xml:space="preserve">Youbaraj Kharel </v>
          </cell>
          <cell r="DJ41" t="str">
            <v>NRA Chief-District</v>
          </cell>
          <cell r="DK41">
            <v>9852841350</v>
          </cell>
          <cell r="DL41" t="str">
            <v>DLPIU-Building</v>
          </cell>
          <cell r="DM41" t="str">
            <v xml:space="preserve">Pravakar Lal Karn </v>
          </cell>
          <cell r="DN41" t="str">
            <v>DUDBC.DLPIU Chief</v>
          </cell>
          <cell r="DO41">
            <v>9841507715</v>
          </cell>
          <cell r="DP41" t="str">
            <v>Municipal Office</v>
          </cell>
          <cell r="DQ41" t="str">
            <v>Bhuwan Adhikari</v>
          </cell>
          <cell r="DR41" t="str">
            <v>Focal Person</v>
          </cell>
          <cell r="DS41">
            <v>9851230915</v>
          </cell>
          <cell r="DT41" t="str">
            <v/>
          </cell>
          <cell r="DU41" t="str">
            <v/>
          </cell>
          <cell r="DV41" t="str">
            <v/>
          </cell>
          <cell r="DW41" t="str">
            <v/>
          </cell>
          <cell r="DX41" t="str">
            <v/>
          </cell>
          <cell r="DY41" t="str">
            <v/>
          </cell>
          <cell r="DZ41" t="str">
            <v/>
          </cell>
          <cell r="EA41" t="str">
            <v/>
          </cell>
          <cell r="EB41" t="str">
            <v/>
          </cell>
          <cell r="EC41" t="str">
            <v/>
          </cell>
          <cell r="ED41" t="str">
            <v/>
          </cell>
          <cell r="EE41" t="str">
            <v/>
          </cell>
          <cell r="EF41" t="str">
            <v/>
          </cell>
          <cell r="EG41" t="str">
            <v/>
          </cell>
          <cell r="EH41" t="str">
            <v/>
          </cell>
          <cell r="EI41" t="str">
            <v/>
          </cell>
          <cell r="EJ41">
            <v>239</v>
          </cell>
          <cell r="EK41">
            <v>109</v>
          </cell>
          <cell r="EL41">
            <v>130</v>
          </cell>
          <cell r="EM41">
            <v>389</v>
          </cell>
          <cell r="EN41">
            <v>233</v>
          </cell>
          <cell r="EO41">
            <v>156</v>
          </cell>
          <cell r="EP41" t="str">
            <v/>
          </cell>
          <cell r="EQ41" t="str">
            <v>Housing Recovery and Reconstruction Platform</v>
          </cell>
          <cell r="ER41" t="str">
            <v>Prakash Basnet</v>
          </cell>
          <cell r="ES41" t="str">
            <v>District Coordinator</v>
          </cell>
          <cell r="ET41">
            <v>9851154315</v>
          </cell>
          <cell r="EU41" t="str">
            <v>Housing Recovery and Reconstruction Platform</v>
          </cell>
          <cell r="EV41" t="str">
            <v>Uttam Parajuli</v>
          </cell>
          <cell r="EW41" t="str">
            <v>DIstrict Information Management Officer</v>
          </cell>
          <cell r="EX41">
            <v>9849101335</v>
          </cell>
          <cell r="EY41" t="str">
            <v>Housing Recovery and Reconstruction Platform</v>
          </cell>
          <cell r="EZ41" t="str">
            <v xml:space="preserve">Sagar Chandra Adhikari </v>
          </cell>
          <cell r="FA41" t="str">
            <v>District Technical Officer</v>
          </cell>
          <cell r="FB41">
            <v>9860022103</v>
          </cell>
        </row>
        <row r="42">
          <cell r="A42">
            <v>12005</v>
          </cell>
          <cell r="B42" t="str">
            <v>Okhaldhunga</v>
          </cell>
          <cell r="C42" t="str">
            <v>Manebhanjyang Gaunpalika</v>
          </cell>
          <cell r="D42">
            <v>3333</v>
          </cell>
          <cell r="E42">
            <v>1944</v>
          </cell>
          <cell r="F42">
            <v>5277</v>
          </cell>
          <cell r="G42" t="str">
            <v>Stone and cement mortar masonry</v>
          </cell>
          <cell r="H42">
            <v>0.93</v>
          </cell>
          <cell r="I42">
            <v>0.38</v>
          </cell>
          <cell r="J42" t="str">
            <v>Stone and Mud Mortar Masonary</v>
          </cell>
          <cell r="K42">
            <v>93.58</v>
          </cell>
          <cell r="L42">
            <v>92.87</v>
          </cell>
          <cell r="M42" t="str">
            <v>Brick and Cement Mortar Masonary</v>
          </cell>
          <cell r="N42">
            <v>0.11</v>
          </cell>
          <cell r="O42">
            <v>0.34</v>
          </cell>
          <cell r="P42" t="str">
            <v>Brick and mud mortar Masonry</v>
          </cell>
          <cell r="Q42">
            <v>0.04</v>
          </cell>
          <cell r="R42">
            <v>0.02</v>
          </cell>
          <cell r="S42" t="str">
            <v>Reinforced cement concrete (RCC) frame</v>
          </cell>
          <cell r="T42">
            <v>0.32</v>
          </cell>
          <cell r="U42">
            <v>0.13</v>
          </cell>
          <cell r="V42" t="str">
            <v>Hybrid structure</v>
          </cell>
          <cell r="W42">
            <v>0</v>
          </cell>
          <cell r="X42">
            <v>0</v>
          </cell>
          <cell r="Y42" t="str">
            <v>Timber frame structure</v>
          </cell>
          <cell r="Z42">
            <v>2.56</v>
          </cell>
          <cell r="AA42">
            <v>1.06</v>
          </cell>
          <cell r="AB42" t="str">
            <v>Hollow concrete block Masonry</v>
          </cell>
          <cell r="AC42">
            <v>0</v>
          </cell>
          <cell r="AD42">
            <v>0</v>
          </cell>
          <cell r="AE42" t="str">
            <v>Dry stone Masonry</v>
          </cell>
          <cell r="AF42">
            <v>0.09</v>
          </cell>
          <cell r="AG42">
            <v>0.12</v>
          </cell>
          <cell r="AH42" t="str">
            <v>Adobe structures</v>
          </cell>
          <cell r="AI42">
            <v>0.17</v>
          </cell>
          <cell r="AJ42">
            <v>4.33</v>
          </cell>
          <cell r="AK42" t="str">
            <v>Bamboo</v>
          </cell>
          <cell r="AL42">
            <v>2.1800000000000002</v>
          </cell>
          <cell r="AM42">
            <v>0.73</v>
          </cell>
          <cell r="AN42" t="str">
            <v>Compressed stabilized earth block (SCEB) Masonry</v>
          </cell>
          <cell r="AO42">
            <v>0</v>
          </cell>
          <cell r="AP42">
            <v>0</v>
          </cell>
          <cell r="AQ42" t="str">
            <v>Light steel frame structures</v>
          </cell>
          <cell r="AR42">
            <v>0</v>
          </cell>
          <cell r="AS42">
            <v>0</v>
          </cell>
          <cell r="AT42">
            <v>1663</v>
          </cell>
          <cell r="AU42">
            <v>1551</v>
          </cell>
          <cell r="AV42">
            <v>1526</v>
          </cell>
          <cell r="AW42">
            <v>1248</v>
          </cell>
          <cell r="AX42">
            <v>907</v>
          </cell>
          <cell r="AY42">
            <v>1248</v>
          </cell>
          <cell r="AZ42">
            <v>907</v>
          </cell>
          <cell r="BA42">
            <v>441</v>
          </cell>
          <cell r="BB42">
            <v>389</v>
          </cell>
          <cell r="BC42">
            <v>392</v>
          </cell>
          <cell r="BD42">
            <v>0</v>
          </cell>
          <cell r="BE42">
            <v>0</v>
          </cell>
          <cell r="BF42">
            <v>0</v>
          </cell>
          <cell r="BG42" t="str">
            <v/>
          </cell>
          <cell r="BH42" t="str">
            <v/>
          </cell>
          <cell r="BI42" t="str">
            <v/>
          </cell>
          <cell r="BJ42" t="str">
            <v>GON(Rural Housing and Community Infrastructure),HELVETAS(Rural Housing and Community Infrastructure),USAID-SABAL(Rural Housing and Community Infrastructure)</v>
          </cell>
          <cell r="BK42">
            <v>34618</v>
          </cell>
          <cell r="BL42" t="str">
            <v>Y</v>
          </cell>
          <cell r="BM42">
            <v>6500</v>
          </cell>
          <cell r="BN42">
            <v>35331</v>
          </cell>
          <cell r="BO42" t="str">
            <v>Y</v>
          </cell>
          <cell r="BP42" t="str">
            <v/>
          </cell>
          <cell r="BQ42">
            <v>3696</v>
          </cell>
          <cell r="BR42" t="str">
            <v/>
          </cell>
          <cell r="BS42" t="str">
            <v/>
          </cell>
          <cell r="BT42">
            <v>4264</v>
          </cell>
          <cell r="BU42" t="str">
            <v/>
          </cell>
          <cell r="BV42" t="str">
            <v>1400</v>
          </cell>
          <cell r="BW42" t="str">
            <v/>
          </cell>
          <cell r="BX42" t="str">
            <v>Y</v>
          </cell>
          <cell r="BY42">
            <v>950</v>
          </cell>
          <cell r="BZ42">
            <v>118083</v>
          </cell>
          <cell r="CA42" t="str">
            <v>Y</v>
          </cell>
          <cell r="CB42">
            <v>1000</v>
          </cell>
          <cell r="CC42">
            <v>376853</v>
          </cell>
          <cell r="CD42" t="str">
            <v/>
          </cell>
          <cell r="CE42">
            <v>96</v>
          </cell>
          <cell r="CF42">
            <v>4832</v>
          </cell>
          <cell r="CG42" t="str">
            <v/>
          </cell>
          <cell r="CH42" t="str">
            <v>10000</v>
          </cell>
          <cell r="CI42">
            <v>506366</v>
          </cell>
          <cell r="CJ42" t="str">
            <v/>
          </cell>
          <cell r="CK42">
            <v>25</v>
          </cell>
          <cell r="CL42" t="str">
            <v>Skilled</v>
          </cell>
          <cell r="CM42">
            <v>1200</v>
          </cell>
          <cell r="CN42" t="str">
            <v>Labor</v>
          </cell>
          <cell r="CO42">
            <v>1000</v>
          </cell>
          <cell r="CP42" t="str">
            <v/>
          </cell>
          <cell r="CQ42" t="str">
            <v/>
          </cell>
          <cell r="CR42" t="str">
            <v/>
          </cell>
          <cell r="CS42" t="str">
            <v/>
          </cell>
          <cell r="CT42" t="str">
            <v/>
          </cell>
          <cell r="CU42" t="str">
            <v/>
          </cell>
          <cell r="CV42" t="str">
            <v>Municipal Office</v>
          </cell>
          <cell r="CW42" t="str">
            <v xml:space="preserve">Moti Raj rai </v>
          </cell>
          <cell r="CX42" t="str">
            <v>Chairman</v>
          </cell>
          <cell r="CY42">
            <v>9842980901</v>
          </cell>
          <cell r="CZ42" t="str">
            <v>Municipal Office</v>
          </cell>
          <cell r="DA42" t="str">
            <v>Sabita Rai</v>
          </cell>
          <cell r="DB42" t="str">
            <v>Deputy Chairman</v>
          </cell>
          <cell r="DC42">
            <v>9852840781</v>
          </cell>
          <cell r="DD42" t="str">
            <v>Municipal Office</v>
          </cell>
          <cell r="DE42" t="str">
            <v>Vagwot Parasd Regmi</v>
          </cell>
          <cell r="DF42" t="str">
            <v>Chief Adminstration Officer</v>
          </cell>
          <cell r="DG42">
            <v>9852800002</v>
          </cell>
          <cell r="DH42" t="str">
            <v>NRA/GMALI</v>
          </cell>
          <cell r="DI42" t="str">
            <v xml:space="preserve">Youbaraj Kharel </v>
          </cell>
          <cell r="DJ42" t="str">
            <v>NRA Chief-District</v>
          </cell>
          <cell r="DK42">
            <v>9852841350</v>
          </cell>
          <cell r="DL42" t="str">
            <v>DLPIU-Building</v>
          </cell>
          <cell r="DM42" t="str">
            <v xml:space="preserve">Pravakar Lal Karn </v>
          </cell>
          <cell r="DN42" t="str">
            <v>DUDBC.DLPIU Chief</v>
          </cell>
          <cell r="DO42">
            <v>9841507715</v>
          </cell>
          <cell r="DP42" t="str">
            <v>Municipal Office</v>
          </cell>
          <cell r="DQ42" t="str">
            <v>Ranjan Chaudary</v>
          </cell>
          <cell r="DR42" t="str">
            <v>Focal Person</v>
          </cell>
          <cell r="DS42">
            <v>9843293269</v>
          </cell>
          <cell r="DT42" t="str">
            <v/>
          </cell>
          <cell r="DU42" t="str">
            <v/>
          </cell>
          <cell r="DV42" t="str">
            <v/>
          </cell>
          <cell r="DW42" t="str">
            <v/>
          </cell>
          <cell r="DX42" t="str">
            <v/>
          </cell>
          <cell r="DY42" t="str">
            <v/>
          </cell>
          <cell r="DZ42" t="str">
            <v/>
          </cell>
          <cell r="EA42" t="str">
            <v/>
          </cell>
          <cell r="EB42" t="str">
            <v/>
          </cell>
          <cell r="EC42" t="str">
            <v/>
          </cell>
          <cell r="ED42" t="str">
            <v/>
          </cell>
          <cell r="EE42" t="str">
            <v/>
          </cell>
          <cell r="EF42" t="str">
            <v/>
          </cell>
          <cell r="EG42" t="str">
            <v/>
          </cell>
          <cell r="EH42" t="str">
            <v/>
          </cell>
          <cell r="EI42" t="str">
            <v/>
          </cell>
          <cell r="EJ42">
            <v>126</v>
          </cell>
          <cell r="EK42">
            <v>174</v>
          </cell>
          <cell r="EL42">
            <v>-48</v>
          </cell>
          <cell r="EM42">
            <v>198</v>
          </cell>
          <cell r="EN42">
            <v>3</v>
          </cell>
          <cell r="EO42">
            <v>195</v>
          </cell>
          <cell r="EP42" t="str">
            <v/>
          </cell>
          <cell r="EQ42" t="str">
            <v>Housing Recovery and Reconstruction Platform</v>
          </cell>
          <cell r="ER42" t="str">
            <v>Prakash Basnet</v>
          </cell>
          <cell r="ES42" t="str">
            <v>District Coordinator</v>
          </cell>
          <cell r="ET42">
            <v>9851154315</v>
          </cell>
          <cell r="EU42" t="str">
            <v>Housing Recovery and Reconstruction Platform</v>
          </cell>
          <cell r="EV42" t="str">
            <v>Uttam Parajuli</v>
          </cell>
          <cell r="EW42" t="str">
            <v>DIstrict Information Management Officer</v>
          </cell>
          <cell r="EX42">
            <v>9849101335</v>
          </cell>
          <cell r="EY42" t="str">
            <v>Housing Recovery and Reconstruction Platform</v>
          </cell>
          <cell r="EZ42" t="str">
            <v xml:space="preserve">Sagar Chandra Adhikari </v>
          </cell>
          <cell r="FA42" t="str">
            <v>District Technical Officer</v>
          </cell>
          <cell r="FB42">
            <v>9860022103</v>
          </cell>
        </row>
        <row r="43">
          <cell r="A43">
            <v>12006</v>
          </cell>
          <cell r="B43" t="str">
            <v>Okhaldhunga</v>
          </cell>
          <cell r="C43" t="str">
            <v>Molung Gaunpalika</v>
          </cell>
          <cell r="D43">
            <v>1626</v>
          </cell>
          <cell r="E43">
            <v>3081</v>
          </cell>
          <cell r="F43">
            <v>4707</v>
          </cell>
          <cell r="G43" t="str">
            <v>Stone and cement mortar masonry</v>
          </cell>
          <cell r="H43">
            <v>0.11</v>
          </cell>
          <cell r="I43">
            <v>0.38</v>
          </cell>
          <cell r="J43" t="str">
            <v>Stone and Mud Mortar Masonary</v>
          </cell>
          <cell r="K43">
            <v>97.14</v>
          </cell>
          <cell r="L43">
            <v>92.87</v>
          </cell>
          <cell r="M43" t="str">
            <v>Brick and Cement Mortar Masonary</v>
          </cell>
          <cell r="N43">
            <v>0.06</v>
          </cell>
          <cell r="O43">
            <v>0.34</v>
          </cell>
          <cell r="P43" t="str">
            <v>Brick and mud mortar Masonry</v>
          </cell>
          <cell r="Q43">
            <v>0</v>
          </cell>
          <cell r="R43">
            <v>0.02</v>
          </cell>
          <cell r="S43" t="str">
            <v>Reinforced cement concrete (RCC) frame</v>
          </cell>
          <cell r="T43">
            <v>0.15</v>
          </cell>
          <cell r="U43">
            <v>0.13</v>
          </cell>
          <cell r="V43" t="str">
            <v>Hybrid structure</v>
          </cell>
          <cell r="W43">
            <v>0</v>
          </cell>
          <cell r="X43">
            <v>0</v>
          </cell>
          <cell r="Y43" t="str">
            <v>Timber frame structure</v>
          </cell>
          <cell r="Z43">
            <v>1.19</v>
          </cell>
          <cell r="AA43">
            <v>1.06</v>
          </cell>
          <cell r="AB43" t="str">
            <v>Hollow concrete block Masonry</v>
          </cell>
          <cell r="AC43">
            <v>0</v>
          </cell>
          <cell r="AD43">
            <v>0</v>
          </cell>
          <cell r="AE43" t="str">
            <v>Dry stone Masonry</v>
          </cell>
          <cell r="AF43">
            <v>0.09</v>
          </cell>
          <cell r="AG43">
            <v>0.12</v>
          </cell>
          <cell r="AH43" t="str">
            <v>Adobe structures</v>
          </cell>
          <cell r="AI43">
            <v>0.57999999999999996</v>
          </cell>
          <cell r="AJ43">
            <v>4.33</v>
          </cell>
          <cell r="AK43" t="str">
            <v>Bamboo</v>
          </cell>
          <cell r="AL43">
            <v>0.68</v>
          </cell>
          <cell r="AM43">
            <v>0.73</v>
          </cell>
          <cell r="AN43" t="str">
            <v>Compressed stabilized earth block (SCEB) Masonry</v>
          </cell>
          <cell r="AO43">
            <v>0</v>
          </cell>
          <cell r="AP43">
            <v>0</v>
          </cell>
          <cell r="AQ43" t="str">
            <v>Light steel frame structures</v>
          </cell>
          <cell r="AR43">
            <v>0</v>
          </cell>
          <cell r="AS43">
            <v>0</v>
          </cell>
          <cell r="AT43">
            <v>2976</v>
          </cell>
          <cell r="AU43">
            <v>2807</v>
          </cell>
          <cell r="AV43">
            <v>2786</v>
          </cell>
          <cell r="AW43">
            <v>2510</v>
          </cell>
          <cell r="AX43">
            <v>2164</v>
          </cell>
          <cell r="AY43">
            <v>2510</v>
          </cell>
          <cell r="AZ43">
            <v>2164</v>
          </cell>
          <cell r="BA43">
            <v>365</v>
          </cell>
          <cell r="BB43">
            <v>261</v>
          </cell>
          <cell r="BC43">
            <v>184</v>
          </cell>
          <cell r="BD43">
            <v>0</v>
          </cell>
          <cell r="BE43">
            <v>0</v>
          </cell>
          <cell r="BF43">
            <v>0</v>
          </cell>
          <cell r="BG43" t="str">
            <v/>
          </cell>
          <cell r="BH43" t="str">
            <v/>
          </cell>
          <cell r="BI43" t="str">
            <v>NRCS(Agriculture, Livestock Development and Irrigation,Education,Employment and Livelihood,Health,Rural Housing and Community Infrastructure,Water, Sanitation and Hygiene)</v>
          </cell>
          <cell r="BJ43" t="str">
            <v>ACTED(Rural Housing and Community Infrastructure),GON(Rural Housing and Community Infrastructure),HELVETAS(Rural Housing and Community Infrastructure)</v>
          </cell>
          <cell r="BK43">
            <v>49858</v>
          </cell>
          <cell r="BL43" t="str">
            <v>Y</v>
          </cell>
          <cell r="BM43">
            <v>7000</v>
          </cell>
          <cell r="BN43">
            <v>47551</v>
          </cell>
          <cell r="BO43" t="str">
            <v>Y</v>
          </cell>
          <cell r="BP43" t="str">
            <v/>
          </cell>
          <cell r="BQ43">
            <v>5289</v>
          </cell>
          <cell r="BR43" t="str">
            <v/>
          </cell>
          <cell r="BS43" t="str">
            <v/>
          </cell>
          <cell r="BT43">
            <v>5976</v>
          </cell>
          <cell r="BU43" t="str">
            <v/>
          </cell>
          <cell r="BV43" t="str">
            <v>1450</v>
          </cell>
          <cell r="BW43" t="str">
            <v/>
          </cell>
          <cell r="BX43" t="str">
            <v>Y</v>
          </cell>
          <cell r="BY43">
            <v>1050</v>
          </cell>
          <cell r="BZ43">
            <v>157253</v>
          </cell>
          <cell r="CA43" t="str">
            <v>Y</v>
          </cell>
          <cell r="CB43">
            <v>1150</v>
          </cell>
          <cell r="CC43">
            <v>544691</v>
          </cell>
          <cell r="CD43" t="str">
            <v/>
          </cell>
          <cell r="CE43">
            <v>100</v>
          </cell>
          <cell r="CF43">
            <v>6416</v>
          </cell>
          <cell r="CG43" t="str">
            <v/>
          </cell>
          <cell r="CH43" t="str">
            <v>10500</v>
          </cell>
          <cell r="CI43">
            <v>620256</v>
          </cell>
          <cell r="CJ43" t="str">
            <v/>
          </cell>
          <cell r="CK43">
            <v>26</v>
          </cell>
          <cell r="CL43" t="str">
            <v>Skilled</v>
          </cell>
          <cell r="CM43">
            <v>1200</v>
          </cell>
          <cell r="CN43" t="str">
            <v>Labor</v>
          </cell>
          <cell r="CO43">
            <v>1000</v>
          </cell>
          <cell r="CP43" t="str">
            <v/>
          </cell>
          <cell r="CQ43" t="str">
            <v/>
          </cell>
          <cell r="CR43" t="str">
            <v/>
          </cell>
          <cell r="CS43" t="str">
            <v/>
          </cell>
          <cell r="CT43" t="str">
            <v/>
          </cell>
          <cell r="CU43" t="str">
            <v/>
          </cell>
          <cell r="CV43" t="str">
            <v>Municipal Office</v>
          </cell>
          <cell r="CW43" t="str">
            <v>Mani Raj Rai</v>
          </cell>
          <cell r="CX43" t="str">
            <v>Chairman</v>
          </cell>
          <cell r="CY43">
            <v>9841535837</v>
          </cell>
          <cell r="CZ43" t="str">
            <v>Municipal Office</v>
          </cell>
          <cell r="DA43" t="str">
            <v>Hem Kumari Tamang</v>
          </cell>
          <cell r="DB43" t="str">
            <v>Deputy Chairman</v>
          </cell>
          <cell r="DC43">
            <v>9842967190</v>
          </cell>
          <cell r="DD43" t="str">
            <v>Municipal Office</v>
          </cell>
          <cell r="DE43" t="str">
            <v>Samser Bdr Rai</v>
          </cell>
          <cell r="DF43" t="str">
            <v>Chief Adminstration Officer</v>
          </cell>
          <cell r="DG43">
            <v>9852840501</v>
          </cell>
          <cell r="DH43" t="str">
            <v>NRA/GMALI</v>
          </cell>
          <cell r="DI43" t="str">
            <v xml:space="preserve">Youbaraj Kharel </v>
          </cell>
          <cell r="DJ43" t="str">
            <v>NRA Chief-District</v>
          </cell>
          <cell r="DK43">
            <v>9852841350</v>
          </cell>
          <cell r="DL43" t="str">
            <v>DLPIU-Building</v>
          </cell>
          <cell r="DM43" t="str">
            <v xml:space="preserve">Pravakar Lal Karn </v>
          </cell>
          <cell r="DN43" t="str">
            <v>DUDBC.DLPIU Chief</v>
          </cell>
          <cell r="DO43">
            <v>9841507715</v>
          </cell>
          <cell r="DP43" t="str">
            <v>Municipal Office</v>
          </cell>
          <cell r="DQ43" t="str">
            <v>Indra Jit Yadav</v>
          </cell>
          <cell r="DR43" t="str">
            <v>Focal Person</v>
          </cell>
          <cell r="DS43">
            <v>9826722669</v>
          </cell>
          <cell r="DT43" t="str">
            <v/>
          </cell>
          <cell r="DU43" t="str">
            <v/>
          </cell>
          <cell r="DV43" t="str">
            <v/>
          </cell>
          <cell r="DW43" t="str">
            <v/>
          </cell>
          <cell r="DX43" t="str">
            <v/>
          </cell>
          <cell r="DY43" t="str">
            <v/>
          </cell>
          <cell r="DZ43" t="str">
            <v/>
          </cell>
          <cell r="EA43" t="str">
            <v/>
          </cell>
          <cell r="EB43" t="str">
            <v/>
          </cell>
          <cell r="EC43" t="str">
            <v/>
          </cell>
          <cell r="ED43" t="str">
            <v/>
          </cell>
          <cell r="EE43" t="str">
            <v/>
          </cell>
          <cell r="EF43" t="str">
            <v/>
          </cell>
          <cell r="EG43" t="str">
            <v/>
          </cell>
          <cell r="EH43" t="str">
            <v/>
          </cell>
          <cell r="EI43" t="str">
            <v/>
          </cell>
          <cell r="EJ43">
            <v>213</v>
          </cell>
          <cell r="EK43">
            <v>307</v>
          </cell>
          <cell r="EL43">
            <v>-94</v>
          </cell>
          <cell r="EM43">
            <v>347</v>
          </cell>
          <cell r="EN43">
            <v>156</v>
          </cell>
          <cell r="EO43">
            <v>191</v>
          </cell>
          <cell r="EP43" t="str">
            <v/>
          </cell>
          <cell r="EQ43" t="str">
            <v>Housing Recovery and Reconstruction Platform</v>
          </cell>
          <cell r="ER43" t="str">
            <v>Prakash Basnet</v>
          </cell>
          <cell r="ES43" t="str">
            <v>District Coordinator</v>
          </cell>
          <cell r="ET43">
            <v>9851154315</v>
          </cell>
          <cell r="EU43" t="str">
            <v>Housing Recovery and Reconstruction Platform</v>
          </cell>
          <cell r="EV43" t="str">
            <v>Uttam Parajuli</v>
          </cell>
          <cell r="EW43" t="str">
            <v>DIstrict Information Management Officer</v>
          </cell>
          <cell r="EX43">
            <v>9849101335</v>
          </cell>
          <cell r="EY43" t="str">
            <v>Housing Recovery and Reconstruction Platform</v>
          </cell>
          <cell r="EZ43" t="str">
            <v xml:space="preserve">Sagar Chandra Adhikari </v>
          </cell>
          <cell r="FA43" t="str">
            <v>District Technical Officer</v>
          </cell>
          <cell r="FB43">
            <v>9860022103</v>
          </cell>
        </row>
        <row r="44">
          <cell r="A44">
            <v>12007</v>
          </cell>
          <cell r="B44" t="str">
            <v>Okhaldhunga</v>
          </cell>
          <cell r="C44" t="str">
            <v>Siddhicharan Nagarpalika</v>
          </cell>
          <cell r="D44">
            <v>2072</v>
          </cell>
          <cell r="E44">
            <v>1669</v>
          </cell>
          <cell r="F44">
            <v>3741</v>
          </cell>
          <cell r="G44" t="str">
            <v>Stone and cement mortar masonry</v>
          </cell>
          <cell r="H44">
            <v>1.29</v>
          </cell>
          <cell r="I44">
            <v>0.38</v>
          </cell>
          <cell r="J44" t="str">
            <v>Stone and Mud Mortar Masonary</v>
          </cell>
          <cell r="K44">
            <v>73.98</v>
          </cell>
          <cell r="L44">
            <v>92.87</v>
          </cell>
          <cell r="M44" t="str">
            <v>Brick and Cement Mortar Masonary</v>
          </cell>
          <cell r="N44">
            <v>2.96</v>
          </cell>
          <cell r="O44">
            <v>0.34</v>
          </cell>
          <cell r="P44" t="str">
            <v>Brick and mud mortar Masonry</v>
          </cell>
          <cell r="Q44">
            <v>0.12</v>
          </cell>
          <cell r="R44">
            <v>0.02</v>
          </cell>
          <cell r="S44" t="str">
            <v>Reinforced cement concrete (RCC) frame</v>
          </cell>
          <cell r="T44">
            <v>0.55000000000000004</v>
          </cell>
          <cell r="U44">
            <v>0.13</v>
          </cell>
          <cell r="V44" t="str">
            <v>Hybrid structure</v>
          </cell>
          <cell r="W44">
            <v>0</v>
          </cell>
          <cell r="X44">
            <v>0</v>
          </cell>
          <cell r="Y44" t="str">
            <v>Timber frame structure</v>
          </cell>
          <cell r="Z44">
            <v>1.22</v>
          </cell>
          <cell r="AA44">
            <v>1.06</v>
          </cell>
          <cell r="AB44" t="str">
            <v>Hollow concrete block Masonry</v>
          </cell>
          <cell r="AC44">
            <v>0</v>
          </cell>
          <cell r="AD44">
            <v>0</v>
          </cell>
          <cell r="AE44" t="str">
            <v>Dry stone Masonry</v>
          </cell>
          <cell r="AF44">
            <v>0.17</v>
          </cell>
          <cell r="AG44">
            <v>0.12</v>
          </cell>
          <cell r="AH44" t="str">
            <v>Adobe structures</v>
          </cell>
          <cell r="AI44">
            <v>18.82</v>
          </cell>
          <cell r="AJ44">
            <v>4.33</v>
          </cell>
          <cell r="AK44" t="str">
            <v>Bamboo</v>
          </cell>
          <cell r="AL44">
            <v>0.87</v>
          </cell>
          <cell r="AM44">
            <v>0.73</v>
          </cell>
          <cell r="AN44" t="str">
            <v>Compressed stabilized earth block (SCEB) Masonry</v>
          </cell>
          <cell r="AO44">
            <v>0</v>
          </cell>
          <cell r="AP44">
            <v>0</v>
          </cell>
          <cell r="AQ44" t="str">
            <v>Light steel frame structures</v>
          </cell>
          <cell r="AR44">
            <v>0</v>
          </cell>
          <cell r="AS44">
            <v>0</v>
          </cell>
          <cell r="AT44">
            <v>2660</v>
          </cell>
          <cell r="AU44">
            <v>2431</v>
          </cell>
          <cell r="AV44">
            <v>2425</v>
          </cell>
          <cell r="AW44">
            <v>1917</v>
          </cell>
          <cell r="AX44">
            <v>1463</v>
          </cell>
          <cell r="AY44">
            <v>1917</v>
          </cell>
          <cell r="AZ44">
            <v>1463</v>
          </cell>
          <cell r="BA44">
            <v>573</v>
          </cell>
          <cell r="BB44">
            <v>351</v>
          </cell>
          <cell r="BC44">
            <v>347</v>
          </cell>
          <cell r="BD44">
            <v>0</v>
          </cell>
          <cell r="BE44">
            <v>0</v>
          </cell>
          <cell r="BF44">
            <v>0</v>
          </cell>
          <cell r="BG44" t="str">
            <v/>
          </cell>
          <cell r="BH44" t="str">
            <v/>
          </cell>
          <cell r="BI44" t="str">
            <v>NRCS(Agriculture, Livestock Development and Irrigation,Employment and Livelihood,Health,Rural Housing and Community Infrastructure,Water, Sanitation and Hygiene)</v>
          </cell>
          <cell r="BJ44" t="str">
            <v>GON(Rural Housing and Community Infrastructure),HELVETAS(Rural Housing and Community Infrastructure),NineH(Education)</v>
          </cell>
          <cell r="BK44">
            <v>48061</v>
          </cell>
          <cell r="BL44" t="str">
            <v>Y</v>
          </cell>
          <cell r="BM44">
            <v>4448</v>
          </cell>
          <cell r="BN44">
            <v>49221</v>
          </cell>
          <cell r="BO44" t="str">
            <v>Y</v>
          </cell>
          <cell r="BP44">
            <v>2720</v>
          </cell>
          <cell r="BQ44">
            <v>5133</v>
          </cell>
          <cell r="BR44" t="str">
            <v>Y</v>
          </cell>
          <cell r="BS44">
            <v>1630</v>
          </cell>
          <cell r="BT44">
            <v>5926</v>
          </cell>
          <cell r="BU44" t="str">
            <v>Y</v>
          </cell>
          <cell r="BV44" t="str">
            <v>4000</v>
          </cell>
          <cell r="BW44" t="str">
            <v/>
          </cell>
          <cell r="BX44" t="str">
            <v>Y</v>
          </cell>
          <cell r="BY44">
            <v>1250</v>
          </cell>
          <cell r="BZ44">
            <v>164235</v>
          </cell>
          <cell r="CA44" t="str">
            <v>Y</v>
          </cell>
          <cell r="CB44">
            <v>1200</v>
          </cell>
          <cell r="CC44">
            <v>522626</v>
          </cell>
          <cell r="CD44" t="str">
            <v>Y</v>
          </cell>
          <cell r="CE44">
            <v>101</v>
          </cell>
          <cell r="CF44">
            <v>6719</v>
          </cell>
          <cell r="CG44" t="str">
            <v>Y</v>
          </cell>
          <cell r="CH44" t="str">
            <v>13335</v>
          </cell>
          <cell r="CI44">
            <v>654254</v>
          </cell>
          <cell r="CJ44" t="str">
            <v>Y</v>
          </cell>
          <cell r="CK44">
            <v>23</v>
          </cell>
          <cell r="CL44" t="str">
            <v>Skilled</v>
          </cell>
          <cell r="CM44">
            <v>1200</v>
          </cell>
          <cell r="CN44" t="str">
            <v>Labor</v>
          </cell>
          <cell r="CO44">
            <v>1000</v>
          </cell>
          <cell r="CP44" t="str">
            <v/>
          </cell>
          <cell r="CQ44" t="str">
            <v/>
          </cell>
          <cell r="CR44" t="str">
            <v/>
          </cell>
          <cell r="CS44" t="str">
            <v/>
          </cell>
          <cell r="CT44" t="str">
            <v/>
          </cell>
          <cell r="CU44" t="str">
            <v/>
          </cell>
          <cell r="CV44" t="str">
            <v>Municipal Office</v>
          </cell>
          <cell r="CW44" t="str">
            <v xml:space="preserve">Mohan Kumar Shrestha </v>
          </cell>
          <cell r="CX44" t="str">
            <v>Mayor</v>
          </cell>
          <cell r="CY44">
            <v>9841072101</v>
          </cell>
          <cell r="CZ44" t="str">
            <v>Municipal Office</v>
          </cell>
          <cell r="DA44" t="str">
            <v>Eichha Kumari Gurung</v>
          </cell>
          <cell r="DB44" t="str">
            <v>Deputy Mayor</v>
          </cell>
          <cell r="DC44">
            <v>9842858199</v>
          </cell>
          <cell r="DD44" t="str">
            <v>Municipal Office</v>
          </cell>
          <cell r="DE44" t="str">
            <v>Bhoj Raj Khatiwoda</v>
          </cell>
          <cell r="DF44" t="str">
            <v>Chief Adminstration Officer</v>
          </cell>
          <cell r="DG44">
            <v>9852823111</v>
          </cell>
          <cell r="DH44" t="str">
            <v>NRA/GMALI</v>
          </cell>
          <cell r="DI44" t="str">
            <v xml:space="preserve">Youbaraj Kharel </v>
          </cell>
          <cell r="DJ44" t="str">
            <v>NRA Chief-District</v>
          </cell>
          <cell r="DK44">
            <v>9852841350</v>
          </cell>
          <cell r="DL44" t="str">
            <v>DLPIU-Building</v>
          </cell>
          <cell r="DM44" t="str">
            <v xml:space="preserve">Pravakar Lal Karn </v>
          </cell>
          <cell r="DN44" t="str">
            <v>DUDBC.DLPIU Chief</v>
          </cell>
          <cell r="DO44">
            <v>9841507715</v>
          </cell>
          <cell r="DP44" t="str">
            <v>Municipal Office</v>
          </cell>
          <cell r="DQ44" t="str">
            <v>Sinjiv Yadav</v>
          </cell>
          <cell r="DR44" t="str">
            <v>Focal Person</v>
          </cell>
          <cell r="DS44">
            <v>9866320574</v>
          </cell>
          <cell r="DT44" t="str">
            <v/>
          </cell>
          <cell r="DU44" t="str">
            <v/>
          </cell>
          <cell r="DV44" t="str">
            <v/>
          </cell>
          <cell r="DW44" t="str">
            <v/>
          </cell>
          <cell r="DX44" t="str">
            <v/>
          </cell>
          <cell r="DY44" t="str">
            <v/>
          </cell>
          <cell r="DZ44">
            <v>9</v>
          </cell>
          <cell r="EA44" t="str">
            <v>12</v>
          </cell>
          <cell r="EB44">
            <v>6</v>
          </cell>
          <cell r="EC44" t="str">
            <v>12</v>
          </cell>
          <cell r="ED44">
            <v>4</v>
          </cell>
          <cell r="EE44" t="str">
            <v>7</v>
          </cell>
          <cell r="EF44" t="str">
            <v/>
          </cell>
          <cell r="EG44" t="str">
            <v/>
          </cell>
          <cell r="EH44" t="str">
            <v/>
          </cell>
          <cell r="EI44" t="str">
            <v/>
          </cell>
          <cell r="EJ44">
            <v>191</v>
          </cell>
          <cell r="EK44">
            <v>136</v>
          </cell>
          <cell r="EL44">
            <v>55</v>
          </cell>
          <cell r="EM44">
            <v>313</v>
          </cell>
          <cell r="EN44">
            <v>152</v>
          </cell>
          <cell r="EO44">
            <v>161</v>
          </cell>
          <cell r="EP44" t="str">
            <v/>
          </cell>
          <cell r="EQ44" t="str">
            <v>Housing Recovery and Reconstruction Platform</v>
          </cell>
          <cell r="ER44" t="str">
            <v>Prakash Basnet</v>
          </cell>
          <cell r="ES44" t="str">
            <v>District Coordinator</v>
          </cell>
          <cell r="ET44">
            <v>9851154315</v>
          </cell>
          <cell r="EU44" t="str">
            <v>Housing Recovery and Reconstruction Platform</v>
          </cell>
          <cell r="EV44" t="str">
            <v>Uttam Parajuli</v>
          </cell>
          <cell r="EW44" t="str">
            <v>DIstrict Information Management Officer</v>
          </cell>
          <cell r="EX44">
            <v>9849101335</v>
          </cell>
          <cell r="EY44" t="str">
            <v>Housing Recovery and Reconstruction Platform</v>
          </cell>
          <cell r="EZ44" t="str">
            <v xml:space="preserve">Sagar Chandra Adhikari </v>
          </cell>
          <cell r="FA44" t="str">
            <v>District Technical Officer</v>
          </cell>
          <cell r="FB44">
            <v>9860022103</v>
          </cell>
        </row>
        <row r="45">
          <cell r="A45">
            <v>12008</v>
          </cell>
          <cell r="B45" t="str">
            <v>Okhaldhunga</v>
          </cell>
          <cell r="C45" t="str">
            <v>Sunkoshi Gaunpalika</v>
          </cell>
          <cell r="D45">
            <v>1824</v>
          </cell>
          <cell r="E45">
            <v>3349</v>
          </cell>
          <cell r="F45">
            <v>5173</v>
          </cell>
          <cell r="G45" t="str">
            <v>Stone and cement mortar masonry</v>
          </cell>
          <cell r="H45">
            <v>0.35</v>
          </cell>
          <cell r="I45">
            <v>0.38</v>
          </cell>
          <cell r="J45" t="str">
            <v>Stone and Mud Mortar Masonary</v>
          </cell>
          <cell r="K45">
            <v>88.26</v>
          </cell>
          <cell r="L45">
            <v>92.87</v>
          </cell>
          <cell r="M45" t="str">
            <v>Brick and Cement Mortar Masonary</v>
          </cell>
          <cell r="N45">
            <v>0</v>
          </cell>
          <cell r="O45">
            <v>0.34</v>
          </cell>
          <cell r="P45" t="str">
            <v>Brick and mud mortar Masonry</v>
          </cell>
          <cell r="Q45">
            <v>0.04</v>
          </cell>
          <cell r="R45">
            <v>0.02</v>
          </cell>
          <cell r="S45" t="str">
            <v>Reinforced cement concrete (RCC) frame</v>
          </cell>
          <cell r="T45">
            <v>0.04</v>
          </cell>
          <cell r="U45">
            <v>0.13</v>
          </cell>
          <cell r="V45" t="str">
            <v>Hybrid structure</v>
          </cell>
          <cell r="W45">
            <v>0</v>
          </cell>
          <cell r="X45">
            <v>0</v>
          </cell>
          <cell r="Y45" t="str">
            <v>Timber frame structure</v>
          </cell>
          <cell r="Z45">
            <v>0.15</v>
          </cell>
          <cell r="AA45">
            <v>1.06</v>
          </cell>
          <cell r="AB45" t="str">
            <v>Hollow concrete block Masonry</v>
          </cell>
          <cell r="AC45">
            <v>0</v>
          </cell>
          <cell r="AD45">
            <v>0</v>
          </cell>
          <cell r="AE45" t="str">
            <v>Dry stone Masonry</v>
          </cell>
          <cell r="AF45">
            <v>0.1</v>
          </cell>
          <cell r="AG45">
            <v>0.12</v>
          </cell>
          <cell r="AH45" t="str">
            <v>Adobe structures</v>
          </cell>
          <cell r="AI45">
            <v>10.96</v>
          </cell>
          <cell r="AJ45">
            <v>4.33</v>
          </cell>
          <cell r="AK45" t="str">
            <v>Bamboo</v>
          </cell>
          <cell r="AL45">
            <v>0.1</v>
          </cell>
          <cell r="AM45">
            <v>0.73</v>
          </cell>
          <cell r="AN45" t="str">
            <v>Compressed stabilized earth block (SCEB) Masonry</v>
          </cell>
          <cell r="AO45">
            <v>0</v>
          </cell>
          <cell r="AP45">
            <v>0</v>
          </cell>
          <cell r="AQ45" t="str">
            <v>Light steel frame structures</v>
          </cell>
          <cell r="AR45">
            <v>0</v>
          </cell>
          <cell r="AS45">
            <v>0</v>
          </cell>
          <cell r="AT45">
            <v>3268</v>
          </cell>
          <cell r="AU45">
            <v>3130</v>
          </cell>
          <cell r="AV45">
            <v>3106</v>
          </cell>
          <cell r="AW45">
            <v>2899</v>
          </cell>
          <cell r="AX45">
            <v>2428</v>
          </cell>
          <cell r="AY45">
            <v>2899</v>
          </cell>
          <cell r="AZ45">
            <v>2438</v>
          </cell>
          <cell r="BA45">
            <v>330</v>
          </cell>
          <cell r="BB45">
            <v>70</v>
          </cell>
          <cell r="BC45">
            <v>80</v>
          </cell>
          <cell r="BD45">
            <v>0</v>
          </cell>
          <cell r="BE45">
            <v>0</v>
          </cell>
          <cell r="BF45">
            <v>0</v>
          </cell>
          <cell r="BG45" t="str">
            <v/>
          </cell>
          <cell r="BH45" t="str">
            <v/>
          </cell>
          <cell r="BI45" t="str">
            <v/>
          </cell>
          <cell r="BJ45" t="str">
            <v>ACTED(Rural Housing and Community Infrastructure),GON(Rural Housing and Community Infrastructure),HELVETAS(Rural Housing and Community Infrastructure)</v>
          </cell>
          <cell r="BK45">
            <v>61452</v>
          </cell>
          <cell r="BL45" t="str">
            <v>Y</v>
          </cell>
          <cell r="BM45">
            <v>7000</v>
          </cell>
          <cell r="BN45">
            <v>64480</v>
          </cell>
          <cell r="BO45" t="str">
            <v>Y</v>
          </cell>
          <cell r="BP45" t="str">
            <v/>
          </cell>
          <cell r="BQ45">
            <v>6574</v>
          </cell>
          <cell r="BR45" t="str">
            <v/>
          </cell>
          <cell r="BS45">
            <v>16000</v>
          </cell>
          <cell r="BT45">
            <v>7631</v>
          </cell>
          <cell r="BU45" t="str">
            <v/>
          </cell>
          <cell r="BV45" t="str">
            <v>1450</v>
          </cell>
          <cell r="BW45" t="str">
            <v/>
          </cell>
          <cell r="BX45" t="str">
            <v>Y</v>
          </cell>
          <cell r="BY45">
            <v>1100</v>
          </cell>
          <cell r="BZ45">
            <v>212393</v>
          </cell>
          <cell r="CA45" t="str">
            <v>Y</v>
          </cell>
          <cell r="CB45">
            <v>1200</v>
          </cell>
          <cell r="CC45">
            <v>662606</v>
          </cell>
          <cell r="CD45" t="str">
            <v/>
          </cell>
          <cell r="CE45">
            <v>100</v>
          </cell>
          <cell r="CF45">
            <v>8676</v>
          </cell>
          <cell r="CG45" t="str">
            <v/>
          </cell>
          <cell r="CH45" t="str">
            <v>10500</v>
          </cell>
          <cell r="CI45">
            <v>344741</v>
          </cell>
          <cell r="CJ45" t="str">
            <v/>
          </cell>
          <cell r="CK45">
            <v>26</v>
          </cell>
          <cell r="CL45" t="str">
            <v>Skilled</v>
          </cell>
          <cell r="CM45">
            <v>1200</v>
          </cell>
          <cell r="CN45" t="str">
            <v>Labor</v>
          </cell>
          <cell r="CO45">
            <v>1000</v>
          </cell>
          <cell r="CP45" t="str">
            <v/>
          </cell>
          <cell r="CQ45" t="str">
            <v/>
          </cell>
          <cell r="CR45" t="str">
            <v/>
          </cell>
          <cell r="CS45" t="str">
            <v/>
          </cell>
          <cell r="CT45" t="str">
            <v/>
          </cell>
          <cell r="CU45" t="str">
            <v/>
          </cell>
          <cell r="CV45" t="str">
            <v>Municipal Office</v>
          </cell>
          <cell r="CW45" t="str">
            <v>Rudra parsad Adhikari</v>
          </cell>
          <cell r="CX45" t="str">
            <v>Chairman</v>
          </cell>
          <cell r="CY45">
            <v>9852840242</v>
          </cell>
          <cell r="CZ45" t="str">
            <v>Municipal Office</v>
          </cell>
          <cell r="DA45" t="str">
            <v>Durga Tamang</v>
          </cell>
          <cell r="DB45" t="str">
            <v>Deputy Chairman</v>
          </cell>
          <cell r="DC45">
            <v>9743041327</v>
          </cell>
          <cell r="DD45" t="str">
            <v>Municipal Office</v>
          </cell>
          <cell r="DE45" t="str">
            <v xml:space="preserve">Ram Kumar Karki </v>
          </cell>
          <cell r="DF45" t="str">
            <v>Chief Adminstration Officer</v>
          </cell>
          <cell r="DG45">
            <v>9753000077</v>
          </cell>
          <cell r="DH45" t="str">
            <v>NRA/GMALI</v>
          </cell>
          <cell r="DI45" t="str">
            <v xml:space="preserve">Youbaraj Kharel </v>
          </cell>
          <cell r="DJ45" t="str">
            <v>NRA Chief-District</v>
          </cell>
          <cell r="DK45">
            <v>9852841350</v>
          </cell>
          <cell r="DL45" t="str">
            <v>DLPIU-Building</v>
          </cell>
          <cell r="DM45" t="str">
            <v xml:space="preserve">Pravakar Lal Karn </v>
          </cell>
          <cell r="DN45" t="str">
            <v>DUDBC.DLPIU Chief</v>
          </cell>
          <cell r="DO45">
            <v>9841507715</v>
          </cell>
          <cell r="DP45" t="str">
            <v>Municipal Office</v>
          </cell>
          <cell r="DQ45" t="str">
            <v>Mukesh Kumar Thakur</v>
          </cell>
          <cell r="DR45" t="str">
            <v>Focal Person</v>
          </cell>
          <cell r="DS45">
            <v>9807842533</v>
          </cell>
          <cell r="DT45" t="str">
            <v/>
          </cell>
          <cell r="DU45" t="str">
            <v/>
          </cell>
          <cell r="DV45" t="str">
            <v/>
          </cell>
          <cell r="DW45" t="str">
            <v/>
          </cell>
          <cell r="DX45" t="str">
            <v/>
          </cell>
          <cell r="DY45" t="str">
            <v/>
          </cell>
          <cell r="DZ45" t="str">
            <v/>
          </cell>
          <cell r="EA45" t="str">
            <v/>
          </cell>
          <cell r="EB45" t="str">
            <v/>
          </cell>
          <cell r="EC45" t="str">
            <v/>
          </cell>
          <cell r="ED45" t="str">
            <v/>
          </cell>
          <cell r="EE45" t="str">
            <v/>
          </cell>
          <cell r="EF45" t="str">
            <v/>
          </cell>
          <cell r="EG45" t="str">
            <v/>
          </cell>
          <cell r="EH45" t="str">
            <v/>
          </cell>
          <cell r="EI45" t="str">
            <v/>
          </cell>
          <cell r="EJ45">
            <v>234</v>
          </cell>
          <cell r="EK45">
            <v>115</v>
          </cell>
          <cell r="EL45">
            <v>119</v>
          </cell>
          <cell r="EM45">
            <v>378</v>
          </cell>
          <cell r="EN45">
            <v>214</v>
          </cell>
          <cell r="EO45">
            <v>164</v>
          </cell>
          <cell r="EP45" t="str">
            <v/>
          </cell>
          <cell r="EQ45" t="str">
            <v>Housing Recovery and Reconstruction Platform</v>
          </cell>
          <cell r="ER45" t="str">
            <v>Prakash Basnet</v>
          </cell>
          <cell r="ES45" t="str">
            <v>District Coordinator</v>
          </cell>
          <cell r="ET45">
            <v>9851154315</v>
          </cell>
          <cell r="EU45" t="str">
            <v>Housing Recovery and Reconstruction Platform</v>
          </cell>
          <cell r="EV45" t="str">
            <v>Uttam Parajuli</v>
          </cell>
          <cell r="EW45" t="str">
            <v>DIstrict Information Management Officer</v>
          </cell>
          <cell r="EX45">
            <v>9849101335</v>
          </cell>
          <cell r="EY45" t="str">
            <v>Housing Recovery and Reconstruction Platform</v>
          </cell>
          <cell r="EZ45" t="str">
            <v xml:space="preserve">Sagar Chandra Adhikari </v>
          </cell>
          <cell r="FA45" t="str">
            <v>District Technical Officer</v>
          </cell>
          <cell r="FB45">
            <v>9860022103</v>
          </cell>
        </row>
        <row r="46">
          <cell r="A46">
            <v>13001</v>
          </cell>
          <cell r="B46" t="str">
            <v>Khotang</v>
          </cell>
          <cell r="C46" t="str">
            <v>Ainselukhark Gaunpalika</v>
          </cell>
          <cell r="D46">
            <v>381</v>
          </cell>
          <cell r="E46">
            <v>850</v>
          </cell>
          <cell r="F46">
            <v>1231</v>
          </cell>
          <cell r="G46" t="str">
            <v>Stone and cement mortar masonry</v>
          </cell>
          <cell r="H46">
            <v>0</v>
          </cell>
          <cell r="I46">
            <v>0.14000000000000001</v>
          </cell>
          <cell r="J46" t="str">
            <v>Stone and Mud Mortar Masonary</v>
          </cell>
          <cell r="K46">
            <v>98.94</v>
          </cell>
          <cell r="L46">
            <v>92.74</v>
          </cell>
          <cell r="M46" t="str">
            <v>Brick and Cement Mortar Masonary</v>
          </cell>
          <cell r="N46">
            <v>0</v>
          </cell>
          <cell r="O46">
            <v>0.02</v>
          </cell>
          <cell r="P46" t="str">
            <v>Brick and mud mortar Masonry</v>
          </cell>
          <cell r="Q46">
            <v>0.08</v>
          </cell>
          <cell r="R46">
            <v>0.05</v>
          </cell>
          <cell r="S46" t="str">
            <v>Reinforced cement concrete (RCC) frame</v>
          </cell>
          <cell r="T46">
            <v>0.16</v>
          </cell>
          <cell r="U46">
            <v>0.02</v>
          </cell>
          <cell r="V46" t="str">
            <v>Hybrid structure</v>
          </cell>
          <cell r="W46">
            <v>0</v>
          </cell>
          <cell r="X46">
            <v>0</v>
          </cell>
          <cell r="Y46" t="str">
            <v>Timber frame structure</v>
          </cell>
          <cell r="Z46">
            <v>0.16</v>
          </cell>
          <cell r="AA46">
            <v>0.28999999999999998</v>
          </cell>
          <cell r="AB46" t="str">
            <v>Hollow concrete block Masonry</v>
          </cell>
          <cell r="AC46">
            <v>0</v>
          </cell>
          <cell r="AD46">
            <v>0</v>
          </cell>
          <cell r="AE46" t="str">
            <v>Dry stone Masonry</v>
          </cell>
          <cell r="AF46">
            <v>0.41</v>
          </cell>
          <cell r="AG46">
            <v>0.25</v>
          </cell>
          <cell r="AH46" t="str">
            <v>Adobe structures</v>
          </cell>
          <cell r="AI46">
            <v>0.16</v>
          </cell>
          <cell r="AJ46">
            <v>6.28</v>
          </cell>
          <cell r="AK46" t="str">
            <v>Bamboo</v>
          </cell>
          <cell r="AL46">
            <v>0.08</v>
          </cell>
          <cell r="AM46">
            <v>0.23</v>
          </cell>
          <cell r="AN46" t="str">
            <v>Compressed stabilized earth block (SCEB) Masonry</v>
          </cell>
          <cell r="AO46">
            <v>0</v>
          </cell>
          <cell r="AP46">
            <v>0</v>
          </cell>
          <cell r="AQ46" t="str">
            <v>Light steel frame structures</v>
          </cell>
          <cell r="AR46">
            <v>0</v>
          </cell>
          <cell r="AS46">
            <v>0</v>
          </cell>
          <cell r="AT46">
            <v>775</v>
          </cell>
          <cell r="AU46">
            <v>55</v>
          </cell>
          <cell r="AV46">
            <v>55</v>
          </cell>
          <cell r="AW46">
            <v>0</v>
          </cell>
          <cell r="AX46">
            <v>0</v>
          </cell>
          <cell r="AY46" t="str">
            <v/>
          </cell>
          <cell r="AZ46" t="str">
            <v/>
          </cell>
          <cell r="BA46">
            <v>66</v>
          </cell>
          <cell r="BB46" t="str">
            <v/>
          </cell>
          <cell r="BC46" t="str">
            <v/>
          </cell>
          <cell r="BD46" t="str">
            <v/>
          </cell>
          <cell r="BE46" t="str">
            <v/>
          </cell>
          <cell r="BF46" t="str">
            <v/>
          </cell>
          <cell r="BG46" t="str">
            <v/>
          </cell>
          <cell r="BH46" t="str">
            <v/>
          </cell>
          <cell r="BI46" t="str">
            <v/>
          </cell>
          <cell r="BJ46" t="str">
            <v/>
          </cell>
          <cell r="BK46">
            <v>4719</v>
          </cell>
          <cell r="BL46" t="str">
            <v/>
          </cell>
          <cell r="BM46" t="str">
            <v/>
          </cell>
          <cell r="BN46">
            <v>5057</v>
          </cell>
          <cell r="BO46" t="str">
            <v/>
          </cell>
          <cell r="BP46" t="str">
            <v/>
          </cell>
          <cell r="BQ46">
            <v>506</v>
          </cell>
          <cell r="BR46" t="str">
            <v/>
          </cell>
          <cell r="BS46" t="str">
            <v/>
          </cell>
          <cell r="BT46">
            <v>590</v>
          </cell>
          <cell r="BU46" t="str">
            <v/>
          </cell>
          <cell r="BV46" t="str">
            <v/>
          </cell>
          <cell r="BW46" t="str">
            <v/>
          </cell>
          <cell r="BX46" t="str">
            <v/>
          </cell>
          <cell r="BY46" t="str">
            <v/>
          </cell>
          <cell r="BZ46">
            <v>16518</v>
          </cell>
          <cell r="CA46" t="str">
            <v/>
          </cell>
          <cell r="CB46" t="str">
            <v/>
          </cell>
          <cell r="CC46">
            <v>50566</v>
          </cell>
          <cell r="CD46" t="str">
            <v/>
          </cell>
          <cell r="CE46" t="str">
            <v/>
          </cell>
          <cell r="CF46">
            <v>674</v>
          </cell>
          <cell r="CG46" t="str">
            <v/>
          </cell>
          <cell r="CH46" t="str">
            <v/>
          </cell>
          <cell r="CI46">
            <v>0</v>
          </cell>
          <cell r="CJ46" t="str">
            <v/>
          </cell>
          <cell r="CK46" t="str">
            <v/>
          </cell>
          <cell r="CL46" t="str">
            <v>Skilled</v>
          </cell>
          <cell r="CM46" t="str">
            <v/>
          </cell>
          <cell r="CN46" t="str">
            <v>Labor</v>
          </cell>
          <cell r="CO46" t="str">
            <v/>
          </cell>
          <cell r="CP46" t="str">
            <v/>
          </cell>
          <cell r="CQ46" t="str">
            <v/>
          </cell>
          <cell r="CR46" t="str">
            <v/>
          </cell>
          <cell r="CS46" t="str">
            <v/>
          </cell>
          <cell r="CT46" t="str">
            <v/>
          </cell>
          <cell r="CU46" t="str">
            <v/>
          </cell>
          <cell r="CV46" t="str">
            <v>Municipal Office</v>
          </cell>
          <cell r="CW46" t="str">
            <v/>
          </cell>
          <cell r="CX46" t="str">
            <v>Chairman</v>
          </cell>
          <cell r="CY46" t="str">
            <v/>
          </cell>
          <cell r="CZ46" t="str">
            <v>Municipal Office</v>
          </cell>
          <cell r="DA46" t="str">
            <v/>
          </cell>
          <cell r="DB46" t="str">
            <v>Deputy Chairman</v>
          </cell>
          <cell r="DC46" t="str">
            <v/>
          </cell>
          <cell r="DD46" t="str">
            <v>Municipal Office</v>
          </cell>
          <cell r="DE46" t="str">
            <v/>
          </cell>
          <cell r="DF46" t="str">
            <v>Adminstration Officer</v>
          </cell>
          <cell r="DG46" t="str">
            <v/>
          </cell>
          <cell r="DH46" t="str">
            <v>NRA/GMALI</v>
          </cell>
          <cell r="DI46" t="str">
            <v/>
          </cell>
          <cell r="DJ46" t="str">
            <v>NRA Chief-District</v>
          </cell>
          <cell r="DK46" t="str">
            <v/>
          </cell>
          <cell r="DL46" t="str">
            <v>DLPIU-Building</v>
          </cell>
          <cell r="DM46" t="str">
            <v/>
          </cell>
          <cell r="DN46" t="str">
            <v>DUDBC.DLPIU Chief</v>
          </cell>
          <cell r="DO46" t="str">
            <v/>
          </cell>
          <cell r="DP46" t="str">
            <v>Municipal Office</v>
          </cell>
          <cell r="DQ46" t="str">
            <v/>
          </cell>
          <cell r="DR46" t="str">
            <v>Focal Person</v>
          </cell>
          <cell r="DS46" t="str">
            <v/>
          </cell>
          <cell r="DT46" t="str">
            <v/>
          </cell>
          <cell r="DU46" t="str">
            <v/>
          </cell>
          <cell r="DV46" t="str">
            <v/>
          </cell>
          <cell r="DW46" t="str">
            <v/>
          </cell>
          <cell r="DX46" t="str">
            <v/>
          </cell>
          <cell r="DY46" t="str">
            <v/>
          </cell>
          <cell r="DZ46" t="str">
            <v/>
          </cell>
          <cell r="EA46" t="str">
            <v/>
          </cell>
          <cell r="EB46" t="str">
            <v/>
          </cell>
          <cell r="EC46" t="str">
            <v/>
          </cell>
          <cell r="ED46" t="str">
            <v/>
          </cell>
          <cell r="EE46" t="str">
            <v/>
          </cell>
          <cell r="EF46" t="str">
            <v/>
          </cell>
          <cell r="EG46" t="str">
            <v/>
          </cell>
          <cell r="EH46" t="str">
            <v/>
          </cell>
          <cell r="EI46" t="str">
            <v/>
          </cell>
          <cell r="EJ46">
            <v>0</v>
          </cell>
          <cell r="EK46">
            <v>0</v>
          </cell>
          <cell r="EL46">
            <v>0</v>
          </cell>
          <cell r="EM46">
            <v>0</v>
          </cell>
          <cell r="EN46">
            <v>0</v>
          </cell>
          <cell r="EO46">
            <v>0</v>
          </cell>
          <cell r="EP46" t="str">
            <v/>
          </cell>
          <cell r="EQ46" t="str">
            <v>Housing Recovery and Reconstruction Platform</v>
          </cell>
          <cell r="ER46" t="str">
            <v/>
          </cell>
          <cell r="ES46" t="str">
            <v>District Coordinator</v>
          </cell>
          <cell r="ET46" t="str">
            <v/>
          </cell>
          <cell r="EU46" t="str">
            <v>Housing Recovery and Reconstruction Platform</v>
          </cell>
          <cell r="EV46" t="str">
            <v/>
          </cell>
          <cell r="EW46" t="str">
            <v>DIstrict Information Management Officer</v>
          </cell>
          <cell r="EX46" t="str">
            <v/>
          </cell>
          <cell r="EY46" t="str">
            <v>Housing Recovery and Reconstruction Platform</v>
          </cell>
          <cell r="EZ46" t="str">
            <v/>
          </cell>
          <cell r="FA46" t="str">
            <v>District Technical Officer</v>
          </cell>
          <cell r="FB46" t="str">
            <v/>
          </cell>
        </row>
        <row r="47">
          <cell r="A47">
            <v>13002</v>
          </cell>
          <cell r="B47" t="str">
            <v>Khotang</v>
          </cell>
          <cell r="C47" t="str">
            <v>Barahapokhari Gaunpalika</v>
          </cell>
          <cell r="D47">
            <v>91</v>
          </cell>
          <cell r="E47">
            <v>470</v>
          </cell>
          <cell r="F47">
            <v>561</v>
          </cell>
          <cell r="G47" t="str">
            <v>Stone and cement mortar masonry</v>
          </cell>
          <cell r="H47">
            <v>0.18</v>
          </cell>
          <cell r="I47">
            <v>0.14000000000000001</v>
          </cell>
          <cell r="J47" t="str">
            <v>Stone and Mud Mortar Masonary</v>
          </cell>
          <cell r="K47">
            <v>98.57</v>
          </cell>
          <cell r="L47">
            <v>92.74</v>
          </cell>
          <cell r="M47" t="str">
            <v>Brick and Cement Mortar Masonary</v>
          </cell>
          <cell r="N47">
            <v>0</v>
          </cell>
          <cell r="O47">
            <v>0.02</v>
          </cell>
          <cell r="P47" t="str">
            <v>Brick and mud mortar Masonry</v>
          </cell>
          <cell r="Q47">
            <v>0</v>
          </cell>
          <cell r="R47">
            <v>0.05</v>
          </cell>
          <cell r="S47" t="str">
            <v>Reinforced cement concrete (RCC) frame</v>
          </cell>
          <cell r="T47">
            <v>0</v>
          </cell>
          <cell r="U47">
            <v>0.02</v>
          </cell>
          <cell r="V47" t="str">
            <v>Hybrid structure</v>
          </cell>
          <cell r="W47">
            <v>0</v>
          </cell>
          <cell r="X47">
            <v>0</v>
          </cell>
          <cell r="Y47" t="str">
            <v>Timber frame structure</v>
          </cell>
          <cell r="Z47">
            <v>0.18</v>
          </cell>
          <cell r="AA47">
            <v>0.28999999999999998</v>
          </cell>
          <cell r="AB47" t="str">
            <v>Hollow concrete block Masonry</v>
          </cell>
          <cell r="AC47">
            <v>0</v>
          </cell>
          <cell r="AD47">
            <v>0</v>
          </cell>
          <cell r="AE47" t="str">
            <v>Dry stone Masonry</v>
          </cell>
          <cell r="AF47">
            <v>0.18</v>
          </cell>
          <cell r="AG47">
            <v>0.25</v>
          </cell>
          <cell r="AH47" t="str">
            <v>Adobe structures</v>
          </cell>
          <cell r="AI47">
            <v>0.71</v>
          </cell>
          <cell r="AJ47">
            <v>6.28</v>
          </cell>
          <cell r="AK47" t="str">
            <v>Bamboo</v>
          </cell>
          <cell r="AL47">
            <v>0.18</v>
          </cell>
          <cell r="AM47">
            <v>0.23</v>
          </cell>
          <cell r="AN47" t="str">
            <v>Compressed stabilized earth block (SCEB) Masonry</v>
          </cell>
          <cell r="AO47">
            <v>0</v>
          </cell>
          <cell r="AP47">
            <v>0</v>
          </cell>
          <cell r="AQ47" t="str">
            <v>Light steel frame structures</v>
          </cell>
          <cell r="AR47">
            <v>0</v>
          </cell>
          <cell r="AS47">
            <v>0</v>
          </cell>
          <cell r="AT47">
            <v>475</v>
          </cell>
          <cell r="AU47">
            <v>170</v>
          </cell>
          <cell r="AV47">
            <v>170</v>
          </cell>
          <cell r="AW47">
            <v>113</v>
          </cell>
          <cell r="AX47">
            <v>0</v>
          </cell>
          <cell r="AY47" t="str">
            <v/>
          </cell>
          <cell r="AZ47" t="str">
            <v/>
          </cell>
          <cell r="BA47">
            <v>7</v>
          </cell>
          <cell r="BB47" t="str">
            <v/>
          </cell>
          <cell r="BC47" t="str">
            <v/>
          </cell>
          <cell r="BD47" t="str">
            <v/>
          </cell>
          <cell r="BE47" t="str">
            <v/>
          </cell>
          <cell r="BF47" t="str">
            <v/>
          </cell>
          <cell r="BG47" t="str">
            <v/>
          </cell>
          <cell r="BH47" t="str">
            <v/>
          </cell>
          <cell r="BI47" t="str">
            <v/>
          </cell>
          <cell r="BJ47" t="str">
            <v/>
          </cell>
          <cell r="BK47">
            <v>8034</v>
          </cell>
          <cell r="BL47" t="str">
            <v/>
          </cell>
          <cell r="BM47" t="str">
            <v/>
          </cell>
          <cell r="BN47">
            <v>8173</v>
          </cell>
          <cell r="BO47" t="str">
            <v/>
          </cell>
          <cell r="BP47" t="str">
            <v/>
          </cell>
          <cell r="BQ47">
            <v>858</v>
          </cell>
          <cell r="BR47" t="str">
            <v/>
          </cell>
          <cell r="BS47" t="str">
            <v/>
          </cell>
          <cell r="BT47">
            <v>989</v>
          </cell>
          <cell r="BU47" t="str">
            <v/>
          </cell>
          <cell r="BV47" t="str">
            <v/>
          </cell>
          <cell r="BW47" t="str">
            <v/>
          </cell>
          <cell r="BX47" t="str">
            <v/>
          </cell>
          <cell r="BY47" t="str">
            <v/>
          </cell>
          <cell r="BZ47">
            <v>27358</v>
          </cell>
          <cell r="CA47" t="str">
            <v/>
          </cell>
          <cell r="CB47" t="str">
            <v/>
          </cell>
          <cell r="CC47">
            <v>87552</v>
          </cell>
          <cell r="CD47" t="str">
            <v/>
          </cell>
          <cell r="CE47" t="str">
            <v/>
          </cell>
          <cell r="CF47">
            <v>1120</v>
          </cell>
          <cell r="CG47" t="str">
            <v/>
          </cell>
          <cell r="CH47" t="str">
            <v/>
          </cell>
          <cell r="CI47">
            <v>125271</v>
          </cell>
          <cell r="CJ47" t="str">
            <v/>
          </cell>
          <cell r="CK47" t="str">
            <v/>
          </cell>
          <cell r="CL47" t="str">
            <v>Skilled</v>
          </cell>
          <cell r="CM47" t="str">
            <v/>
          </cell>
          <cell r="CN47" t="str">
            <v>Labor</v>
          </cell>
          <cell r="CO47" t="str">
            <v/>
          </cell>
          <cell r="CP47" t="str">
            <v/>
          </cell>
          <cell r="CQ47" t="str">
            <v/>
          </cell>
          <cell r="CR47" t="str">
            <v/>
          </cell>
          <cell r="CS47" t="str">
            <v/>
          </cell>
          <cell r="CT47" t="str">
            <v/>
          </cell>
          <cell r="CU47" t="str">
            <v/>
          </cell>
          <cell r="CV47" t="str">
            <v>Municipal Office</v>
          </cell>
          <cell r="CW47" t="str">
            <v/>
          </cell>
          <cell r="CX47" t="str">
            <v>Chairman</v>
          </cell>
          <cell r="CY47" t="str">
            <v/>
          </cell>
          <cell r="CZ47" t="str">
            <v>Municipal Office</v>
          </cell>
          <cell r="DA47" t="str">
            <v/>
          </cell>
          <cell r="DB47" t="str">
            <v>Deputy Chairman</v>
          </cell>
          <cell r="DC47" t="str">
            <v/>
          </cell>
          <cell r="DD47" t="str">
            <v>Municipal Office</v>
          </cell>
          <cell r="DE47" t="str">
            <v/>
          </cell>
          <cell r="DF47" t="str">
            <v>Adminstration Officer</v>
          </cell>
          <cell r="DG47" t="str">
            <v/>
          </cell>
          <cell r="DH47" t="str">
            <v>NRA/GMALI</v>
          </cell>
          <cell r="DI47" t="str">
            <v/>
          </cell>
          <cell r="DJ47" t="str">
            <v>NRA Chief-District</v>
          </cell>
          <cell r="DK47" t="str">
            <v/>
          </cell>
          <cell r="DL47" t="str">
            <v>DLPIU-Building</v>
          </cell>
          <cell r="DM47" t="str">
            <v/>
          </cell>
          <cell r="DN47" t="str">
            <v>DUDBC.DLPIU Chief</v>
          </cell>
          <cell r="DO47" t="str">
            <v/>
          </cell>
          <cell r="DP47" t="str">
            <v>Municipal Office</v>
          </cell>
          <cell r="DQ47" t="str">
            <v/>
          </cell>
          <cell r="DR47" t="str">
            <v>Focal Person</v>
          </cell>
          <cell r="DS47" t="str">
            <v/>
          </cell>
          <cell r="DT47" t="str">
            <v/>
          </cell>
          <cell r="DU47" t="str">
            <v/>
          </cell>
          <cell r="DV47" t="str">
            <v/>
          </cell>
          <cell r="DW47" t="str">
            <v/>
          </cell>
          <cell r="DX47" t="str">
            <v/>
          </cell>
          <cell r="DY47" t="str">
            <v/>
          </cell>
          <cell r="DZ47" t="str">
            <v/>
          </cell>
          <cell r="EA47" t="str">
            <v/>
          </cell>
          <cell r="EB47" t="str">
            <v/>
          </cell>
          <cell r="EC47" t="str">
            <v/>
          </cell>
          <cell r="ED47" t="str">
            <v/>
          </cell>
          <cell r="EE47" t="str">
            <v/>
          </cell>
          <cell r="EF47" t="str">
            <v/>
          </cell>
          <cell r="EG47" t="str">
            <v/>
          </cell>
          <cell r="EH47" t="str">
            <v/>
          </cell>
          <cell r="EI47" t="str">
            <v/>
          </cell>
          <cell r="EJ47">
            <v>0</v>
          </cell>
          <cell r="EK47">
            <v>0</v>
          </cell>
          <cell r="EL47">
            <v>0</v>
          </cell>
          <cell r="EM47">
            <v>0</v>
          </cell>
          <cell r="EN47">
            <v>0</v>
          </cell>
          <cell r="EO47">
            <v>0</v>
          </cell>
          <cell r="EP47" t="str">
            <v/>
          </cell>
          <cell r="EQ47" t="str">
            <v>Housing Recovery and Reconstruction Platform</v>
          </cell>
          <cell r="ER47" t="str">
            <v/>
          </cell>
          <cell r="ES47" t="str">
            <v>District Coordinator</v>
          </cell>
          <cell r="ET47" t="str">
            <v/>
          </cell>
          <cell r="EU47" t="str">
            <v>Housing Recovery and Reconstruction Platform</v>
          </cell>
          <cell r="EV47" t="str">
            <v/>
          </cell>
          <cell r="EW47" t="str">
            <v>DIstrict Information Management Officer</v>
          </cell>
          <cell r="EX47" t="str">
            <v/>
          </cell>
          <cell r="EY47" t="str">
            <v>Housing Recovery and Reconstruction Platform</v>
          </cell>
          <cell r="EZ47" t="str">
            <v/>
          </cell>
          <cell r="FA47" t="str">
            <v>District Technical Officer</v>
          </cell>
          <cell r="FB47" t="str">
            <v/>
          </cell>
        </row>
        <row r="48">
          <cell r="A48">
            <v>13003</v>
          </cell>
          <cell r="B48" t="str">
            <v>Khotang</v>
          </cell>
          <cell r="C48" t="str">
            <v>Diprung Gaunpalika</v>
          </cell>
          <cell r="D48">
            <v>504</v>
          </cell>
          <cell r="E48">
            <v>535</v>
          </cell>
          <cell r="F48">
            <v>1039</v>
          </cell>
          <cell r="G48" t="str">
            <v>Stone and cement mortar masonry</v>
          </cell>
          <cell r="H48">
            <v>0</v>
          </cell>
          <cell r="I48">
            <v>0.14000000000000001</v>
          </cell>
          <cell r="J48" t="str">
            <v>Stone and Mud Mortar Masonary</v>
          </cell>
          <cell r="K48">
            <v>81.14</v>
          </cell>
          <cell r="L48">
            <v>92.74</v>
          </cell>
          <cell r="M48" t="str">
            <v>Brick and Cement Mortar Masonary</v>
          </cell>
          <cell r="N48">
            <v>0</v>
          </cell>
          <cell r="O48">
            <v>0.02</v>
          </cell>
          <cell r="P48" t="str">
            <v>Brick and mud mortar Masonry</v>
          </cell>
          <cell r="Q48">
            <v>0.19</v>
          </cell>
          <cell r="R48">
            <v>0.05</v>
          </cell>
          <cell r="S48" t="str">
            <v>Reinforced cement concrete (RCC) frame</v>
          </cell>
          <cell r="T48">
            <v>0</v>
          </cell>
          <cell r="U48">
            <v>0.02</v>
          </cell>
          <cell r="V48" t="str">
            <v>Hybrid structure</v>
          </cell>
          <cell r="W48">
            <v>0</v>
          </cell>
          <cell r="X48">
            <v>0</v>
          </cell>
          <cell r="Y48" t="str">
            <v>Timber frame structure</v>
          </cell>
          <cell r="Z48">
            <v>0.38</v>
          </cell>
          <cell r="AA48">
            <v>0.28999999999999998</v>
          </cell>
          <cell r="AB48" t="str">
            <v>Hollow concrete block Masonry</v>
          </cell>
          <cell r="AC48">
            <v>0</v>
          </cell>
          <cell r="AD48">
            <v>0</v>
          </cell>
          <cell r="AE48" t="str">
            <v>Dry stone Masonry</v>
          </cell>
          <cell r="AF48">
            <v>0.19</v>
          </cell>
          <cell r="AG48">
            <v>0.25</v>
          </cell>
          <cell r="AH48" t="str">
            <v>Adobe structures</v>
          </cell>
          <cell r="AI48">
            <v>17.71</v>
          </cell>
          <cell r="AJ48">
            <v>6.28</v>
          </cell>
          <cell r="AK48" t="str">
            <v>Bamboo</v>
          </cell>
          <cell r="AL48">
            <v>0.38</v>
          </cell>
          <cell r="AM48">
            <v>0.23</v>
          </cell>
          <cell r="AN48" t="str">
            <v>Compressed stabilized earth block (SCEB) Masonry</v>
          </cell>
          <cell r="AO48">
            <v>0</v>
          </cell>
          <cell r="AP48">
            <v>0</v>
          </cell>
          <cell r="AQ48" t="str">
            <v>Light steel frame structures</v>
          </cell>
          <cell r="AR48">
            <v>0</v>
          </cell>
          <cell r="AS48">
            <v>0</v>
          </cell>
          <cell r="AT48">
            <v>524</v>
          </cell>
          <cell r="AU48">
            <v>282</v>
          </cell>
          <cell r="AV48">
            <v>282</v>
          </cell>
          <cell r="AW48">
            <v>267</v>
          </cell>
          <cell r="AX48">
            <v>0</v>
          </cell>
          <cell r="AY48" t="str">
            <v/>
          </cell>
          <cell r="AZ48" t="str">
            <v/>
          </cell>
          <cell r="BA48">
            <v>1</v>
          </cell>
          <cell r="BB48" t="str">
            <v/>
          </cell>
          <cell r="BC48" t="str">
            <v/>
          </cell>
          <cell r="BD48" t="str">
            <v/>
          </cell>
          <cell r="BE48" t="str">
            <v/>
          </cell>
          <cell r="BF48" t="str">
            <v/>
          </cell>
          <cell r="BG48" t="str">
            <v/>
          </cell>
          <cell r="BH48" t="str">
            <v/>
          </cell>
          <cell r="BI48" t="str">
            <v/>
          </cell>
          <cell r="BJ48" t="str">
            <v/>
          </cell>
          <cell r="BK48">
            <v>16214</v>
          </cell>
          <cell r="BL48" t="str">
            <v/>
          </cell>
          <cell r="BM48" t="str">
            <v/>
          </cell>
          <cell r="BN48">
            <v>17185</v>
          </cell>
          <cell r="BO48" t="str">
            <v/>
          </cell>
          <cell r="BP48" t="str">
            <v/>
          </cell>
          <cell r="BQ48">
            <v>1736</v>
          </cell>
          <cell r="BR48" t="str">
            <v/>
          </cell>
          <cell r="BS48" t="str">
            <v/>
          </cell>
          <cell r="BT48">
            <v>2020</v>
          </cell>
          <cell r="BU48" t="str">
            <v/>
          </cell>
          <cell r="BV48" t="str">
            <v/>
          </cell>
          <cell r="BW48" t="str">
            <v/>
          </cell>
          <cell r="BX48" t="str">
            <v/>
          </cell>
          <cell r="BY48" t="str">
            <v/>
          </cell>
          <cell r="BZ48">
            <v>56421</v>
          </cell>
          <cell r="CA48" t="str">
            <v/>
          </cell>
          <cell r="CB48" t="str">
            <v/>
          </cell>
          <cell r="CC48">
            <v>174347</v>
          </cell>
          <cell r="CD48" t="str">
            <v/>
          </cell>
          <cell r="CE48" t="str">
            <v/>
          </cell>
          <cell r="CF48">
            <v>2304</v>
          </cell>
          <cell r="CG48" t="str">
            <v/>
          </cell>
          <cell r="CH48" t="str">
            <v/>
          </cell>
          <cell r="CI48">
            <v>53657</v>
          </cell>
          <cell r="CJ48" t="str">
            <v/>
          </cell>
          <cell r="CK48" t="str">
            <v/>
          </cell>
          <cell r="CL48" t="str">
            <v>Skilled</v>
          </cell>
          <cell r="CM48" t="str">
            <v/>
          </cell>
          <cell r="CN48" t="str">
            <v>Labor</v>
          </cell>
          <cell r="CO48" t="str">
            <v/>
          </cell>
          <cell r="CP48" t="str">
            <v/>
          </cell>
          <cell r="CQ48" t="str">
            <v/>
          </cell>
          <cell r="CR48" t="str">
            <v/>
          </cell>
          <cell r="CS48" t="str">
            <v/>
          </cell>
          <cell r="CT48" t="str">
            <v/>
          </cell>
          <cell r="CU48" t="str">
            <v/>
          </cell>
          <cell r="CV48" t="str">
            <v>Municipal Office</v>
          </cell>
          <cell r="CW48" t="str">
            <v/>
          </cell>
          <cell r="CX48" t="str">
            <v>Chairman</v>
          </cell>
          <cell r="CY48" t="str">
            <v/>
          </cell>
          <cell r="CZ48" t="str">
            <v>Municipal Office</v>
          </cell>
          <cell r="DA48" t="str">
            <v/>
          </cell>
          <cell r="DB48" t="str">
            <v>Deputy Chairman</v>
          </cell>
          <cell r="DC48" t="str">
            <v/>
          </cell>
          <cell r="DD48" t="str">
            <v>Municipal Office</v>
          </cell>
          <cell r="DE48" t="str">
            <v/>
          </cell>
          <cell r="DF48" t="str">
            <v>Adminstration Officer</v>
          </cell>
          <cell r="DG48" t="str">
            <v/>
          </cell>
          <cell r="DH48" t="str">
            <v>NRA/GMALI</v>
          </cell>
          <cell r="DI48" t="str">
            <v/>
          </cell>
          <cell r="DJ48" t="str">
            <v>NRA Chief-District</v>
          </cell>
          <cell r="DK48" t="str">
            <v/>
          </cell>
          <cell r="DL48" t="str">
            <v>DLPIU-Building</v>
          </cell>
          <cell r="DM48" t="str">
            <v/>
          </cell>
          <cell r="DN48" t="str">
            <v>DUDBC.DLPIU Chief</v>
          </cell>
          <cell r="DO48" t="str">
            <v/>
          </cell>
          <cell r="DP48" t="str">
            <v>Municipal Office</v>
          </cell>
          <cell r="DQ48" t="str">
            <v/>
          </cell>
          <cell r="DR48" t="str">
            <v>Focal Person</v>
          </cell>
          <cell r="DS48" t="str">
            <v/>
          </cell>
          <cell r="DT48" t="str">
            <v/>
          </cell>
          <cell r="DU48" t="str">
            <v/>
          </cell>
          <cell r="DV48" t="str">
            <v/>
          </cell>
          <cell r="DW48" t="str">
            <v/>
          </cell>
          <cell r="DX48" t="str">
            <v/>
          </cell>
          <cell r="DY48" t="str">
            <v/>
          </cell>
          <cell r="DZ48" t="str">
            <v/>
          </cell>
          <cell r="EA48" t="str">
            <v/>
          </cell>
          <cell r="EB48" t="str">
            <v/>
          </cell>
          <cell r="EC48" t="str">
            <v/>
          </cell>
          <cell r="ED48" t="str">
            <v/>
          </cell>
          <cell r="EE48" t="str">
            <v/>
          </cell>
          <cell r="EF48" t="str">
            <v/>
          </cell>
          <cell r="EG48" t="str">
            <v/>
          </cell>
          <cell r="EH48" t="str">
            <v/>
          </cell>
          <cell r="EI48" t="str">
            <v/>
          </cell>
          <cell r="EJ48">
            <v>0</v>
          </cell>
          <cell r="EK48">
            <v>0</v>
          </cell>
          <cell r="EL48">
            <v>0</v>
          </cell>
          <cell r="EM48">
            <v>0</v>
          </cell>
          <cell r="EN48">
            <v>0</v>
          </cell>
          <cell r="EO48">
            <v>0</v>
          </cell>
          <cell r="EP48" t="str">
            <v/>
          </cell>
          <cell r="EQ48" t="str">
            <v>Housing Recovery and Reconstruction Platform</v>
          </cell>
          <cell r="ER48" t="str">
            <v/>
          </cell>
          <cell r="ES48" t="str">
            <v>District Coordinator</v>
          </cell>
          <cell r="ET48" t="str">
            <v/>
          </cell>
          <cell r="EU48" t="str">
            <v>Housing Recovery and Reconstruction Platform</v>
          </cell>
          <cell r="EV48" t="str">
            <v/>
          </cell>
          <cell r="EW48" t="str">
            <v>DIstrict Information Management Officer</v>
          </cell>
          <cell r="EX48" t="str">
            <v/>
          </cell>
          <cell r="EY48" t="str">
            <v>Housing Recovery and Reconstruction Platform</v>
          </cell>
          <cell r="EZ48" t="str">
            <v/>
          </cell>
          <cell r="FA48" t="str">
            <v>District Technical Officer</v>
          </cell>
          <cell r="FB48" t="str">
            <v/>
          </cell>
        </row>
        <row r="49">
          <cell r="A49">
            <v>13004</v>
          </cell>
          <cell r="B49" t="str">
            <v>Khotang</v>
          </cell>
          <cell r="C49" t="str">
            <v>Halesi Tuwachung Nagarpalika</v>
          </cell>
          <cell r="D49">
            <v>722</v>
          </cell>
          <cell r="E49">
            <v>1804</v>
          </cell>
          <cell r="F49">
            <v>2526</v>
          </cell>
          <cell r="G49" t="str">
            <v>Stone and cement mortar masonry</v>
          </cell>
          <cell r="H49">
            <v>0.4</v>
          </cell>
          <cell r="I49">
            <v>0.14000000000000001</v>
          </cell>
          <cell r="J49" t="str">
            <v>Stone and Mud Mortar Masonary</v>
          </cell>
          <cell r="K49">
            <v>97.07</v>
          </cell>
          <cell r="L49">
            <v>92.74</v>
          </cell>
          <cell r="M49" t="str">
            <v>Brick and Cement Mortar Masonary</v>
          </cell>
          <cell r="N49">
            <v>0.08</v>
          </cell>
          <cell r="O49">
            <v>0.02</v>
          </cell>
          <cell r="P49" t="str">
            <v>Brick and mud mortar Masonry</v>
          </cell>
          <cell r="Q49">
            <v>0</v>
          </cell>
          <cell r="R49">
            <v>0.05</v>
          </cell>
          <cell r="S49" t="str">
            <v>Reinforced cement concrete (RCC) frame</v>
          </cell>
          <cell r="T49">
            <v>0</v>
          </cell>
          <cell r="U49">
            <v>0.02</v>
          </cell>
          <cell r="V49" t="str">
            <v>Hybrid structure</v>
          </cell>
          <cell r="W49">
            <v>0</v>
          </cell>
          <cell r="X49">
            <v>0</v>
          </cell>
          <cell r="Y49" t="str">
            <v>Timber frame structure</v>
          </cell>
          <cell r="Z49">
            <v>0.4</v>
          </cell>
          <cell r="AA49">
            <v>0.28999999999999998</v>
          </cell>
          <cell r="AB49" t="str">
            <v>Hollow concrete block Masonry</v>
          </cell>
          <cell r="AC49">
            <v>0</v>
          </cell>
          <cell r="AD49">
            <v>0</v>
          </cell>
          <cell r="AE49" t="str">
            <v>Dry stone Masonry</v>
          </cell>
          <cell r="AF49">
            <v>0.79</v>
          </cell>
          <cell r="AG49">
            <v>0.25</v>
          </cell>
          <cell r="AH49" t="str">
            <v>Adobe structures</v>
          </cell>
          <cell r="AI49">
            <v>0.71</v>
          </cell>
          <cell r="AJ49">
            <v>6.28</v>
          </cell>
          <cell r="AK49" t="str">
            <v>Bamboo</v>
          </cell>
          <cell r="AL49">
            <v>0.55000000000000004</v>
          </cell>
          <cell r="AM49">
            <v>0.23</v>
          </cell>
          <cell r="AN49" t="str">
            <v>Compressed stabilized earth block (SCEB) Masonry</v>
          </cell>
          <cell r="AO49">
            <v>0</v>
          </cell>
          <cell r="AP49">
            <v>0</v>
          </cell>
          <cell r="AQ49" t="str">
            <v>Light steel frame structures</v>
          </cell>
          <cell r="AR49">
            <v>0</v>
          </cell>
          <cell r="AS49">
            <v>0</v>
          </cell>
          <cell r="AT49">
            <v>1754</v>
          </cell>
          <cell r="AU49">
            <v>577</v>
          </cell>
          <cell r="AV49">
            <v>577</v>
          </cell>
          <cell r="AW49">
            <v>238</v>
          </cell>
          <cell r="AX49">
            <v>0</v>
          </cell>
          <cell r="AY49" t="str">
            <v/>
          </cell>
          <cell r="AZ49" t="str">
            <v/>
          </cell>
          <cell r="BA49">
            <v>33</v>
          </cell>
          <cell r="BB49" t="str">
            <v/>
          </cell>
          <cell r="BC49" t="str">
            <v/>
          </cell>
          <cell r="BD49" t="str">
            <v/>
          </cell>
          <cell r="BE49" t="str">
            <v/>
          </cell>
          <cell r="BF49" t="str">
            <v/>
          </cell>
          <cell r="BG49" t="str">
            <v/>
          </cell>
          <cell r="BH49" t="str">
            <v/>
          </cell>
          <cell r="BI49" t="str">
            <v/>
          </cell>
          <cell r="BJ49" t="str">
            <v/>
          </cell>
          <cell r="BK49">
            <v>1922</v>
          </cell>
          <cell r="BL49" t="str">
            <v/>
          </cell>
          <cell r="BM49" t="str">
            <v/>
          </cell>
          <cell r="BN49">
            <v>2039</v>
          </cell>
          <cell r="BO49" t="str">
            <v/>
          </cell>
          <cell r="BP49" t="str">
            <v/>
          </cell>
          <cell r="BQ49">
            <v>206</v>
          </cell>
          <cell r="BR49" t="str">
            <v/>
          </cell>
          <cell r="BS49" t="str">
            <v/>
          </cell>
          <cell r="BT49">
            <v>240</v>
          </cell>
          <cell r="BU49" t="str">
            <v/>
          </cell>
          <cell r="BV49" t="str">
            <v/>
          </cell>
          <cell r="BW49" t="str">
            <v/>
          </cell>
          <cell r="BX49" t="str">
            <v/>
          </cell>
          <cell r="BY49" t="str">
            <v/>
          </cell>
          <cell r="BZ49">
            <v>6692</v>
          </cell>
          <cell r="CA49" t="str">
            <v/>
          </cell>
          <cell r="CB49" t="str">
            <v/>
          </cell>
          <cell r="CC49">
            <v>20659</v>
          </cell>
          <cell r="CD49" t="str">
            <v/>
          </cell>
          <cell r="CE49" t="str">
            <v/>
          </cell>
          <cell r="CF49">
            <v>273</v>
          </cell>
          <cell r="CG49" t="str">
            <v/>
          </cell>
          <cell r="CH49" t="str">
            <v/>
          </cell>
          <cell r="CI49">
            <v>5719</v>
          </cell>
          <cell r="CJ49" t="str">
            <v/>
          </cell>
          <cell r="CK49" t="str">
            <v/>
          </cell>
          <cell r="CL49" t="str">
            <v>Skilled</v>
          </cell>
          <cell r="CM49" t="str">
            <v/>
          </cell>
          <cell r="CN49" t="str">
            <v>Labor</v>
          </cell>
          <cell r="CO49" t="str">
            <v/>
          </cell>
          <cell r="CP49" t="str">
            <v/>
          </cell>
          <cell r="CQ49" t="str">
            <v/>
          </cell>
          <cell r="CR49" t="str">
            <v/>
          </cell>
          <cell r="CS49" t="str">
            <v/>
          </cell>
          <cell r="CT49" t="str">
            <v/>
          </cell>
          <cell r="CU49" t="str">
            <v/>
          </cell>
          <cell r="CV49" t="str">
            <v>Municipal Office</v>
          </cell>
          <cell r="CW49" t="str">
            <v/>
          </cell>
          <cell r="CX49" t="str">
            <v>Mayor</v>
          </cell>
          <cell r="CY49" t="str">
            <v/>
          </cell>
          <cell r="CZ49" t="str">
            <v>Municipal Office</v>
          </cell>
          <cell r="DA49" t="str">
            <v/>
          </cell>
          <cell r="DB49" t="str">
            <v>Deputy Mayor</v>
          </cell>
          <cell r="DC49" t="str">
            <v/>
          </cell>
          <cell r="DD49" t="str">
            <v>Municipal Office</v>
          </cell>
          <cell r="DE49" t="str">
            <v/>
          </cell>
          <cell r="DF49" t="str">
            <v>Adminstration Officer</v>
          </cell>
          <cell r="DG49" t="str">
            <v/>
          </cell>
          <cell r="DH49" t="str">
            <v>NRA/GMALI</v>
          </cell>
          <cell r="DI49" t="str">
            <v/>
          </cell>
          <cell r="DJ49" t="str">
            <v>NRA Chief-District</v>
          </cell>
          <cell r="DK49" t="str">
            <v/>
          </cell>
          <cell r="DL49" t="str">
            <v>DLPIU-Building</v>
          </cell>
          <cell r="DM49" t="str">
            <v/>
          </cell>
          <cell r="DN49" t="str">
            <v>DUDBC.DLPIU Chief</v>
          </cell>
          <cell r="DO49" t="str">
            <v/>
          </cell>
          <cell r="DP49" t="str">
            <v>Municipal Office</v>
          </cell>
          <cell r="DQ49" t="str">
            <v/>
          </cell>
          <cell r="DR49" t="str">
            <v>Focal Person</v>
          </cell>
          <cell r="DS49" t="str">
            <v/>
          </cell>
          <cell r="DT49" t="str">
            <v/>
          </cell>
          <cell r="DU49" t="str">
            <v/>
          </cell>
          <cell r="DV49" t="str">
            <v/>
          </cell>
          <cell r="DW49" t="str">
            <v/>
          </cell>
          <cell r="DX49" t="str">
            <v/>
          </cell>
          <cell r="DY49" t="str">
            <v/>
          </cell>
          <cell r="DZ49" t="str">
            <v/>
          </cell>
          <cell r="EA49" t="str">
            <v/>
          </cell>
          <cell r="EB49" t="str">
            <v/>
          </cell>
          <cell r="EC49" t="str">
            <v/>
          </cell>
          <cell r="ED49" t="str">
            <v/>
          </cell>
          <cell r="EE49" t="str">
            <v/>
          </cell>
          <cell r="EF49" t="str">
            <v/>
          </cell>
          <cell r="EG49" t="str">
            <v/>
          </cell>
          <cell r="EH49" t="str">
            <v/>
          </cell>
          <cell r="EI49" t="str">
            <v/>
          </cell>
          <cell r="EJ49">
            <v>0</v>
          </cell>
          <cell r="EK49">
            <v>0</v>
          </cell>
          <cell r="EL49">
            <v>0</v>
          </cell>
          <cell r="EM49">
            <v>0</v>
          </cell>
          <cell r="EN49">
            <v>0</v>
          </cell>
          <cell r="EO49">
            <v>0</v>
          </cell>
          <cell r="EP49" t="str">
            <v/>
          </cell>
          <cell r="EQ49" t="str">
            <v>Housing Recovery and Reconstruction Platform</v>
          </cell>
          <cell r="ER49" t="str">
            <v/>
          </cell>
          <cell r="ES49" t="str">
            <v>District Coordinator</v>
          </cell>
          <cell r="ET49" t="str">
            <v/>
          </cell>
          <cell r="EU49" t="str">
            <v>Housing Recovery and Reconstruction Platform</v>
          </cell>
          <cell r="EV49" t="str">
            <v/>
          </cell>
          <cell r="EW49" t="str">
            <v>DIstrict Information Management Officer</v>
          </cell>
          <cell r="EX49" t="str">
            <v/>
          </cell>
          <cell r="EY49" t="str">
            <v>Housing Recovery and Reconstruction Platform</v>
          </cell>
          <cell r="EZ49" t="str">
            <v/>
          </cell>
          <cell r="FA49" t="str">
            <v>District Technical Officer</v>
          </cell>
          <cell r="FB49" t="str">
            <v/>
          </cell>
        </row>
        <row r="50">
          <cell r="A50">
            <v>13005</v>
          </cell>
          <cell r="B50" t="str">
            <v>Khotang</v>
          </cell>
          <cell r="C50" t="str">
            <v>Jantedhunga Gaunpalika</v>
          </cell>
          <cell r="D50">
            <v>258</v>
          </cell>
          <cell r="E50">
            <v>506</v>
          </cell>
          <cell r="F50">
            <v>764</v>
          </cell>
          <cell r="G50" t="str">
            <v>Stone and cement mortar masonry</v>
          </cell>
          <cell r="H50">
            <v>0</v>
          </cell>
          <cell r="I50">
            <v>0.14000000000000001</v>
          </cell>
          <cell r="J50" t="str">
            <v>Stone and Mud Mortar Masonary</v>
          </cell>
          <cell r="K50">
            <v>72.25</v>
          </cell>
          <cell r="L50">
            <v>92.74</v>
          </cell>
          <cell r="M50" t="str">
            <v>Brick and Cement Mortar Masonary</v>
          </cell>
          <cell r="N50">
            <v>0</v>
          </cell>
          <cell r="O50">
            <v>0.02</v>
          </cell>
          <cell r="P50" t="str">
            <v>Brick and mud mortar Masonry</v>
          </cell>
          <cell r="Q50">
            <v>0</v>
          </cell>
          <cell r="R50">
            <v>0.05</v>
          </cell>
          <cell r="S50" t="str">
            <v>Reinforced cement concrete (RCC) frame</v>
          </cell>
          <cell r="T50">
            <v>0</v>
          </cell>
          <cell r="U50">
            <v>0.02</v>
          </cell>
          <cell r="V50" t="str">
            <v>Hybrid structure</v>
          </cell>
          <cell r="W50">
            <v>0</v>
          </cell>
          <cell r="X50">
            <v>0</v>
          </cell>
          <cell r="Y50" t="str">
            <v>Timber frame structure</v>
          </cell>
          <cell r="Z50">
            <v>0.39</v>
          </cell>
          <cell r="AA50">
            <v>0.28999999999999998</v>
          </cell>
          <cell r="AB50" t="str">
            <v>Hollow concrete block Masonry</v>
          </cell>
          <cell r="AC50">
            <v>0</v>
          </cell>
          <cell r="AD50">
            <v>0</v>
          </cell>
          <cell r="AE50" t="str">
            <v>Dry stone Masonry</v>
          </cell>
          <cell r="AF50">
            <v>0</v>
          </cell>
          <cell r="AG50">
            <v>0.25</v>
          </cell>
          <cell r="AH50" t="str">
            <v>Adobe structures</v>
          </cell>
          <cell r="AI50">
            <v>26.7</v>
          </cell>
          <cell r="AJ50">
            <v>6.28</v>
          </cell>
          <cell r="AK50" t="str">
            <v>Bamboo</v>
          </cell>
          <cell r="AL50">
            <v>0.65</v>
          </cell>
          <cell r="AM50">
            <v>0.23</v>
          </cell>
          <cell r="AN50" t="str">
            <v>Compressed stabilized earth block (SCEB) Masonry</v>
          </cell>
          <cell r="AO50">
            <v>0</v>
          </cell>
          <cell r="AP50">
            <v>0</v>
          </cell>
          <cell r="AQ50" t="str">
            <v>Light steel frame structures</v>
          </cell>
          <cell r="AR50">
            <v>0</v>
          </cell>
          <cell r="AS50">
            <v>0</v>
          </cell>
          <cell r="AT50">
            <v>464</v>
          </cell>
          <cell r="AU50">
            <v>69</v>
          </cell>
          <cell r="AV50">
            <v>69</v>
          </cell>
          <cell r="AW50">
            <v>0</v>
          </cell>
          <cell r="AX50">
            <v>0</v>
          </cell>
          <cell r="AY50" t="str">
            <v/>
          </cell>
          <cell r="AZ50" t="str">
            <v/>
          </cell>
          <cell r="BA50">
            <v>15</v>
          </cell>
          <cell r="BB50" t="str">
            <v/>
          </cell>
          <cell r="BC50" t="str">
            <v/>
          </cell>
          <cell r="BD50" t="str">
            <v/>
          </cell>
          <cell r="BE50" t="str">
            <v/>
          </cell>
          <cell r="BF50" t="str">
            <v/>
          </cell>
          <cell r="BG50" t="str">
            <v/>
          </cell>
          <cell r="BH50" t="str">
            <v/>
          </cell>
          <cell r="BI50" t="str">
            <v/>
          </cell>
          <cell r="BJ50" t="str">
            <v/>
          </cell>
          <cell r="BK50">
            <v>2324</v>
          </cell>
          <cell r="BL50" t="str">
            <v/>
          </cell>
          <cell r="BM50" t="str">
            <v/>
          </cell>
          <cell r="BN50">
            <v>2490</v>
          </cell>
          <cell r="BO50" t="str">
            <v/>
          </cell>
          <cell r="BP50" t="str">
            <v/>
          </cell>
          <cell r="BQ50">
            <v>249</v>
          </cell>
          <cell r="BR50" t="str">
            <v/>
          </cell>
          <cell r="BS50" t="str">
            <v/>
          </cell>
          <cell r="BT50">
            <v>291</v>
          </cell>
          <cell r="BU50" t="str">
            <v/>
          </cell>
          <cell r="BV50" t="str">
            <v/>
          </cell>
          <cell r="BW50" t="str">
            <v/>
          </cell>
          <cell r="BX50" t="str">
            <v/>
          </cell>
          <cell r="BY50" t="str">
            <v/>
          </cell>
          <cell r="BZ50">
            <v>8134</v>
          </cell>
          <cell r="CA50" t="str">
            <v/>
          </cell>
          <cell r="CB50" t="str">
            <v/>
          </cell>
          <cell r="CC50">
            <v>24900</v>
          </cell>
          <cell r="CD50" t="str">
            <v/>
          </cell>
          <cell r="CE50" t="str">
            <v/>
          </cell>
          <cell r="CF50">
            <v>332</v>
          </cell>
          <cell r="CG50" t="str">
            <v/>
          </cell>
          <cell r="CH50" t="str">
            <v/>
          </cell>
          <cell r="CI50">
            <v>0</v>
          </cell>
          <cell r="CJ50" t="str">
            <v/>
          </cell>
          <cell r="CK50" t="str">
            <v/>
          </cell>
          <cell r="CL50" t="str">
            <v>Skilled</v>
          </cell>
          <cell r="CM50" t="str">
            <v/>
          </cell>
          <cell r="CN50" t="str">
            <v>Labor</v>
          </cell>
          <cell r="CO50" t="str">
            <v/>
          </cell>
          <cell r="CP50" t="str">
            <v/>
          </cell>
          <cell r="CQ50" t="str">
            <v/>
          </cell>
          <cell r="CR50" t="str">
            <v/>
          </cell>
          <cell r="CS50" t="str">
            <v/>
          </cell>
          <cell r="CT50" t="str">
            <v/>
          </cell>
          <cell r="CU50" t="str">
            <v/>
          </cell>
          <cell r="CV50" t="str">
            <v>Municipal Office</v>
          </cell>
          <cell r="CW50" t="str">
            <v/>
          </cell>
          <cell r="CX50" t="str">
            <v>Chairman</v>
          </cell>
          <cell r="CY50" t="str">
            <v/>
          </cell>
          <cell r="CZ50" t="str">
            <v>Municipal Office</v>
          </cell>
          <cell r="DA50" t="str">
            <v/>
          </cell>
          <cell r="DB50" t="str">
            <v>Deputy Chairman</v>
          </cell>
          <cell r="DC50" t="str">
            <v/>
          </cell>
          <cell r="DD50" t="str">
            <v>Municipal Office</v>
          </cell>
          <cell r="DE50" t="str">
            <v/>
          </cell>
          <cell r="DF50" t="str">
            <v>Adminstration Officer</v>
          </cell>
          <cell r="DG50" t="str">
            <v/>
          </cell>
          <cell r="DH50" t="str">
            <v>NRA/GMALI</v>
          </cell>
          <cell r="DI50" t="str">
            <v/>
          </cell>
          <cell r="DJ50" t="str">
            <v>NRA Chief-District</v>
          </cell>
          <cell r="DK50" t="str">
            <v/>
          </cell>
          <cell r="DL50" t="str">
            <v>DLPIU-Building</v>
          </cell>
          <cell r="DM50" t="str">
            <v/>
          </cell>
          <cell r="DN50" t="str">
            <v>DUDBC.DLPIU Chief</v>
          </cell>
          <cell r="DO50" t="str">
            <v/>
          </cell>
          <cell r="DP50" t="str">
            <v>Municipal Office</v>
          </cell>
          <cell r="DQ50" t="str">
            <v/>
          </cell>
          <cell r="DR50" t="str">
            <v>Focal Person</v>
          </cell>
          <cell r="DS50" t="str">
            <v/>
          </cell>
          <cell r="DT50" t="str">
            <v/>
          </cell>
          <cell r="DU50" t="str">
            <v/>
          </cell>
          <cell r="DV50" t="str">
            <v/>
          </cell>
          <cell r="DW50" t="str">
            <v/>
          </cell>
          <cell r="DX50" t="str">
            <v/>
          </cell>
          <cell r="DY50" t="str">
            <v/>
          </cell>
          <cell r="DZ50" t="str">
            <v/>
          </cell>
          <cell r="EA50" t="str">
            <v/>
          </cell>
          <cell r="EB50" t="str">
            <v/>
          </cell>
          <cell r="EC50" t="str">
            <v/>
          </cell>
          <cell r="ED50" t="str">
            <v/>
          </cell>
          <cell r="EE50" t="str">
            <v/>
          </cell>
          <cell r="EF50" t="str">
            <v/>
          </cell>
          <cell r="EG50" t="str">
            <v/>
          </cell>
          <cell r="EH50" t="str">
            <v/>
          </cell>
          <cell r="EI50" t="str">
            <v/>
          </cell>
          <cell r="EJ50">
            <v>0</v>
          </cell>
          <cell r="EK50">
            <v>0</v>
          </cell>
          <cell r="EL50">
            <v>0</v>
          </cell>
          <cell r="EM50">
            <v>0</v>
          </cell>
          <cell r="EN50">
            <v>0</v>
          </cell>
          <cell r="EO50">
            <v>0</v>
          </cell>
          <cell r="EP50" t="str">
            <v/>
          </cell>
          <cell r="EQ50" t="str">
            <v>Housing Recovery and Reconstruction Platform</v>
          </cell>
          <cell r="ER50" t="str">
            <v/>
          </cell>
          <cell r="ES50" t="str">
            <v>District Coordinator</v>
          </cell>
          <cell r="ET50" t="str">
            <v/>
          </cell>
          <cell r="EU50" t="str">
            <v>Housing Recovery and Reconstruction Platform</v>
          </cell>
          <cell r="EV50" t="str">
            <v/>
          </cell>
          <cell r="EW50" t="str">
            <v>DIstrict Information Management Officer</v>
          </cell>
          <cell r="EX50" t="str">
            <v/>
          </cell>
          <cell r="EY50" t="str">
            <v>Housing Recovery and Reconstruction Platform</v>
          </cell>
          <cell r="EZ50" t="str">
            <v/>
          </cell>
          <cell r="FA50" t="str">
            <v>District Technical Officer</v>
          </cell>
          <cell r="FB50" t="str">
            <v/>
          </cell>
        </row>
        <row r="51">
          <cell r="A51">
            <v>13006</v>
          </cell>
          <cell r="B51" t="str">
            <v>Khotang</v>
          </cell>
          <cell r="C51" t="str">
            <v>Kepilasagadhi Gaunpalika</v>
          </cell>
          <cell r="D51">
            <v>84</v>
          </cell>
          <cell r="E51">
            <v>672</v>
          </cell>
          <cell r="F51">
            <v>756</v>
          </cell>
          <cell r="G51" t="str">
            <v>Stone and cement mortar masonry</v>
          </cell>
          <cell r="H51">
            <v>0</v>
          </cell>
          <cell r="I51">
            <v>0.14000000000000001</v>
          </cell>
          <cell r="J51" t="str">
            <v>Stone and Mud Mortar Masonary</v>
          </cell>
          <cell r="K51">
            <v>99.07</v>
          </cell>
          <cell r="L51">
            <v>92.74</v>
          </cell>
          <cell r="M51" t="str">
            <v>Brick and Cement Mortar Masonary</v>
          </cell>
          <cell r="N51">
            <v>0</v>
          </cell>
          <cell r="O51">
            <v>0.02</v>
          </cell>
          <cell r="P51" t="str">
            <v>Brick and mud mortar Masonry</v>
          </cell>
          <cell r="Q51">
            <v>0</v>
          </cell>
          <cell r="R51">
            <v>0.05</v>
          </cell>
          <cell r="S51" t="str">
            <v>Reinforced cement concrete (RCC) frame</v>
          </cell>
          <cell r="T51">
            <v>0</v>
          </cell>
          <cell r="U51">
            <v>0.02</v>
          </cell>
          <cell r="V51" t="str">
            <v>Hybrid structure</v>
          </cell>
          <cell r="W51">
            <v>0</v>
          </cell>
          <cell r="X51">
            <v>0</v>
          </cell>
          <cell r="Y51" t="str">
            <v>Timber frame structure</v>
          </cell>
          <cell r="Z51">
            <v>0.4</v>
          </cell>
          <cell r="AA51">
            <v>0.28999999999999998</v>
          </cell>
          <cell r="AB51" t="str">
            <v>Hollow concrete block Masonry</v>
          </cell>
          <cell r="AC51">
            <v>0</v>
          </cell>
          <cell r="AD51">
            <v>0</v>
          </cell>
          <cell r="AE51" t="str">
            <v>Dry stone Masonry</v>
          </cell>
          <cell r="AF51">
            <v>0</v>
          </cell>
          <cell r="AG51">
            <v>0.25</v>
          </cell>
          <cell r="AH51" t="str">
            <v>Adobe structures</v>
          </cell>
          <cell r="AI51">
            <v>0.53</v>
          </cell>
          <cell r="AJ51">
            <v>6.28</v>
          </cell>
          <cell r="AK51" t="str">
            <v>Bamboo</v>
          </cell>
          <cell r="AL51">
            <v>0</v>
          </cell>
          <cell r="AM51">
            <v>0.23</v>
          </cell>
          <cell r="AN51" t="str">
            <v>Compressed stabilized earth block (SCEB) Masonry</v>
          </cell>
          <cell r="AO51">
            <v>0</v>
          </cell>
          <cell r="AP51">
            <v>0</v>
          </cell>
          <cell r="AQ51" t="str">
            <v>Light steel frame structures</v>
          </cell>
          <cell r="AR51">
            <v>0</v>
          </cell>
          <cell r="AS51">
            <v>0</v>
          </cell>
          <cell r="AT51">
            <v>662</v>
          </cell>
          <cell r="AU51">
            <v>83</v>
          </cell>
          <cell r="AV51">
            <v>83</v>
          </cell>
          <cell r="AW51">
            <v>21</v>
          </cell>
          <cell r="AX51">
            <v>0</v>
          </cell>
          <cell r="AY51" t="str">
            <v/>
          </cell>
          <cell r="AZ51" t="str">
            <v/>
          </cell>
          <cell r="BA51">
            <v>7</v>
          </cell>
          <cell r="BB51" t="str">
            <v/>
          </cell>
          <cell r="BC51" t="str">
            <v/>
          </cell>
          <cell r="BD51" t="str">
            <v/>
          </cell>
          <cell r="BE51" t="str">
            <v/>
          </cell>
          <cell r="BF51" t="str">
            <v/>
          </cell>
          <cell r="BG51" t="str">
            <v/>
          </cell>
          <cell r="BH51" t="str">
            <v/>
          </cell>
          <cell r="BI51" t="str">
            <v/>
          </cell>
          <cell r="BJ51" t="str">
            <v/>
          </cell>
          <cell r="BK51">
            <v>7288</v>
          </cell>
          <cell r="BL51" t="str">
            <v/>
          </cell>
          <cell r="BM51" t="str">
            <v/>
          </cell>
          <cell r="BN51">
            <v>7712</v>
          </cell>
          <cell r="BO51" t="str">
            <v/>
          </cell>
          <cell r="BP51" t="str">
            <v/>
          </cell>
          <cell r="BQ51">
            <v>780</v>
          </cell>
          <cell r="BR51" t="str">
            <v/>
          </cell>
          <cell r="BS51" t="str">
            <v/>
          </cell>
          <cell r="BT51">
            <v>907</v>
          </cell>
          <cell r="BU51" t="str">
            <v/>
          </cell>
          <cell r="BV51" t="str">
            <v/>
          </cell>
          <cell r="BW51" t="str">
            <v/>
          </cell>
          <cell r="BX51" t="str">
            <v/>
          </cell>
          <cell r="BY51" t="str">
            <v/>
          </cell>
          <cell r="BZ51">
            <v>25339</v>
          </cell>
          <cell r="CA51" t="str">
            <v/>
          </cell>
          <cell r="CB51" t="str">
            <v/>
          </cell>
          <cell r="CC51">
            <v>78406</v>
          </cell>
          <cell r="CD51" t="str">
            <v/>
          </cell>
          <cell r="CE51" t="str">
            <v/>
          </cell>
          <cell r="CF51">
            <v>1035</v>
          </cell>
          <cell r="CG51" t="str">
            <v/>
          </cell>
          <cell r="CH51" t="str">
            <v/>
          </cell>
          <cell r="CI51">
            <v>27640</v>
          </cell>
          <cell r="CJ51" t="str">
            <v/>
          </cell>
          <cell r="CK51" t="str">
            <v/>
          </cell>
          <cell r="CL51" t="str">
            <v>Skilled</v>
          </cell>
          <cell r="CM51" t="str">
            <v/>
          </cell>
          <cell r="CN51" t="str">
            <v>Labor</v>
          </cell>
          <cell r="CO51" t="str">
            <v/>
          </cell>
          <cell r="CP51" t="str">
            <v/>
          </cell>
          <cell r="CQ51" t="str">
            <v/>
          </cell>
          <cell r="CR51" t="str">
            <v/>
          </cell>
          <cell r="CS51" t="str">
            <v/>
          </cell>
          <cell r="CT51" t="str">
            <v/>
          </cell>
          <cell r="CU51" t="str">
            <v/>
          </cell>
          <cell r="CV51" t="str">
            <v>Municipal Office</v>
          </cell>
          <cell r="CW51" t="str">
            <v/>
          </cell>
          <cell r="CX51" t="str">
            <v>Chairman</v>
          </cell>
          <cell r="CY51" t="str">
            <v/>
          </cell>
          <cell r="CZ51" t="str">
            <v>Municipal Office</v>
          </cell>
          <cell r="DA51" t="str">
            <v/>
          </cell>
          <cell r="DB51" t="str">
            <v>Deputy Chairman</v>
          </cell>
          <cell r="DC51" t="str">
            <v/>
          </cell>
          <cell r="DD51" t="str">
            <v>Municipal Office</v>
          </cell>
          <cell r="DE51" t="str">
            <v/>
          </cell>
          <cell r="DF51" t="str">
            <v>Adminstration Officer</v>
          </cell>
          <cell r="DG51" t="str">
            <v/>
          </cell>
          <cell r="DH51" t="str">
            <v>NRA/GMALI</v>
          </cell>
          <cell r="DI51" t="str">
            <v/>
          </cell>
          <cell r="DJ51" t="str">
            <v>NRA Chief-District</v>
          </cell>
          <cell r="DK51" t="str">
            <v/>
          </cell>
          <cell r="DL51" t="str">
            <v>DLPIU-Building</v>
          </cell>
          <cell r="DM51" t="str">
            <v/>
          </cell>
          <cell r="DN51" t="str">
            <v>DUDBC.DLPIU Chief</v>
          </cell>
          <cell r="DO51" t="str">
            <v/>
          </cell>
          <cell r="DP51" t="str">
            <v>Municipal Office</v>
          </cell>
          <cell r="DQ51" t="str">
            <v/>
          </cell>
          <cell r="DR51" t="str">
            <v>Focal Person</v>
          </cell>
          <cell r="DS51" t="str">
            <v/>
          </cell>
          <cell r="DT51" t="str">
            <v/>
          </cell>
          <cell r="DU51" t="str">
            <v/>
          </cell>
          <cell r="DV51" t="str">
            <v/>
          </cell>
          <cell r="DW51" t="str">
            <v/>
          </cell>
          <cell r="DX51" t="str">
            <v/>
          </cell>
          <cell r="DY51" t="str">
            <v/>
          </cell>
          <cell r="DZ51" t="str">
            <v/>
          </cell>
          <cell r="EA51" t="str">
            <v/>
          </cell>
          <cell r="EB51" t="str">
            <v/>
          </cell>
          <cell r="EC51" t="str">
            <v/>
          </cell>
          <cell r="ED51" t="str">
            <v/>
          </cell>
          <cell r="EE51" t="str">
            <v/>
          </cell>
          <cell r="EF51" t="str">
            <v/>
          </cell>
          <cell r="EG51" t="str">
            <v/>
          </cell>
          <cell r="EH51" t="str">
            <v/>
          </cell>
          <cell r="EI51" t="str">
            <v/>
          </cell>
          <cell r="EJ51">
            <v>0</v>
          </cell>
          <cell r="EK51">
            <v>0</v>
          </cell>
          <cell r="EL51">
            <v>0</v>
          </cell>
          <cell r="EM51">
            <v>0</v>
          </cell>
          <cell r="EN51">
            <v>0</v>
          </cell>
          <cell r="EO51">
            <v>0</v>
          </cell>
          <cell r="EP51" t="str">
            <v/>
          </cell>
          <cell r="EQ51" t="str">
            <v>Housing Recovery and Reconstruction Platform</v>
          </cell>
          <cell r="ER51" t="str">
            <v/>
          </cell>
          <cell r="ES51" t="str">
            <v>District Coordinator</v>
          </cell>
          <cell r="ET51" t="str">
            <v/>
          </cell>
          <cell r="EU51" t="str">
            <v>Housing Recovery and Reconstruction Platform</v>
          </cell>
          <cell r="EV51" t="str">
            <v/>
          </cell>
          <cell r="EW51" t="str">
            <v>DIstrict Information Management Officer</v>
          </cell>
          <cell r="EX51" t="str">
            <v/>
          </cell>
          <cell r="EY51" t="str">
            <v>Housing Recovery and Reconstruction Platform</v>
          </cell>
          <cell r="EZ51" t="str">
            <v/>
          </cell>
          <cell r="FA51" t="str">
            <v>District Technical Officer</v>
          </cell>
          <cell r="FB51" t="str">
            <v/>
          </cell>
        </row>
        <row r="52">
          <cell r="A52">
            <v>13007</v>
          </cell>
          <cell r="B52" t="str">
            <v>Khotang</v>
          </cell>
          <cell r="C52" t="str">
            <v>Khotehang Gaunpalika</v>
          </cell>
          <cell r="D52">
            <v>503</v>
          </cell>
          <cell r="E52">
            <v>917</v>
          </cell>
          <cell r="F52">
            <v>1420</v>
          </cell>
          <cell r="G52" t="str">
            <v>Stone and cement mortar masonry</v>
          </cell>
          <cell r="H52">
            <v>0.21</v>
          </cell>
          <cell r="I52">
            <v>0.14000000000000001</v>
          </cell>
          <cell r="J52" t="str">
            <v>Stone and Mud Mortar Masonary</v>
          </cell>
          <cell r="K52">
            <v>71.760000000000005</v>
          </cell>
          <cell r="L52">
            <v>92.74</v>
          </cell>
          <cell r="M52" t="str">
            <v>Brick and Cement Mortar Masonary</v>
          </cell>
          <cell r="N52">
            <v>0</v>
          </cell>
          <cell r="O52">
            <v>0.02</v>
          </cell>
          <cell r="P52" t="str">
            <v>Brick and mud mortar Masonry</v>
          </cell>
          <cell r="Q52">
            <v>0.21</v>
          </cell>
          <cell r="R52">
            <v>0.05</v>
          </cell>
          <cell r="S52" t="str">
            <v>Reinforced cement concrete (RCC) frame</v>
          </cell>
          <cell r="T52">
            <v>0</v>
          </cell>
          <cell r="U52">
            <v>0.02</v>
          </cell>
          <cell r="V52" t="str">
            <v>Hybrid structure</v>
          </cell>
          <cell r="W52">
            <v>0</v>
          </cell>
          <cell r="X52">
            <v>0</v>
          </cell>
          <cell r="Y52" t="str">
            <v>Timber frame structure</v>
          </cell>
          <cell r="Z52">
            <v>0.28000000000000003</v>
          </cell>
          <cell r="AA52">
            <v>0.28999999999999998</v>
          </cell>
          <cell r="AB52" t="str">
            <v>Hollow concrete block Masonry</v>
          </cell>
          <cell r="AC52">
            <v>0</v>
          </cell>
          <cell r="AD52">
            <v>0</v>
          </cell>
          <cell r="AE52" t="str">
            <v>Dry stone Masonry</v>
          </cell>
          <cell r="AF52">
            <v>0.21</v>
          </cell>
          <cell r="AG52">
            <v>0.25</v>
          </cell>
          <cell r="AH52" t="str">
            <v>Adobe structures</v>
          </cell>
          <cell r="AI52">
            <v>27.32</v>
          </cell>
          <cell r="AJ52">
            <v>6.28</v>
          </cell>
          <cell r="AK52" t="str">
            <v>Bamboo</v>
          </cell>
          <cell r="AL52">
            <v>0</v>
          </cell>
          <cell r="AM52">
            <v>0.23</v>
          </cell>
          <cell r="AN52" t="str">
            <v>Compressed stabilized earth block (SCEB) Masonry</v>
          </cell>
          <cell r="AO52">
            <v>0</v>
          </cell>
          <cell r="AP52">
            <v>0</v>
          </cell>
          <cell r="AQ52" t="str">
            <v>Light steel frame structures</v>
          </cell>
          <cell r="AR52">
            <v>0</v>
          </cell>
          <cell r="AS52">
            <v>0</v>
          </cell>
          <cell r="AT52">
            <v>907</v>
          </cell>
          <cell r="AU52">
            <v>259</v>
          </cell>
          <cell r="AV52">
            <v>259</v>
          </cell>
          <cell r="AW52">
            <v>99</v>
          </cell>
          <cell r="AX52">
            <v>0</v>
          </cell>
          <cell r="AY52" t="str">
            <v/>
          </cell>
          <cell r="AZ52" t="str">
            <v/>
          </cell>
          <cell r="BA52">
            <v>4</v>
          </cell>
          <cell r="BB52" t="str">
            <v/>
          </cell>
          <cell r="BC52" t="str">
            <v/>
          </cell>
          <cell r="BD52" t="str">
            <v/>
          </cell>
          <cell r="BE52" t="str">
            <v/>
          </cell>
          <cell r="BF52" t="str">
            <v/>
          </cell>
          <cell r="BG52" t="str">
            <v/>
          </cell>
          <cell r="BH52" t="str">
            <v/>
          </cell>
          <cell r="BI52" t="str">
            <v/>
          </cell>
          <cell r="BJ52" t="str">
            <v/>
          </cell>
          <cell r="BK52">
            <v>2797</v>
          </cell>
          <cell r="BL52" t="str">
            <v/>
          </cell>
          <cell r="BM52" t="str">
            <v/>
          </cell>
          <cell r="BN52">
            <v>2976</v>
          </cell>
          <cell r="BO52" t="str">
            <v/>
          </cell>
          <cell r="BP52" t="str">
            <v/>
          </cell>
          <cell r="BQ52">
            <v>300</v>
          </cell>
          <cell r="BR52" t="str">
            <v/>
          </cell>
          <cell r="BS52" t="str">
            <v/>
          </cell>
          <cell r="BT52">
            <v>349</v>
          </cell>
          <cell r="BU52" t="str">
            <v/>
          </cell>
          <cell r="BV52" t="str">
            <v/>
          </cell>
          <cell r="BW52" t="str">
            <v/>
          </cell>
          <cell r="BX52" t="str">
            <v/>
          </cell>
          <cell r="BY52" t="str">
            <v/>
          </cell>
          <cell r="BZ52">
            <v>9754</v>
          </cell>
          <cell r="CA52" t="str">
            <v/>
          </cell>
          <cell r="CB52" t="str">
            <v/>
          </cell>
          <cell r="CC52">
            <v>30043</v>
          </cell>
          <cell r="CD52" t="str">
            <v/>
          </cell>
          <cell r="CE52" t="str">
            <v/>
          </cell>
          <cell r="CF52">
            <v>398</v>
          </cell>
          <cell r="CG52" t="str">
            <v/>
          </cell>
          <cell r="CH52" t="str">
            <v/>
          </cell>
          <cell r="CI52">
            <v>6019</v>
          </cell>
          <cell r="CJ52" t="str">
            <v/>
          </cell>
          <cell r="CK52" t="str">
            <v/>
          </cell>
          <cell r="CL52" t="str">
            <v>Skilled</v>
          </cell>
          <cell r="CM52" t="str">
            <v/>
          </cell>
          <cell r="CN52" t="str">
            <v>Labor</v>
          </cell>
          <cell r="CO52" t="str">
            <v/>
          </cell>
          <cell r="CP52" t="str">
            <v/>
          </cell>
          <cell r="CQ52" t="str">
            <v/>
          </cell>
          <cell r="CR52" t="str">
            <v/>
          </cell>
          <cell r="CS52" t="str">
            <v/>
          </cell>
          <cell r="CT52" t="str">
            <v/>
          </cell>
          <cell r="CU52" t="str">
            <v/>
          </cell>
          <cell r="CV52" t="str">
            <v>Municipal Office</v>
          </cell>
          <cell r="CW52" t="str">
            <v/>
          </cell>
          <cell r="CX52" t="str">
            <v>Chairman</v>
          </cell>
          <cell r="CY52" t="str">
            <v/>
          </cell>
          <cell r="CZ52" t="str">
            <v>Municipal Office</v>
          </cell>
          <cell r="DA52" t="str">
            <v/>
          </cell>
          <cell r="DB52" t="str">
            <v>Deputy Chairman</v>
          </cell>
          <cell r="DC52" t="str">
            <v/>
          </cell>
          <cell r="DD52" t="str">
            <v>Municipal Office</v>
          </cell>
          <cell r="DE52" t="str">
            <v/>
          </cell>
          <cell r="DF52" t="str">
            <v>Adminstration Officer</v>
          </cell>
          <cell r="DG52" t="str">
            <v/>
          </cell>
          <cell r="DH52" t="str">
            <v>NRA/GMALI</v>
          </cell>
          <cell r="DI52" t="str">
            <v/>
          </cell>
          <cell r="DJ52" t="str">
            <v>NRA Chief-District</v>
          </cell>
          <cell r="DK52" t="str">
            <v/>
          </cell>
          <cell r="DL52" t="str">
            <v>DLPIU-Building</v>
          </cell>
          <cell r="DM52" t="str">
            <v/>
          </cell>
          <cell r="DN52" t="str">
            <v>DUDBC.DLPIU Chief</v>
          </cell>
          <cell r="DO52" t="str">
            <v/>
          </cell>
          <cell r="DP52" t="str">
            <v>Municipal Office</v>
          </cell>
          <cell r="DQ52" t="str">
            <v/>
          </cell>
          <cell r="DR52" t="str">
            <v>Focal Person</v>
          </cell>
          <cell r="DS52" t="str">
            <v/>
          </cell>
          <cell r="DT52" t="str">
            <v/>
          </cell>
          <cell r="DU52" t="str">
            <v/>
          </cell>
          <cell r="DV52" t="str">
            <v/>
          </cell>
          <cell r="DW52" t="str">
            <v/>
          </cell>
          <cell r="DX52" t="str">
            <v/>
          </cell>
          <cell r="DY52" t="str">
            <v/>
          </cell>
          <cell r="DZ52" t="str">
            <v/>
          </cell>
          <cell r="EA52" t="str">
            <v/>
          </cell>
          <cell r="EB52" t="str">
            <v/>
          </cell>
          <cell r="EC52" t="str">
            <v/>
          </cell>
          <cell r="ED52" t="str">
            <v/>
          </cell>
          <cell r="EE52" t="str">
            <v/>
          </cell>
          <cell r="EF52" t="str">
            <v/>
          </cell>
          <cell r="EG52" t="str">
            <v/>
          </cell>
          <cell r="EH52" t="str">
            <v/>
          </cell>
          <cell r="EI52" t="str">
            <v/>
          </cell>
          <cell r="EJ52">
            <v>0</v>
          </cell>
          <cell r="EK52">
            <v>0</v>
          </cell>
          <cell r="EL52">
            <v>0</v>
          </cell>
          <cell r="EM52">
            <v>0</v>
          </cell>
          <cell r="EN52">
            <v>0</v>
          </cell>
          <cell r="EO52">
            <v>0</v>
          </cell>
          <cell r="EP52" t="str">
            <v/>
          </cell>
          <cell r="EQ52" t="str">
            <v>Housing Recovery and Reconstruction Platform</v>
          </cell>
          <cell r="ER52" t="str">
            <v/>
          </cell>
          <cell r="ES52" t="str">
            <v>District Coordinator</v>
          </cell>
          <cell r="ET52" t="str">
            <v/>
          </cell>
          <cell r="EU52" t="str">
            <v>Housing Recovery and Reconstruction Platform</v>
          </cell>
          <cell r="EV52" t="str">
            <v/>
          </cell>
          <cell r="EW52" t="str">
            <v>DIstrict Information Management Officer</v>
          </cell>
          <cell r="EX52" t="str">
            <v/>
          </cell>
          <cell r="EY52" t="str">
            <v>Housing Recovery and Reconstruction Platform</v>
          </cell>
          <cell r="EZ52" t="str">
            <v/>
          </cell>
          <cell r="FA52" t="str">
            <v>District Technical Officer</v>
          </cell>
          <cell r="FB52" t="str">
            <v/>
          </cell>
        </row>
        <row r="53">
          <cell r="A53">
            <v>13008</v>
          </cell>
          <cell r="B53" t="str">
            <v>Khotang</v>
          </cell>
          <cell r="C53" t="str">
            <v>Lamidanda Gaunpalika</v>
          </cell>
          <cell r="D53">
            <v>624</v>
          </cell>
          <cell r="E53">
            <v>929</v>
          </cell>
          <cell r="F53">
            <v>1553</v>
          </cell>
          <cell r="G53" t="str">
            <v>Stone and cement mortar masonry</v>
          </cell>
          <cell r="H53">
            <v>0</v>
          </cell>
          <cell r="I53">
            <v>0.14000000000000001</v>
          </cell>
          <cell r="J53" t="str">
            <v>Stone and Mud Mortar Masonary</v>
          </cell>
          <cell r="K53">
            <v>99.29</v>
          </cell>
          <cell r="L53">
            <v>92.74</v>
          </cell>
          <cell r="M53" t="str">
            <v>Brick and Cement Mortar Masonary</v>
          </cell>
          <cell r="N53">
            <v>0</v>
          </cell>
          <cell r="O53">
            <v>0.02</v>
          </cell>
          <cell r="P53" t="str">
            <v>Brick and mud mortar Masonry</v>
          </cell>
          <cell r="Q53">
            <v>0</v>
          </cell>
          <cell r="R53">
            <v>0.05</v>
          </cell>
          <cell r="S53" t="str">
            <v>Reinforced cement concrete (RCC) frame</v>
          </cell>
          <cell r="T53">
            <v>0</v>
          </cell>
          <cell r="U53">
            <v>0.02</v>
          </cell>
          <cell r="V53" t="str">
            <v>Hybrid structure</v>
          </cell>
          <cell r="W53">
            <v>0</v>
          </cell>
          <cell r="X53">
            <v>0</v>
          </cell>
          <cell r="Y53" t="str">
            <v>Timber frame structure</v>
          </cell>
          <cell r="Z53">
            <v>0.39</v>
          </cell>
          <cell r="AA53">
            <v>0.28999999999999998</v>
          </cell>
          <cell r="AB53" t="str">
            <v>Hollow concrete block Masonry</v>
          </cell>
          <cell r="AC53">
            <v>0</v>
          </cell>
          <cell r="AD53">
            <v>0</v>
          </cell>
          <cell r="AE53" t="str">
            <v>Dry stone Masonry</v>
          </cell>
          <cell r="AF53">
            <v>0.06</v>
          </cell>
          <cell r="AG53">
            <v>0.25</v>
          </cell>
          <cell r="AH53" t="str">
            <v>Adobe structures</v>
          </cell>
          <cell r="AI53">
            <v>0.13</v>
          </cell>
          <cell r="AJ53">
            <v>6.28</v>
          </cell>
          <cell r="AK53" t="str">
            <v>Bamboo</v>
          </cell>
          <cell r="AL53">
            <v>0.13</v>
          </cell>
          <cell r="AM53">
            <v>0.23</v>
          </cell>
          <cell r="AN53" t="str">
            <v>Compressed stabilized earth block (SCEB) Masonry</v>
          </cell>
          <cell r="AO53">
            <v>0</v>
          </cell>
          <cell r="AP53">
            <v>0</v>
          </cell>
          <cell r="AQ53" t="str">
            <v>Light steel frame structures</v>
          </cell>
          <cell r="AR53">
            <v>0</v>
          </cell>
          <cell r="AS53">
            <v>0</v>
          </cell>
          <cell r="AT53">
            <v>839</v>
          </cell>
          <cell r="AU53">
            <v>100</v>
          </cell>
          <cell r="AV53">
            <v>100</v>
          </cell>
          <cell r="AW53">
            <v>68</v>
          </cell>
          <cell r="AX53">
            <v>0</v>
          </cell>
          <cell r="AY53" t="str">
            <v/>
          </cell>
          <cell r="AZ53" t="str">
            <v/>
          </cell>
          <cell r="BA53">
            <v>48</v>
          </cell>
          <cell r="BB53" t="str">
            <v/>
          </cell>
          <cell r="BC53" t="str">
            <v/>
          </cell>
          <cell r="BD53" t="str">
            <v/>
          </cell>
          <cell r="BE53" t="str">
            <v/>
          </cell>
          <cell r="BF53" t="str">
            <v/>
          </cell>
          <cell r="BG53" t="str">
            <v/>
          </cell>
          <cell r="BH53" t="str">
            <v/>
          </cell>
          <cell r="BI53" t="str">
            <v/>
          </cell>
          <cell r="BJ53" t="str">
            <v/>
          </cell>
          <cell r="BK53">
            <v>13366</v>
          </cell>
          <cell r="BL53" t="str">
            <v/>
          </cell>
          <cell r="BM53" t="str">
            <v/>
          </cell>
          <cell r="BN53">
            <v>13928</v>
          </cell>
          <cell r="BO53" t="str">
            <v/>
          </cell>
          <cell r="BP53" t="str">
            <v/>
          </cell>
          <cell r="BQ53">
            <v>1429</v>
          </cell>
          <cell r="BR53" t="str">
            <v/>
          </cell>
          <cell r="BS53" t="str">
            <v/>
          </cell>
          <cell r="BT53">
            <v>1657</v>
          </cell>
          <cell r="BU53" t="str">
            <v/>
          </cell>
          <cell r="BV53" t="str">
            <v/>
          </cell>
          <cell r="BW53" t="str">
            <v/>
          </cell>
          <cell r="BX53" t="str">
            <v/>
          </cell>
          <cell r="BY53" t="str">
            <v/>
          </cell>
          <cell r="BZ53">
            <v>46093</v>
          </cell>
          <cell r="CA53" t="str">
            <v/>
          </cell>
          <cell r="CB53" t="str">
            <v/>
          </cell>
          <cell r="CC53">
            <v>144532</v>
          </cell>
          <cell r="CD53" t="str">
            <v/>
          </cell>
          <cell r="CE53" t="str">
            <v/>
          </cell>
          <cell r="CF53">
            <v>1884</v>
          </cell>
          <cell r="CG53" t="str">
            <v/>
          </cell>
          <cell r="CH53" t="str">
            <v/>
          </cell>
          <cell r="CI53">
            <v>112971</v>
          </cell>
          <cell r="CJ53" t="str">
            <v/>
          </cell>
          <cell r="CK53" t="str">
            <v/>
          </cell>
          <cell r="CL53" t="str">
            <v>Skilled</v>
          </cell>
          <cell r="CM53" t="str">
            <v/>
          </cell>
          <cell r="CN53" t="str">
            <v>Labor</v>
          </cell>
          <cell r="CO53" t="str">
            <v/>
          </cell>
          <cell r="CP53" t="str">
            <v/>
          </cell>
          <cell r="CQ53" t="str">
            <v/>
          </cell>
          <cell r="CR53" t="str">
            <v/>
          </cell>
          <cell r="CS53" t="str">
            <v/>
          </cell>
          <cell r="CT53" t="str">
            <v/>
          </cell>
          <cell r="CU53" t="str">
            <v/>
          </cell>
          <cell r="CV53" t="str">
            <v>Municipal Office</v>
          </cell>
          <cell r="CW53" t="str">
            <v/>
          </cell>
          <cell r="CX53" t="str">
            <v>Chairman</v>
          </cell>
          <cell r="CY53" t="str">
            <v/>
          </cell>
          <cell r="CZ53" t="str">
            <v>Municipal Office</v>
          </cell>
          <cell r="DA53" t="str">
            <v/>
          </cell>
          <cell r="DB53" t="str">
            <v>Deputy Chairman</v>
          </cell>
          <cell r="DC53" t="str">
            <v/>
          </cell>
          <cell r="DD53" t="str">
            <v>Municipal Office</v>
          </cell>
          <cell r="DE53" t="str">
            <v/>
          </cell>
          <cell r="DF53" t="str">
            <v>Adminstration Officer</v>
          </cell>
          <cell r="DG53" t="str">
            <v/>
          </cell>
          <cell r="DH53" t="str">
            <v>NRA/GMALI</v>
          </cell>
          <cell r="DI53" t="str">
            <v/>
          </cell>
          <cell r="DJ53" t="str">
            <v>NRA Chief-District</v>
          </cell>
          <cell r="DK53" t="str">
            <v/>
          </cell>
          <cell r="DL53" t="str">
            <v>DLPIU-Building</v>
          </cell>
          <cell r="DM53" t="str">
            <v/>
          </cell>
          <cell r="DN53" t="str">
            <v>DUDBC.DLPIU Chief</v>
          </cell>
          <cell r="DO53" t="str">
            <v/>
          </cell>
          <cell r="DP53" t="str">
            <v>Municipal Office</v>
          </cell>
          <cell r="DQ53" t="str">
            <v/>
          </cell>
          <cell r="DR53" t="str">
            <v>Focal Person</v>
          </cell>
          <cell r="DS53" t="str">
            <v/>
          </cell>
          <cell r="DT53" t="str">
            <v/>
          </cell>
          <cell r="DU53" t="str">
            <v/>
          </cell>
          <cell r="DV53" t="str">
            <v/>
          </cell>
          <cell r="DW53" t="str">
            <v/>
          </cell>
          <cell r="DX53" t="str">
            <v/>
          </cell>
          <cell r="DY53" t="str">
            <v/>
          </cell>
          <cell r="DZ53" t="str">
            <v/>
          </cell>
          <cell r="EA53" t="str">
            <v/>
          </cell>
          <cell r="EB53" t="str">
            <v/>
          </cell>
          <cell r="EC53" t="str">
            <v/>
          </cell>
          <cell r="ED53" t="str">
            <v/>
          </cell>
          <cell r="EE53" t="str">
            <v/>
          </cell>
          <cell r="EF53" t="str">
            <v/>
          </cell>
          <cell r="EG53" t="str">
            <v/>
          </cell>
          <cell r="EH53" t="str">
            <v/>
          </cell>
          <cell r="EI53" t="str">
            <v/>
          </cell>
          <cell r="EJ53">
            <v>0</v>
          </cell>
          <cell r="EK53">
            <v>0</v>
          </cell>
          <cell r="EL53">
            <v>0</v>
          </cell>
          <cell r="EM53">
            <v>0</v>
          </cell>
          <cell r="EN53">
            <v>0</v>
          </cell>
          <cell r="EO53">
            <v>0</v>
          </cell>
          <cell r="EP53" t="str">
            <v/>
          </cell>
          <cell r="EQ53" t="str">
            <v>Housing Recovery and Reconstruction Platform</v>
          </cell>
          <cell r="ER53" t="str">
            <v/>
          </cell>
          <cell r="ES53" t="str">
            <v>District Coordinator</v>
          </cell>
          <cell r="ET53" t="str">
            <v/>
          </cell>
          <cell r="EU53" t="str">
            <v>Housing Recovery and Reconstruction Platform</v>
          </cell>
          <cell r="EV53" t="str">
            <v/>
          </cell>
          <cell r="EW53" t="str">
            <v>DIstrict Information Management Officer</v>
          </cell>
          <cell r="EX53" t="str">
            <v/>
          </cell>
          <cell r="EY53" t="str">
            <v>Housing Recovery and Reconstruction Platform</v>
          </cell>
          <cell r="EZ53" t="str">
            <v/>
          </cell>
          <cell r="FA53" t="str">
            <v>District Technical Officer</v>
          </cell>
          <cell r="FB53" t="str">
            <v/>
          </cell>
        </row>
        <row r="54">
          <cell r="A54">
            <v>13009</v>
          </cell>
          <cell r="B54" t="str">
            <v>Khotang</v>
          </cell>
          <cell r="C54" t="str">
            <v>Rupakot huwagadhi Nagarpalika</v>
          </cell>
          <cell r="D54">
            <v>646</v>
          </cell>
          <cell r="E54">
            <v>1632</v>
          </cell>
          <cell r="F54">
            <v>2278</v>
          </cell>
          <cell r="G54" t="str">
            <v>Stone and cement mortar masonry</v>
          </cell>
          <cell r="H54">
            <v>0.18</v>
          </cell>
          <cell r="I54">
            <v>0.14000000000000001</v>
          </cell>
          <cell r="J54" t="str">
            <v>Stone and Mud Mortar Masonary</v>
          </cell>
          <cell r="K54">
            <v>99.34</v>
          </cell>
          <cell r="L54">
            <v>92.74</v>
          </cell>
          <cell r="M54" t="str">
            <v>Brick and Cement Mortar Masonary</v>
          </cell>
          <cell r="N54">
            <v>0</v>
          </cell>
          <cell r="O54">
            <v>0.02</v>
          </cell>
          <cell r="P54" t="str">
            <v>Brick and mud mortar Masonry</v>
          </cell>
          <cell r="Q54">
            <v>0</v>
          </cell>
          <cell r="R54">
            <v>0.05</v>
          </cell>
          <cell r="S54" t="str">
            <v>Reinforced cement concrete (RCC) frame</v>
          </cell>
          <cell r="T54">
            <v>0</v>
          </cell>
          <cell r="U54">
            <v>0.02</v>
          </cell>
          <cell r="V54" t="str">
            <v>Hybrid structure</v>
          </cell>
          <cell r="W54">
            <v>0</v>
          </cell>
          <cell r="X54">
            <v>0</v>
          </cell>
          <cell r="Y54" t="str">
            <v>Timber frame structure</v>
          </cell>
          <cell r="Z54">
            <v>0.18</v>
          </cell>
          <cell r="AA54">
            <v>0.28999999999999998</v>
          </cell>
          <cell r="AB54" t="str">
            <v>Hollow concrete block Masonry</v>
          </cell>
          <cell r="AC54">
            <v>0</v>
          </cell>
          <cell r="AD54">
            <v>0</v>
          </cell>
          <cell r="AE54" t="str">
            <v>Dry stone Masonry</v>
          </cell>
          <cell r="AF54">
            <v>0</v>
          </cell>
          <cell r="AG54">
            <v>0.25</v>
          </cell>
          <cell r="AH54" t="str">
            <v>Adobe structures</v>
          </cell>
          <cell r="AI54">
            <v>0.18</v>
          </cell>
          <cell r="AJ54">
            <v>6.28</v>
          </cell>
          <cell r="AK54" t="str">
            <v>Bamboo</v>
          </cell>
          <cell r="AL54">
            <v>0.13</v>
          </cell>
          <cell r="AM54">
            <v>0.23</v>
          </cell>
          <cell r="AN54" t="str">
            <v>Compressed stabilized earth block (SCEB) Masonry</v>
          </cell>
          <cell r="AO54">
            <v>0</v>
          </cell>
          <cell r="AP54">
            <v>0</v>
          </cell>
          <cell r="AQ54" t="str">
            <v>Light steel frame structures</v>
          </cell>
          <cell r="AR54">
            <v>0</v>
          </cell>
          <cell r="AS54">
            <v>0</v>
          </cell>
          <cell r="AT54">
            <v>1511</v>
          </cell>
          <cell r="AU54">
            <v>471</v>
          </cell>
          <cell r="AV54">
            <v>471</v>
          </cell>
          <cell r="AW54">
            <v>270</v>
          </cell>
          <cell r="AX54">
            <v>0</v>
          </cell>
          <cell r="AY54" t="str">
            <v/>
          </cell>
          <cell r="AZ54" t="str">
            <v/>
          </cell>
          <cell r="BA54">
            <v>57</v>
          </cell>
          <cell r="BB54" t="str">
            <v/>
          </cell>
          <cell r="BC54" t="str">
            <v/>
          </cell>
          <cell r="BD54" t="str">
            <v/>
          </cell>
          <cell r="BE54" t="str">
            <v/>
          </cell>
          <cell r="BF54" t="str">
            <v/>
          </cell>
          <cell r="BG54" t="str">
            <v/>
          </cell>
          <cell r="BH54" t="str">
            <v/>
          </cell>
          <cell r="BI54" t="str">
            <v/>
          </cell>
          <cell r="BJ54" t="str">
            <v/>
          </cell>
          <cell r="BK54">
            <v>3745</v>
          </cell>
          <cell r="BL54" t="str">
            <v/>
          </cell>
          <cell r="BM54" t="str">
            <v/>
          </cell>
          <cell r="BN54">
            <v>3966</v>
          </cell>
          <cell r="BO54" t="str">
            <v/>
          </cell>
          <cell r="BP54" t="str">
            <v/>
          </cell>
          <cell r="BQ54">
            <v>401</v>
          </cell>
          <cell r="BR54" t="str">
            <v/>
          </cell>
          <cell r="BS54" t="str">
            <v/>
          </cell>
          <cell r="BT54">
            <v>466</v>
          </cell>
          <cell r="BU54" t="str">
            <v/>
          </cell>
          <cell r="BV54" t="str">
            <v/>
          </cell>
          <cell r="BW54" t="str">
            <v/>
          </cell>
          <cell r="BX54" t="str">
            <v/>
          </cell>
          <cell r="BY54" t="str">
            <v/>
          </cell>
          <cell r="BZ54">
            <v>13026</v>
          </cell>
          <cell r="CA54" t="str">
            <v/>
          </cell>
          <cell r="CB54" t="str">
            <v/>
          </cell>
          <cell r="CC54">
            <v>40287</v>
          </cell>
          <cell r="CD54" t="str">
            <v/>
          </cell>
          <cell r="CE54" t="str">
            <v/>
          </cell>
          <cell r="CF54">
            <v>532</v>
          </cell>
          <cell r="CG54" t="str">
            <v/>
          </cell>
          <cell r="CH54" t="str">
            <v/>
          </cell>
          <cell r="CI54">
            <v>13522</v>
          </cell>
          <cell r="CJ54" t="str">
            <v/>
          </cell>
          <cell r="CK54" t="str">
            <v/>
          </cell>
          <cell r="CL54" t="str">
            <v>Skilled</v>
          </cell>
          <cell r="CM54" t="str">
            <v/>
          </cell>
          <cell r="CN54" t="str">
            <v>Labor</v>
          </cell>
          <cell r="CO54" t="str">
            <v/>
          </cell>
          <cell r="CP54" t="str">
            <v/>
          </cell>
          <cell r="CQ54" t="str">
            <v/>
          </cell>
          <cell r="CR54" t="str">
            <v/>
          </cell>
          <cell r="CS54" t="str">
            <v/>
          </cell>
          <cell r="CT54" t="str">
            <v/>
          </cell>
          <cell r="CU54" t="str">
            <v/>
          </cell>
          <cell r="CV54" t="str">
            <v>Municipal Office</v>
          </cell>
          <cell r="CW54" t="str">
            <v/>
          </cell>
          <cell r="CX54" t="str">
            <v>Mayor</v>
          </cell>
          <cell r="CY54" t="str">
            <v/>
          </cell>
          <cell r="CZ54" t="str">
            <v>Municipal Office</v>
          </cell>
          <cell r="DA54" t="str">
            <v/>
          </cell>
          <cell r="DB54" t="str">
            <v>Deputy Mayor</v>
          </cell>
          <cell r="DC54" t="str">
            <v/>
          </cell>
          <cell r="DD54" t="str">
            <v>Municipal Office</v>
          </cell>
          <cell r="DE54" t="str">
            <v/>
          </cell>
          <cell r="DF54" t="str">
            <v>Adminstration Officer</v>
          </cell>
          <cell r="DG54" t="str">
            <v/>
          </cell>
          <cell r="DH54" t="str">
            <v>NRA/GMALI</v>
          </cell>
          <cell r="DI54" t="str">
            <v/>
          </cell>
          <cell r="DJ54" t="str">
            <v>NRA Chief-District</v>
          </cell>
          <cell r="DK54" t="str">
            <v/>
          </cell>
          <cell r="DL54" t="str">
            <v>DLPIU-Building</v>
          </cell>
          <cell r="DM54" t="str">
            <v/>
          </cell>
          <cell r="DN54" t="str">
            <v>DUDBC.DLPIU Chief</v>
          </cell>
          <cell r="DO54" t="str">
            <v/>
          </cell>
          <cell r="DP54" t="str">
            <v>Municipal Office</v>
          </cell>
          <cell r="DQ54" t="str">
            <v/>
          </cell>
          <cell r="DR54" t="str">
            <v>Focal Person</v>
          </cell>
          <cell r="DS54" t="str">
            <v/>
          </cell>
          <cell r="DT54" t="str">
            <v/>
          </cell>
          <cell r="DU54" t="str">
            <v/>
          </cell>
          <cell r="DV54" t="str">
            <v/>
          </cell>
          <cell r="DW54" t="str">
            <v/>
          </cell>
          <cell r="DX54" t="str">
            <v/>
          </cell>
          <cell r="DY54" t="str">
            <v/>
          </cell>
          <cell r="DZ54" t="str">
            <v/>
          </cell>
          <cell r="EA54" t="str">
            <v/>
          </cell>
          <cell r="EB54" t="str">
            <v/>
          </cell>
          <cell r="EC54" t="str">
            <v/>
          </cell>
          <cell r="ED54" t="str">
            <v/>
          </cell>
          <cell r="EE54" t="str">
            <v/>
          </cell>
          <cell r="EF54" t="str">
            <v/>
          </cell>
          <cell r="EG54" t="str">
            <v/>
          </cell>
          <cell r="EH54" t="str">
            <v/>
          </cell>
          <cell r="EI54" t="str">
            <v/>
          </cell>
          <cell r="EJ54">
            <v>0</v>
          </cell>
          <cell r="EK54">
            <v>0</v>
          </cell>
          <cell r="EL54">
            <v>0</v>
          </cell>
          <cell r="EM54">
            <v>0</v>
          </cell>
          <cell r="EN54">
            <v>0</v>
          </cell>
          <cell r="EO54">
            <v>0</v>
          </cell>
          <cell r="EP54" t="str">
            <v/>
          </cell>
          <cell r="EQ54" t="str">
            <v>Housing Recovery and Reconstruction Platform</v>
          </cell>
          <cell r="ER54" t="str">
            <v/>
          </cell>
          <cell r="ES54" t="str">
            <v>District Coordinator</v>
          </cell>
          <cell r="ET54" t="str">
            <v/>
          </cell>
          <cell r="EU54" t="str">
            <v>Housing Recovery and Reconstruction Platform</v>
          </cell>
          <cell r="EV54" t="str">
            <v/>
          </cell>
          <cell r="EW54" t="str">
            <v>DIstrict Information Management Officer</v>
          </cell>
          <cell r="EX54" t="str">
            <v/>
          </cell>
          <cell r="EY54" t="str">
            <v>Housing Recovery and Reconstruction Platform</v>
          </cell>
          <cell r="EZ54" t="str">
            <v/>
          </cell>
          <cell r="FA54" t="str">
            <v>District Technical Officer</v>
          </cell>
          <cell r="FB54" t="str">
            <v/>
          </cell>
        </row>
        <row r="55">
          <cell r="A55">
            <v>13010</v>
          </cell>
          <cell r="B55" t="str">
            <v>Khotang</v>
          </cell>
          <cell r="C55" t="str">
            <v>Sakela Gaunpalika</v>
          </cell>
          <cell r="D55">
            <v>221</v>
          </cell>
          <cell r="E55">
            <v>550</v>
          </cell>
          <cell r="F55">
            <v>771</v>
          </cell>
          <cell r="G55" t="str">
            <v>Stone and cement mortar masonry</v>
          </cell>
          <cell r="H55">
            <v>0</v>
          </cell>
          <cell r="I55">
            <v>0.14000000000000001</v>
          </cell>
          <cell r="J55" t="str">
            <v>Stone and Mud Mortar Masonary</v>
          </cell>
          <cell r="K55">
            <v>100</v>
          </cell>
          <cell r="L55">
            <v>92.74</v>
          </cell>
          <cell r="M55" t="str">
            <v>Brick and Cement Mortar Masonary</v>
          </cell>
          <cell r="N55">
            <v>0</v>
          </cell>
          <cell r="O55">
            <v>0.02</v>
          </cell>
          <cell r="P55" t="str">
            <v>Brick and mud mortar Masonry</v>
          </cell>
          <cell r="Q55">
            <v>0</v>
          </cell>
          <cell r="R55">
            <v>0.05</v>
          </cell>
          <cell r="S55" t="str">
            <v>Reinforced cement concrete (RCC) frame</v>
          </cell>
          <cell r="T55">
            <v>0</v>
          </cell>
          <cell r="U55">
            <v>0.02</v>
          </cell>
          <cell r="V55" t="str">
            <v>Hybrid structure</v>
          </cell>
          <cell r="W55">
            <v>0</v>
          </cell>
          <cell r="X55">
            <v>0</v>
          </cell>
          <cell r="Y55" t="str">
            <v>Timber frame structure</v>
          </cell>
          <cell r="Z55">
            <v>0</v>
          </cell>
          <cell r="AA55">
            <v>0.28999999999999998</v>
          </cell>
          <cell r="AB55" t="str">
            <v>Hollow concrete block Masonry</v>
          </cell>
          <cell r="AC55">
            <v>0</v>
          </cell>
          <cell r="AD55">
            <v>0</v>
          </cell>
          <cell r="AE55" t="str">
            <v>Dry stone Masonry</v>
          </cell>
          <cell r="AF55">
            <v>0</v>
          </cell>
          <cell r="AG55">
            <v>0.25</v>
          </cell>
          <cell r="AH55" t="str">
            <v>Adobe structures</v>
          </cell>
          <cell r="AI55">
            <v>0</v>
          </cell>
          <cell r="AJ55">
            <v>6.28</v>
          </cell>
          <cell r="AK55" t="str">
            <v>Bamboo</v>
          </cell>
          <cell r="AL55">
            <v>0</v>
          </cell>
          <cell r="AM55">
            <v>0.23</v>
          </cell>
          <cell r="AN55" t="str">
            <v>Compressed stabilized earth block (SCEB) Masonry</v>
          </cell>
          <cell r="AO55">
            <v>0</v>
          </cell>
          <cell r="AP55">
            <v>0</v>
          </cell>
          <cell r="AQ55" t="str">
            <v>Light steel frame structures</v>
          </cell>
          <cell r="AR55">
            <v>0</v>
          </cell>
          <cell r="AS55">
            <v>0</v>
          </cell>
          <cell r="AT55">
            <v>532</v>
          </cell>
          <cell r="AU55">
            <v>133</v>
          </cell>
          <cell r="AV55">
            <v>133</v>
          </cell>
          <cell r="AW55">
            <v>92</v>
          </cell>
          <cell r="AX55">
            <v>0</v>
          </cell>
          <cell r="AY55" t="str">
            <v/>
          </cell>
          <cell r="AZ55" t="str">
            <v/>
          </cell>
          <cell r="BA55">
            <v>16</v>
          </cell>
          <cell r="BB55" t="str">
            <v/>
          </cell>
          <cell r="BC55" t="str">
            <v/>
          </cell>
          <cell r="BD55" t="str">
            <v/>
          </cell>
          <cell r="BE55" t="str">
            <v/>
          </cell>
          <cell r="BF55" t="str">
            <v/>
          </cell>
          <cell r="BG55" t="str">
            <v/>
          </cell>
          <cell r="BH55" t="str">
            <v/>
          </cell>
          <cell r="BI55" t="str">
            <v/>
          </cell>
          <cell r="BJ55" t="str">
            <v/>
          </cell>
          <cell r="BK55">
            <v>1572</v>
          </cell>
          <cell r="BL55" t="str">
            <v/>
          </cell>
          <cell r="BM55" t="str">
            <v/>
          </cell>
          <cell r="BN55">
            <v>1627</v>
          </cell>
          <cell r="BO55" t="str">
            <v/>
          </cell>
          <cell r="BP55" t="str">
            <v/>
          </cell>
          <cell r="BQ55">
            <v>168</v>
          </cell>
          <cell r="BR55" t="str">
            <v/>
          </cell>
          <cell r="BS55" t="str">
            <v/>
          </cell>
          <cell r="BT55">
            <v>194</v>
          </cell>
          <cell r="BU55" t="str">
            <v/>
          </cell>
          <cell r="BV55" t="str">
            <v/>
          </cell>
          <cell r="BW55" t="str">
            <v/>
          </cell>
          <cell r="BX55" t="str">
            <v/>
          </cell>
          <cell r="BY55" t="str">
            <v/>
          </cell>
          <cell r="BZ55">
            <v>5372</v>
          </cell>
          <cell r="CA55" t="str">
            <v/>
          </cell>
          <cell r="CB55" t="str">
            <v/>
          </cell>
          <cell r="CC55">
            <v>16998</v>
          </cell>
          <cell r="CD55" t="str">
            <v/>
          </cell>
          <cell r="CE55" t="str">
            <v/>
          </cell>
          <cell r="CF55">
            <v>219</v>
          </cell>
          <cell r="CG55" t="str">
            <v/>
          </cell>
          <cell r="CH55" t="str">
            <v/>
          </cell>
          <cell r="CI55">
            <v>11764</v>
          </cell>
          <cell r="CJ55" t="str">
            <v/>
          </cell>
          <cell r="CK55" t="str">
            <v/>
          </cell>
          <cell r="CL55" t="str">
            <v>Skilled</v>
          </cell>
          <cell r="CM55" t="str">
            <v/>
          </cell>
          <cell r="CN55" t="str">
            <v>Labor</v>
          </cell>
          <cell r="CO55" t="str">
            <v/>
          </cell>
          <cell r="CP55" t="str">
            <v/>
          </cell>
          <cell r="CQ55" t="str">
            <v/>
          </cell>
          <cell r="CR55" t="str">
            <v/>
          </cell>
          <cell r="CS55" t="str">
            <v/>
          </cell>
          <cell r="CT55" t="str">
            <v/>
          </cell>
          <cell r="CU55" t="str">
            <v/>
          </cell>
          <cell r="CV55" t="str">
            <v>Municipal Office</v>
          </cell>
          <cell r="CW55" t="str">
            <v/>
          </cell>
          <cell r="CX55" t="str">
            <v>Chairman</v>
          </cell>
          <cell r="CY55" t="str">
            <v/>
          </cell>
          <cell r="CZ55" t="str">
            <v>Municipal Office</v>
          </cell>
          <cell r="DA55" t="str">
            <v/>
          </cell>
          <cell r="DB55" t="str">
            <v>Deputy Chairman</v>
          </cell>
          <cell r="DC55" t="str">
            <v/>
          </cell>
          <cell r="DD55" t="str">
            <v>Municipal Office</v>
          </cell>
          <cell r="DE55" t="str">
            <v/>
          </cell>
          <cell r="DF55" t="str">
            <v>Adminstration Officer</v>
          </cell>
          <cell r="DG55" t="str">
            <v/>
          </cell>
          <cell r="DH55" t="str">
            <v>NRA/GMALI</v>
          </cell>
          <cell r="DI55" t="str">
            <v/>
          </cell>
          <cell r="DJ55" t="str">
            <v>NRA Chief-District</v>
          </cell>
          <cell r="DK55" t="str">
            <v/>
          </cell>
          <cell r="DL55" t="str">
            <v>DLPIU-Building</v>
          </cell>
          <cell r="DM55" t="str">
            <v/>
          </cell>
          <cell r="DN55" t="str">
            <v>DUDBC.DLPIU Chief</v>
          </cell>
          <cell r="DO55" t="str">
            <v/>
          </cell>
          <cell r="DP55" t="str">
            <v>Municipal Office</v>
          </cell>
          <cell r="DQ55" t="str">
            <v/>
          </cell>
          <cell r="DR55" t="str">
            <v>Focal Person</v>
          </cell>
          <cell r="DS55" t="str">
            <v/>
          </cell>
          <cell r="DT55" t="str">
            <v/>
          </cell>
          <cell r="DU55" t="str">
            <v/>
          </cell>
          <cell r="DV55" t="str">
            <v/>
          </cell>
          <cell r="DW55" t="str">
            <v/>
          </cell>
          <cell r="DX55" t="str">
            <v/>
          </cell>
          <cell r="DY55" t="str">
            <v/>
          </cell>
          <cell r="DZ55" t="str">
            <v/>
          </cell>
          <cell r="EA55" t="str">
            <v/>
          </cell>
          <cell r="EB55" t="str">
            <v/>
          </cell>
          <cell r="EC55" t="str">
            <v/>
          </cell>
          <cell r="ED55" t="str">
            <v/>
          </cell>
          <cell r="EE55" t="str">
            <v/>
          </cell>
          <cell r="EF55" t="str">
            <v/>
          </cell>
          <cell r="EG55" t="str">
            <v/>
          </cell>
          <cell r="EH55" t="str">
            <v/>
          </cell>
          <cell r="EI55" t="str">
            <v/>
          </cell>
          <cell r="EJ55">
            <v>0</v>
          </cell>
          <cell r="EK55">
            <v>0</v>
          </cell>
          <cell r="EL55">
            <v>0</v>
          </cell>
          <cell r="EM55">
            <v>0</v>
          </cell>
          <cell r="EN55">
            <v>0</v>
          </cell>
          <cell r="EO55">
            <v>0</v>
          </cell>
          <cell r="EP55" t="str">
            <v/>
          </cell>
          <cell r="EQ55" t="str">
            <v>Housing Recovery and Reconstruction Platform</v>
          </cell>
          <cell r="ER55" t="str">
            <v/>
          </cell>
          <cell r="ES55" t="str">
            <v>District Coordinator</v>
          </cell>
          <cell r="ET55" t="str">
            <v/>
          </cell>
          <cell r="EU55" t="str">
            <v>Housing Recovery and Reconstruction Platform</v>
          </cell>
          <cell r="EV55" t="str">
            <v/>
          </cell>
          <cell r="EW55" t="str">
            <v>DIstrict Information Management Officer</v>
          </cell>
          <cell r="EX55" t="str">
            <v/>
          </cell>
          <cell r="EY55" t="str">
            <v>Housing Recovery and Reconstruction Platform</v>
          </cell>
          <cell r="EZ55" t="str">
            <v/>
          </cell>
          <cell r="FA55" t="str">
            <v>District Technical Officer</v>
          </cell>
          <cell r="FB55" t="str">
            <v/>
          </cell>
        </row>
        <row r="56">
          <cell r="A56">
            <v>20001</v>
          </cell>
          <cell r="B56" t="str">
            <v>Sindhuli</v>
          </cell>
          <cell r="C56" t="str">
            <v>Dudhouli Nagarpalika</v>
          </cell>
          <cell r="D56">
            <v>9144</v>
          </cell>
          <cell r="E56">
            <v>5858</v>
          </cell>
          <cell r="F56">
            <v>15002</v>
          </cell>
          <cell r="G56" t="str">
            <v>Stone and cement mortar masonry</v>
          </cell>
          <cell r="H56">
            <v>1.32</v>
          </cell>
          <cell r="I56">
            <v>1.23</v>
          </cell>
          <cell r="J56" t="str">
            <v>Stone and Mud Mortar Masonary</v>
          </cell>
          <cell r="K56">
            <v>23.29</v>
          </cell>
          <cell r="L56">
            <v>53.21</v>
          </cell>
          <cell r="M56" t="str">
            <v>Brick and Cement Mortar Masonary</v>
          </cell>
          <cell r="N56">
            <v>14.83</v>
          </cell>
          <cell r="O56">
            <v>10.51</v>
          </cell>
          <cell r="P56" t="str">
            <v>Brick and mud mortar Masonry</v>
          </cell>
          <cell r="Q56">
            <v>0.34</v>
          </cell>
          <cell r="R56">
            <v>0.35</v>
          </cell>
          <cell r="S56" t="str">
            <v>Reinforced cement concrete (RCC) frame</v>
          </cell>
          <cell r="T56">
            <v>1.29</v>
          </cell>
          <cell r="U56">
            <v>1.99</v>
          </cell>
          <cell r="V56" t="str">
            <v>Hybrid structure</v>
          </cell>
          <cell r="W56">
            <v>0</v>
          </cell>
          <cell r="X56">
            <v>0</v>
          </cell>
          <cell r="Y56" t="str">
            <v>Timber frame structure</v>
          </cell>
          <cell r="Z56">
            <v>43.39</v>
          </cell>
          <cell r="AA56">
            <v>25.88</v>
          </cell>
          <cell r="AB56" t="str">
            <v>Hollow concrete block Masonry</v>
          </cell>
          <cell r="AC56">
            <v>0</v>
          </cell>
          <cell r="AD56">
            <v>0</v>
          </cell>
          <cell r="AE56" t="str">
            <v>Dry stone Masonry</v>
          </cell>
          <cell r="AF56">
            <v>2.96</v>
          </cell>
          <cell r="AG56">
            <v>0.84</v>
          </cell>
          <cell r="AH56" t="str">
            <v>Adobe structures</v>
          </cell>
          <cell r="AI56">
            <v>1.47</v>
          </cell>
          <cell r="AJ56">
            <v>2.29</v>
          </cell>
          <cell r="AK56" t="str">
            <v>Bamboo</v>
          </cell>
          <cell r="AL56">
            <v>11.1</v>
          </cell>
          <cell r="AM56">
            <v>3.7</v>
          </cell>
          <cell r="AN56" t="str">
            <v>Compressed stabilized earth block (SCEB) Masonry</v>
          </cell>
          <cell r="AO56">
            <v>0</v>
          </cell>
          <cell r="AP56">
            <v>0</v>
          </cell>
          <cell r="AQ56" t="str">
            <v>Light steel frame structures</v>
          </cell>
          <cell r="AR56">
            <v>0</v>
          </cell>
          <cell r="AS56">
            <v>0</v>
          </cell>
          <cell r="AT56">
            <v>4651</v>
          </cell>
          <cell r="AU56">
            <v>4368</v>
          </cell>
          <cell r="AV56">
            <v>4157</v>
          </cell>
          <cell r="AW56">
            <v>2732</v>
          </cell>
          <cell r="AX56">
            <v>1191</v>
          </cell>
          <cell r="AY56">
            <v>0</v>
          </cell>
          <cell r="AZ56">
            <v>814</v>
          </cell>
          <cell r="BA56">
            <v>3493</v>
          </cell>
          <cell r="BB56" t="str">
            <v/>
          </cell>
          <cell r="BC56">
            <v>288</v>
          </cell>
          <cell r="BD56">
            <v>0</v>
          </cell>
          <cell r="BE56" t="str">
            <v/>
          </cell>
          <cell r="BF56" t="str">
            <v/>
          </cell>
          <cell r="BG56">
            <v>52</v>
          </cell>
          <cell r="BH56">
            <v>0</v>
          </cell>
          <cell r="BI56" t="str">
            <v>BC(Rural Housing and Community Infrastructure)</v>
          </cell>
          <cell r="BJ56" t="str">
            <v>FCA(Education),PLAN(Water, Sanitation and Hygiene)</v>
          </cell>
          <cell r="BK56">
            <v>59012</v>
          </cell>
          <cell r="BL56" t="str">
            <v>N</v>
          </cell>
          <cell r="BM56">
            <v>2000</v>
          </cell>
          <cell r="BN56">
            <v>62656</v>
          </cell>
          <cell r="BO56" t="str">
            <v>Y</v>
          </cell>
          <cell r="BP56">
            <v>4200</v>
          </cell>
          <cell r="BQ56">
            <v>6318</v>
          </cell>
          <cell r="BR56" t="str">
            <v>Y</v>
          </cell>
          <cell r="BS56">
            <v>1000</v>
          </cell>
          <cell r="BT56">
            <v>7356</v>
          </cell>
          <cell r="BU56" t="str">
            <v/>
          </cell>
          <cell r="BV56" t="str">
            <v/>
          </cell>
          <cell r="BW56" t="str">
            <v/>
          </cell>
          <cell r="BX56" t="str">
            <v>N</v>
          </cell>
          <cell r="BY56">
            <v>1000</v>
          </cell>
          <cell r="BZ56">
            <v>205543</v>
          </cell>
          <cell r="CA56" t="str">
            <v>Y</v>
          </cell>
          <cell r="CB56">
            <v>900</v>
          </cell>
          <cell r="CC56">
            <v>634199</v>
          </cell>
          <cell r="CD56" t="str">
            <v>N</v>
          </cell>
          <cell r="CE56">
            <v>90</v>
          </cell>
          <cell r="CF56">
            <v>8393</v>
          </cell>
          <cell r="CG56" t="str">
            <v/>
          </cell>
          <cell r="CH56" t="str">
            <v/>
          </cell>
          <cell r="CI56">
            <v>164215</v>
          </cell>
          <cell r="CJ56" t="str">
            <v/>
          </cell>
          <cell r="CK56" t="str">
            <v/>
          </cell>
          <cell r="CL56" t="str">
            <v>Skilled</v>
          </cell>
          <cell r="CM56">
            <v>1000</v>
          </cell>
          <cell r="CN56" t="str">
            <v>Labor</v>
          </cell>
          <cell r="CO56">
            <v>700</v>
          </cell>
          <cell r="CP56" t="str">
            <v/>
          </cell>
          <cell r="CQ56" t="str">
            <v/>
          </cell>
          <cell r="CR56" t="str">
            <v/>
          </cell>
          <cell r="CS56" t="str">
            <v/>
          </cell>
          <cell r="CT56" t="str">
            <v/>
          </cell>
          <cell r="CU56" t="str">
            <v/>
          </cell>
          <cell r="CV56" t="str">
            <v>Municipal Office</v>
          </cell>
          <cell r="CW56" t="str">
            <v>Ghanashyam Raut</v>
          </cell>
          <cell r="CX56" t="str">
            <v>Mayor</v>
          </cell>
          <cell r="CY56">
            <v>9808807550</v>
          </cell>
          <cell r="CZ56" t="str">
            <v>Municipal Office</v>
          </cell>
          <cell r="DA56" t="str">
            <v>Bal Kumari Adhikari Danuwar</v>
          </cell>
          <cell r="DB56" t="str">
            <v>Deputy Mayor</v>
          </cell>
          <cell r="DC56">
            <v>9823688054</v>
          </cell>
          <cell r="DD56" t="str">
            <v>Municipal Office</v>
          </cell>
          <cell r="DE56" t="str">
            <v>Dipendra Paudel</v>
          </cell>
          <cell r="DF56" t="str">
            <v>Chief Adminstration Officer</v>
          </cell>
          <cell r="DG56">
            <v>9854052111</v>
          </cell>
          <cell r="DH56" t="str">
            <v>NRA/GMALI</v>
          </cell>
          <cell r="DI56" t="str">
            <v>Dev Narayan Pd. Yadav</v>
          </cell>
          <cell r="DJ56" t="str">
            <v>NRA Chief-District</v>
          </cell>
          <cell r="DK56">
            <v>9852029429</v>
          </cell>
          <cell r="DL56" t="str">
            <v>DLPIU-Building</v>
          </cell>
          <cell r="DM56" t="str">
            <v>Prabhakar Lal Karna</v>
          </cell>
          <cell r="DN56" t="str">
            <v>DUDBC.DLPIU Chief</v>
          </cell>
          <cell r="DO56">
            <v>9854041543</v>
          </cell>
          <cell r="DP56" t="str">
            <v>Municipal Office</v>
          </cell>
          <cell r="DQ56" t="str">
            <v/>
          </cell>
          <cell r="DR56" t="str">
            <v>Focal Person</v>
          </cell>
          <cell r="DS56" t="str">
            <v/>
          </cell>
          <cell r="DT56" t="str">
            <v>1831</v>
          </cell>
          <cell r="DU56" t="str">
            <v/>
          </cell>
          <cell r="DV56" t="str">
            <v/>
          </cell>
          <cell r="DW56" t="str">
            <v/>
          </cell>
          <cell r="DX56" t="str">
            <v/>
          </cell>
          <cell r="DY56" t="str">
            <v/>
          </cell>
          <cell r="DZ56">
            <v>12</v>
          </cell>
          <cell r="EA56" t="str">
            <v/>
          </cell>
          <cell r="EB56">
            <v>5</v>
          </cell>
          <cell r="EC56" t="str">
            <v/>
          </cell>
          <cell r="ED56">
            <v>7</v>
          </cell>
          <cell r="EE56" t="str">
            <v/>
          </cell>
          <cell r="EF56" t="str">
            <v/>
          </cell>
          <cell r="EG56" t="str">
            <v/>
          </cell>
          <cell r="EH56" t="str">
            <v/>
          </cell>
          <cell r="EI56" t="str">
            <v/>
          </cell>
          <cell r="EJ56">
            <v>358</v>
          </cell>
          <cell r="EK56">
            <v>0</v>
          </cell>
          <cell r="EL56">
            <v>358</v>
          </cell>
          <cell r="EM56">
            <v>571</v>
          </cell>
          <cell r="EN56">
            <v>0</v>
          </cell>
          <cell r="EO56">
            <v>571</v>
          </cell>
          <cell r="EP56" t="str">
            <v/>
          </cell>
          <cell r="EQ56" t="str">
            <v>Housing Recovery and Reconstruction Platform</v>
          </cell>
          <cell r="ER56" t="str">
            <v/>
          </cell>
          <cell r="ES56" t="str">
            <v>District Coordinator</v>
          </cell>
          <cell r="ET56" t="str">
            <v/>
          </cell>
          <cell r="EU56" t="str">
            <v>Housing Recovery and Reconstruction Platform</v>
          </cell>
          <cell r="EV56" t="str">
            <v>Sachin Malego</v>
          </cell>
          <cell r="EW56" t="str">
            <v>District Information Management Officer</v>
          </cell>
          <cell r="EX56">
            <v>9849166793</v>
          </cell>
          <cell r="EY56" t="str">
            <v>Housing Recovery and Reconstruction Platform</v>
          </cell>
          <cell r="EZ56" t="str">
            <v>Lekhnath Paudel</v>
          </cell>
          <cell r="FA56" t="str">
            <v>District Technical Officer</v>
          </cell>
          <cell r="FB56">
            <v>9841640328</v>
          </cell>
        </row>
        <row r="57">
          <cell r="A57">
            <v>20002</v>
          </cell>
          <cell r="B57" t="str">
            <v>Sindhuli</v>
          </cell>
          <cell r="C57" t="str">
            <v>Ghanglekh Gaunpalika</v>
          </cell>
          <cell r="D57">
            <v>674</v>
          </cell>
          <cell r="E57">
            <v>2358</v>
          </cell>
          <cell r="F57">
            <v>3032</v>
          </cell>
          <cell r="G57" t="str">
            <v>Stone and cement mortar masonry</v>
          </cell>
          <cell r="H57">
            <v>0.03</v>
          </cell>
          <cell r="I57">
            <v>1.23</v>
          </cell>
          <cell r="J57" t="str">
            <v>Stone and Mud Mortar Masonary</v>
          </cell>
          <cell r="K57">
            <v>91.52</v>
          </cell>
          <cell r="L57">
            <v>53.21</v>
          </cell>
          <cell r="M57" t="str">
            <v>Brick and Cement Mortar Masonary</v>
          </cell>
          <cell r="N57">
            <v>7.0000000000000007E-2</v>
          </cell>
          <cell r="O57">
            <v>10.51</v>
          </cell>
          <cell r="P57" t="str">
            <v>Brick and mud mortar Masonry</v>
          </cell>
          <cell r="Q57">
            <v>0.03</v>
          </cell>
          <cell r="R57">
            <v>0.35</v>
          </cell>
          <cell r="S57" t="str">
            <v>Reinforced cement concrete (RCC) frame</v>
          </cell>
          <cell r="T57">
            <v>0</v>
          </cell>
          <cell r="U57">
            <v>1.99</v>
          </cell>
          <cell r="V57" t="str">
            <v>Hybrid structure</v>
          </cell>
          <cell r="W57">
            <v>0</v>
          </cell>
          <cell r="X57">
            <v>0</v>
          </cell>
          <cell r="Y57" t="str">
            <v>Timber frame structure</v>
          </cell>
          <cell r="Z57">
            <v>7.45</v>
          </cell>
          <cell r="AA57">
            <v>25.88</v>
          </cell>
          <cell r="AB57" t="str">
            <v>Hollow concrete block Masonry</v>
          </cell>
          <cell r="AC57">
            <v>0</v>
          </cell>
          <cell r="AD57">
            <v>0</v>
          </cell>
          <cell r="AE57" t="str">
            <v>Dry stone Masonry</v>
          </cell>
          <cell r="AF57">
            <v>0.03</v>
          </cell>
          <cell r="AG57">
            <v>0.84</v>
          </cell>
          <cell r="AH57" t="str">
            <v>Adobe structures</v>
          </cell>
          <cell r="AI57">
            <v>0</v>
          </cell>
          <cell r="AJ57">
            <v>2.29</v>
          </cell>
          <cell r="AK57" t="str">
            <v>Bamboo</v>
          </cell>
          <cell r="AL57">
            <v>0.86</v>
          </cell>
          <cell r="AM57">
            <v>3.7</v>
          </cell>
          <cell r="AN57" t="str">
            <v>Compressed stabilized earth block (SCEB) Masonry</v>
          </cell>
          <cell r="AO57">
            <v>0</v>
          </cell>
          <cell r="AP57">
            <v>0</v>
          </cell>
          <cell r="AQ57" t="str">
            <v>Light steel frame structures</v>
          </cell>
          <cell r="AR57">
            <v>0</v>
          </cell>
          <cell r="AS57">
            <v>0</v>
          </cell>
          <cell r="AT57">
            <v>1962</v>
          </cell>
          <cell r="AU57">
            <v>1885</v>
          </cell>
          <cell r="AV57">
            <v>1874</v>
          </cell>
          <cell r="AW57">
            <v>1446</v>
          </cell>
          <cell r="AX57">
            <v>1180</v>
          </cell>
          <cell r="AY57">
            <v>0</v>
          </cell>
          <cell r="AZ57">
            <v>882</v>
          </cell>
          <cell r="BA57">
            <v>530</v>
          </cell>
          <cell r="BB57" t="str">
            <v/>
          </cell>
          <cell r="BC57">
            <v>97</v>
          </cell>
          <cell r="BD57">
            <v>0</v>
          </cell>
          <cell r="BE57" t="str">
            <v/>
          </cell>
          <cell r="BF57" t="str">
            <v/>
          </cell>
          <cell r="BG57">
            <v>16</v>
          </cell>
          <cell r="BH57">
            <v>4</v>
          </cell>
          <cell r="BI57" t="str">
            <v/>
          </cell>
          <cell r="BJ57" t="str">
            <v>CW(Disaster Risk Management,Education,Employment and Livelihood,Rural Housing and Community Infrastructure),FCA(Education),HELVETAS(Rural Housing and Community Infrastructure)</v>
          </cell>
          <cell r="BK57">
            <v>7587</v>
          </cell>
          <cell r="BL57" t="str">
            <v/>
          </cell>
          <cell r="BM57">
            <v>1500</v>
          </cell>
          <cell r="BN57">
            <v>5724</v>
          </cell>
          <cell r="BO57" t="str">
            <v/>
          </cell>
          <cell r="BP57">
            <v>1500</v>
          </cell>
          <cell r="BQ57">
            <v>793</v>
          </cell>
          <cell r="BR57" t="str">
            <v/>
          </cell>
          <cell r="BS57">
            <v>2500</v>
          </cell>
          <cell r="BT57">
            <v>851</v>
          </cell>
          <cell r="BU57" t="str">
            <v/>
          </cell>
          <cell r="BV57" t="str">
            <v/>
          </cell>
          <cell r="BW57" t="str">
            <v/>
          </cell>
          <cell r="BX57" t="str">
            <v/>
          </cell>
          <cell r="BY57">
            <v>1050</v>
          </cell>
          <cell r="BZ57">
            <v>20745</v>
          </cell>
          <cell r="CA57" t="str">
            <v/>
          </cell>
          <cell r="CB57">
            <v>1150</v>
          </cell>
          <cell r="CC57">
            <v>87275</v>
          </cell>
          <cell r="CD57" t="str">
            <v/>
          </cell>
          <cell r="CE57">
            <v>84</v>
          </cell>
          <cell r="CF57">
            <v>853</v>
          </cell>
          <cell r="CG57" t="str">
            <v/>
          </cell>
          <cell r="CH57" t="str">
            <v/>
          </cell>
          <cell r="CI57">
            <v>447226</v>
          </cell>
          <cell r="CJ57" t="str">
            <v/>
          </cell>
          <cell r="CK57" t="str">
            <v/>
          </cell>
          <cell r="CL57" t="str">
            <v>Skilled</v>
          </cell>
          <cell r="CM57" t="str">
            <v/>
          </cell>
          <cell r="CN57" t="str">
            <v>Labor</v>
          </cell>
          <cell r="CO57" t="str">
            <v/>
          </cell>
          <cell r="CP57" t="str">
            <v/>
          </cell>
          <cell r="CQ57" t="str">
            <v/>
          </cell>
          <cell r="CR57" t="str">
            <v/>
          </cell>
          <cell r="CS57" t="str">
            <v/>
          </cell>
          <cell r="CT57" t="str">
            <v/>
          </cell>
          <cell r="CU57" t="str">
            <v/>
          </cell>
          <cell r="CV57" t="str">
            <v>Municipal Office</v>
          </cell>
          <cell r="CW57" t="str">
            <v>Jagat Bdr. Bholan</v>
          </cell>
          <cell r="CX57" t="str">
            <v>Chair Person</v>
          </cell>
          <cell r="CY57">
            <v>9744035699</v>
          </cell>
          <cell r="CZ57" t="str">
            <v>Municipal Office</v>
          </cell>
          <cell r="DA57" t="str">
            <v>Durga Devi Sunuwar</v>
          </cell>
          <cell r="DB57" t="str">
            <v>Deputy Chair Person</v>
          </cell>
          <cell r="DC57">
            <v>9840583865</v>
          </cell>
          <cell r="DD57" t="str">
            <v>Municipal Office</v>
          </cell>
          <cell r="DE57" t="str">
            <v>Sanotsh Nepali</v>
          </cell>
          <cell r="DF57" t="str">
            <v>Chief Adminstration Officer</v>
          </cell>
          <cell r="DG57">
            <v>9854041892</v>
          </cell>
          <cell r="DH57" t="str">
            <v>NRA/GMALI</v>
          </cell>
          <cell r="DI57" t="str">
            <v>Dev Narayan Pd. Yadav</v>
          </cell>
          <cell r="DJ57" t="str">
            <v>NRA Chief-District</v>
          </cell>
          <cell r="DK57">
            <v>9852029429</v>
          </cell>
          <cell r="DL57" t="str">
            <v>DLPIU-Building</v>
          </cell>
          <cell r="DM57" t="str">
            <v>Prabhakar Lal Karna</v>
          </cell>
          <cell r="DN57" t="str">
            <v>DUDBC.DLPIU Chief</v>
          </cell>
          <cell r="DO57">
            <v>9854041543</v>
          </cell>
          <cell r="DP57" t="str">
            <v>Municipal Office</v>
          </cell>
          <cell r="DQ57" t="str">
            <v/>
          </cell>
          <cell r="DR57" t="str">
            <v>Focal Person</v>
          </cell>
          <cell r="DS57" t="str">
            <v/>
          </cell>
          <cell r="DT57" t="str">
            <v/>
          </cell>
          <cell r="DU57" t="str">
            <v/>
          </cell>
          <cell r="DV57" t="str">
            <v/>
          </cell>
          <cell r="DW57" t="str">
            <v/>
          </cell>
          <cell r="DX57" t="str">
            <v/>
          </cell>
          <cell r="DY57" t="str">
            <v/>
          </cell>
          <cell r="DZ57">
            <v>3</v>
          </cell>
          <cell r="EA57" t="str">
            <v/>
          </cell>
          <cell r="EB57">
            <v>5</v>
          </cell>
          <cell r="EC57" t="str">
            <v/>
          </cell>
          <cell r="ED57">
            <v>4</v>
          </cell>
          <cell r="EE57" t="str">
            <v/>
          </cell>
          <cell r="EF57" t="str">
            <v/>
          </cell>
          <cell r="EG57" t="str">
            <v/>
          </cell>
          <cell r="EH57" t="str">
            <v/>
          </cell>
          <cell r="EI57" t="str">
            <v/>
          </cell>
          <cell r="EJ57">
            <v>153</v>
          </cell>
          <cell r="EK57">
            <v>40</v>
          </cell>
          <cell r="EL57">
            <v>113</v>
          </cell>
          <cell r="EM57">
            <v>252</v>
          </cell>
          <cell r="EN57">
            <v>190</v>
          </cell>
          <cell r="EO57">
            <v>62</v>
          </cell>
          <cell r="EP57" t="str">
            <v/>
          </cell>
          <cell r="EQ57" t="str">
            <v>Housing Recovery and Reconstruction Platform</v>
          </cell>
          <cell r="ER57" t="str">
            <v/>
          </cell>
          <cell r="ES57" t="str">
            <v>District Coordinator</v>
          </cell>
          <cell r="ET57" t="str">
            <v/>
          </cell>
          <cell r="EU57" t="str">
            <v>Housing Recovery and Reconstruction Platform</v>
          </cell>
          <cell r="EV57" t="str">
            <v>Sachin Malego</v>
          </cell>
          <cell r="EW57" t="str">
            <v>District Information Management Officer</v>
          </cell>
          <cell r="EX57">
            <v>9849166793</v>
          </cell>
          <cell r="EY57" t="str">
            <v>Housing Recovery and Reconstruction Platform</v>
          </cell>
          <cell r="EZ57" t="str">
            <v>Lekhnath Paudel</v>
          </cell>
          <cell r="FA57" t="str">
            <v>District Technical Officer</v>
          </cell>
          <cell r="FB57">
            <v>9841640328</v>
          </cell>
        </row>
        <row r="58">
          <cell r="A58">
            <v>20003</v>
          </cell>
          <cell r="B58" t="str">
            <v>Sindhuli</v>
          </cell>
          <cell r="C58" t="str">
            <v>Golanjor Gaunpalika</v>
          </cell>
          <cell r="D58">
            <v>1584</v>
          </cell>
          <cell r="E58">
            <v>3251</v>
          </cell>
          <cell r="F58">
            <v>4835</v>
          </cell>
          <cell r="G58" t="str">
            <v>Stone and cement mortar masonry</v>
          </cell>
          <cell r="H58">
            <v>0.31</v>
          </cell>
          <cell r="I58">
            <v>1.23</v>
          </cell>
          <cell r="J58" t="str">
            <v>Stone and Mud Mortar Masonary</v>
          </cell>
          <cell r="K58">
            <v>96.4</v>
          </cell>
          <cell r="L58">
            <v>53.21</v>
          </cell>
          <cell r="M58" t="str">
            <v>Brick and Cement Mortar Masonary</v>
          </cell>
          <cell r="N58">
            <v>0.68</v>
          </cell>
          <cell r="O58">
            <v>10.51</v>
          </cell>
          <cell r="P58" t="str">
            <v>Brick and mud mortar Masonry</v>
          </cell>
          <cell r="Q58">
            <v>0.12</v>
          </cell>
          <cell r="R58">
            <v>0.35</v>
          </cell>
          <cell r="S58" t="str">
            <v>Reinforced cement concrete (RCC) frame</v>
          </cell>
          <cell r="T58">
            <v>0.83</v>
          </cell>
          <cell r="U58">
            <v>1.99</v>
          </cell>
          <cell r="V58" t="str">
            <v>Hybrid structure</v>
          </cell>
          <cell r="W58">
            <v>0</v>
          </cell>
          <cell r="X58">
            <v>0</v>
          </cell>
          <cell r="Y58" t="str">
            <v>Timber frame structure</v>
          </cell>
          <cell r="Z58">
            <v>0.68</v>
          </cell>
          <cell r="AA58">
            <v>25.88</v>
          </cell>
          <cell r="AB58" t="str">
            <v>Hollow concrete block Masonry</v>
          </cell>
          <cell r="AC58">
            <v>0</v>
          </cell>
          <cell r="AD58">
            <v>0</v>
          </cell>
          <cell r="AE58" t="str">
            <v>Dry stone Masonry</v>
          </cell>
          <cell r="AF58">
            <v>0.1</v>
          </cell>
          <cell r="AG58">
            <v>0.84</v>
          </cell>
          <cell r="AH58" t="str">
            <v>Adobe structures</v>
          </cell>
          <cell r="AI58">
            <v>0.19</v>
          </cell>
          <cell r="AJ58">
            <v>2.29</v>
          </cell>
          <cell r="AK58" t="str">
            <v>Bamboo</v>
          </cell>
          <cell r="AL58">
            <v>0.68</v>
          </cell>
          <cell r="AM58">
            <v>3.7</v>
          </cell>
          <cell r="AN58" t="str">
            <v>Compressed stabilized earth block (SCEB) Masonry</v>
          </cell>
          <cell r="AO58">
            <v>0</v>
          </cell>
          <cell r="AP58">
            <v>0</v>
          </cell>
          <cell r="AQ58" t="str">
            <v>Light steel frame structures</v>
          </cell>
          <cell r="AR58">
            <v>0</v>
          </cell>
          <cell r="AS58">
            <v>0</v>
          </cell>
          <cell r="AT58">
            <v>2779</v>
          </cell>
          <cell r="AU58">
            <v>2737</v>
          </cell>
          <cell r="AV58">
            <v>2731</v>
          </cell>
          <cell r="AW58">
            <v>2867</v>
          </cell>
          <cell r="AX58">
            <v>2168</v>
          </cell>
          <cell r="AY58">
            <v>0</v>
          </cell>
          <cell r="AZ58">
            <v>1764</v>
          </cell>
          <cell r="BA58">
            <v>667</v>
          </cell>
          <cell r="BB58" t="str">
            <v/>
          </cell>
          <cell r="BC58">
            <v>95</v>
          </cell>
          <cell r="BD58">
            <v>0</v>
          </cell>
          <cell r="BE58" t="str">
            <v/>
          </cell>
          <cell r="BF58" t="str">
            <v/>
          </cell>
          <cell r="BG58">
            <v>16</v>
          </cell>
          <cell r="BH58">
            <v>0</v>
          </cell>
          <cell r="BI58" t="str">
            <v>CARITAS-N(Education,Water, Sanitation and Hygiene)</v>
          </cell>
          <cell r="BJ58" t="str">
            <v>CW(Disaster Risk Management,Education,Employment and Livelihood,Rural Housing and Community Infrastructure),HELVETAS(Rural Housing and Community Infrastructure),PLAN(Gender Equality and Social Inclusion,Water, Sanitation and Hygiene),SwissC(Rural Housing and Community Infrastructure),WVIN(Education)</v>
          </cell>
          <cell r="BK58">
            <v>31997</v>
          </cell>
          <cell r="BL58" t="str">
            <v>Y</v>
          </cell>
          <cell r="BM58">
            <v>1300</v>
          </cell>
          <cell r="BN58">
            <v>33048</v>
          </cell>
          <cell r="BO58" t="str">
            <v>Y</v>
          </cell>
          <cell r="BP58">
            <v>1300</v>
          </cell>
          <cell r="BQ58">
            <v>3418</v>
          </cell>
          <cell r="BR58" t="str">
            <v>Y</v>
          </cell>
          <cell r="BS58">
            <v>4000</v>
          </cell>
          <cell r="BT58">
            <v>3951</v>
          </cell>
          <cell r="BU58" t="str">
            <v/>
          </cell>
          <cell r="BV58" t="str">
            <v/>
          </cell>
          <cell r="BW58" t="str">
            <v/>
          </cell>
          <cell r="BX58" t="str">
            <v>Y</v>
          </cell>
          <cell r="BY58">
            <v>900</v>
          </cell>
          <cell r="BZ58">
            <v>109225</v>
          </cell>
          <cell r="CA58" t="str">
            <v>Y</v>
          </cell>
          <cell r="CB58">
            <v>900</v>
          </cell>
          <cell r="CC58">
            <v>346194</v>
          </cell>
          <cell r="CD58" t="str">
            <v>Y</v>
          </cell>
          <cell r="CE58">
            <v>95</v>
          </cell>
          <cell r="CF58">
            <v>4463</v>
          </cell>
          <cell r="CG58" t="str">
            <v/>
          </cell>
          <cell r="CH58" t="str">
            <v/>
          </cell>
          <cell r="CI58">
            <v>262637</v>
          </cell>
          <cell r="CJ58" t="str">
            <v/>
          </cell>
          <cell r="CK58" t="str">
            <v/>
          </cell>
          <cell r="CL58" t="str">
            <v>Skilled</v>
          </cell>
          <cell r="CM58">
            <v>1100</v>
          </cell>
          <cell r="CN58" t="str">
            <v>Labor</v>
          </cell>
          <cell r="CO58">
            <v>700</v>
          </cell>
          <cell r="CP58" t="str">
            <v/>
          </cell>
          <cell r="CQ58" t="str">
            <v/>
          </cell>
          <cell r="CR58" t="str">
            <v/>
          </cell>
          <cell r="CS58" t="str">
            <v/>
          </cell>
          <cell r="CT58" t="str">
            <v/>
          </cell>
          <cell r="CU58" t="str">
            <v/>
          </cell>
          <cell r="CV58" t="str">
            <v>Municipal Office</v>
          </cell>
          <cell r="CW58" t="str">
            <v>Pushpa Karki</v>
          </cell>
          <cell r="CX58" t="str">
            <v>Chair Person</v>
          </cell>
          <cell r="CY58">
            <v>9854041775</v>
          </cell>
          <cell r="CZ58" t="str">
            <v>Municipal Office</v>
          </cell>
          <cell r="DA58" t="str">
            <v>Ganga Devi Shrestha</v>
          </cell>
          <cell r="DB58" t="str">
            <v>Deputy Chair Person</v>
          </cell>
          <cell r="DC58">
            <v>9841934302</v>
          </cell>
          <cell r="DD58" t="str">
            <v>Municipal Office</v>
          </cell>
          <cell r="DE58" t="str">
            <v>Tankanath Ghimire</v>
          </cell>
          <cell r="DF58" t="str">
            <v>Chief Adminstration Officer</v>
          </cell>
          <cell r="DG58">
            <v>9854042620</v>
          </cell>
          <cell r="DH58" t="str">
            <v>NRA/GMALI</v>
          </cell>
          <cell r="DI58" t="str">
            <v>Dev Narayan Pd. Yadav</v>
          </cell>
          <cell r="DJ58" t="str">
            <v>NRA Chief-District</v>
          </cell>
          <cell r="DK58">
            <v>9852029429</v>
          </cell>
          <cell r="DL58" t="str">
            <v>DLPIU-Building</v>
          </cell>
          <cell r="DM58" t="str">
            <v>Prabhakar Lal Karna</v>
          </cell>
          <cell r="DN58" t="str">
            <v>DUDBC.DLPIU Chief</v>
          </cell>
          <cell r="DO58">
            <v>9854041543</v>
          </cell>
          <cell r="DP58" t="str">
            <v>Municipal Office</v>
          </cell>
          <cell r="DQ58" t="str">
            <v/>
          </cell>
          <cell r="DR58" t="str">
            <v>Focal Person</v>
          </cell>
          <cell r="DS58" t="str">
            <v/>
          </cell>
          <cell r="DT58" t="str">
            <v/>
          </cell>
          <cell r="DU58" t="str">
            <v/>
          </cell>
          <cell r="DV58" t="str">
            <v>10</v>
          </cell>
          <cell r="DW58" t="str">
            <v/>
          </cell>
          <cell r="DX58" t="str">
            <v>50</v>
          </cell>
          <cell r="DY58" t="str">
            <v/>
          </cell>
          <cell r="DZ58">
            <v>5</v>
          </cell>
          <cell r="EA58" t="str">
            <v/>
          </cell>
          <cell r="EB58">
            <v>6</v>
          </cell>
          <cell r="EC58" t="str">
            <v/>
          </cell>
          <cell r="ED58">
            <v>7</v>
          </cell>
          <cell r="EE58" t="str">
            <v/>
          </cell>
          <cell r="EF58" t="str">
            <v/>
          </cell>
          <cell r="EG58" t="str">
            <v/>
          </cell>
          <cell r="EH58" t="str">
            <v/>
          </cell>
          <cell r="EI58" t="str">
            <v/>
          </cell>
          <cell r="EJ58">
            <v>216</v>
          </cell>
          <cell r="EK58">
            <v>80</v>
          </cell>
          <cell r="EL58">
            <v>136</v>
          </cell>
          <cell r="EM58">
            <v>333</v>
          </cell>
          <cell r="EN58">
            <v>410</v>
          </cell>
          <cell r="EO58">
            <v>-77</v>
          </cell>
          <cell r="EP58" t="str">
            <v/>
          </cell>
          <cell r="EQ58" t="str">
            <v>Housing Recovery and Reconstruction Platform</v>
          </cell>
          <cell r="ER58" t="str">
            <v/>
          </cell>
          <cell r="ES58" t="str">
            <v>District Coordinator</v>
          </cell>
          <cell r="ET58" t="str">
            <v/>
          </cell>
          <cell r="EU58" t="str">
            <v>Housing Recovery and Reconstruction Platform</v>
          </cell>
          <cell r="EV58" t="str">
            <v>Sachin Malego</v>
          </cell>
          <cell r="EW58" t="str">
            <v>District Information Management Officer</v>
          </cell>
          <cell r="EX58">
            <v>9849166793</v>
          </cell>
          <cell r="EY58" t="str">
            <v>Housing Recovery and Reconstruction Platform</v>
          </cell>
          <cell r="EZ58" t="str">
            <v>Lekhnath Paudel</v>
          </cell>
          <cell r="FA58" t="str">
            <v>District Technical Officer</v>
          </cell>
          <cell r="FB58">
            <v>9841640328</v>
          </cell>
        </row>
        <row r="59">
          <cell r="A59">
            <v>20004</v>
          </cell>
          <cell r="B59" t="str">
            <v>Sindhuli</v>
          </cell>
          <cell r="C59" t="str">
            <v>Hariharpurgadhi Gaunpalika</v>
          </cell>
          <cell r="D59">
            <v>2419</v>
          </cell>
          <cell r="E59">
            <v>2757</v>
          </cell>
          <cell r="F59">
            <v>5176</v>
          </cell>
          <cell r="G59" t="str">
            <v>Stone and cement mortar masonry</v>
          </cell>
          <cell r="H59">
            <v>0.57999999999999996</v>
          </cell>
          <cell r="I59">
            <v>1.23</v>
          </cell>
          <cell r="J59" t="str">
            <v>Stone and Mud Mortar Masonary</v>
          </cell>
          <cell r="K59">
            <v>39.47</v>
          </cell>
          <cell r="L59">
            <v>53.21</v>
          </cell>
          <cell r="M59" t="str">
            <v>Brick and Cement Mortar Masonary</v>
          </cell>
          <cell r="N59">
            <v>2.75</v>
          </cell>
          <cell r="O59">
            <v>10.51</v>
          </cell>
          <cell r="P59" t="str">
            <v>Brick and mud mortar Masonry</v>
          </cell>
          <cell r="Q59">
            <v>0.79</v>
          </cell>
          <cell r="R59">
            <v>0.35</v>
          </cell>
          <cell r="S59" t="str">
            <v>Reinforced cement concrete (RCC) frame</v>
          </cell>
          <cell r="T59">
            <v>0.19</v>
          </cell>
          <cell r="U59">
            <v>1.99</v>
          </cell>
          <cell r="V59" t="str">
            <v>Hybrid structure</v>
          </cell>
          <cell r="W59">
            <v>0</v>
          </cell>
          <cell r="X59">
            <v>0</v>
          </cell>
          <cell r="Y59" t="str">
            <v>Timber frame structure</v>
          </cell>
          <cell r="Z59">
            <v>52.46</v>
          </cell>
          <cell r="AA59">
            <v>25.88</v>
          </cell>
          <cell r="AB59" t="str">
            <v>Hollow concrete block Masonry</v>
          </cell>
          <cell r="AC59">
            <v>0</v>
          </cell>
          <cell r="AD59">
            <v>0</v>
          </cell>
          <cell r="AE59" t="str">
            <v>Dry stone Masonry</v>
          </cell>
          <cell r="AF59">
            <v>0.23</v>
          </cell>
          <cell r="AG59">
            <v>0.84</v>
          </cell>
          <cell r="AH59" t="str">
            <v>Adobe structures</v>
          </cell>
          <cell r="AI59">
            <v>0.12</v>
          </cell>
          <cell r="AJ59">
            <v>2.29</v>
          </cell>
          <cell r="AK59" t="str">
            <v>Bamboo</v>
          </cell>
          <cell r="AL59">
            <v>3.41</v>
          </cell>
          <cell r="AM59">
            <v>3.7</v>
          </cell>
          <cell r="AN59" t="str">
            <v>Compressed stabilized earth block (SCEB) Masonry</v>
          </cell>
          <cell r="AO59">
            <v>0</v>
          </cell>
          <cell r="AP59">
            <v>0</v>
          </cell>
          <cell r="AQ59" t="str">
            <v>Light steel frame structures</v>
          </cell>
          <cell r="AR59">
            <v>0</v>
          </cell>
          <cell r="AS59">
            <v>0</v>
          </cell>
          <cell r="AT59">
            <v>2394</v>
          </cell>
          <cell r="AU59">
            <v>2344</v>
          </cell>
          <cell r="AV59">
            <v>2344</v>
          </cell>
          <cell r="AW59">
            <v>2157</v>
          </cell>
          <cell r="AX59">
            <v>516</v>
          </cell>
          <cell r="AY59">
            <v>0</v>
          </cell>
          <cell r="AZ59">
            <v>363</v>
          </cell>
          <cell r="BA59">
            <v>1538</v>
          </cell>
          <cell r="BB59" t="str">
            <v/>
          </cell>
          <cell r="BC59">
            <v>0</v>
          </cell>
          <cell r="BD59">
            <v>0</v>
          </cell>
          <cell r="BE59" t="str">
            <v/>
          </cell>
          <cell r="BF59" t="str">
            <v/>
          </cell>
          <cell r="BG59">
            <v>20</v>
          </cell>
          <cell r="BH59">
            <v>0</v>
          </cell>
          <cell r="BI59" t="str">
            <v>CARITAS-N(Education,Water, Sanitation and Hygiene),NRCS(Health)</v>
          </cell>
          <cell r="BJ59" t="str">
            <v>FCA(Education),HELVETAS(Rural Housing and Community Infrastructure)</v>
          </cell>
          <cell r="BK59">
            <v>32362</v>
          </cell>
          <cell r="BL59" t="str">
            <v/>
          </cell>
          <cell r="BM59" t="str">
            <v/>
          </cell>
          <cell r="BN59">
            <v>33038</v>
          </cell>
          <cell r="BO59" t="str">
            <v/>
          </cell>
          <cell r="BP59" t="str">
            <v/>
          </cell>
          <cell r="BQ59">
            <v>3455</v>
          </cell>
          <cell r="BR59" t="str">
            <v/>
          </cell>
          <cell r="BS59" t="str">
            <v/>
          </cell>
          <cell r="BT59">
            <v>3985</v>
          </cell>
          <cell r="BU59" t="str">
            <v/>
          </cell>
          <cell r="BV59" t="str">
            <v/>
          </cell>
          <cell r="BW59" t="str">
            <v/>
          </cell>
          <cell r="BX59" t="str">
            <v/>
          </cell>
          <cell r="BY59" t="str">
            <v/>
          </cell>
          <cell r="BZ59">
            <v>110237</v>
          </cell>
          <cell r="CA59" t="str">
            <v/>
          </cell>
          <cell r="CB59" t="str">
            <v/>
          </cell>
          <cell r="CC59">
            <v>352039</v>
          </cell>
          <cell r="CD59" t="str">
            <v/>
          </cell>
          <cell r="CE59" t="str">
            <v/>
          </cell>
          <cell r="CF59">
            <v>4509</v>
          </cell>
          <cell r="CG59" t="str">
            <v/>
          </cell>
          <cell r="CH59" t="str">
            <v/>
          </cell>
          <cell r="CI59">
            <v>445097</v>
          </cell>
          <cell r="CJ59" t="str">
            <v/>
          </cell>
          <cell r="CK59" t="str">
            <v/>
          </cell>
          <cell r="CL59" t="str">
            <v>Skilled</v>
          </cell>
          <cell r="CM59" t="str">
            <v/>
          </cell>
          <cell r="CN59" t="str">
            <v>Labor</v>
          </cell>
          <cell r="CO59" t="str">
            <v/>
          </cell>
          <cell r="CP59" t="str">
            <v/>
          </cell>
          <cell r="CQ59" t="str">
            <v/>
          </cell>
          <cell r="CR59" t="str">
            <v/>
          </cell>
          <cell r="CS59" t="str">
            <v/>
          </cell>
          <cell r="CT59" t="str">
            <v/>
          </cell>
          <cell r="CU59" t="str">
            <v/>
          </cell>
          <cell r="CV59" t="str">
            <v>Municipal Office</v>
          </cell>
          <cell r="CW59" t="str">
            <v>Karsang Tamang</v>
          </cell>
          <cell r="CX59" t="str">
            <v>Chair Person</v>
          </cell>
          <cell r="CY59">
            <v>9844042681</v>
          </cell>
          <cell r="CZ59" t="str">
            <v>Municipal Office</v>
          </cell>
          <cell r="DA59" t="str">
            <v>Anita Kumari Rai</v>
          </cell>
          <cell r="DB59" t="str">
            <v>Deputy Chair Person</v>
          </cell>
          <cell r="DC59">
            <v>9841516712</v>
          </cell>
          <cell r="DD59" t="str">
            <v>Municipal Office</v>
          </cell>
          <cell r="DE59" t="str">
            <v>Gopal Shrestha</v>
          </cell>
          <cell r="DF59" t="str">
            <v>Chief Adminstration Officer</v>
          </cell>
          <cell r="DG59">
            <v>9854042881</v>
          </cell>
          <cell r="DH59" t="str">
            <v>NRA/GMALI</v>
          </cell>
          <cell r="DI59" t="str">
            <v>Dev Narayan Pd. Yadav</v>
          </cell>
          <cell r="DJ59" t="str">
            <v>NRA Chief-District</v>
          </cell>
          <cell r="DK59">
            <v>9852029429</v>
          </cell>
          <cell r="DL59" t="str">
            <v>DLPIU-Building</v>
          </cell>
          <cell r="DM59" t="str">
            <v>Prabhakar Lal Karna</v>
          </cell>
          <cell r="DN59" t="str">
            <v>DUDBC.DLPIU Chief</v>
          </cell>
          <cell r="DO59">
            <v>9854041543</v>
          </cell>
          <cell r="DP59" t="str">
            <v>Municipal Office</v>
          </cell>
          <cell r="DQ59" t="str">
            <v/>
          </cell>
          <cell r="DR59" t="str">
            <v>Focal Person</v>
          </cell>
          <cell r="DS59" t="str">
            <v/>
          </cell>
          <cell r="DT59" t="str">
            <v/>
          </cell>
          <cell r="DU59" t="str">
            <v/>
          </cell>
          <cell r="DV59" t="str">
            <v/>
          </cell>
          <cell r="DW59" t="str">
            <v/>
          </cell>
          <cell r="DX59" t="str">
            <v/>
          </cell>
          <cell r="DY59" t="str">
            <v/>
          </cell>
          <cell r="DZ59">
            <v>4</v>
          </cell>
          <cell r="EA59" t="str">
            <v/>
          </cell>
          <cell r="EB59">
            <v>4</v>
          </cell>
          <cell r="EC59" t="str">
            <v/>
          </cell>
          <cell r="ED59">
            <v>4</v>
          </cell>
          <cell r="EE59" t="str">
            <v/>
          </cell>
          <cell r="EF59" t="str">
            <v/>
          </cell>
          <cell r="EG59" t="str">
            <v/>
          </cell>
          <cell r="EH59" t="str">
            <v/>
          </cell>
          <cell r="EI59" t="str">
            <v/>
          </cell>
          <cell r="EJ59">
            <v>180</v>
          </cell>
          <cell r="EK59">
            <v>0</v>
          </cell>
          <cell r="EL59">
            <v>180</v>
          </cell>
          <cell r="EM59">
            <v>297</v>
          </cell>
          <cell r="EN59">
            <v>150</v>
          </cell>
          <cell r="EO59">
            <v>147</v>
          </cell>
          <cell r="EP59" t="str">
            <v/>
          </cell>
          <cell r="EQ59" t="str">
            <v>Housing Recovery and Reconstruction Platform</v>
          </cell>
          <cell r="ER59" t="str">
            <v/>
          </cell>
          <cell r="ES59" t="str">
            <v>District Coordinator</v>
          </cell>
          <cell r="ET59" t="str">
            <v/>
          </cell>
          <cell r="EU59" t="str">
            <v>Housing Recovery and Reconstruction Platform</v>
          </cell>
          <cell r="EV59" t="str">
            <v>Sachin Malego</v>
          </cell>
          <cell r="EW59" t="str">
            <v>District Information Management Officer</v>
          </cell>
          <cell r="EX59">
            <v>9849166793</v>
          </cell>
          <cell r="EY59" t="str">
            <v>Housing Recovery and Reconstruction Platform</v>
          </cell>
          <cell r="EZ59" t="str">
            <v>Lekhnath Paudel</v>
          </cell>
          <cell r="FA59" t="str">
            <v>District Technical Officer</v>
          </cell>
          <cell r="FB59">
            <v>9841640328</v>
          </cell>
        </row>
        <row r="60">
          <cell r="A60">
            <v>20005</v>
          </cell>
          <cell r="B60" t="str">
            <v>Sindhuli</v>
          </cell>
          <cell r="C60" t="str">
            <v>Kamalamai Nagarpalika</v>
          </cell>
          <cell r="D60">
            <v>6397</v>
          </cell>
          <cell r="E60">
            <v>9262</v>
          </cell>
          <cell r="F60">
            <v>15659</v>
          </cell>
          <cell r="G60" t="str">
            <v>Stone and cement mortar masonry</v>
          </cell>
          <cell r="H60">
            <v>2.1</v>
          </cell>
          <cell r="I60">
            <v>1.23</v>
          </cell>
          <cell r="J60" t="str">
            <v>Stone and Mud Mortar Masonary</v>
          </cell>
          <cell r="K60">
            <v>32.58</v>
          </cell>
          <cell r="L60">
            <v>53.21</v>
          </cell>
          <cell r="M60" t="str">
            <v>Brick and Cement Mortar Masonary</v>
          </cell>
          <cell r="N60">
            <v>25.43</v>
          </cell>
          <cell r="O60">
            <v>10.51</v>
          </cell>
          <cell r="P60" t="str">
            <v>Brick and mud mortar Masonry</v>
          </cell>
          <cell r="Q60">
            <v>0.63</v>
          </cell>
          <cell r="R60">
            <v>0.35</v>
          </cell>
          <cell r="S60" t="str">
            <v>Reinforced cement concrete (RCC) frame</v>
          </cell>
          <cell r="T60">
            <v>6.75</v>
          </cell>
          <cell r="U60">
            <v>1.99</v>
          </cell>
          <cell r="V60" t="str">
            <v>Hybrid structure</v>
          </cell>
          <cell r="W60">
            <v>0</v>
          </cell>
          <cell r="X60">
            <v>0</v>
          </cell>
          <cell r="Y60" t="str">
            <v>Timber frame structure</v>
          </cell>
          <cell r="Z60">
            <v>27.56</v>
          </cell>
          <cell r="AA60">
            <v>25.88</v>
          </cell>
          <cell r="AB60" t="str">
            <v>Hollow concrete block Masonry</v>
          </cell>
          <cell r="AC60">
            <v>0</v>
          </cell>
          <cell r="AD60">
            <v>0</v>
          </cell>
          <cell r="AE60" t="str">
            <v>Dry stone Masonry</v>
          </cell>
          <cell r="AF60">
            <v>0.39</v>
          </cell>
          <cell r="AG60">
            <v>0.84</v>
          </cell>
          <cell r="AH60" t="str">
            <v>Adobe structures</v>
          </cell>
          <cell r="AI60">
            <v>2.2400000000000002</v>
          </cell>
          <cell r="AJ60">
            <v>2.29</v>
          </cell>
          <cell r="AK60" t="str">
            <v>Bamboo</v>
          </cell>
          <cell r="AL60">
            <v>2.33</v>
          </cell>
          <cell r="AM60">
            <v>3.7</v>
          </cell>
          <cell r="AN60" t="str">
            <v>Compressed stabilized earth block (SCEB) Masonry</v>
          </cell>
          <cell r="AO60">
            <v>0</v>
          </cell>
          <cell r="AP60">
            <v>0</v>
          </cell>
          <cell r="AQ60" t="str">
            <v>Light steel frame structures</v>
          </cell>
          <cell r="AR60">
            <v>0</v>
          </cell>
          <cell r="AS60">
            <v>0</v>
          </cell>
          <cell r="AT60">
            <v>7864</v>
          </cell>
          <cell r="AU60">
            <v>7619</v>
          </cell>
          <cell r="AV60">
            <v>6918</v>
          </cell>
          <cell r="AW60">
            <v>5025</v>
          </cell>
          <cell r="AX60">
            <v>2852</v>
          </cell>
          <cell r="AY60">
            <v>0</v>
          </cell>
          <cell r="AZ60">
            <v>2000</v>
          </cell>
          <cell r="BA60">
            <v>1768</v>
          </cell>
          <cell r="BB60" t="str">
            <v/>
          </cell>
          <cell r="BC60">
            <v>278</v>
          </cell>
          <cell r="BD60">
            <v>0</v>
          </cell>
          <cell r="BE60" t="str">
            <v/>
          </cell>
          <cell r="BF60" t="str">
            <v/>
          </cell>
          <cell r="BG60">
            <v>38</v>
          </cell>
          <cell r="BH60">
            <v>0</v>
          </cell>
          <cell r="BI60" t="str">
            <v>BC(Rural Housing and Community Infrastructure),NRCS(Health),PLAN(Education,Gender Equality and Social Inclusion,Water, Sanitation and Hygiene)</v>
          </cell>
          <cell r="BJ60" t="str">
            <v>FCA(Education),HELVETAS(Rural Housing and Community Infrastructure),SwissC(Rural Housing and Community Infrastructure)</v>
          </cell>
          <cell r="BK60">
            <v>11051</v>
          </cell>
          <cell r="BL60" t="str">
            <v/>
          </cell>
          <cell r="BM60" t="str">
            <v/>
          </cell>
          <cell r="BN60">
            <v>9518</v>
          </cell>
          <cell r="BO60" t="str">
            <v/>
          </cell>
          <cell r="BP60" t="str">
            <v/>
          </cell>
          <cell r="BQ60">
            <v>1165</v>
          </cell>
          <cell r="BR60" t="str">
            <v/>
          </cell>
          <cell r="BS60" t="str">
            <v/>
          </cell>
          <cell r="BT60">
            <v>1287</v>
          </cell>
          <cell r="BU60" t="str">
            <v/>
          </cell>
          <cell r="BV60" t="str">
            <v/>
          </cell>
          <cell r="BW60" t="str">
            <v/>
          </cell>
          <cell r="BX60" t="str">
            <v/>
          </cell>
          <cell r="BY60" t="str">
            <v/>
          </cell>
          <cell r="BZ60">
            <v>32977</v>
          </cell>
          <cell r="CA60" t="str">
            <v/>
          </cell>
          <cell r="CB60" t="str">
            <v/>
          </cell>
          <cell r="CC60">
            <v>124060</v>
          </cell>
          <cell r="CD60" t="str">
            <v/>
          </cell>
          <cell r="CE60" t="str">
            <v/>
          </cell>
          <cell r="CF60">
            <v>1352</v>
          </cell>
          <cell r="CG60" t="str">
            <v/>
          </cell>
          <cell r="CH60" t="str">
            <v/>
          </cell>
          <cell r="CI60">
            <v>417653</v>
          </cell>
          <cell r="CJ60" t="str">
            <v/>
          </cell>
          <cell r="CK60" t="str">
            <v/>
          </cell>
          <cell r="CL60" t="str">
            <v>Skilled</v>
          </cell>
          <cell r="CM60">
            <v>1200</v>
          </cell>
          <cell r="CN60" t="str">
            <v>Labor</v>
          </cell>
          <cell r="CO60">
            <v>800</v>
          </cell>
          <cell r="CP60" t="str">
            <v/>
          </cell>
          <cell r="CQ60" t="str">
            <v/>
          </cell>
          <cell r="CR60" t="str">
            <v/>
          </cell>
          <cell r="CS60" t="str">
            <v/>
          </cell>
          <cell r="CT60" t="str">
            <v/>
          </cell>
          <cell r="CU60" t="str">
            <v/>
          </cell>
          <cell r="CV60" t="str">
            <v>Municipal Office</v>
          </cell>
          <cell r="CW60" t="str">
            <v>Khadga Khatri</v>
          </cell>
          <cell r="CX60" t="str">
            <v>Mayor</v>
          </cell>
          <cell r="CY60">
            <v>9854041029</v>
          </cell>
          <cell r="CZ60" t="str">
            <v>Municipal Office</v>
          </cell>
          <cell r="DA60" t="str">
            <v>Manju Devkota</v>
          </cell>
          <cell r="DB60" t="str">
            <v>Deputy Mayor</v>
          </cell>
          <cell r="DC60">
            <v>9844045833</v>
          </cell>
          <cell r="DD60" t="str">
            <v>Municipal Office</v>
          </cell>
          <cell r="DE60" t="str">
            <v>Prushottam Subedi</v>
          </cell>
          <cell r="DF60" t="str">
            <v>Chief Adminstration Officer</v>
          </cell>
          <cell r="DG60">
            <v>9854050111</v>
          </cell>
          <cell r="DH60" t="str">
            <v>NRA/GMALI</v>
          </cell>
          <cell r="DI60" t="str">
            <v>Dev Narayan Pd. Yadav</v>
          </cell>
          <cell r="DJ60" t="str">
            <v>NRA Chief-District</v>
          </cell>
          <cell r="DK60">
            <v>9852029429</v>
          </cell>
          <cell r="DL60" t="str">
            <v>DLPIU-Building</v>
          </cell>
          <cell r="DM60" t="str">
            <v>Prabhakar Lal Karna</v>
          </cell>
          <cell r="DN60" t="str">
            <v>DUDBC.DLPIU Chief</v>
          </cell>
          <cell r="DO60">
            <v>9854041543</v>
          </cell>
          <cell r="DP60" t="str">
            <v>Municipal Office</v>
          </cell>
          <cell r="DQ60" t="str">
            <v/>
          </cell>
          <cell r="DR60" t="str">
            <v>Focal Person</v>
          </cell>
          <cell r="DS60" t="str">
            <v/>
          </cell>
          <cell r="DT60" t="str">
            <v>50</v>
          </cell>
          <cell r="DU60" t="str">
            <v>32</v>
          </cell>
          <cell r="DV60" t="str">
            <v>50</v>
          </cell>
          <cell r="DW60" t="str">
            <v/>
          </cell>
          <cell r="DX60" t="str">
            <v>100</v>
          </cell>
          <cell r="DY60" t="str">
            <v>10</v>
          </cell>
          <cell r="DZ60">
            <v>12</v>
          </cell>
          <cell r="EA60" t="str">
            <v/>
          </cell>
          <cell r="EB60">
            <v>7</v>
          </cell>
          <cell r="EC60" t="str">
            <v/>
          </cell>
          <cell r="ED60">
            <v>6</v>
          </cell>
          <cell r="EE60" t="str">
            <v/>
          </cell>
          <cell r="EF60" t="str">
            <v/>
          </cell>
          <cell r="EG60" t="str">
            <v/>
          </cell>
          <cell r="EH60" t="str">
            <v/>
          </cell>
          <cell r="EI60" t="str">
            <v/>
          </cell>
          <cell r="EJ60">
            <v>622</v>
          </cell>
          <cell r="EK60">
            <v>242</v>
          </cell>
          <cell r="EL60">
            <v>380</v>
          </cell>
          <cell r="EM60">
            <v>993</v>
          </cell>
          <cell r="EN60">
            <v>440</v>
          </cell>
          <cell r="EO60">
            <v>553</v>
          </cell>
          <cell r="EP60" t="str">
            <v/>
          </cell>
          <cell r="EQ60" t="str">
            <v>Housing Recovery and Reconstruction Platform</v>
          </cell>
          <cell r="ER60" t="str">
            <v/>
          </cell>
          <cell r="ES60" t="str">
            <v>District Coordinator</v>
          </cell>
          <cell r="ET60" t="str">
            <v/>
          </cell>
          <cell r="EU60" t="str">
            <v>Housing Recovery and Reconstruction Platform</v>
          </cell>
          <cell r="EV60" t="str">
            <v>Sachin Malego</v>
          </cell>
          <cell r="EW60" t="str">
            <v>District Information Management Officer</v>
          </cell>
          <cell r="EX60">
            <v>9849166793</v>
          </cell>
          <cell r="EY60" t="str">
            <v>Housing Recovery and Reconstruction Platform</v>
          </cell>
          <cell r="EZ60" t="str">
            <v>Lekhnath Paudel</v>
          </cell>
          <cell r="FA60" t="str">
            <v>District Technical Officer</v>
          </cell>
          <cell r="FB60">
            <v>9841640328</v>
          </cell>
        </row>
        <row r="61">
          <cell r="A61">
            <v>20006</v>
          </cell>
          <cell r="B61" t="str">
            <v>Sindhuli</v>
          </cell>
          <cell r="C61" t="str">
            <v>Marinthakur Gaunpalika</v>
          </cell>
          <cell r="D61">
            <v>1920</v>
          </cell>
          <cell r="E61">
            <v>3797</v>
          </cell>
          <cell r="F61">
            <v>5717</v>
          </cell>
          <cell r="G61" t="str">
            <v>Stone and cement mortar masonry</v>
          </cell>
          <cell r="H61">
            <v>0.98</v>
          </cell>
          <cell r="I61">
            <v>1.23</v>
          </cell>
          <cell r="J61" t="str">
            <v>Stone and Mud Mortar Masonary</v>
          </cell>
          <cell r="K61">
            <v>48.08</v>
          </cell>
          <cell r="L61">
            <v>53.21</v>
          </cell>
          <cell r="M61" t="str">
            <v>Brick and Cement Mortar Masonary</v>
          </cell>
          <cell r="N61">
            <v>10.08</v>
          </cell>
          <cell r="O61">
            <v>10.51</v>
          </cell>
          <cell r="P61" t="str">
            <v>Brick and mud mortar Masonry</v>
          </cell>
          <cell r="Q61">
            <v>0.17</v>
          </cell>
          <cell r="R61">
            <v>0.35</v>
          </cell>
          <cell r="S61" t="str">
            <v>Reinforced cement concrete (RCC) frame</v>
          </cell>
          <cell r="T61">
            <v>0.63</v>
          </cell>
          <cell r="U61">
            <v>1.99</v>
          </cell>
          <cell r="V61" t="str">
            <v>Hybrid structure</v>
          </cell>
          <cell r="W61">
            <v>0</v>
          </cell>
          <cell r="X61">
            <v>0</v>
          </cell>
          <cell r="Y61" t="str">
            <v>Timber frame structure</v>
          </cell>
          <cell r="Z61">
            <v>38.65</v>
          </cell>
          <cell r="AA61">
            <v>25.88</v>
          </cell>
          <cell r="AB61" t="str">
            <v>Hollow concrete block Masonry</v>
          </cell>
          <cell r="AC61">
            <v>0</v>
          </cell>
          <cell r="AD61">
            <v>0</v>
          </cell>
          <cell r="AE61" t="str">
            <v>Dry stone Masonry</v>
          </cell>
          <cell r="AF61">
            <v>0.24</v>
          </cell>
          <cell r="AG61">
            <v>0.84</v>
          </cell>
          <cell r="AH61" t="str">
            <v>Adobe structures</v>
          </cell>
          <cell r="AI61">
            <v>0.12</v>
          </cell>
          <cell r="AJ61">
            <v>2.29</v>
          </cell>
          <cell r="AK61" t="str">
            <v>Bamboo</v>
          </cell>
          <cell r="AL61">
            <v>1.05</v>
          </cell>
          <cell r="AM61">
            <v>3.7</v>
          </cell>
          <cell r="AN61" t="str">
            <v>Compressed stabilized earth block (SCEB) Masonry</v>
          </cell>
          <cell r="AO61">
            <v>0</v>
          </cell>
          <cell r="AP61">
            <v>0</v>
          </cell>
          <cell r="AQ61" t="str">
            <v>Light steel frame structures</v>
          </cell>
          <cell r="AR61">
            <v>0</v>
          </cell>
          <cell r="AS61">
            <v>0</v>
          </cell>
          <cell r="AT61">
            <v>3340</v>
          </cell>
          <cell r="AU61">
            <v>3120</v>
          </cell>
          <cell r="AV61">
            <v>3120</v>
          </cell>
          <cell r="AW61">
            <v>2278</v>
          </cell>
          <cell r="AX61">
            <v>1049</v>
          </cell>
          <cell r="AY61">
            <v>0</v>
          </cell>
          <cell r="AZ61">
            <v>507</v>
          </cell>
          <cell r="BA61">
            <v>1266</v>
          </cell>
          <cell r="BB61" t="str">
            <v/>
          </cell>
          <cell r="BC61">
            <v>59</v>
          </cell>
          <cell r="BD61">
            <v>0</v>
          </cell>
          <cell r="BE61" t="str">
            <v/>
          </cell>
          <cell r="BF61" t="str">
            <v/>
          </cell>
          <cell r="BG61">
            <v>9</v>
          </cell>
          <cell r="BH61">
            <v>0</v>
          </cell>
          <cell r="BI61" t="str">
            <v>PLAN(Education,Gender Equality and Social Inclusion)</v>
          </cell>
          <cell r="BJ61" t="str">
            <v>FCA(Education),HELVETAS(Rural Housing and Community Infrastructure),SwissC(Rural Housing and Community Infrastructure)</v>
          </cell>
          <cell r="BK61">
            <v>59871</v>
          </cell>
          <cell r="BL61" t="str">
            <v/>
          </cell>
          <cell r="BM61">
            <v>3000</v>
          </cell>
          <cell r="BN61">
            <v>30228</v>
          </cell>
          <cell r="BO61" t="str">
            <v/>
          </cell>
          <cell r="BP61">
            <v>3000</v>
          </cell>
          <cell r="BQ61">
            <v>6125</v>
          </cell>
          <cell r="BR61" t="str">
            <v/>
          </cell>
          <cell r="BS61">
            <v>2500</v>
          </cell>
          <cell r="BT61">
            <v>6078</v>
          </cell>
          <cell r="BU61" t="str">
            <v/>
          </cell>
          <cell r="BV61" t="str">
            <v/>
          </cell>
          <cell r="BW61" t="str">
            <v/>
          </cell>
          <cell r="BX61" t="str">
            <v>N</v>
          </cell>
          <cell r="BY61">
            <v>1200</v>
          </cell>
          <cell r="BZ61">
            <v>121478</v>
          </cell>
          <cell r="CA61" t="str">
            <v/>
          </cell>
          <cell r="CB61" t="str">
            <v/>
          </cell>
          <cell r="CC61">
            <v>717707</v>
          </cell>
          <cell r="CD61" t="str">
            <v/>
          </cell>
          <cell r="CE61" t="str">
            <v/>
          </cell>
          <cell r="CF61">
            <v>5014</v>
          </cell>
          <cell r="CG61" t="str">
            <v/>
          </cell>
          <cell r="CH61" t="str">
            <v/>
          </cell>
          <cell r="CI61">
            <v>5365858</v>
          </cell>
          <cell r="CJ61" t="str">
            <v/>
          </cell>
          <cell r="CK61" t="str">
            <v/>
          </cell>
          <cell r="CL61" t="str">
            <v>Skilled</v>
          </cell>
          <cell r="CM61">
            <v>1200</v>
          </cell>
          <cell r="CN61" t="str">
            <v>Labor</v>
          </cell>
          <cell r="CO61">
            <v>800</v>
          </cell>
          <cell r="CP61" t="str">
            <v/>
          </cell>
          <cell r="CQ61" t="str">
            <v/>
          </cell>
          <cell r="CR61" t="str">
            <v/>
          </cell>
          <cell r="CS61" t="str">
            <v/>
          </cell>
          <cell r="CT61" t="str">
            <v/>
          </cell>
          <cell r="CU61" t="str">
            <v/>
          </cell>
          <cell r="CV61" t="str">
            <v>Municipal Office</v>
          </cell>
          <cell r="CW61" t="str">
            <v>Pani Raj Bomjon</v>
          </cell>
          <cell r="CX61" t="str">
            <v>Chair Person</v>
          </cell>
          <cell r="CY61">
            <v>9854042200</v>
          </cell>
          <cell r="CZ61" t="str">
            <v>Municipal Office</v>
          </cell>
          <cell r="DA61" t="str">
            <v>Sangita Majhi</v>
          </cell>
          <cell r="DB61" t="str">
            <v>Deputy Chair Person</v>
          </cell>
          <cell r="DC61">
            <v>9809677789</v>
          </cell>
          <cell r="DD61" t="str">
            <v>Municipal Office</v>
          </cell>
          <cell r="DE61" t="str">
            <v>Madan Bdr. Thing</v>
          </cell>
          <cell r="DF61" t="str">
            <v>Chief Adminstration Officer</v>
          </cell>
          <cell r="DG61">
            <v>9841891334</v>
          </cell>
          <cell r="DH61" t="str">
            <v>NRA/GMALI</v>
          </cell>
          <cell r="DI61" t="str">
            <v>Dev Narayan Pd. Yadav</v>
          </cell>
          <cell r="DJ61" t="str">
            <v>NRA Chief-District</v>
          </cell>
          <cell r="DK61">
            <v>9852029429</v>
          </cell>
          <cell r="DL61" t="str">
            <v>DLPIU-Building</v>
          </cell>
          <cell r="DM61" t="str">
            <v>Prabhakar Lal Karna</v>
          </cell>
          <cell r="DN61" t="str">
            <v>DUDBC.DLPIU Chief</v>
          </cell>
          <cell r="DO61">
            <v>9854041543</v>
          </cell>
          <cell r="DP61" t="str">
            <v>Municipal Office</v>
          </cell>
          <cell r="DQ61" t="str">
            <v/>
          </cell>
          <cell r="DR61" t="str">
            <v>Focal Person</v>
          </cell>
          <cell r="DS61" t="str">
            <v/>
          </cell>
          <cell r="DT61" t="str">
            <v/>
          </cell>
          <cell r="DU61" t="str">
            <v/>
          </cell>
          <cell r="DV61" t="str">
            <v/>
          </cell>
          <cell r="DW61" t="str">
            <v/>
          </cell>
          <cell r="DX61" t="str">
            <v/>
          </cell>
          <cell r="DY61" t="str">
            <v/>
          </cell>
          <cell r="DZ61">
            <v>3</v>
          </cell>
          <cell r="EA61" t="str">
            <v/>
          </cell>
          <cell r="EB61">
            <v>2</v>
          </cell>
          <cell r="EC61" t="str">
            <v/>
          </cell>
          <cell r="ED61">
            <v>4</v>
          </cell>
          <cell r="EE61" t="str">
            <v/>
          </cell>
          <cell r="EF61" t="str">
            <v/>
          </cell>
          <cell r="EG61" t="str">
            <v/>
          </cell>
          <cell r="EH61" t="str">
            <v/>
          </cell>
          <cell r="EI61" t="str">
            <v/>
          </cell>
          <cell r="EJ61">
            <v>297</v>
          </cell>
          <cell r="EK61">
            <v>200</v>
          </cell>
          <cell r="EL61">
            <v>97</v>
          </cell>
          <cell r="EM61">
            <v>474</v>
          </cell>
          <cell r="EN61">
            <v>360</v>
          </cell>
          <cell r="EO61">
            <v>114</v>
          </cell>
          <cell r="EP61" t="str">
            <v/>
          </cell>
          <cell r="EQ61" t="str">
            <v>Housing Recovery and Reconstruction Platform</v>
          </cell>
          <cell r="ER61" t="str">
            <v/>
          </cell>
          <cell r="ES61" t="str">
            <v>District Coordinator</v>
          </cell>
          <cell r="ET61" t="str">
            <v/>
          </cell>
          <cell r="EU61" t="str">
            <v>Housing Recovery and Reconstruction Platform</v>
          </cell>
          <cell r="EV61" t="str">
            <v>Sachin Malego</v>
          </cell>
          <cell r="EW61" t="str">
            <v>District Information Management Officer</v>
          </cell>
          <cell r="EX61">
            <v>9849166793</v>
          </cell>
          <cell r="EY61" t="str">
            <v>Housing Recovery and Reconstruction Platform</v>
          </cell>
          <cell r="EZ61" t="str">
            <v>Lekhnath Paudel</v>
          </cell>
          <cell r="FA61" t="str">
            <v>District Technical Officer</v>
          </cell>
          <cell r="FB61">
            <v>9841640328</v>
          </cell>
        </row>
        <row r="62">
          <cell r="A62">
            <v>20007</v>
          </cell>
          <cell r="B62" t="str">
            <v>Sindhuli</v>
          </cell>
          <cell r="C62" t="str">
            <v>Phikkal Gaunpalika</v>
          </cell>
          <cell r="D62">
            <v>1380</v>
          </cell>
          <cell r="E62">
            <v>2692</v>
          </cell>
          <cell r="F62">
            <v>4072</v>
          </cell>
          <cell r="G62" t="str">
            <v>Stone and cement mortar masonry</v>
          </cell>
          <cell r="H62">
            <v>0.34</v>
          </cell>
          <cell r="I62">
            <v>1.23</v>
          </cell>
          <cell r="J62" t="str">
            <v>Stone and Mud Mortar Masonary</v>
          </cell>
          <cell r="K62">
            <v>97</v>
          </cell>
          <cell r="L62">
            <v>53.21</v>
          </cell>
          <cell r="M62" t="str">
            <v>Brick and Cement Mortar Masonary</v>
          </cell>
          <cell r="N62">
            <v>0.02</v>
          </cell>
          <cell r="O62">
            <v>10.51</v>
          </cell>
          <cell r="P62" t="str">
            <v>Brick and mud mortar Masonry</v>
          </cell>
          <cell r="Q62">
            <v>0</v>
          </cell>
          <cell r="R62">
            <v>0.35</v>
          </cell>
          <cell r="S62" t="str">
            <v>Reinforced cement concrete (RCC) frame</v>
          </cell>
          <cell r="T62">
            <v>0.02</v>
          </cell>
          <cell r="U62">
            <v>1.99</v>
          </cell>
          <cell r="V62" t="str">
            <v>Hybrid structure</v>
          </cell>
          <cell r="W62">
            <v>0</v>
          </cell>
          <cell r="X62">
            <v>0</v>
          </cell>
          <cell r="Y62" t="str">
            <v>Timber frame structure</v>
          </cell>
          <cell r="Z62">
            <v>1.74</v>
          </cell>
          <cell r="AA62">
            <v>25.88</v>
          </cell>
          <cell r="AB62" t="str">
            <v>Hollow concrete block Masonry</v>
          </cell>
          <cell r="AC62">
            <v>0</v>
          </cell>
          <cell r="AD62">
            <v>0</v>
          </cell>
          <cell r="AE62" t="str">
            <v>Dry stone Masonry</v>
          </cell>
          <cell r="AF62">
            <v>7.0000000000000007E-2</v>
          </cell>
          <cell r="AG62">
            <v>0.84</v>
          </cell>
          <cell r="AH62" t="str">
            <v>Adobe structures</v>
          </cell>
          <cell r="AI62">
            <v>0.05</v>
          </cell>
          <cell r="AJ62">
            <v>2.29</v>
          </cell>
          <cell r="AK62" t="str">
            <v>Bamboo</v>
          </cell>
          <cell r="AL62">
            <v>0.74</v>
          </cell>
          <cell r="AM62">
            <v>3.7</v>
          </cell>
          <cell r="AN62" t="str">
            <v>Compressed stabilized earth block (SCEB) Masonry</v>
          </cell>
          <cell r="AO62">
            <v>0</v>
          </cell>
          <cell r="AP62">
            <v>0</v>
          </cell>
          <cell r="AQ62" t="str">
            <v>Light steel frame structures</v>
          </cell>
          <cell r="AR62">
            <v>0</v>
          </cell>
          <cell r="AS62">
            <v>0</v>
          </cell>
          <cell r="AT62">
            <v>2175</v>
          </cell>
          <cell r="AU62">
            <v>2162</v>
          </cell>
          <cell r="AV62">
            <v>2162</v>
          </cell>
          <cell r="AW62">
            <v>2033</v>
          </cell>
          <cell r="AX62">
            <v>1649</v>
          </cell>
          <cell r="AY62">
            <v>0</v>
          </cell>
          <cell r="AZ62">
            <v>1402</v>
          </cell>
          <cell r="BA62">
            <v>923</v>
          </cell>
          <cell r="BB62" t="str">
            <v/>
          </cell>
          <cell r="BC62">
            <v>6</v>
          </cell>
          <cell r="BD62">
            <v>0</v>
          </cell>
          <cell r="BE62" t="str">
            <v/>
          </cell>
          <cell r="BF62" t="str">
            <v/>
          </cell>
          <cell r="BG62">
            <v>22</v>
          </cell>
          <cell r="BH62">
            <v>0</v>
          </cell>
          <cell r="BI62" t="str">
            <v>HELVETAS(Rural Housing and Community Infrastructure)</v>
          </cell>
          <cell r="BJ62" t="str">
            <v>FCA(Education)</v>
          </cell>
          <cell r="BK62">
            <v>16060</v>
          </cell>
          <cell r="BL62" t="str">
            <v/>
          </cell>
          <cell r="BM62" t="str">
            <v/>
          </cell>
          <cell r="BN62">
            <v>13072</v>
          </cell>
          <cell r="BO62" t="str">
            <v/>
          </cell>
          <cell r="BP62" t="str">
            <v/>
          </cell>
          <cell r="BQ62">
            <v>1686</v>
          </cell>
          <cell r="BR62" t="str">
            <v/>
          </cell>
          <cell r="BS62" t="str">
            <v/>
          </cell>
          <cell r="BT62">
            <v>1841</v>
          </cell>
          <cell r="BU62" t="str">
            <v/>
          </cell>
          <cell r="BV62" t="str">
            <v/>
          </cell>
          <cell r="BW62" t="str">
            <v/>
          </cell>
          <cell r="BX62" t="str">
            <v/>
          </cell>
          <cell r="BY62" t="str">
            <v/>
          </cell>
          <cell r="BZ62">
            <v>46161</v>
          </cell>
          <cell r="CA62" t="str">
            <v/>
          </cell>
          <cell r="CB62" t="str">
            <v/>
          </cell>
          <cell r="CC62">
            <v>182292</v>
          </cell>
          <cell r="CD62" t="str">
            <v/>
          </cell>
          <cell r="CE62" t="str">
            <v/>
          </cell>
          <cell r="CF62">
            <v>1895</v>
          </cell>
          <cell r="CG62" t="str">
            <v/>
          </cell>
          <cell r="CH62" t="str">
            <v/>
          </cell>
          <cell r="CI62">
            <v>759444</v>
          </cell>
          <cell r="CJ62" t="str">
            <v/>
          </cell>
          <cell r="CK62" t="str">
            <v/>
          </cell>
          <cell r="CL62" t="str">
            <v>Skilled</v>
          </cell>
          <cell r="CM62">
            <v>900</v>
          </cell>
          <cell r="CN62" t="str">
            <v>Labor</v>
          </cell>
          <cell r="CO62">
            <v>715</v>
          </cell>
          <cell r="CP62" t="str">
            <v/>
          </cell>
          <cell r="CQ62" t="str">
            <v/>
          </cell>
          <cell r="CR62" t="str">
            <v/>
          </cell>
          <cell r="CS62" t="str">
            <v/>
          </cell>
          <cell r="CT62" t="str">
            <v/>
          </cell>
          <cell r="CU62" t="str">
            <v/>
          </cell>
          <cell r="CV62" t="str">
            <v>Municipal Office</v>
          </cell>
          <cell r="CW62" t="str">
            <v>Dhan Bdr. Karki</v>
          </cell>
          <cell r="CX62" t="str">
            <v>Chair Person</v>
          </cell>
          <cell r="CY62">
            <v>9844396655</v>
          </cell>
          <cell r="CZ62" t="str">
            <v>Municipal Office</v>
          </cell>
          <cell r="DA62" t="str">
            <v>Parbati Sunuwar</v>
          </cell>
          <cell r="DB62" t="str">
            <v>Deputy Chair Person</v>
          </cell>
          <cell r="DC62">
            <v>9854041941</v>
          </cell>
          <cell r="DD62" t="str">
            <v>Municipal Office</v>
          </cell>
          <cell r="DE62" t="str">
            <v>Kalpana Timilsina Sharma</v>
          </cell>
          <cell r="DF62" t="str">
            <v>Chief Adminstration Officer</v>
          </cell>
          <cell r="DG62">
            <v>9801557857</v>
          </cell>
          <cell r="DH62" t="str">
            <v>NRA/GMALI</v>
          </cell>
          <cell r="DI62" t="str">
            <v>Dev Narayan Pd. Yadav</v>
          </cell>
          <cell r="DJ62" t="str">
            <v>NRA Chief-District</v>
          </cell>
          <cell r="DK62">
            <v>9852029429</v>
          </cell>
          <cell r="DL62" t="str">
            <v>DLPIU-Building</v>
          </cell>
          <cell r="DM62" t="str">
            <v>Prabhakar Lal Karna</v>
          </cell>
          <cell r="DN62" t="str">
            <v>DUDBC.DLPIU Chief</v>
          </cell>
          <cell r="DO62">
            <v>9854041543</v>
          </cell>
          <cell r="DP62" t="str">
            <v>Municipal Office</v>
          </cell>
          <cell r="DQ62" t="str">
            <v/>
          </cell>
          <cell r="DR62" t="str">
            <v>Focal Person</v>
          </cell>
          <cell r="DS62" t="str">
            <v/>
          </cell>
          <cell r="DT62" t="str">
            <v/>
          </cell>
          <cell r="DU62" t="str">
            <v/>
          </cell>
          <cell r="DV62" t="str">
            <v/>
          </cell>
          <cell r="DW62" t="str">
            <v/>
          </cell>
          <cell r="DX62" t="str">
            <v/>
          </cell>
          <cell r="DY62" t="str">
            <v/>
          </cell>
          <cell r="DZ62">
            <v>4</v>
          </cell>
          <cell r="EA62" t="str">
            <v/>
          </cell>
          <cell r="EB62">
            <v>6</v>
          </cell>
          <cell r="EC62" t="str">
            <v/>
          </cell>
          <cell r="ED62">
            <v>6</v>
          </cell>
          <cell r="EE62" t="str">
            <v/>
          </cell>
          <cell r="EF62" t="str">
            <v/>
          </cell>
          <cell r="EG62" t="str">
            <v/>
          </cell>
          <cell r="EH62" t="str">
            <v/>
          </cell>
          <cell r="EI62" t="str">
            <v/>
          </cell>
          <cell r="EJ62">
            <v>163</v>
          </cell>
          <cell r="EK62">
            <v>0</v>
          </cell>
          <cell r="EL62">
            <v>163</v>
          </cell>
          <cell r="EM62">
            <v>263</v>
          </cell>
          <cell r="EN62">
            <v>340</v>
          </cell>
          <cell r="EO62">
            <v>-77</v>
          </cell>
          <cell r="EP62" t="str">
            <v/>
          </cell>
          <cell r="EQ62" t="str">
            <v>Housing Recovery and Reconstruction Platform</v>
          </cell>
          <cell r="ER62" t="str">
            <v/>
          </cell>
          <cell r="ES62" t="str">
            <v>District Coordinator</v>
          </cell>
          <cell r="ET62" t="str">
            <v/>
          </cell>
          <cell r="EU62" t="str">
            <v>Housing Recovery and Reconstruction Platform</v>
          </cell>
          <cell r="EV62" t="str">
            <v>Sachin Malego</v>
          </cell>
          <cell r="EW62" t="str">
            <v>District Information Management Officer</v>
          </cell>
          <cell r="EX62">
            <v>9849166793</v>
          </cell>
          <cell r="EY62" t="str">
            <v>Housing Recovery and Reconstruction Platform</v>
          </cell>
          <cell r="EZ62" t="str">
            <v>Lekhnath Paudel</v>
          </cell>
          <cell r="FA62" t="str">
            <v>District Technical Officer</v>
          </cell>
          <cell r="FB62">
            <v>9841640328</v>
          </cell>
        </row>
        <row r="63">
          <cell r="A63">
            <v>20008</v>
          </cell>
          <cell r="B63" t="str">
            <v>Sindhuli</v>
          </cell>
          <cell r="C63" t="str">
            <v>Sunkoshi Gaunpalika</v>
          </cell>
          <cell r="D63">
            <v>766</v>
          </cell>
          <cell r="E63">
            <v>5627</v>
          </cell>
          <cell r="F63">
            <v>6393</v>
          </cell>
          <cell r="G63" t="str">
            <v>Stone and cement mortar masonry</v>
          </cell>
          <cell r="H63">
            <v>0.42</v>
          </cell>
          <cell r="I63">
            <v>1.23</v>
          </cell>
          <cell r="J63" t="str">
            <v>Stone and Mud Mortar Masonary</v>
          </cell>
          <cell r="K63">
            <v>86.3</v>
          </cell>
          <cell r="L63">
            <v>53.21</v>
          </cell>
          <cell r="M63" t="str">
            <v>Brick and Cement Mortar Masonary</v>
          </cell>
          <cell r="N63">
            <v>0.36</v>
          </cell>
          <cell r="O63">
            <v>10.51</v>
          </cell>
          <cell r="P63" t="str">
            <v>Brick and mud mortar Masonry</v>
          </cell>
          <cell r="Q63">
            <v>0.13</v>
          </cell>
          <cell r="R63">
            <v>0.35</v>
          </cell>
          <cell r="S63" t="str">
            <v>Reinforced cement concrete (RCC) frame</v>
          </cell>
          <cell r="T63">
            <v>0.39</v>
          </cell>
          <cell r="U63">
            <v>1.99</v>
          </cell>
          <cell r="V63" t="str">
            <v>Hybrid structure</v>
          </cell>
          <cell r="W63">
            <v>0</v>
          </cell>
          <cell r="X63">
            <v>0</v>
          </cell>
          <cell r="Y63" t="str">
            <v>Timber frame structure</v>
          </cell>
          <cell r="Z63">
            <v>0.08</v>
          </cell>
          <cell r="AA63">
            <v>25.88</v>
          </cell>
          <cell r="AB63" t="str">
            <v>Hollow concrete block Masonry</v>
          </cell>
          <cell r="AC63">
            <v>0</v>
          </cell>
          <cell r="AD63">
            <v>0</v>
          </cell>
          <cell r="AE63" t="str">
            <v>Dry stone Masonry</v>
          </cell>
          <cell r="AF63">
            <v>0.06</v>
          </cell>
          <cell r="AG63">
            <v>0.84</v>
          </cell>
          <cell r="AH63" t="str">
            <v>Adobe structures</v>
          </cell>
          <cell r="AI63">
            <v>12.19</v>
          </cell>
          <cell r="AJ63">
            <v>2.29</v>
          </cell>
          <cell r="AK63" t="str">
            <v>Bamboo</v>
          </cell>
          <cell r="AL63">
            <v>0.08</v>
          </cell>
          <cell r="AM63">
            <v>3.7</v>
          </cell>
          <cell r="AN63" t="str">
            <v>Compressed stabilized earth block (SCEB) Masonry</v>
          </cell>
          <cell r="AO63">
            <v>0</v>
          </cell>
          <cell r="AP63">
            <v>0</v>
          </cell>
          <cell r="AQ63" t="str">
            <v>Light steel frame structures</v>
          </cell>
          <cell r="AR63">
            <v>0</v>
          </cell>
          <cell r="AS63">
            <v>0</v>
          </cell>
          <cell r="AT63">
            <v>4745</v>
          </cell>
          <cell r="AU63">
            <v>4724</v>
          </cell>
          <cell r="AV63">
            <v>4722</v>
          </cell>
          <cell r="AW63">
            <v>4261</v>
          </cell>
          <cell r="AX63">
            <v>3313</v>
          </cell>
          <cell r="AY63">
            <v>0</v>
          </cell>
          <cell r="AZ63">
            <v>2669</v>
          </cell>
          <cell r="BA63">
            <v>327</v>
          </cell>
          <cell r="BB63" t="str">
            <v/>
          </cell>
          <cell r="BC63">
            <v>0</v>
          </cell>
          <cell r="BD63">
            <v>0</v>
          </cell>
          <cell r="BE63" t="str">
            <v/>
          </cell>
          <cell r="BF63" t="str">
            <v/>
          </cell>
          <cell r="BG63">
            <v>25</v>
          </cell>
          <cell r="BH63">
            <v>2</v>
          </cell>
          <cell r="BI63" t="str">
            <v>NRCS(Agriculture, Livestock Development and Irrigation,Education,Employment and Livelihood,Health,Rural Housing and Community Infrastructure,Water, Sanitation and Hygiene),PLAN(Education,Gender Equality and Social Inclusion,Water, Sanitation and Hygiene)</v>
          </cell>
          <cell r="BJ63" t="str">
            <v>HELVETAS(Rural Housing and Community Infrastructure),SwissC(Rural Housing and Community Infrastructure)</v>
          </cell>
          <cell r="BK63">
            <v>51489</v>
          </cell>
          <cell r="BL63" t="str">
            <v/>
          </cell>
          <cell r="BM63" t="str">
            <v/>
          </cell>
          <cell r="BN63">
            <v>52940</v>
          </cell>
          <cell r="BO63" t="str">
            <v/>
          </cell>
          <cell r="BP63" t="str">
            <v/>
          </cell>
          <cell r="BQ63">
            <v>5500</v>
          </cell>
          <cell r="BR63" t="str">
            <v/>
          </cell>
          <cell r="BS63" t="str">
            <v/>
          </cell>
          <cell r="BT63">
            <v>6353</v>
          </cell>
          <cell r="BU63" t="str">
            <v/>
          </cell>
          <cell r="BV63" t="str">
            <v/>
          </cell>
          <cell r="BW63" t="str">
            <v/>
          </cell>
          <cell r="BX63" t="str">
            <v/>
          </cell>
          <cell r="BY63" t="str">
            <v/>
          </cell>
          <cell r="BZ63">
            <v>175838</v>
          </cell>
          <cell r="CA63" t="str">
            <v/>
          </cell>
          <cell r="CB63" t="str">
            <v/>
          </cell>
          <cell r="CC63">
            <v>558569</v>
          </cell>
          <cell r="CD63" t="str">
            <v/>
          </cell>
          <cell r="CE63" t="str">
            <v/>
          </cell>
          <cell r="CF63">
            <v>7189</v>
          </cell>
          <cell r="CG63" t="str">
            <v/>
          </cell>
          <cell r="CH63" t="str">
            <v/>
          </cell>
          <cell r="CI63">
            <v>568240</v>
          </cell>
          <cell r="CJ63" t="str">
            <v/>
          </cell>
          <cell r="CK63" t="str">
            <v/>
          </cell>
          <cell r="CL63" t="str">
            <v>Skilled</v>
          </cell>
          <cell r="CM63">
            <v>1500</v>
          </cell>
          <cell r="CN63" t="str">
            <v>Labor</v>
          </cell>
          <cell r="CO63">
            <v>1000</v>
          </cell>
          <cell r="CP63" t="str">
            <v/>
          </cell>
          <cell r="CQ63" t="str">
            <v/>
          </cell>
          <cell r="CR63" t="str">
            <v/>
          </cell>
          <cell r="CS63" t="str">
            <v/>
          </cell>
          <cell r="CT63" t="str">
            <v/>
          </cell>
          <cell r="CU63" t="str">
            <v/>
          </cell>
          <cell r="CV63" t="str">
            <v>Municipal Office</v>
          </cell>
          <cell r="CW63" t="str">
            <v>Deepa Bohara</v>
          </cell>
          <cell r="CX63" t="str">
            <v>Chair Person</v>
          </cell>
          <cell r="CY63">
            <v>9844082014</v>
          </cell>
          <cell r="CZ63" t="str">
            <v>Municipal Office</v>
          </cell>
          <cell r="DA63" t="str">
            <v>Dirbu Singh Moktan</v>
          </cell>
          <cell r="DB63" t="str">
            <v>Deputy Chair Person</v>
          </cell>
          <cell r="DC63">
            <v>9841230660</v>
          </cell>
          <cell r="DD63" t="str">
            <v>Municipal Office</v>
          </cell>
          <cell r="DE63" t="str">
            <v>Bikash Sundas</v>
          </cell>
          <cell r="DF63" t="str">
            <v>Chief Adminstration Officer</v>
          </cell>
          <cell r="DG63">
            <v>9851130036</v>
          </cell>
          <cell r="DH63" t="str">
            <v>NRA/GMALI</v>
          </cell>
          <cell r="DI63" t="str">
            <v>Dev Narayan Pd. Yadav</v>
          </cell>
          <cell r="DJ63" t="str">
            <v>NRA Chief-District</v>
          </cell>
          <cell r="DK63">
            <v>9852029429</v>
          </cell>
          <cell r="DL63" t="str">
            <v>DLPIU-Building</v>
          </cell>
          <cell r="DM63" t="str">
            <v>Prabhakar Lal Karna</v>
          </cell>
          <cell r="DN63" t="str">
            <v>DUDBC.DLPIU Chief</v>
          </cell>
          <cell r="DO63">
            <v>9854041543</v>
          </cell>
          <cell r="DP63" t="str">
            <v>Municipal Office</v>
          </cell>
          <cell r="DQ63" t="str">
            <v/>
          </cell>
          <cell r="DR63" t="str">
            <v>Focal Person</v>
          </cell>
          <cell r="DS63" t="str">
            <v/>
          </cell>
          <cell r="DT63" t="str">
            <v/>
          </cell>
          <cell r="DU63" t="str">
            <v/>
          </cell>
          <cell r="DV63" t="str">
            <v/>
          </cell>
          <cell r="DW63" t="str">
            <v/>
          </cell>
          <cell r="DX63" t="str">
            <v/>
          </cell>
          <cell r="DY63" t="str">
            <v/>
          </cell>
          <cell r="DZ63">
            <v>7</v>
          </cell>
          <cell r="EA63" t="str">
            <v/>
          </cell>
          <cell r="EB63">
            <v>5</v>
          </cell>
          <cell r="EC63" t="str">
            <v/>
          </cell>
          <cell r="ED63">
            <v>6</v>
          </cell>
          <cell r="EE63" t="str">
            <v/>
          </cell>
          <cell r="EF63" t="str">
            <v/>
          </cell>
          <cell r="EG63" t="str">
            <v/>
          </cell>
          <cell r="EH63" t="str">
            <v/>
          </cell>
          <cell r="EI63" t="str">
            <v/>
          </cell>
          <cell r="EJ63">
            <v>366</v>
          </cell>
          <cell r="EK63">
            <v>266</v>
          </cell>
          <cell r="EL63">
            <v>100</v>
          </cell>
          <cell r="EM63">
            <v>581</v>
          </cell>
          <cell r="EN63">
            <v>330</v>
          </cell>
          <cell r="EO63">
            <v>251</v>
          </cell>
          <cell r="EP63" t="str">
            <v/>
          </cell>
          <cell r="EQ63" t="str">
            <v>Housing Recovery and Reconstruction Platform</v>
          </cell>
          <cell r="ER63" t="str">
            <v/>
          </cell>
          <cell r="ES63" t="str">
            <v>District Coordinator</v>
          </cell>
          <cell r="ET63" t="str">
            <v/>
          </cell>
          <cell r="EU63" t="str">
            <v>Housing Recovery and Reconstruction Platform</v>
          </cell>
          <cell r="EV63" t="str">
            <v>Sachin Malego</v>
          </cell>
          <cell r="EW63" t="str">
            <v>District Information Management Officer</v>
          </cell>
          <cell r="EX63">
            <v>9849166793</v>
          </cell>
          <cell r="EY63" t="str">
            <v>Housing Recovery and Reconstruction Platform</v>
          </cell>
          <cell r="EZ63" t="str">
            <v>Lekhnath Paudel</v>
          </cell>
          <cell r="FA63" t="str">
            <v>District Technical Officer</v>
          </cell>
          <cell r="FB63">
            <v>9841640328</v>
          </cell>
        </row>
        <row r="64">
          <cell r="A64">
            <v>20009</v>
          </cell>
          <cell r="B64" t="str">
            <v>Sindhuli</v>
          </cell>
          <cell r="C64" t="str">
            <v>Tinpatan Gaunpalika</v>
          </cell>
          <cell r="D64">
            <v>3272</v>
          </cell>
          <cell r="E64">
            <v>5591</v>
          </cell>
          <cell r="F64">
            <v>8863</v>
          </cell>
          <cell r="G64" t="str">
            <v>Stone and cement mortar masonry</v>
          </cell>
          <cell r="H64">
            <v>1.95</v>
          </cell>
          <cell r="I64">
            <v>1.23</v>
          </cell>
          <cell r="J64" t="str">
            <v>Stone and Mud Mortar Masonary</v>
          </cell>
          <cell r="K64">
            <v>70.87</v>
          </cell>
          <cell r="L64">
            <v>53.21</v>
          </cell>
          <cell r="M64" t="str">
            <v>Brick and Cement Mortar Masonary</v>
          </cell>
          <cell r="N64">
            <v>2.73</v>
          </cell>
          <cell r="O64">
            <v>10.51</v>
          </cell>
          <cell r="P64" t="str">
            <v>Brick and mud mortar Masonry</v>
          </cell>
          <cell r="Q64">
            <v>0.25</v>
          </cell>
          <cell r="R64">
            <v>0.35</v>
          </cell>
          <cell r="S64" t="str">
            <v>Reinforced cement concrete (RCC) frame</v>
          </cell>
          <cell r="T64">
            <v>0.1</v>
          </cell>
          <cell r="U64">
            <v>1.99</v>
          </cell>
          <cell r="V64" t="str">
            <v>Hybrid structure</v>
          </cell>
          <cell r="W64">
            <v>0</v>
          </cell>
          <cell r="X64">
            <v>0</v>
          </cell>
          <cell r="Y64" t="str">
            <v>Timber frame structure</v>
          </cell>
          <cell r="Z64">
            <v>19.350000000000001</v>
          </cell>
          <cell r="AA64">
            <v>25.88</v>
          </cell>
          <cell r="AB64" t="str">
            <v>Hollow concrete block Masonry</v>
          </cell>
          <cell r="AC64">
            <v>0</v>
          </cell>
          <cell r="AD64">
            <v>0</v>
          </cell>
          <cell r="AE64" t="str">
            <v>Dry stone Masonry</v>
          </cell>
          <cell r="AF64">
            <v>0.41</v>
          </cell>
          <cell r="AG64">
            <v>0.84</v>
          </cell>
          <cell r="AH64" t="str">
            <v>Adobe structures</v>
          </cell>
          <cell r="AI64">
            <v>2.25</v>
          </cell>
          <cell r="AJ64">
            <v>2.29</v>
          </cell>
          <cell r="AK64" t="str">
            <v>Bamboo</v>
          </cell>
          <cell r="AL64">
            <v>2.09</v>
          </cell>
          <cell r="AM64">
            <v>3.7</v>
          </cell>
          <cell r="AN64" t="str">
            <v>Compressed stabilized earth block (SCEB) Masonry</v>
          </cell>
          <cell r="AO64">
            <v>0</v>
          </cell>
          <cell r="AP64">
            <v>0</v>
          </cell>
          <cell r="AQ64" t="str">
            <v>Light steel frame structures</v>
          </cell>
          <cell r="AR64">
            <v>0</v>
          </cell>
          <cell r="AS64">
            <v>0</v>
          </cell>
          <cell r="AT64">
            <v>4281</v>
          </cell>
          <cell r="AU64">
            <v>4235</v>
          </cell>
          <cell r="AV64">
            <v>4232</v>
          </cell>
          <cell r="AW64">
            <v>4181</v>
          </cell>
          <cell r="AX64">
            <v>2128</v>
          </cell>
          <cell r="AY64">
            <v>0</v>
          </cell>
          <cell r="AZ64">
            <v>1655</v>
          </cell>
          <cell r="BA64">
            <v>2499</v>
          </cell>
          <cell r="BB64" t="str">
            <v/>
          </cell>
          <cell r="BC64">
            <v>316</v>
          </cell>
          <cell r="BD64">
            <v>0</v>
          </cell>
          <cell r="BE64" t="str">
            <v/>
          </cell>
          <cell r="BF64" t="str">
            <v/>
          </cell>
          <cell r="BG64">
            <v>16</v>
          </cell>
          <cell r="BH64">
            <v>3</v>
          </cell>
          <cell r="BI64" t="str">
            <v>NRCS(Health)</v>
          </cell>
          <cell r="BJ64" t="str">
            <v>FCA(Education),HELVETAS(Rural Housing and Community Infrastructure),PLAN(Water, Sanitation and Hygiene),WVIN(Education)</v>
          </cell>
          <cell r="BK64">
            <v>45814</v>
          </cell>
          <cell r="BL64" t="str">
            <v/>
          </cell>
          <cell r="BM64">
            <v>2620</v>
          </cell>
          <cell r="BN64">
            <v>44648</v>
          </cell>
          <cell r="BO64" t="str">
            <v/>
          </cell>
          <cell r="BP64">
            <v>2620</v>
          </cell>
          <cell r="BQ64">
            <v>4873</v>
          </cell>
          <cell r="BR64" t="str">
            <v/>
          </cell>
          <cell r="BS64">
            <v>2400</v>
          </cell>
          <cell r="BT64">
            <v>5554</v>
          </cell>
          <cell r="BU64" t="str">
            <v/>
          </cell>
          <cell r="BV64" t="str">
            <v/>
          </cell>
          <cell r="BW64" t="str">
            <v/>
          </cell>
          <cell r="BX64" t="str">
            <v>Y</v>
          </cell>
          <cell r="BY64">
            <v>875</v>
          </cell>
          <cell r="BZ64">
            <v>150622</v>
          </cell>
          <cell r="CA64" t="str">
            <v/>
          </cell>
          <cell r="CB64">
            <v>975</v>
          </cell>
          <cell r="CC64">
            <v>503246</v>
          </cell>
          <cell r="CD64" t="str">
            <v/>
          </cell>
          <cell r="CE64">
            <v>91</v>
          </cell>
          <cell r="CF64">
            <v>6166</v>
          </cell>
          <cell r="CG64" t="str">
            <v/>
          </cell>
          <cell r="CH64" t="str">
            <v/>
          </cell>
          <cell r="CI64">
            <v>977531</v>
          </cell>
          <cell r="CJ64" t="str">
            <v/>
          </cell>
          <cell r="CK64" t="str">
            <v/>
          </cell>
          <cell r="CL64" t="str">
            <v>Skilled</v>
          </cell>
          <cell r="CM64">
            <v>1200</v>
          </cell>
          <cell r="CN64" t="str">
            <v>Labor</v>
          </cell>
          <cell r="CO64">
            <v>700</v>
          </cell>
          <cell r="CP64" t="str">
            <v/>
          </cell>
          <cell r="CQ64" t="str">
            <v/>
          </cell>
          <cell r="CR64" t="str">
            <v/>
          </cell>
          <cell r="CS64" t="str">
            <v/>
          </cell>
          <cell r="CT64" t="str">
            <v/>
          </cell>
          <cell r="CU64" t="str">
            <v/>
          </cell>
          <cell r="CV64" t="str">
            <v>Municipal Office</v>
          </cell>
          <cell r="CW64" t="str">
            <v>Karna Bdr. Magar</v>
          </cell>
          <cell r="CX64" t="str">
            <v>Chair Person</v>
          </cell>
          <cell r="CY64">
            <v>9854041525</v>
          </cell>
          <cell r="CZ64" t="str">
            <v>Municipal Office</v>
          </cell>
          <cell r="DA64" t="str">
            <v>Padma Maya Tamang</v>
          </cell>
          <cell r="DB64" t="str">
            <v>Deputy Chair Person</v>
          </cell>
          <cell r="DC64">
            <v>9816849038</v>
          </cell>
          <cell r="DD64" t="str">
            <v>Municipal Office</v>
          </cell>
          <cell r="DE64" t="str">
            <v>Surendra Pradhan</v>
          </cell>
          <cell r="DF64" t="str">
            <v>Chief Adminstration Officer</v>
          </cell>
          <cell r="DG64">
            <v>9854042220</v>
          </cell>
          <cell r="DH64" t="str">
            <v>NRA/GMALI</v>
          </cell>
          <cell r="DI64" t="str">
            <v>Dev Narayan Pd. Yadav</v>
          </cell>
          <cell r="DJ64" t="str">
            <v>NRA Chief-District</v>
          </cell>
          <cell r="DK64">
            <v>9852029429</v>
          </cell>
          <cell r="DL64" t="str">
            <v>DLPIU-Building</v>
          </cell>
          <cell r="DM64" t="str">
            <v>Prabhakar Lal Karna</v>
          </cell>
          <cell r="DN64" t="str">
            <v>DUDBC.DLPIU Chief</v>
          </cell>
          <cell r="DO64">
            <v>9854041543</v>
          </cell>
          <cell r="DP64" t="str">
            <v>Municipal Office</v>
          </cell>
          <cell r="DQ64" t="str">
            <v/>
          </cell>
          <cell r="DR64" t="str">
            <v>Focal Person</v>
          </cell>
          <cell r="DS64" t="str">
            <v/>
          </cell>
          <cell r="DT64" t="str">
            <v/>
          </cell>
          <cell r="DU64" t="str">
            <v/>
          </cell>
          <cell r="DV64" t="str">
            <v/>
          </cell>
          <cell r="DW64" t="str">
            <v/>
          </cell>
          <cell r="DX64" t="str">
            <v/>
          </cell>
          <cell r="DY64" t="str">
            <v/>
          </cell>
          <cell r="DZ64">
            <v>6</v>
          </cell>
          <cell r="EA64" t="str">
            <v/>
          </cell>
          <cell r="EB64">
            <v>10</v>
          </cell>
          <cell r="EC64" t="str">
            <v/>
          </cell>
          <cell r="ED64">
            <v>9</v>
          </cell>
          <cell r="EE64" t="str">
            <v/>
          </cell>
          <cell r="EF64" t="str">
            <v/>
          </cell>
          <cell r="EG64" t="str">
            <v/>
          </cell>
          <cell r="EH64" t="str">
            <v/>
          </cell>
          <cell r="EI64" t="str">
            <v/>
          </cell>
          <cell r="EJ64">
            <v>387</v>
          </cell>
          <cell r="EK64">
            <v>0</v>
          </cell>
          <cell r="EL64">
            <v>387</v>
          </cell>
          <cell r="EM64">
            <v>603</v>
          </cell>
          <cell r="EN64">
            <v>60</v>
          </cell>
          <cell r="EO64">
            <v>543</v>
          </cell>
          <cell r="EP64" t="str">
            <v/>
          </cell>
          <cell r="EQ64" t="str">
            <v>Housing Recovery and Reconstruction Platform</v>
          </cell>
          <cell r="ER64" t="str">
            <v/>
          </cell>
          <cell r="ES64" t="str">
            <v>District Coordinator</v>
          </cell>
          <cell r="ET64" t="str">
            <v/>
          </cell>
          <cell r="EU64" t="str">
            <v>Housing Recovery and Reconstruction Platform</v>
          </cell>
          <cell r="EV64" t="str">
            <v>Sachin Malego</v>
          </cell>
          <cell r="EW64" t="str">
            <v>District Information Management Officer</v>
          </cell>
          <cell r="EX64">
            <v>9849166793</v>
          </cell>
          <cell r="EY64" t="str">
            <v>Housing Recovery and Reconstruction Platform</v>
          </cell>
          <cell r="EZ64" t="str">
            <v>Lekhnath Paudel</v>
          </cell>
          <cell r="FA64" t="str">
            <v>District Technical Officer</v>
          </cell>
          <cell r="FB64">
            <v>9841640328</v>
          </cell>
        </row>
        <row r="65">
          <cell r="A65">
            <v>21001</v>
          </cell>
          <cell r="B65" t="str">
            <v>Ramechhap</v>
          </cell>
          <cell r="C65" t="str">
            <v>Doramba Gaunpalika</v>
          </cell>
          <cell r="D65">
            <v>1644</v>
          </cell>
          <cell r="E65">
            <v>4194</v>
          </cell>
          <cell r="F65">
            <v>5838</v>
          </cell>
          <cell r="G65" t="str">
            <v>Stone and cement mortar masonry</v>
          </cell>
          <cell r="H65">
            <v>0.22</v>
          </cell>
          <cell r="I65">
            <v>0.46</v>
          </cell>
          <cell r="J65" t="str">
            <v>Stone and Mud Mortar Masonary</v>
          </cell>
          <cell r="K65">
            <v>98.47</v>
          </cell>
          <cell r="L65">
            <v>97.73</v>
          </cell>
          <cell r="M65" t="str">
            <v>Brick and Cement Mortar Masonary</v>
          </cell>
          <cell r="N65">
            <v>0</v>
          </cell>
          <cell r="O65">
            <v>0.17</v>
          </cell>
          <cell r="P65" t="str">
            <v>Brick and mud mortar Masonry</v>
          </cell>
          <cell r="Q65">
            <v>0</v>
          </cell>
          <cell r="R65">
            <v>0.02</v>
          </cell>
          <cell r="S65" t="str">
            <v>Reinforced cement concrete (RCC) frame</v>
          </cell>
          <cell r="T65">
            <v>0.05</v>
          </cell>
          <cell r="U65">
            <v>0.55000000000000004</v>
          </cell>
          <cell r="V65" t="str">
            <v>Hybrid structure</v>
          </cell>
          <cell r="W65">
            <v>0</v>
          </cell>
          <cell r="X65">
            <v>0</v>
          </cell>
          <cell r="Y65" t="str">
            <v>Timber frame structure</v>
          </cell>
          <cell r="Z65">
            <v>0.57999999999999996</v>
          </cell>
          <cell r="AA65">
            <v>0.37</v>
          </cell>
          <cell r="AB65" t="str">
            <v>Hollow concrete block Masonry</v>
          </cell>
          <cell r="AC65">
            <v>0</v>
          </cell>
          <cell r="AD65">
            <v>0</v>
          </cell>
          <cell r="AE65" t="str">
            <v>Dry stone Masonry</v>
          </cell>
          <cell r="AF65">
            <v>7.0000000000000007E-2</v>
          </cell>
          <cell r="AG65">
            <v>0.11</v>
          </cell>
          <cell r="AH65" t="str">
            <v>Adobe structures</v>
          </cell>
          <cell r="AI65">
            <v>0.46</v>
          </cell>
          <cell r="AJ65">
            <v>0.44</v>
          </cell>
          <cell r="AK65" t="str">
            <v>Bamboo</v>
          </cell>
          <cell r="AL65">
            <v>0.14000000000000001</v>
          </cell>
          <cell r="AM65">
            <v>0.16</v>
          </cell>
          <cell r="AN65" t="str">
            <v>Compressed stabilized earth block (SCEB) Masonry</v>
          </cell>
          <cell r="AO65">
            <v>0</v>
          </cell>
          <cell r="AP65">
            <v>0</v>
          </cell>
          <cell r="AQ65" t="str">
            <v>Light steel frame structures</v>
          </cell>
          <cell r="AR65">
            <v>0</v>
          </cell>
          <cell r="AS65">
            <v>0</v>
          </cell>
          <cell r="AT65">
            <v>5252</v>
          </cell>
          <cell r="AU65">
            <v>4674</v>
          </cell>
          <cell r="AV65">
            <v>4667</v>
          </cell>
          <cell r="AW65">
            <v>3816</v>
          </cell>
          <cell r="AX65">
            <v>2474</v>
          </cell>
          <cell r="AY65">
            <v>2007</v>
          </cell>
          <cell r="AZ65">
            <v>2038</v>
          </cell>
          <cell r="BA65">
            <v>1076</v>
          </cell>
          <cell r="BB65">
            <v>47</v>
          </cell>
          <cell r="BC65">
            <v>47</v>
          </cell>
          <cell r="BD65">
            <v>0</v>
          </cell>
          <cell r="BE65">
            <v>2448</v>
          </cell>
          <cell r="BF65">
            <v>2448</v>
          </cell>
          <cell r="BG65" t="str">
            <v/>
          </cell>
          <cell r="BH65" t="str">
            <v/>
          </cell>
          <cell r="BI65" t="str">
            <v/>
          </cell>
          <cell r="BJ65" t="str">
            <v>CSIDB(Rural Housing and Community Infrastructure),GON - DUDBC(Rural Housing and Community Infrastructure),GON-PAF(Rural Housing and Community Infrastructure),HCI(Rural Housing and Community Infrastructure),HELVETAS(Rural Housing and Community Infrastructure),NRA(Rural Housing and Community Infrastructure),NRF(Education),RRN(Rural Housing and Community Infrastructure),SABAL(Rural Housing and Community Infrastructure)</v>
          </cell>
          <cell r="BK65">
            <v>74789</v>
          </cell>
          <cell r="BL65" t="str">
            <v>Y</v>
          </cell>
          <cell r="BM65" t="str">
            <v/>
          </cell>
          <cell r="BN65">
            <v>77919</v>
          </cell>
          <cell r="BO65" t="str">
            <v>Y</v>
          </cell>
          <cell r="BP65" t="str">
            <v/>
          </cell>
          <cell r="BQ65">
            <v>7996</v>
          </cell>
          <cell r="BR65" t="str">
            <v>Y</v>
          </cell>
          <cell r="BS65" t="str">
            <v/>
          </cell>
          <cell r="BT65">
            <v>9263</v>
          </cell>
          <cell r="BU65" t="str">
            <v>Y</v>
          </cell>
          <cell r="BV65" t="str">
            <v/>
          </cell>
          <cell r="BW65" t="str">
            <v/>
          </cell>
          <cell r="BX65" t="str">
            <v/>
          </cell>
          <cell r="BY65" t="str">
            <v/>
          </cell>
          <cell r="BZ65">
            <v>257001</v>
          </cell>
          <cell r="CA65" t="str">
            <v>Y</v>
          </cell>
          <cell r="CB65" t="str">
            <v/>
          </cell>
          <cell r="CC65">
            <v>807604</v>
          </cell>
          <cell r="CD65" t="str">
            <v/>
          </cell>
          <cell r="CE65" t="str">
            <v/>
          </cell>
          <cell r="CF65">
            <v>10499</v>
          </cell>
          <cell r="CG65" t="str">
            <v/>
          </cell>
          <cell r="CH65" t="str">
            <v/>
          </cell>
          <cell r="CI65">
            <v>500404</v>
          </cell>
          <cell r="CJ65" t="str">
            <v>Y</v>
          </cell>
          <cell r="CK65" t="str">
            <v/>
          </cell>
          <cell r="CL65" t="str">
            <v>Skilled</v>
          </cell>
          <cell r="CM65" t="str">
            <v/>
          </cell>
          <cell r="CN65" t="str">
            <v>Labor</v>
          </cell>
          <cell r="CO65" t="str">
            <v/>
          </cell>
          <cell r="CP65" t="str">
            <v/>
          </cell>
          <cell r="CQ65" t="str">
            <v/>
          </cell>
          <cell r="CR65" t="str">
            <v/>
          </cell>
          <cell r="CS65" t="str">
            <v/>
          </cell>
          <cell r="CT65" t="str">
            <v/>
          </cell>
          <cell r="CU65" t="str">
            <v/>
          </cell>
          <cell r="CV65" t="str">
            <v>Municipal Office</v>
          </cell>
          <cell r="CW65" t="str">
            <v>Kaman Singha Moktan</v>
          </cell>
          <cell r="CX65" t="str">
            <v xml:space="preserve">Chairman </v>
          </cell>
          <cell r="CY65">
            <v>9860244969</v>
          </cell>
          <cell r="CZ65" t="str">
            <v>Municipal Office</v>
          </cell>
          <cell r="DA65" t="str">
            <v>Krishila Ghising</v>
          </cell>
          <cell r="DB65" t="str">
            <v>Deputy Chairman</v>
          </cell>
          <cell r="DC65">
            <v>9841970112</v>
          </cell>
          <cell r="DD65" t="str">
            <v>Municipal Office</v>
          </cell>
          <cell r="DE65" t="str">
            <v/>
          </cell>
          <cell r="DF65" t="str">
            <v>Chief Adminstration Officer</v>
          </cell>
          <cell r="DG65" t="str">
            <v/>
          </cell>
          <cell r="DH65" t="str">
            <v>NRA/GMALI</v>
          </cell>
          <cell r="DI65" t="str">
            <v>Krishna Lal Piya</v>
          </cell>
          <cell r="DJ65" t="str">
            <v>NRA Chief-District</v>
          </cell>
          <cell r="DK65">
            <v>9854043491</v>
          </cell>
          <cell r="DL65" t="str">
            <v>DLPIU-Building</v>
          </cell>
          <cell r="DM65" t="str">
            <v>Prabhakar Lal Karna</v>
          </cell>
          <cell r="DN65" t="str">
            <v>DUDBC.DLPIU Chief</v>
          </cell>
          <cell r="DO65">
            <v>9854041543</v>
          </cell>
          <cell r="DP65" t="str">
            <v>Municipal Office</v>
          </cell>
          <cell r="DQ65" t="str">
            <v>Tej Narayan Yadav</v>
          </cell>
          <cell r="DR65" t="str">
            <v>Focal Person</v>
          </cell>
          <cell r="DS65">
            <v>9849362714</v>
          </cell>
          <cell r="DT65" t="str">
            <v/>
          </cell>
          <cell r="DU65" t="str">
            <v/>
          </cell>
          <cell r="DV65" t="str">
            <v/>
          </cell>
          <cell r="DW65" t="str">
            <v/>
          </cell>
          <cell r="DX65" t="str">
            <v/>
          </cell>
          <cell r="DY65" t="str">
            <v/>
          </cell>
          <cell r="DZ65" t="str">
            <v/>
          </cell>
          <cell r="EA65" t="str">
            <v/>
          </cell>
          <cell r="EB65" t="str">
            <v/>
          </cell>
          <cell r="EC65" t="str">
            <v/>
          </cell>
          <cell r="ED65" t="str">
            <v/>
          </cell>
          <cell r="EE65" t="str">
            <v/>
          </cell>
          <cell r="EF65" t="str">
            <v/>
          </cell>
          <cell r="EG65" t="str">
            <v/>
          </cell>
          <cell r="EH65" t="str">
            <v/>
          </cell>
          <cell r="EI65" t="str">
            <v/>
          </cell>
          <cell r="EJ65">
            <v>295</v>
          </cell>
          <cell r="EK65">
            <v>129</v>
          </cell>
          <cell r="EL65">
            <v>191</v>
          </cell>
          <cell r="EM65">
            <v>447</v>
          </cell>
          <cell r="EN65">
            <v>72</v>
          </cell>
          <cell r="EO65">
            <v>375</v>
          </cell>
          <cell r="EP65" t="str">
            <v/>
          </cell>
          <cell r="EQ65" t="str">
            <v>Housing Recovery and Reconstruction Platform</v>
          </cell>
          <cell r="ER65" t="str">
            <v>Prakash Bishwakarma</v>
          </cell>
          <cell r="ES65" t="str">
            <v>District Coordinator</v>
          </cell>
          <cell r="ET65">
            <v>9841720436</v>
          </cell>
          <cell r="EU65" t="str">
            <v>Housing Recovery and Reconstruction Platform</v>
          </cell>
          <cell r="EV65" t="str">
            <v>Jawed Mohammad</v>
          </cell>
          <cell r="EW65" t="str">
            <v>DIstrict Information Management Officer</v>
          </cell>
          <cell r="EX65" t="str">
            <v/>
          </cell>
          <cell r="EY65" t="str">
            <v>Housing Recovery and Reconstruction Platform</v>
          </cell>
          <cell r="EZ65" t="str">
            <v>Tulasi Ram Lamichhane</v>
          </cell>
          <cell r="FA65" t="str">
            <v>District Technical Officer</v>
          </cell>
          <cell r="FB65">
            <v>9851213610</v>
          </cell>
        </row>
        <row r="66">
          <cell r="A66">
            <v>21002</v>
          </cell>
          <cell r="B66" t="str">
            <v>Ramechhap</v>
          </cell>
          <cell r="C66" t="str">
            <v>Gokulganga Gaunpalika</v>
          </cell>
          <cell r="D66">
            <v>290</v>
          </cell>
          <cell r="E66">
            <v>5747</v>
          </cell>
          <cell r="F66">
            <v>6037</v>
          </cell>
          <cell r="G66" t="str">
            <v>Stone and cement mortar masonry</v>
          </cell>
          <cell r="H66">
            <v>0.27</v>
          </cell>
          <cell r="I66">
            <v>0.46</v>
          </cell>
          <cell r="J66" t="str">
            <v>Stone and Mud Mortar Masonary</v>
          </cell>
          <cell r="K66">
            <v>98.01</v>
          </cell>
          <cell r="L66">
            <v>97.73</v>
          </cell>
          <cell r="M66" t="str">
            <v>Brick and Cement Mortar Masonary</v>
          </cell>
          <cell r="N66">
            <v>0.35</v>
          </cell>
          <cell r="O66">
            <v>0.17</v>
          </cell>
          <cell r="P66" t="str">
            <v>Brick and mud mortar Masonry</v>
          </cell>
          <cell r="Q66">
            <v>0.02</v>
          </cell>
          <cell r="R66">
            <v>0.02</v>
          </cell>
          <cell r="S66" t="str">
            <v>Reinforced cement concrete (RCC) frame</v>
          </cell>
          <cell r="T66">
            <v>0</v>
          </cell>
          <cell r="U66">
            <v>0.55000000000000004</v>
          </cell>
          <cell r="V66" t="str">
            <v>Hybrid structure</v>
          </cell>
          <cell r="W66">
            <v>0</v>
          </cell>
          <cell r="X66">
            <v>0</v>
          </cell>
          <cell r="Y66" t="str">
            <v>Timber frame structure</v>
          </cell>
          <cell r="Z66">
            <v>0.78</v>
          </cell>
          <cell r="AA66">
            <v>0.37</v>
          </cell>
          <cell r="AB66" t="str">
            <v>Hollow concrete block Masonry</v>
          </cell>
          <cell r="AC66">
            <v>0</v>
          </cell>
          <cell r="AD66">
            <v>0</v>
          </cell>
          <cell r="AE66" t="str">
            <v>Dry stone Masonry</v>
          </cell>
          <cell r="AF66">
            <v>0.1</v>
          </cell>
          <cell r="AG66">
            <v>0.11</v>
          </cell>
          <cell r="AH66" t="str">
            <v>Adobe structures</v>
          </cell>
          <cell r="AI66">
            <v>0.23</v>
          </cell>
          <cell r="AJ66">
            <v>0.44</v>
          </cell>
          <cell r="AK66" t="str">
            <v>Bamboo</v>
          </cell>
          <cell r="AL66">
            <v>0.25</v>
          </cell>
          <cell r="AM66">
            <v>0.16</v>
          </cell>
          <cell r="AN66" t="str">
            <v>Compressed stabilized earth block (SCEB) Masonry</v>
          </cell>
          <cell r="AO66">
            <v>0</v>
          </cell>
          <cell r="AP66">
            <v>0</v>
          </cell>
          <cell r="AQ66" t="str">
            <v>Light steel frame structures</v>
          </cell>
          <cell r="AR66">
            <v>0</v>
          </cell>
          <cell r="AS66">
            <v>0</v>
          </cell>
          <cell r="AT66">
            <v>6343</v>
          </cell>
          <cell r="AU66">
            <v>5936</v>
          </cell>
          <cell r="AV66">
            <v>5911</v>
          </cell>
          <cell r="AW66">
            <v>5083</v>
          </cell>
          <cell r="AX66">
            <v>3923</v>
          </cell>
          <cell r="AY66">
            <v>3450</v>
          </cell>
          <cell r="AZ66">
            <v>3660</v>
          </cell>
          <cell r="BA66">
            <v>347</v>
          </cell>
          <cell r="BB66">
            <v>1</v>
          </cell>
          <cell r="BC66">
            <v>1</v>
          </cell>
          <cell r="BD66">
            <v>0</v>
          </cell>
          <cell r="BE66">
            <v>1031</v>
          </cell>
          <cell r="BF66">
            <v>1031</v>
          </cell>
          <cell r="BG66" t="str">
            <v/>
          </cell>
          <cell r="BH66" t="str">
            <v/>
          </cell>
          <cell r="BI66" t="str">
            <v/>
          </cell>
          <cell r="BJ66" t="str">
            <v>CSIDB(Rural Housing and Community Infrastructure),FRADS-N(Education),GOAL(NA-Others-Others-(Please specify in Activity Detail),Rural Housing and Community Infrastructure),GON - DUDBC(Rural Housing and Community Infrastructure),GON-PAF(Rural Housing and Community Infrastructure),HELVETAS(Rural Housing and Community Infrastructure),HI(Rural Housing and Community Infrastructure),NRA(Rural Housing and Community Infrastructure),SABAL(Rural Housing and Community Infrastructure),SCI(Education,Social Protection)</v>
          </cell>
          <cell r="BK66">
            <v>114669</v>
          </cell>
          <cell r="BL66" t="str">
            <v>Y</v>
          </cell>
          <cell r="BM66" t="str">
            <v/>
          </cell>
          <cell r="BN66">
            <v>117305</v>
          </cell>
          <cell r="BO66" t="str">
            <v>Y</v>
          </cell>
          <cell r="BP66" t="str">
            <v/>
          </cell>
          <cell r="BQ66">
            <v>12240</v>
          </cell>
          <cell r="BR66" t="str">
            <v>Y</v>
          </cell>
          <cell r="BS66" t="str">
            <v/>
          </cell>
          <cell r="BT66">
            <v>14110</v>
          </cell>
          <cell r="BU66" t="str">
            <v>Y</v>
          </cell>
          <cell r="BV66" t="str">
            <v/>
          </cell>
          <cell r="BW66" t="str">
            <v/>
          </cell>
          <cell r="BX66" t="str">
            <v/>
          </cell>
          <cell r="BY66" t="str">
            <v/>
          </cell>
          <cell r="BZ66">
            <v>388017</v>
          </cell>
          <cell r="CA66" t="str">
            <v>Y</v>
          </cell>
          <cell r="CB66" t="str">
            <v/>
          </cell>
          <cell r="CC66">
            <v>1242548</v>
          </cell>
          <cell r="CD66" t="str">
            <v/>
          </cell>
          <cell r="CE66" t="str">
            <v/>
          </cell>
          <cell r="CF66">
            <v>15853</v>
          </cell>
          <cell r="CG66" t="str">
            <v/>
          </cell>
          <cell r="CH66" t="str">
            <v/>
          </cell>
          <cell r="CI66">
            <v>1046684</v>
          </cell>
          <cell r="CJ66" t="str">
            <v>Y</v>
          </cell>
          <cell r="CK66" t="str">
            <v/>
          </cell>
          <cell r="CL66" t="str">
            <v>Skilled</v>
          </cell>
          <cell r="CM66" t="str">
            <v/>
          </cell>
          <cell r="CN66" t="str">
            <v>Labor</v>
          </cell>
          <cell r="CO66" t="str">
            <v/>
          </cell>
          <cell r="CP66" t="str">
            <v/>
          </cell>
          <cell r="CQ66" t="str">
            <v/>
          </cell>
          <cell r="CR66" t="str">
            <v/>
          </cell>
          <cell r="CS66" t="str">
            <v/>
          </cell>
          <cell r="CT66" t="str">
            <v/>
          </cell>
          <cell r="CU66" t="str">
            <v/>
          </cell>
          <cell r="CV66" t="str">
            <v>Municipal Office</v>
          </cell>
          <cell r="CW66" t="str">
            <v>Khadga Bahadur Sunuwar</v>
          </cell>
          <cell r="CX66" t="str">
            <v xml:space="preserve">Chairman </v>
          </cell>
          <cell r="CY66">
            <v>9851171325</v>
          </cell>
          <cell r="CZ66" t="str">
            <v>Municipal Office</v>
          </cell>
          <cell r="DA66" t="str">
            <v>Radhika Shrestha</v>
          </cell>
          <cell r="DB66" t="str">
            <v>Deputy Chairman</v>
          </cell>
          <cell r="DC66">
            <v>9744039057</v>
          </cell>
          <cell r="DD66" t="str">
            <v>Municipal Office</v>
          </cell>
          <cell r="DE66" t="str">
            <v/>
          </cell>
          <cell r="DF66" t="str">
            <v>Chief Adminstration Officer</v>
          </cell>
          <cell r="DG66" t="str">
            <v/>
          </cell>
          <cell r="DH66" t="str">
            <v>NRA/GMALI</v>
          </cell>
          <cell r="DI66" t="str">
            <v>Krishna Lal Piya</v>
          </cell>
          <cell r="DJ66" t="str">
            <v>NRA Chief-District</v>
          </cell>
          <cell r="DK66">
            <v>9854043491</v>
          </cell>
          <cell r="DL66" t="str">
            <v>DLPIU-Building</v>
          </cell>
          <cell r="DM66" t="str">
            <v>Prabhakar Lal Karna</v>
          </cell>
          <cell r="DN66" t="str">
            <v>DUDBC.DLPIU Chief</v>
          </cell>
          <cell r="DO66">
            <v>9854041543</v>
          </cell>
          <cell r="DP66" t="str">
            <v>Municipal Office</v>
          </cell>
          <cell r="DQ66" t="str">
            <v>Ekraj Bista</v>
          </cell>
          <cell r="DR66" t="str">
            <v>Focal Person</v>
          </cell>
          <cell r="DS66">
            <v>9842520398</v>
          </cell>
          <cell r="DT66" t="str">
            <v/>
          </cell>
          <cell r="DU66" t="str">
            <v/>
          </cell>
          <cell r="DV66" t="str">
            <v/>
          </cell>
          <cell r="DW66" t="str">
            <v/>
          </cell>
          <cell r="DX66" t="str">
            <v/>
          </cell>
          <cell r="DY66" t="str">
            <v/>
          </cell>
          <cell r="DZ66" t="str">
            <v/>
          </cell>
          <cell r="EA66" t="str">
            <v/>
          </cell>
          <cell r="EB66" t="str">
            <v/>
          </cell>
          <cell r="EC66" t="str">
            <v/>
          </cell>
          <cell r="ED66" t="str">
            <v/>
          </cell>
          <cell r="EE66" t="str">
            <v/>
          </cell>
          <cell r="EF66" t="str">
            <v/>
          </cell>
          <cell r="EG66" t="str">
            <v/>
          </cell>
          <cell r="EH66" t="str">
            <v/>
          </cell>
          <cell r="EI66" t="str">
            <v/>
          </cell>
          <cell r="EJ66">
            <v>414</v>
          </cell>
          <cell r="EK66">
            <v>143</v>
          </cell>
          <cell r="EL66">
            <v>271</v>
          </cell>
          <cell r="EM66">
            <v>612</v>
          </cell>
          <cell r="EN66">
            <v>190</v>
          </cell>
          <cell r="EO66">
            <v>422</v>
          </cell>
          <cell r="EP66" t="str">
            <v/>
          </cell>
          <cell r="EQ66" t="str">
            <v>Housing Recovery and Reconstruction Platform</v>
          </cell>
          <cell r="ER66" t="str">
            <v>Prakash Bishwakarma</v>
          </cell>
          <cell r="ES66" t="str">
            <v>District Coordinator</v>
          </cell>
          <cell r="ET66">
            <v>9841720436</v>
          </cell>
          <cell r="EU66" t="str">
            <v>Housing Recovery and Reconstruction Platform</v>
          </cell>
          <cell r="EV66" t="str">
            <v>Jawed Mohammad</v>
          </cell>
          <cell r="EW66" t="str">
            <v>DIstrict Information Management Officer</v>
          </cell>
          <cell r="EX66" t="str">
            <v/>
          </cell>
          <cell r="EY66" t="str">
            <v>Housing Recovery and Reconstruction Platform</v>
          </cell>
          <cell r="EZ66" t="str">
            <v>Tulasi Ram Lamichhane</v>
          </cell>
          <cell r="FA66" t="str">
            <v>District Technical Officer</v>
          </cell>
          <cell r="FB66">
            <v>9851213610</v>
          </cell>
        </row>
        <row r="67">
          <cell r="A67">
            <v>21003</v>
          </cell>
          <cell r="B67" t="str">
            <v>Ramechhap</v>
          </cell>
          <cell r="C67" t="str">
            <v>Khadadevi Gaunpalika</v>
          </cell>
          <cell r="D67">
            <v>1422</v>
          </cell>
          <cell r="E67">
            <v>5662</v>
          </cell>
          <cell r="F67">
            <v>7084</v>
          </cell>
          <cell r="G67" t="str">
            <v>Stone and cement mortar masonry</v>
          </cell>
          <cell r="H67">
            <v>0.45</v>
          </cell>
          <cell r="I67">
            <v>0.46</v>
          </cell>
          <cell r="J67" t="str">
            <v>Stone and Mud Mortar Masonary</v>
          </cell>
          <cell r="K67">
            <v>97.18</v>
          </cell>
          <cell r="L67">
            <v>97.73</v>
          </cell>
          <cell r="M67" t="str">
            <v>Brick and Cement Mortar Masonary</v>
          </cell>
          <cell r="N67">
            <v>0</v>
          </cell>
          <cell r="O67">
            <v>0.17</v>
          </cell>
          <cell r="P67" t="str">
            <v>Brick and mud mortar Masonry</v>
          </cell>
          <cell r="Q67">
            <v>0</v>
          </cell>
          <cell r="R67">
            <v>0.02</v>
          </cell>
          <cell r="S67" t="str">
            <v>Reinforced cement concrete (RCC) frame</v>
          </cell>
          <cell r="T67">
            <v>0</v>
          </cell>
          <cell r="U67">
            <v>0.55000000000000004</v>
          </cell>
          <cell r="V67" t="str">
            <v>Hybrid structure</v>
          </cell>
          <cell r="W67">
            <v>0</v>
          </cell>
          <cell r="X67">
            <v>0</v>
          </cell>
          <cell r="Y67" t="str">
            <v>Timber frame structure</v>
          </cell>
          <cell r="Z67">
            <v>0.1</v>
          </cell>
          <cell r="AA67">
            <v>0.37</v>
          </cell>
          <cell r="AB67" t="str">
            <v>Hollow concrete block Masonry</v>
          </cell>
          <cell r="AC67">
            <v>0</v>
          </cell>
          <cell r="AD67">
            <v>0</v>
          </cell>
          <cell r="AE67" t="str">
            <v>Dry stone Masonry</v>
          </cell>
          <cell r="AF67">
            <v>0.17</v>
          </cell>
          <cell r="AG67">
            <v>0.11</v>
          </cell>
          <cell r="AH67" t="str">
            <v>Adobe structures</v>
          </cell>
          <cell r="AI67">
            <v>2.0099999999999998</v>
          </cell>
          <cell r="AJ67">
            <v>0.44</v>
          </cell>
          <cell r="AK67" t="str">
            <v>Bamboo</v>
          </cell>
          <cell r="AL67">
            <v>0.1</v>
          </cell>
          <cell r="AM67">
            <v>0.16</v>
          </cell>
          <cell r="AN67" t="str">
            <v>Compressed stabilized earth block (SCEB) Masonry</v>
          </cell>
          <cell r="AO67">
            <v>0</v>
          </cell>
          <cell r="AP67">
            <v>0</v>
          </cell>
          <cell r="AQ67" t="str">
            <v>Light steel frame structures</v>
          </cell>
          <cell r="AR67">
            <v>0</v>
          </cell>
          <cell r="AS67">
            <v>0</v>
          </cell>
          <cell r="AT67">
            <v>5212</v>
          </cell>
          <cell r="AU67">
            <v>5106</v>
          </cell>
          <cell r="AV67">
            <v>5102</v>
          </cell>
          <cell r="AW67">
            <v>4627</v>
          </cell>
          <cell r="AX67">
            <v>3731</v>
          </cell>
          <cell r="AY67">
            <v>3020</v>
          </cell>
          <cell r="AZ67">
            <v>3460</v>
          </cell>
          <cell r="BA67">
            <v>1317</v>
          </cell>
          <cell r="BB67">
            <v>222</v>
          </cell>
          <cell r="BC67">
            <v>222</v>
          </cell>
          <cell r="BD67">
            <v>0</v>
          </cell>
          <cell r="BE67">
            <v>2007</v>
          </cell>
          <cell r="BF67">
            <v>2007</v>
          </cell>
          <cell r="BG67" t="str">
            <v/>
          </cell>
          <cell r="BH67" t="str">
            <v/>
          </cell>
          <cell r="BI67" t="str">
            <v>NRCS(Rural Housing and Community Infrastructure)</v>
          </cell>
          <cell r="BJ67" t="str">
            <v>CDS(Rural Housing and Community Infrastructure),CSIDB(Rural Housing and Community Infrastructure),GON - DUDBC(Rural Housing and Community Infrastructure),GON-PAF(Rural Housing and Community Infrastructure),NRA(Rural Housing and Community Infrastructure),SABAL(Rural Housing and Community Infrastructure),SCI(Education,Rural Housing and Community Infrastructure,Social Protection)</v>
          </cell>
          <cell r="BK67">
            <v>116050</v>
          </cell>
          <cell r="BL67" t="str">
            <v>Y</v>
          </cell>
          <cell r="BM67" t="str">
            <v/>
          </cell>
          <cell r="BN67">
            <v>120553</v>
          </cell>
          <cell r="BO67" t="str">
            <v>Y</v>
          </cell>
          <cell r="BP67" t="str">
            <v/>
          </cell>
          <cell r="BQ67">
            <v>12406</v>
          </cell>
          <cell r="BR67" t="str">
            <v>Y</v>
          </cell>
          <cell r="BS67" t="str">
            <v/>
          </cell>
          <cell r="BT67">
            <v>14370</v>
          </cell>
          <cell r="BU67" t="str">
            <v>Y</v>
          </cell>
          <cell r="BV67" t="str">
            <v/>
          </cell>
          <cell r="BW67" t="str">
            <v/>
          </cell>
          <cell r="BX67" t="str">
            <v/>
          </cell>
          <cell r="BY67" t="str">
            <v/>
          </cell>
          <cell r="BZ67">
            <v>399549</v>
          </cell>
          <cell r="CA67" t="str">
            <v>Y</v>
          </cell>
          <cell r="CB67" t="str">
            <v/>
          </cell>
          <cell r="CC67">
            <v>1256200</v>
          </cell>
          <cell r="CD67" t="str">
            <v/>
          </cell>
          <cell r="CE67" t="str">
            <v/>
          </cell>
          <cell r="CF67">
            <v>16334</v>
          </cell>
          <cell r="CG67" t="str">
            <v/>
          </cell>
          <cell r="CH67" t="str">
            <v/>
          </cell>
          <cell r="CI67">
            <v>1089847</v>
          </cell>
          <cell r="CJ67" t="str">
            <v>Y</v>
          </cell>
          <cell r="CK67" t="str">
            <v/>
          </cell>
          <cell r="CL67" t="str">
            <v>Skilled</v>
          </cell>
          <cell r="CM67" t="str">
            <v/>
          </cell>
          <cell r="CN67" t="str">
            <v>Labor</v>
          </cell>
          <cell r="CO67" t="str">
            <v/>
          </cell>
          <cell r="CP67" t="str">
            <v/>
          </cell>
          <cell r="CQ67" t="str">
            <v/>
          </cell>
          <cell r="CR67" t="str">
            <v/>
          </cell>
          <cell r="CS67" t="str">
            <v/>
          </cell>
          <cell r="CT67" t="str">
            <v/>
          </cell>
          <cell r="CU67" t="str">
            <v/>
          </cell>
          <cell r="CV67" t="str">
            <v>Municipal Office</v>
          </cell>
          <cell r="CW67" t="str">
            <v>Prem Bahadur Tamang</v>
          </cell>
          <cell r="CX67" t="str">
            <v xml:space="preserve">Chairman </v>
          </cell>
          <cell r="CY67">
            <v>9854040168</v>
          </cell>
          <cell r="CZ67" t="str">
            <v>Municipal Office</v>
          </cell>
          <cell r="DA67" t="str">
            <v>Makhmali Shrestha</v>
          </cell>
          <cell r="DB67" t="str">
            <v>Deputy Chairman</v>
          </cell>
          <cell r="DC67">
            <v>9849943796</v>
          </cell>
          <cell r="DD67" t="str">
            <v>Municipal Office</v>
          </cell>
          <cell r="DE67" t="str">
            <v/>
          </cell>
          <cell r="DF67" t="str">
            <v>Chief Adminstration Officer</v>
          </cell>
          <cell r="DG67" t="str">
            <v/>
          </cell>
          <cell r="DH67" t="str">
            <v>NRA/GMALI</v>
          </cell>
          <cell r="DI67" t="str">
            <v>Krishna Lal Piya</v>
          </cell>
          <cell r="DJ67" t="str">
            <v>NRA Chief-District</v>
          </cell>
          <cell r="DK67">
            <v>9854043491</v>
          </cell>
          <cell r="DL67" t="str">
            <v>DLPIU-Building</v>
          </cell>
          <cell r="DM67" t="str">
            <v>Prabhakar Lal Karna</v>
          </cell>
          <cell r="DN67" t="str">
            <v>DUDBC.DLPIU Chief</v>
          </cell>
          <cell r="DO67">
            <v>9854041543</v>
          </cell>
          <cell r="DP67" t="str">
            <v>Municipal Office</v>
          </cell>
          <cell r="DQ67" t="str">
            <v>Damodar Dhungana</v>
          </cell>
          <cell r="DR67" t="str">
            <v>Focal Person</v>
          </cell>
          <cell r="DS67">
            <v>9861610438</v>
          </cell>
          <cell r="DT67" t="str">
            <v/>
          </cell>
          <cell r="DU67" t="str">
            <v/>
          </cell>
          <cell r="DV67" t="str">
            <v/>
          </cell>
          <cell r="DW67" t="str">
            <v/>
          </cell>
          <cell r="DX67" t="str">
            <v/>
          </cell>
          <cell r="DY67" t="str">
            <v/>
          </cell>
          <cell r="DZ67" t="str">
            <v/>
          </cell>
          <cell r="EA67" t="str">
            <v/>
          </cell>
          <cell r="EB67" t="str">
            <v/>
          </cell>
          <cell r="EC67" t="str">
            <v/>
          </cell>
          <cell r="ED67" t="str">
            <v/>
          </cell>
          <cell r="EE67" t="str">
            <v/>
          </cell>
          <cell r="EF67" t="str">
            <v/>
          </cell>
          <cell r="EG67" t="str">
            <v/>
          </cell>
          <cell r="EH67" t="str">
            <v/>
          </cell>
          <cell r="EI67" t="str">
            <v/>
          </cell>
          <cell r="EJ67">
            <v>360</v>
          </cell>
          <cell r="EK67">
            <v>186</v>
          </cell>
          <cell r="EL67">
            <v>174</v>
          </cell>
          <cell r="EM67">
            <v>540</v>
          </cell>
          <cell r="EN67">
            <v>41</v>
          </cell>
          <cell r="EO67">
            <v>499</v>
          </cell>
          <cell r="EP67" t="str">
            <v/>
          </cell>
          <cell r="EQ67" t="str">
            <v>Housing Recovery and Reconstruction Platform</v>
          </cell>
          <cell r="ER67" t="str">
            <v>Prakash Bishwakarma</v>
          </cell>
          <cell r="ES67" t="str">
            <v>District Coordinator</v>
          </cell>
          <cell r="ET67">
            <v>9841720436</v>
          </cell>
          <cell r="EU67" t="str">
            <v>Housing Recovery and Reconstruction Platform</v>
          </cell>
          <cell r="EV67" t="str">
            <v>Jawed Mohammad</v>
          </cell>
          <cell r="EW67" t="str">
            <v>DIstrict Information Management Officer</v>
          </cell>
          <cell r="EX67" t="str">
            <v/>
          </cell>
          <cell r="EY67" t="str">
            <v>Housing Recovery and Reconstruction Platform</v>
          </cell>
          <cell r="EZ67" t="str">
            <v>Tulasi Ram Lamichhane</v>
          </cell>
          <cell r="FA67" t="str">
            <v>District Technical Officer</v>
          </cell>
          <cell r="FB67">
            <v>9851213610</v>
          </cell>
        </row>
        <row r="68">
          <cell r="A68">
            <v>21004</v>
          </cell>
          <cell r="B68" t="str">
            <v>Ramechhap</v>
          </cell>
          <cell r="C68" t="str">
            <v>Likhu Gaunpalika</v>
          </cell>
          <cell r="D68">
            <v>1127</v>
          </cell>
          <cell r="E68">
            <v>5855</v>
          </cell>
          <cell r="F68">
            <v>6982</v>
          </cell>
          <cell r="G68" t="str">
            <v>Stone and cement mortar masonry</v>
          </cell>
          <cell r="H68">
            <v>0.26</v>
          </cell>
          <cell r="I68">
            <v>0.46</v>
          </cell>
          <cell r="J68" t="str">
            <v>Stone and Mud Mortar Masonary</v>
          </cell>
          <cell r="K68">
            <v>97.89</v>
          </cell>
          <cell r="L68">
            <v>97.73</v>
          </cell>
          <cell r="M68" t="str">
            <v>Brick and Cement Mortar Masonary</v>
          </cell>
          <cell r="N68">
            <v>0.3</v>
          </cell>
          <cell r="O68">
            <v>0.17</v>
          </cell>
          <cell r="P68" t="str">
            <v>Brick and mud mortar Masonry</v>
          </cell>
          <cell r="Q68">
            <v>0.01</v>
          </cell>
          <cell r="R68">
            <v>0.02</v>
          </cell>
          <cell r="S68" t="str">
            <v>Reinforced cement concrete (RCC) frame</v>
          </cell>
          <cell r="T68">
            <v>0.66</v>
          </cell>
          <cell r="U68">
            <v>0.55000000000000004</v>
          </cell>
          <cell r="V68" t="str">
            <v>Hybrid structure</v>
          </cell>
          <cell r="W68">
            <v>0</v>
          </cell>
          <cell r="X68">
            <v>0</v>
          </cell>
          <cell r="Y68" t="str">
            <v>Timber frame structure</v>
          </cell>
          <cell r="Z68">
            <v>0.54</v>
          </cell>
          <cell r="AA68">
            <v>0.37</v>
          </cell>
          <cell r="AB68" t="str">
            <v>Hollow concrete block Masonry</v>
          </cell>
          <cell r="AC68">
            <v>0</v>
          </cell>
          <cell r="AD68">
            <v>0</v>
          </cell>
          <cell r="AE68" t="str">
            <v>Dry stone Masonry</v>
          </cell>
          <cell r="AF68">
            <v>7.0000000000000007E-2</v>
          </cell>
          <cell r="AG68">
            <v>0.11</v>
          </cell>
          <cell r="AH68" t="str">
            <v>Adobe structures</v>
          </cell>
          <cell r="AI68">
            <v>0.06</v>
          </cell>
          <cell r="AJ68">
            <v>0.44</v>
          </cell>
          <cell r="AK68" t="str">
            <v>Bamboo</v>
          </cell>
          <cell r="AL68">
            <v>0.2</v>
          </cell>
          <cell r="AM68">
            <v>0.16</v>
          </cell>
          <cell r="AN68" t="str">
            <v>Compressed stabilized earth block (SCEB) Masonry</v>
          </cell>
          <cell r="AO68">
            <v>0</v>
          </cell>
          <cell r="AP68">
            <v>0</v>
          </cell>
          <cell r="AQ68" t="str">
            <v>Light steel frame structures</v>
          </cell>
          <cell r="AR68">
            <v>0</v>
          </cell>
          <cell r="AS68">
            <v>0</v>
          </cell>
          <cell r="AT68">
            <v>5686</v>
          </cell>
          <cell r="AU68">
            <v>5498</v>
          </cell>
          <cell r="AV68">
            <v>5497</v>
          </cell>
          <cell r="AW68">
            <v>4888</v>
          </cell>
          <cell r="AX68">
            <v>3966</v>
          </cell>
          <cell r="AY68">
            <v>3359</v>
          </cell>
          <cell r="AZ68">
            <v>3590</v>
          </cell>
          <cell r="BA68">
            <v>1010</v>
          </cell>
          <cell r="BB68">
            <v>16</v>
          </cell>
          <cell r="BC68">
            <v>16</v>
          </cell>
          <cell r="BD68">
            <v>0</v>
          </cell>
          <cell r="BE68">
            <v>1562</v>
          </cell>
          <cell r="BF68">
            <v>1562</v>
          </cell>
          <cell r="BG68" t="str">
            <v/>
          </cell>
          <cell r="BH68" t="str">
            <v/>
          </cell>
          <cell r="BI68" t="str">
            <v>NRCS(Rural Housing and Community Infrastructure)</v>
          </cell>
          <cell r="BJ68" t="str">
            <v>CSIDB(Rural Housing and Community Infrastructure),GON - DUDBC(Rural Housing and Community Infrastructure),GON-PAF(Rural Housing and Community Infrastructure),HCI(Rural Housing and Community Infrastructure),HELVETAS(Rural Housing and Community Infrastructure),KFS-N(Education,Health,Rural Housing and Community Infrastructure),MEDAIR(Rural Housing and Community Infrastructure,Water, Sanitation and Hygiene),SABAL(Rural Housing and Community Infrastructure),SW Nepal(Rural Housing and Community Infrastructure)</v>
          </cell>
          <cell r="BK68">
            <v>99670</v>
          </cell>
          <cell r="BL68" t="str">
            <v>Y</v>
          </cell>
          <cell r="BM68" t="str">
            <v/>
          </cell>
          <cell r="BN68">
            <v>100164</v>
          </cell>
          <cell r="BO68" t="str">
            <v>Y</v>
          </cell>
          <cell r="BP68" t="str">
            <v/>
          </cell>
          <cell r="BQ68">
            <v>10626</v>
          </cell>
          <cell r="BR68" t="str">
            <v>Y</v>
          </cell>
          <cell r="BS68" t="str">
            <v/>
          </cell>
          <cell r="BT68">
            <v>12202</v>
          </cell>
          <cell r="BU68" t="str">
            <v>Y</v>
          </cell>
          <cell r="BV68" t="str">
            <v/>
          </cell>
          <cell r="BW68" t="str">
            <v/>
          </cell>
          <cell r="BX68" t="str">
            <v/>
          </cell>
          <cell r="BY68" t="str">
            <v/>
          </cell>
          <cell r="BZ68">
            <v>334480</v>
          </cell>
          <cell r="CA68" t="str">
            <v>Y</v>
          </cell>
          <cell r="CB68" t="str">
            <v/>
          </cell>
          <cell r="CC68">
            <v>1086587</v>
          </cell>
          <cell r="CD68" t="str">
            <v/>
          </cell>
          <cell r="CE68" t="str">
            <v/>
          </cell>
          <cell r="CF68">
            <v>13680</v>
          </cell>
          <cell r="CG68" t="str">
            <v/>
          </cell>
          <cell r="CH68" t="str">
            <v/>
          </cell>
          <cell r="CI68">
            <v>1482773</v>
          </cell>
          <cell r="CJ68" t="str">
            <v>Y</v>
          </cell>
          <cell r="CK68" t="str">
            <v/>
          </cell>
          <cell r="CL68" t="str">
            <v>Skilled</v>
          </cell>
          <cell r="CM68" t="str">
            <v/>
          </cell>
          <cell r="CN68" t="str">
            <v>Labor</v>
          </cell>
          <cell r="CO68" t="str">
            <v/>
          </cell>
          <cell r="CP68" t="str">
            <v/>
          </cell>
          <cell r="CQ68" t="str">
            <v/>
          </cell>
          <cell r="CR68" t="str">
            <v/>
          </cell>
          <cell r="CS68" t="str">
            <v/>
          </cell>
          <cell r="CT68" t="str">
            <v/>
          </cell>
          <cell r="CU68" t="str">
            <v/>
          </cell>
          <cell r="CV68" t="str">
            <v>Municipal Office</v>
          </cell>
          <cell r="CW68" t="str">
            <v>Govinda Bahadur Khadka</v>
          </cell>
          <cell r="CX68" t="str">
            <v xml:space="preserve">Chairman </v>
          </cell>
          <cell r="CY68">
            <v>9843566666</v>
          </cell>
          <cell r="CZ68" t="str">
            <v>Municipal Office</v>
          </cell>
          <cell r="DA68" t="str">
            <v>Deep Shikha Dahal</v>
          </cell>
          <cell r="DB68" t="str">
            <v>Deputy Chairman</v>
          </cell>
          <cell r="DC68">
            <v>9854203106</v>
          </cell>
          <cell r="DD68" t="str">
            <v>Municipal Office</v>
          </cell>
          <cell r="DE68" t="str">
            <v/>
          </cell>
          <cell r="DF68" t="str">
            <v>Chief Adminstration Officer</v>
          </cell>
          <cell r="DG68" t="str">
            <v/>
          </cell>
          <cell r="DH68" t="str">
            <v>NRA/GMALI</v>
          </cell>
          <cell r="DI68" t="str">
            <v>Krishna Lal Piya</v>
          </cell>
          <cell r="DJ68" t="str">
            <v>NRA Chief-District</v>
          </cell>
          <cell r="DK68">
            <v>9854043491</v>
          </cell>
          <cell r="DL68" t="str">
            <v>DLPIU-Building</v>
          </cell>
          <cell r="DM68" t="str">
            <v>Prabhakar Lal Karna</v>
          </cell>
          <cell r="DN68" t="str">
            <v>DUDBC.DLPIU Chief</v>
          </cell>
          <cell r="DO68">
            <v>9854041543</v>
          </cell>
          <cell r="DP68" t="str">
            <v>Municipal Office</v>
          </cell>
          <cell r="DQ68" t="str">
            <v>Narendra Basyal</v>
          </cell>
          <cell r="DR68" t="str">
            <v>Focal Person</v>
          </cell>
          <cell r="DS68">
            <v>9841290857</v>
          </cell>
          <cell r="DT68" t="str">
            <v/>
          </cell>
          <cell r="DU68" t="str">
            <v/>
          </cell>
          <cell r="DV68" t="str">
            <v/>
          </cell>
          <cell r="DW68" t="str">
            <v/>
          </cell>
          <cell r="DX68" t="str">
            <v/>
          </cell>
          <cell r="DY68" t="str">
            <v/>
          </cell>
          <cell r="DZ68" t="str">
            <v/>
          </cell>
          <cell r="EA68" t="str">
            <v/>
          </cell>
          <cell r="EB68" t="str">
            <v/>
          </cell>
          <cell r="EC68" t="str">
            <v/>
          </cell>
          <cell r="ED68" t="str">
            <v/>
          </cell>
          <cell r="EE68" t="str">
            <v/>
          </cell>
          <cell r="EF68" t="str">
            <v/>
          </cell>
          <cell r="EG68" t="str">
            <v/>
          </cell>
          <cell r="EH68" t="str">
            <v/>
          </cell>
          <cell r="EI68" t="str">
            <v/>
          </cell>
          <cell r="EJ68">
            <v>405</v>
          </cell>
          <cell r="EK68">
            <v>271</v>
          </cell>
          <cell r="EL68">
            <v>112</v>
          </cell>
          <cell r="EM68">
            <v>603</v>
          </cell>
          <cell r="EN68">
            <v>482</v>
          </cell>
          <cell r="EO68">
            <v>242</v>
          </cell>
          <cell r="EP68" t="str">
            <v/>
          </cell>
          <cell r="EQ68" t="str">
            <v>Housing Recovery and Reconstruction Platform</v>
          </cell>
          <cell r="ER68" t="str">
            <v>Prakash Bishwakarma</v>
          </cell>
          <cell r="ES68" t="str">
            <v>District Coordinator</v>
          </cell>
          <cell r="ET68">
            <v>9841720436</v>
          </cell>
          <cell r="EU68" t="str">
            <v>Housing Recovery and Reconstruction Platform</v>
          </cell>
          <cell r="EV68" t="str">
            <v>Jawed Mohammad</v>
          </cell>
          <cell r="EW68" t="str">
            <v>DIstrict Information Management Officer</v>
          </cell>
          <cell r="EX68" t="str">
            <v/>
          </cell>
          <cell r="EY68" t="str">
            <v>Housing Recovery and Reconstruction Platform</v>
          </cell>
          <cell r="EZ68" t="str">
            <v>Tulasi Ram Lamichhane</v>
          </cell>
          <cell r="FA68" t="str">
            <v>District Technical Officer</v>
          </cell>
          <cell r="FB68">
            <v>9851213610</v>
          </cell>
        </row>
        <row r="69">
          <cell r="A69">
            <v>21005</v>
          </cell>
          <cell r="B69" t="str">
            <v>Ramechhap</v>
          </cell>
          <cell r="C69" t="str">
            <v>Manthali Nagarpalika</v>
          </cell>
          <cell r="D69">
            <v>1959</v>
          </cell>
          <cell r="E69">
            <v>10429</v>
          </cell>
          <cell r="F69">
            <v>12388</v>
          </cell>
          <cell r="G69" t="str">
            <v>Stone and cement mortar masonry</v>
          </cell>
          <cell r="H69">
            <v>1.19</v>
          </cell>
          <cell r="I69">
            <v>0.46</v>
          </cell>
          <cell r="J69" t="str">
            <v>Stone and Mud Mortar Masonary</v>
          </cell>
          <cell r="K69">
            <v>96.04</v>
          </cell>
          <cell r="L69">
            <v>97.73</v>
          </cell>
          <cell r="M69" t="str">
            <v>Brick and Cement Mortar Masonary</v>
          </cell>
          <cell r="N69">
            <v>0.4</v>
          </cell>
          <cell r="O69">
            <v>0.17</v>
          </cell>
          <cell r="P69" t="str">
            <v>Brick and mud mortar Masonry</v>
          </cell>
          <cell r="Q69">
            <v>0.04</v>
          </cell>
          <cell r="R69">
            <v>0.02</v>
          </cell>
          <cell r="S69" t="str">
            <v>Reinforced cement concrete (RCC) frame</v>
          </cell>
          <cell r="T69">
            <v>1.87</v>
          </cell>
          <cell r="U69">
            <v>0.55000000000000004</v>
          </cell>
          <cell r="V69" t="str">
            <v>Hybrid structure</v>
          </cell>
          <cell r="W69">
            <v>0</v>
          </cell>
          <cell r="X69">
            <v>0</v>
          </cell>
          <cell r="Y69" t="str">
            <v>Timber frame structure</v>
          </cell>
          <cell r="Z69">
            <v>0.13</v>
          </cell>
          <cell r="AA69">
            <v>0.37</v>
          </cell>
          <cell r="AB69" t="str">
            <v>Hollow concrete block Masonry</v>
          </cell>
          <cell r="AC69">
            <v>0</v>
          </cell>
          <cell r="AD69">
            <v>0</v>
          </cell>
          <cell r="AE69" t="str">
            <v>Dry stone Masonry</v>
          </cell>
          <cell r="AF69">
            <v>0.11</v>
          </cell>
          <cell r="AG69">
            <v>0.11</v>
          </cell>
          <cell r="AH69" t="str">
            <v>Adobe structures</v>
          </cell>
          <cell r="AI69">
            <v>0.11</v>
          </cell>
          <cell r="AJ69">
            <v>0.44</v>
          </cell>
          <cell r="AK69" t="str">
            <v>Bamboo</v>
          </cell>
          <cell r="AL69">
            <v>0.11</v>
          </cell>
          <cell r="AM69">
            <v>0.16</v>
          </cell>
          <cell r="AN69" t="str">
            <v>Compressed stabilized earth block (SCEB) Masonry</v>
          </cell>
          <cell r="AO69">
            <v>0</v>
          </cell>
          <cell r="AP69">
            <v>0</v>
          </cell>
          <cell r="AQ69" t="str">
            <v>Light steel frame structures</v>
          </cell>
          <cell r="AR69">
            <v>0</v>
          </cell>
          <cell r="AS69">
            <v>0</v>
          </cell>
          <cell r="AT69">
            <v>11077</v>
          </cell>
          <cell r="AU69">
            <v>10640</v>
          </cell>
          <cell r="AV69">
            <v>10629</v>
          </cell>
          <cell r="AW69">
            <v>9425</v>
          </cell>
          <cell r="AX69">
            <v>7477</v>
          </cell>
          <cell r="AY69">
            <v>5590</v>
          </cell>
          <cell r="AZ69">
            <v>7045</v>
          </cell>
          <cell r="BA69">
            <v>1271</v>
          </cell>
          <cell r="BB69">
            <v>39</v>
          </cell>
          <cell r="BC69">
            <v>39</v>
          </cell>
          <cell r="BD69">
            <v>0</v>
          </cell>
          <cell r="BE69">
            <v>2815</v>
          </cell>
          <cell r="BF69">
            <v>2815</v>
          </cell>
          <cell r="BG69" t="str">
            <v/>
          </cell>
          <cell r="BH69" t="str">
            <v/>
          </cell>
          <cell r="BI69" t="str">
            <v>BC(Rural Housing and Community Infrastructure),NRCS(Agriculture, Livestock Development and Irrigation,Employment and Livelihood,Health,Rural Housing and Community Infrastructure,Water, Sanitation and Hygiene)</v>
          </cell>
          <cell r="BJ69" t="str">
            <v>CDS(Rural Housing and Community Infrastructure),CSIDB(Rural Housing and Community Infrastructure),GON - DUDBC(Rural Housing and Community Infrastructure),GON-PAF(Rural Housing and Community Infrastructure),HELVETAS(Rural Housing and Community Infrastructure),HI(Rural Housing and Community Infrastructure),IOM(Rural Housing and Community Infrastructure),NDBS(Education),RRN(Rural Housing and Community Infrastructure),SABAL(Rural Housing and Community Infrastructure),SW Nepal(Rural Housing and Community Infrastructure),WHH(Education)</v>
          </cell>
          <cell r="BK69">
            <v>221289</v>
          </cell>
          <cell r="BL69" t="str">
            <v>Y</v>
          </cell>
          <cell r="BM69" t="str">
            <v/>
          </cell>
          <cell r="BN69">
            <v>219015</v>
          </cell>
          <cell r="BO69" t="str">
            <v>Y</v>
          </cell>
          <cell r="BP69" t="str">
            <v/>
          </cell>
          <cell r="BQ69">
            <v>23549</v>
          </cell>
          <cell r="BR69" t="str">
            <v>Y</v>
          </cell>
          <cell r="BS69" t="str">
            <v/>
          </cell>
          <cell r="BT69">
            <v>26885</v>
          </cell>
          <cell r="BU69" t="str">
            <v>Y</v>
          </cell>
          <cell r="BV69" t="str">
            <v/>
          </cell>
          <cell r="BW69" t="str">
            <v/>
          </cell>
          <cell r="BX69" t="str">
            <v/>
          </cell>
          <cell r="BY69" t="str">
            <v/>
          </cell>
          <cell r="BZ69">
            <v>723341</v>
          </cell>
          <cell r="CA69" t="str">
            <v>Y</v>
          </cell>
          <cell r="CB69" t="str">
            <v/>
          </cell>
          <cell r="CC69">
            <v>2405924</v>
          </cell>
          <cell r="CD69" t="str">
            <v/>
          </cell>
          <cell r="CE69" t="str">
            <v/>
          </cell>
          <cell r="CF69">
            <v>29529</v>
          </cell>
          <cell r="CG69" t="str">
            <v/>
          </cell>
          <cell r="CH69" t="str">
            <v/>
          </cell>
          <cell r="CI69">
            <v>2213129</v>
          </cell>
          <cell r="CJ69" t="str">
            <v>Y</v>
          </cell>
          <cell r="CK69" t="str">
            <v/>
          </cell>
          <cell r="CL69" t="str">
            <v>Skilled</v>
          </cell>
          <cell r="CM69" t="str">
            <v/>
          </cell>
          <cell r="CN69" t="str">
            <v>Labor</v>
          </cell>
          <cell r="CO69" t="str">
            <v/>
          </cell>
          <cell r="CP69" t="str">
            <v/>
          </cell>
          <cell r="CQ69" t="str">
            <v/>
          </cell>
          <cell r="CR69" t="str">
            <v/>
          </cell>
          <cell r="CS69" t="str">
            <v/>
          </cell>
          <cell r="CT69" t="str">
            <v/>
          </cell>
          <cell r="CU69" t="str">
            <v/>
          </cell>
          <cell r="CV69" t="str">
            <v>Municipal Office</v>
          </cell>
          <cell r="CW69" t="str">
            <v>Ramesh Basnet</v>
          </cell>
          <cell r="CX69" t="str">
            <v>Mayor</v>
          </cell>
          <cell r="CY69">
            <v>9851048458</v>
          </cell>
          <cell r="CZ69" t="str">
            <v>Municipal Office</v>
          </cell>
          <cell r="DA69" t="str">
            <v>Maya Kumari Karki</v>
          </cell>
          <cell r="DB69" t="str">
            <v>Deputy Mayor</v>
          </cell>
          <cell r="DC69">
            <v>9854040371</v>
          </cell>
          <cell r="DD69" t="str">
            <v>Municipal Office</v>
          </cell>
          <cell r="DE69" t="str">
            <v/>
          </cell>
          <cell r="DF69" t="str">
            <v>Chief Adminstration Officer</v>
          </cell>
          <cell r="DG69" t="str">
            <v/>
          </cell>
          <cell r="DH69" t="str">
            <v>NRA/GMALI</v>
          </cell>
          <cell r="DI69" t="str">
            <v>Krishna Lal Piya</v>
          </cell>
          <cell r="DJ69" t="str">
            <v>NRA Chief-District</v>
          </cell>
          <cell r="DK69">
            <v>9854043491</v>
          </cell>
          <cell r="DL69" t="str">
            <v>DLPIU-Building</v>
          </cell>
          <cell r="DM69" t="str">
            <v>Prabhakar Lal Karna</v>
          </cell>
          <cell r="DN69" t="str">
            <v>DUDBC.DLPIU Chief</v>
          </cell>
          <cell r="DO69">
            <v>9854041543</v>
          </cell>
          <cell r="DP69" t="str">
            <v>Municipal Office</v>
          </cell>
          <cell r="DQ69" t="str">
            <v>Pradeep Kunwar</v>
          </cell>
          <cell r="DR69" t="str">
            <v>Focal Person</v>
          </cell>
          <cell r="DS69">
            <v>9849194373</v>
          </cell>
          <cell r="DT69" t="str">
            <v/>
          </cell>
          <cell r="DU69" t="str">
            <v/>
          </cell>
          <cell r="DV69" t="str">
            <v/>
          </cell>
          <cell r="DW69" t="str">
            <v/>
          </cell>
          <cell r="DX69" t="str">
            <v/>
          </cell>
          <cell r="DY69" t="str">
            <v/>
          </cell>
          <cell r="DZ69" t="str">
            <v/>
          </cell>
          <cell r="EA69" t="str">
            <v/>
          </cell>
          <cell r="EB69" t="str">
            <v/>
          </cell>
          <cell r="EC69" t="str">
            <v/>
          </cell>
          <cell r="ED69" t="str">
            <v/>
          </cell>
          <cell r="EE69" t="str">
            <v/>
          </cell>
          <cell r="EF69" t="str">
            <v/>
          </cell>
          <cell r="EG69" t="str">
            <v/>
          </cell>
          <cell r="EH69" t="str">
            <v/>
          </cell>
          <cell r="EI69" t="str">
            <v/>
          </cell>
          <cell r="EJ69">
            <v>777</v>
          </cell>
          <cell r="EK69">
            <v>321</v>
          </cell>
          <cell r="EL69">
            <v>481</v>
          </cell>
          <cell r="EM69">
            <v>1152</v>
          </cell>
          <cell r="EN69">
            <v>84</v>
          </cell>
          <cell r="EO69">
            <v>1068</v>
          </cell>
          <cell r="EP69" t="str">
            <v/>
          </cell>
          <cell r="EQ69" t="str">
            <v>Housing Recovery and Reconstruction Platform</v>
          </cell>
          <cell r="ER69" t="str">
            <v>Prakash Bishwakarma</v>
          </cell>
          <cell r="ES69" t="str">
            <v>District Coordinator</v>
          </cell>
          <cell r="ET69">
            <v>9841720436</v>
          </cell>
          <cell r="EU69" t="str">
            <v>Housing Recovery and Reconstruction Platform</v>
          </cell>
          <cell r="EV69" t="str">
            <v>Jawed Mohammad</v>
          </cell>
          <cell r="EW69" t="str">
            <v>DIstrict Information Management Officer</v>
          </cell>
          <cell r="EX69" t="str">
            <v/>
          </cell>
          <cell r="EY69" t="str">
            <v>Housing Recovery and Reconstruction Platform</v>
          </cell>
          <cell r="EZ69" t="str">
            <v>Tulasi Ram Lamichhane</v>
          </cell>
          <cell r="FA69" t="str">
            <v>District Technical Officer</v>
          </cell>
          <cell r="FB69">
            <v>9851213610</v>
          </cell>
        </row>
        <row r="70">
          <cell r="A70">
            <v>21006</v>
          </cell>
          <cell r="B70" t="str">
            <v>Ramechhap</v>
          </cell>
          <cell r="C70" t="str">
            <v>Ramechhap Nagarpalika</v>
          </cell>
          <cell r="D70">
            <v>1414</v>
          </cell>
          <cell r="E70">
            <v>6807</v>
          </cell>
          <cell r="F70">
            <v>8221</v>
          </cell>
          <cell r="G70" t="str">
            <v>Stone and cement mortar masonry</v>
          </cell>
          <cell r="H70">
            <v>0.21</v>
          </cell>
          <cell r="I70">
            <v>0.46</v>
          </cell>
          <cell r="J70" t="str">
            <v>Stone and Mud Mortar Masonary</v>
          </cell>
          <cell r="K70">
            <v>98.79</v>
          </cell>
          <cell r="L70">
            <v>97.73</v>
          </cell>
          <cell r="M70" t="str">
            <v>Brick and Cement Mortar Masonary</v>
          </cell>
          <cell r="N70">
            <v>0.02</v>
          </cell>
          <cell r="O70">
            <v>0.17</v>
          </cell>
          <cell r="P70" t="str">
            <v>Brick and mud mortar Masonry</v>
          </cell>
          <cell r="Q70">
            <v>0.04</v>
          </cell>
          <cell r="R70">
            <v>0.02</v>
          </cell>
          <cell r="S70" t="str">
            <v>Reinforced cement concrete (RCC) frame</v>
          </cell>
          <cell r="T70">
            <v>0.43</v>
          </cell>
          <cell r="U70">
            <v>0.55000000000000004</v>
          </cell>
          <cell r="V70" t="str">
            <v>Hybrid structure</v>
          </cell>
          <cell r="W70">
            <v>0</v>
          </cell>
          <cell r="X70">
            <v>0</v>
          </cell>
          <cell r="Y70" t="str">
            <v>Timber frame structure</v>
          </cell>
          <cell r="Z70">
            <v>0.11</v>
          </cell>
          <cell r="AA70">
            <v>0.37</v>
          </cell>
          <cell r="AB70" t="str">
            <v>Hollow concrete block Masonry</v>
          </cell>
          <cell r="AC70">
            <v>0</v>
          </cell>
          <cell r="AD70">
            <v>0</v>
          </cell>
          <cell r="AE70" t="str">
            <v>Dry stone Masonry</v>
          </cell>
          <cell r="AF70">
            <v>0.12</v>
          </cell>
          <cell r="AG70">
            <v>0.11</v>
          </cell>
          <cell r="AH70" t="str">
            <v>Adobe structures</v>
          </cell>
          <cell r="AI70">
            <v>7.0000000000000007E-2</v>
          </cell>
          <cell r="AJ70">
            <v>0.44</v>
          </cell>
          <cell r="AK70" t="str">
            <v>Bamboo</v>
          </cell>
          <cell r="AL70">
            <v>0.21</v>
          </cell>
          <cell r="AM70">
            <v>0.16</v>
          </cell>
          <cell r="AN70" t="str">
            <v>Compressed stabilized earth block (SCEB) Masonry</v>
          </cell>
          <cell r="AO70">
            <v>0</v>
          </cell>
          <cell r="AP70">
            <v>0</v>
          </cell>
          <cell r="AQ70" t="str">
            <v>Light steel frame structures</v>
          </cell>
          <cell r="AR70">
            <v>0</v>
          </cell>
          <cell r="AS70">
            <v>0</v>
          </cell>
          <cell r="AT70">
            <v>6554</v>
          </cell>
          <cell r="AU70">
            <v>6394</v>
          </cell>
          <cell r="AV70">
            <v>6385</v>
          </cell>
          <cell r="AW70">
            <v>5590</v>
          </cell>
          <cell r="AX70">
            <v>4674</v>
          </cell>
          <cell r="AY70">
            <v>3900</v>
          </cell>
          <cell r="AZ70">
            <v>4250</v>
          </cell>
          <cell r="BA70">
            <v>960</v>
          </cell>
          <cell r="BB70">
            <v>6</v>
          </cell>
          <cell r="BC70">
            <v>6</v>
          </cell>
          <cell r="BD70">
            <v>0</v>
          </cell>
          <cell r="BE70">
            <v>1841</v>
          </cell>
          <cell r="BF70">
            <v>1841</v>
          </cell>
          <cell r="BG70" t="str">
            <v/>
          </cell>
          <cell r="BH70" t="str">
            <v/>
          </cell>
          <cell r="BI70" t="str">
            <v>NRCS(Agriculture, Livestock Development and Irrigation,Education,Employment and Livelihood,Health,Rural Housing and Community Infrastructure,Water, Sanitation and Hygiene)</v>
          </cell>
          <cell r="BJ70" t="str">
            <v>CFJ(Education),CSIDB(Rural Housing and Community Infrastructure),GON - DUDBC(Rural Housing and Community Infrastructure),GON-PAF(Rural Housing and Community Infrastructure),KFS-N(Rural Housing and Community Infrastructure),MEDAIR(Rural Housing and Community Infrastructure),SABAL(Rural Housing and Community Infrastructure)</v>
          </cell>
          <cell r="BK70">
            <v>106864</v>
          </cell>
          <cell r="BL70" t="str">
            <v>Y</v>
          </cell>
          <cell r="BM70" t="str">
            <v/>
          </cell>
          <cell r="BN70">
            <v>110974</v>
          </cell>
          <cell r="BO70" t="str">
            <v>Y</v>
          </cell>
          <cell r="BP70" t="str">
            <v/>
          </cell>
          <cell r="BQ70">
            <v>11423</v>
          </cell>
          <cell r="BR70" t="str">
            <v>Y</v>
          </cell>
          <cell r="BS70" t="str">
            <v/>
          </cell>
          <cell r="BT70">
            <v>13228</v>
          </cell>
          <cell r="BU70" t="str">
            <v>Y</v>
          </cell>
          <cell r="BV70" t="str">
            <v/>
          </cell>
          <cell r="BW70" t="str">
            <v/>
          </cell>
          <cell r="BX70" t="str">
            <v/>
          </cell>
          <cell r="BY70" t="str">
            <v/>
          </cell>
          <cell r="BZ70">
            <v>367337</v>
          </cell>
          <cell r="CA70" t="str">
            <v>Y</v>
          </cell>
          <cell r="CB70" t="str">
            <v/>
          </cell>
          <cell r="CC70">
            <v>1156195</v>
          </cell>
          <cell r="CD70" t="str">
            <v/>
          </cell>
          <cell r="CE70" t="str">
            <v/>
          </cell>
          <cell r="CF70">
            <v>15014</v>
          </cell>
          <cell r="CG70" t="str">
            <v/>
          </cell>
          <cell r="CH70" t="str">
            <v/>
          </cell>
          <cell r="CI70">
            <v>934212</v>
          </cell>
          <cell r="CJ70" t="str">
            <v>Y</v>
          </cell>
          <cell r="CK70" t="str">
            <v/>
          </cell>
          <cell r="CL70" t="str">
            <v>Skilled</v>
          </cell>
          <cell r="CM70" t="str">
            <v/>
          </cell>
          <cell r="CN70" t="str">
            <v>Labor</v>
          </cell>
          <cell r="CO70" t="str">
            <v/>
          </cell>
          <cell r="CP70" t="str">
            <v/>
          </cell>
          <cell r="CQ70" t="str">
            <v/>
          </cell>
          <cell r="CR70" t="str">
            <v/>
          </cell>
          <cell r="CS70" t="str">
            <v/>
          </cell>
          <cell r="CT70" t="str">
            <v/>
          </cell>
          <cell r="CU70" t="str">
            <v/>
          </cell>
          <cell r="CV70" t="str">
            <v>Municipal Office</v>
          </cell>
          <cell r="CW70" t="str">
            <v>Nar Bahadur Thapa Magar</v>
          </cell>
          <cell r="CX70" t="str">
            <v>Mayor</v>
          </cell>
          <cell r="CY70">
            <v>9851113802</v>
          </cell>
          <cell r="CZ70" t="str">
            <v>Municipal Office</v>
          </cell>
          <cell r="DA70" t="str">
            <v>Srijana Khadka</v>
          </cell>
          <cell r="DB70" t="str">
            <v>Deputy Mayor</v>
          </cell>
          <cell r="DC70">
            <v>9844148037</v>
          </cell>
          <cell r="DD70" t="str">
            <v>Municipal Office</v>
          </cell>
          <cell r="DE70" t="str">
            <v/>
          </cell>
          <cell r="DF70" t="str">
            <v>Chief Adminstration Officer</v>
          </cell>
          <cell r="DG70" t="str">
            <v/>
          </cell>
          <cell r="DH70" t="str">
            <v>NRA/GMALI</v>
          </cell>
          <cell r="DI70" t="str">
            <v>Krishna Lal Piya</v>
          </cell>
          <cell r="DJ70" t="str">
            <v>NRA Chief-District</v>
          </cell>
          <cell r="DK70">
            <v>9854043491</v>
          </cell>
          <cell r="DL70" t="str">
            <v>DLPIU-Building</v>
          </cell>
          <cell r="DM70" t="str">
            <v>Prabhakar Lal Karna</v>
          </cell>
          <cell r="DN70" t="str">
            <v>DUDBC.DLPIU Chief</v>
          </cell>
          <cell r="DO70">
            <v>9854041543</v>
          </cell>
          <cell r="DP70" t="str">
            <v>Municipal Office</v>
          </cell>
          <cell r="DQ70" t="str">
            <v>Sabita Sah</v>
          </cell>
          <cell r="DR70" t="str">
            <v>Focal Person</v>
          </cell>
          <cell r="DS70">
            <v>9817710591</v>
          </cell>
          <cell r="DT70" t="str">
            <v/>
          </cell>
          <cell r="DU70" t="str">
            <v/>
          </cell>
          <cell r="DV70" t="str">
            <v/>
          </cell>
          <cell r="DW70" t="str">
            <v/>
          </cell>
          <cell r="DX70" t="str">
            <v/>
          </cell>
          <cell r="DY70" t="str">
            <v/>
          </cell>
          <cell r="DZ70" t="str">
            <v/>
          </cell>
          <cell r="EA70" t="str">
            <v/>
          </cell>
          <cell r="EB70" t="str">
            <v/>
          </cell>
          <cell r="EC70" t="str">
            <v/>
          </cell>
          <cell r="ED70" t="str">
            <v/>
          </cell>
          <cell r="EE70" t="str">
            <v/>
          </cell>
          <cell r="EF70" t="str">
            <v/>
          </cell>
          <cell r="EG70" t="str">
            <v/>
          </cell>
          <cell r="EH70" t="str">
            <v/>
          </cell>
          <cell r="EI70" t="str">
            <v/>
          </cell>
          <cell r="EJ70">
            <v>459</v>
          </cell>
          <cell r="EK70">
            <v>430</v>
          </cell>
          <cell r="EL70">
            <v>51</v>
          </cell>
          <cell r="EM70">
            <v>675</v>
          </cell>
          <cell r="EN70">
            <v>7</v>
          </cell>
          <cell r="EO70">
            <v>668</v>
          </cell>
          <cell r="EP70" t="str">
            <v/>
          </cell>
          <cell r="EQ70" t="str">
            <v>Housing Recovery and Reconstruction Platform</v>
          </cell>
          <cell r="ER70" t="str">
            <v>Prakash Bishwakarma</v>
          </cell>
          <cell r="ES70" t="str">
            <v>District Coordinator</v>
          </cell>
          <cell r="ET70">
            <v>9841720436</v>
          </cell>
          <cell r="EU70" t="str">
            <v>Housing Recovery and Reconstruction Platform</v>
          </cell>
          <cell r="EV70" t="str">
            <v>Jawed Mohammad</v>
          </cell>
          <cell r="EW70" t="str">
            <v>DIstrict Information Management Officer</v>
          </cell>
          <cell r="EX70" t="str">
            <v/>
          </cell>
          <cell r="EY70" t="str">
            <v>Housing Recovery and Reconstruction Platform</v>
          </cell>
          <cell r="EZ70" t="str">
            <v>Tulasi Ram Lamichhane</v>
          </cell>
          <cell r="FA70" t="str">
            <v>District Technical Officer</v>
          </cell>
          <cell r="FB70">
            <v>9851213610</v>
          </cell>
        </row>
        <row r="71">
          <cell r="A71">
            <v>21007</v>
          </cell>
          <cell r="B71" t="str">
            <v>Ramechhap</v>
          </cell>
          <cell r="C71" t="str">
            <v>Sunapati Gaunpalika</v>
          </cell>
          <cell r="D71">
            <v>902</v>
          </cell>
          <cell r="E71">
            <v>4723</v>
          </cell>
          <cell r="F71">
            <v>5625</v>
          </cell>
          <cell r="G71" t="str">
            <v>Stone and cement mortar masonry</v>
          </cell>
          <cell r="H71">
            <v>0.14000000000000001</v>
          </cell>
          <cell r="I71">
            <v>0.46</v>
          </cell>
          <cell r="J71" t="str">
            <v>Stone and Mud Mortar Masonary</v>
          </cell>
          <cell r="K71">
            <v>99.02</v>
          </cell>
          <cell r="L71">
            <v>97.73</v>
          </cell>
          <cell r="M71" t="str">
            <v>Brick and Cement Mortar Masonary</v>
          </cell>
          <cell r="N71">
            <v>0.04</v>
          </cell>
          <cell r="O71">
            <v>0.17</v>
          </cell>
          <cell r="P71" t="str">
            <v>Brick and mud mortar Masonry</v>
          </cell>
          <cell r="Q71">
            <v>0</v>
          </cell>
          <cell r="R71">
            <v>0.02</v>
          </cell>
          <cell r="S71" t="str">
            <v>Reinforced cement concrete (RCC) frame</v>
          </cell>
          <cell r="T71">
            <v>7.0000000000000007E-2</v>
          </cell>
          <cell r="U71">
            <v>0.55000000000000004</v>
          </cell>
          <cell r="V71" t="str">
            <v>Hybrid structure</v>
          </cell>
          <cell r="W71">
            <v>0</v>
          </cell>
          <cell r="X71">
            <v>0</v>
          </cell>
          <cell r="Y71" t="str">
            <v>Timber frame structure</v>
          </cell>
          <cell r="Z71">
            <v>0</v>
          </cell>
          <cell r="AA71">
            <v>0.37</v>
          </cell>
          <cell r="AB71" t="str">
            <v>Hollow concrete block Masonry</v>
          </cell>
          <cell r="AC71">
            <v>0</v>
          </cell>
          <cell r="AD71">
            <v>0</v>
          </cell>
          <cell r="AE71" t="str">
            <v>Dry stone Masonry</v>
          </cell>
          <cell r="AF71">
            <v>0.21</v>
          </cell>
          <cell r="AG71">
            <v>0.11</v>
          </cell>
          <cell r="AH71" t="str">
            <v>Adobe structures</v>
          </cell>
          <cell r="AI71">
            <v>0.41</v>
          </cell>
          <cell r="AJ71">
            <v>0.44</v>
          </cell>
          <cell r="AK71" t="str">
            <v>Bamboo</v>
          </cell>
          <cell r="AL71">
            <v>0.11</v>
          </cell>
          <cell r="AM71">
            <v>0.16</v>
          </cell>
          <cell r="AN71" t="str">
            <v>Compressed stabilized earth block (SCEB) Masonry</v>
          </cell>
          <cell r="AO71">
            <v>0</v>
          </cell>
          <cell r="AP71">
            <v>0</v>
          </cell>
          <cell r="AQ71" t="str">
            <v>Light steel frame structures</v>
          </cell>
          <cell r="AR71">
            <v>0</v>
          </cell>
          <cell r="AS71">
            <v>0</v>
          </cell>
          <cell r="AT71">
            <v>3671</v>
          </cell>
          <cell r="AU71">
            <v>3473</v>
          </cell>
          <cell r="AV71">
            <v>3470</v>
          </cell>
          <cell r="AW71">
            <v>3105</v>
          </cell>
          <cell r="AX71">
            <v>2022</v>
          </cell>
          <cell r="AY71">
            <v>1485</v>
          </cell>
          <cell r="AZ71">
            <v>2175</v>
          </cell>
          <cell r="BA71">
            <v>821</v>
          </cell>
          <cell r="BB71">
            <v>20</v>
          </cell>
          <cell r="BC71">
            <v>20</v>
          </cell>
          <cell r="BD71">
            <v>0</v>
          </cell>
          <cell r="BE71">
            <v>1392</v>
          </cell>
          <cell r="BF71">
            <v>1392</v>
          </cell>
          <cell r="BG71" t="str">
            <v/>
          </cell>
          <cell r="BH71" t="str">
            <v/>
          </cell>
          <cell r="BI71" t="str">
            <v/>
          </cell>
          <cell r="BJ71" t="str">
            <v>CSIDB(Rural Housing and Community Infrastructure),GON - DUDBC(Rural Housing and Community Infrastructure),GON-PAF(Rural Housing and Community Infrastructure),HELVETAS(Rural Housing and Community Infrastructure),NDBS(Education),SABAL(Rural Housing and Community Infrastructure),SCI(Education,Rural Housing and Community Infrastructure,Social Protection)</v>
          </cell>
          <cell r="BK71">
            <v>87654</v>
          </cell>
          <cell r="BL71" t="str">
            <v>Y</v>
          </cell>
          <cell r="BM71" t="str">
            <v/>
          </cell>
          <cell r="BN71">
            <v>90490</v>
          </cell>
          <cell r="BO71" t="str">
            <v>Y</v>
          </cell>
          <cell r="BP71" t="str">
            <v/>
          </cell>
          <cell r="BQ71">
            <v>9366</v>
          </cell>
          <cell r="BR71" t="str">
            <v>Y</v>
          </cell>
          <cell r="BS71" t="str">
            <v/>
          </cell>
          <cell r="BT71">
            <v>10831</v>
          </cell>
          <cell r="BU71" t="str">
            <v>Y</v>
          </cell>
          <cell r="BV71" t="str">
            <v/>
          </cell>
          <cell r="BW71" t="str">
            <v/>
          </cell>
          <cell r="BX71" t="str">
            <v/>
          </cell>
          <cell r="BY71" t="str">
            <v/>
          </cell>
          <cell r="BZ71">
            <v>300487</v>
          </cell>
          <cell r="CA71" t="str">
            <v>Y</v>
          </cell>
          <cell r="CB71" t="str">
            <v/>
          </cell>
          <cell r="CC71">
            <v>950315</v>
          </cell>
          <cell r="CD71" t="str">
            <v/>
          </cell>
          <cell r="CE71" t="str">
            <v/>
          </cell>
          <cell r="CF71">
            <v>12286</v>
          </cell>
          <cell r="CG71" t="str">
            <v/>
          </cell>
          <cell r="CH71" t="str">
            <v/>
          </cell>
          <cell r="CI71">
            <v>938462</v>
          </cell>
          <cell r="CJ71" t="str">
            <v>Y</v>
          </cell>
          <cell r="CK71" t="str">
            <v/>
          </cell>
          <cell r="CL71" t="str">
            <v>Skilled</v>
          </cell>
          <cell r="CM71" t="str">
            <v/>
          </cell>
          <cell r="CN71" t="str">
            <v>Labor</v>
          </cell>
          <cell r="CO71" t="str">
            <v/>
          </cell>
          <cell r="CP71" t="str">
            <v/>
          </cell>
          <cell r="CQ71" t="str">
            <v/>
          </cell>
          <cell r="CR71" t="str">
            <v/>
          </cell>
          <cell r="CS71" t="str">
            <v/>
          </cell>
          <cell r="CT71" t="str">
            <v/>
          </cell>
          <cell r="CU71" t="str">
            <v/>
          </cell>
          <cell r="CV71" t="str">
            <v>Municipal Office</v>
          </cell>
          <cell r="CW71" t="str">
            <v>Dhawa Lama</v>
          </cell>
          <cell r="CX71" t="str">
            <v xml:space="preserve">Chairman </v>
          </cell>
          <cell r="CY71">
            <v>9854040040</v>
          </cell>
          <cell r="CZ71" t="str">
            <v>Municipal Office</v>
          </cell>
          <cell r="DA71" t="str">
            <v>Gita Bista</v>
          </cell>
          <cell r="DB71" t="str">
            <v>Deputy Chairman</v>
          </cell>
          <cell r="DC71">
            <v>9849346863</v>
          </cell>
          <cell r="DD71" t="str">
            <v>Municipal Office</v>
          </cell>
          <cell r="DE71" t="str">
            <v/>
          </cell>
          <cell r="DF71" t="str">
            <v>Chief Adminstration Officer</v>
          </cell>
          <cell r="DG71" t="str">
            <v/>
          </cell>
          <cell r="DH71" t="str">
            <v>NRA/GMALI</v>
          </cell>
          <cell r="DI71" t="str">
            <v>Krishna Lal Piya</v>
          </cell>
          <cell r="DJ71" t="str">
            <v>NRA Chief-District</v>
          </cell>
          <cell r="DK71">
            <v>9854043491</v>
          </cell>
          <cell r="DL71" t="str">
            <v>DLPIU-Building</v>
          </cell>
          <cell r="DM71" t="str">
            <v>Prabhakar Lal Karna</v>
          </cell>
          <cell r="DN71" t="str">
            <v>DUDBC.DLPIU Chief</v>
          </cell>
          <cell r="DO71">
            <v>9854041543</v>
          </cell>
          <cell r="DP71" t="str">
            <v>Municipal Office</v>
          </cell>
          <cell r="DQ71" t="str">
            <v>Raj Kishor Jaiswal</v>
          </cell>
          <cell r="DR71" t="str">
            <v>Focal Person</v>
          </cell>
          <cell r="DS71">
            <v>9843905584</v>
          </cell>
          <cell r="DT71" t="str">
            <v/>
          </cell>
          <cell r="DU71" t="str">
            <v/>
          </cell>
          <cell r="DV71" t="str">
            <v/>
          </cell>
          <cell r="DW71" t="str">
            <v/>
          </cell>
          <cell r="DX71" t="str">
            <v/>
          </cell>
          <cell r="DY71" t="str">
            <v/>
          </cell>
          <cell r="DZ71" t="str">
            <v/>
          </cell>
          <cell r="EA71" t="str">
            <v/>
          </cell>
          <cell r="EB71" t="str">
            <v/>
          </cell>
          <cell r="EC71" t="str">
            <v/>
          </cell>
          <cell r="ED71" t="str">
            <v/>
          </cell>
          <cell r="EE71" t="str">
            <v/>
          </cell>
          <cell r="EF71" t="str">
            <v/>
          </cell>
          <cell r="EG71" t="str">
            <v/>
          </cell>
          <cell r="EH71" t="str">
            <v/>
          </cell>
          <cell r="EI71" t="str">
            <v/>
          </cell>
          <cell r="EJ71">
            <v>308</v>
          </cell>
          <cell r="EK71">
            <v>80</v>
          </cell>
          <cell r="EL71">
            <v>203</v>
          </cell>
          <cell r="EM71">
            <v>453</v>
          </cell>
          <cell r="EN71">
            <v>74</v>
          </cell>
          <cell r="EO71">
            <v>379</v>
          </cell>
          <cell r="EP71" t="str">
            <v/>
          </cell>
          <cell r="EQ71" t="str">
            <v>Housing Recovery and Reconstruction Platform</v>
          </cell>
          <cell r="ER71" t="str">
            <v>Prakash Bishwakarma</v>
          </cell>
          <cell r="ES71" t="str">
            <v>District Coordinator</v>
          </cell>
          <cell r="ET71">
            <v>9841720436</v>
          </cell>
          <cell r="EU71" t="str">
            <v>Housing Recovery and Reconstruction Platform</v>
          </cell>
          <cell r="EV71" t="str">
            <v>Jawed Mohammad</v>
          </cell>
          <cell r="EW71" t="str">
            <v>DIstrict Information Management Officer</v>
          </cell>
          <cell r="EX71" t="str">
            <v/>
          </cell>
          <cell r="EY71" t="str">
            <v>Housing Recovery and Reconstruction Platform</v>
          </cell>
          <cell r="EZ71" t="str">
            <v>Tulasi Ram Lamichhane</v>
          </cell>
          <cell r="FA71" t="str">
            <v>District Technical Officer</v>
          </cell>
          <cell r="FB71">
            <v>9851213610</v>
          </cell>
        </row>
        <row r="72">
          <cell r="A72">
            <v>21008</v>
          </cell>
          <cell r="B72" t="str">
            <v>Ramechhap</v>
          </cell>
          <cell r="C72" t="str">
            <v>Umakunda Gaunpalika</v>
          </cell>
          <cell r="D72">
            <v>509</v>
          </cell>
          <cell r="E72">
            <v>5928</v>
          </cell>
          <cell r="F72">
            <v>6437</v>
          </cell>
          <cell r="G72" t="str">
            <v>Stone and cement mortar masonry</v>
          </cell>
          <cell r="H72">
            <v>0.25</v>
          </cell>
          <cell r="I72">
            <v>0.46</v>
          </cell>
          <cell r="J72" t="str">
            <v>Stone and Mud Mortar Masonary</v>
          </cell>
          <cell r="K72">
            <v>98.01</v>
          </cell>
          <cell r="L72">
            <v>97.73</v>
          </cell>
          <cell r="M72" t="str">
            <v>Brick and Cement Mortar Masonary</v>
          </cell>
          <cell r="N72">
            <v>0.03</v>
          </cell>
          <cell r="O72">
            <v>0.17</v>
          </cell>
          <cell r="P72" t="str">
            <v>Brick and mud mortar Masonry</v>
          </cell>
          <cell r="Q72">
            <v>0</v>
          </cell>
          <cell r="R72">
            <v>0.02</v>
          </cell>
          <cell r="S72" t="str">
            <v>Reinforced cement concrete (RCC) frame</v>
          </cell>
          <cell r="T72">
            <v>0.02</v>
          </cell>
          <cell r="U72">
            <v>0.55000000000000004</v>
          </cell>
          <cell r="V72" t="str">
            <v>Hybrid structure</v>
          </cell>
          <cell r="W72">
            <v>0</v>
          </cell>
          <cell r="X72">
            <v>0</v>
          </cell>
          <cell r="Y72" t="str">
            <v>Timber frame structure</v>
          </cell>
          <cell r="Z72">
            <v>1.01</v>
          </cell>
          <cell r="AA72">
            <v>0.37</v>
          </cell>
          <cell r="AB72" t="str">
            <v>Hollow concrete block Masonry</v>
          </cell>
          <cell r="AC72">
            <v>0</v>
          </cell>
          <cell r="AD72">
            <v>0</v>
          </cell>
          <cell r="AE72" t="str">
            <v>Dry stone Masonry</v>
          </cell>
          <cell r="AF72">
            <v>0.06</v>
          </cell>
          <cell r="AG72">
            <v>0.11</v>
          </cell>
          <cell r="AH72" t="str">
            <v>Adobe structures</v>
          </cell>
          <cell r="AI72">
            <v>0.45</v>
          </cell>
          <cell r="AJ72">
            <v>0.44</v>
          </cell>
          <cell r="AK72" t="str">
            <v>Bamboo</v>
          </cell>
          <cell r="AL72">
            <v>0.17</v>
          </cell>
          <cell r="AM72">
            <v>0.16</v>
          </cell>
          <cell r="AN72" t="str">
            <v>Compressed stabilized earth block (SCEB) Masonry</v>
          </cell>
          <cell r="AO72">
            <v>0</v>
          </cell>
          <cell r="AP72">
            <v>0</v>
          </cell>
          <cell r="AQ72" t="str">
            <v>Light steel frame structures</v>
          </cell>
          <cell r="AR72">
            <v>0</v>
          </cell>
          <cell r="AS72">
            <v>0</v>
          </cell>
          <cell r="AT72">
            <v>4984</v>
          </cell>
          <cell r="AU72">
            <v>4561</v>
          </cell>
          <cell r="AV72">
            <v>4560</v>
          </cell>
          <cell r="AW72">
            <v>4008</v>
          </cell>
          <cell r="AX72">
            <v>2510</v>
          </cell>
          <cell r="AY72">
            <v>2087</v>
          </cell>
          <cell r="AZ72">
            <v>2190</v>
          </cell>
          <cell r="BA72">
            <v>343</v>
          </cell>
          <cell r="BB72">
            <v>5</v>
          </cell>
          <cell r="BC72">
            <v>5</v>
          </cell>
          <cell r="BD72">
            <v>0</v>
          </cell>
          <cell r="BE72">
            <v>843</v>
          </cell>
          <cell r="BF72">
            <v>843</v>
          </cell>
          <cell r="BG72" t="str">
            <v/>
          </cell>
          <cell r="BH72" t="str">
            <v/>
          </cell>
          <cell r="BI72" t="str">
            <v/>
          </cell>
          <cell r="BJ72" t="str">
            <v>ACTED(Rural Housing and Community Infrastructure),CSIDB(Rural Housing and Community Infrastructure),FRADS-N(Education),GOAL(NA-Others-Others-(Please specify in Activity Detail),Rural Housing and Community Infrastructure),GON-PAF(Rural Housing and Community Infrastructure),HELVETAS(Rural Housing and Community Infrastructure),NRA(Rural Housing and Community Infrastructure),SABAL(Rural Housing and Community Infrastructure)</v>
          </cell>
          <cell r="BK72">
            <v>91395</v>
          </cell>
          <cell r="BL72" t="str">
            <v>Y</v>
          </cell>
          <cell r="BM72" t="str">
            <v/>
          </cell>
          <cell r="BN72">
            <v>95739</v>
          </cell>
          <cell r="BO72" t="str">
            <v>Y</v>
          </cell>
          <cell r="BP72" t="str">
            <v/>
          </cell>
          <cell r="BQ72">
            <v>9775</v>
          </cell>
          <cell r="BR72" t="str">
            <v>Y</v>
          </cell>
          <cell r="BS72" t="str">
            <v/>
          </cell>
          <cell r="BT72">
            <v>11341</v>
          </cell>
          <cell r="BU72" t="str">
            <v>Y</v>
          </cell>
          <cell r="BV72" t="str">
            <v/>
          </cell>
          <cell r="BW72" t="str">
            <v/>
          </cell>
          <cell r="BX72" t="str">
            <v/>
          </cell>
          <cell r="BY72" t="str">
            <v/>
          </cell>
          <cell r="BZ72">
            <v>315288</v>
          </cell>
          <cell r="CA72" t="str">
            <v>Y</v>
          </cell>
          <cell r="CB72" t="str">
            <v/>
          </cell>
          <cell r="CC72">
            <v>985586</v>
          </cell>
          <cell r="CD72" t="str">
            <v/>
          </cell>
          <cell r="CE72" t="str">
            <v/>
          </cell>
          <cell r="CF72">
            <v>12879</v>
          </cell>
          <cell r="CG72" t="str">
            <v/>
          </cell>
          <cell r="CH72" t="str">
            <v/>
          </cell>
          <cell r="CI72">
            <v>510318</v>
          </cell>
          <cell r="CJ72" t="str">
            <v>Y</v>
          </cell>
          <cell r="CK72" t="str">
            <v/>
          </cell>
          <cell r="CL72" t="str">
            <v>Skilled</v>
          </cell>
          <cell r="CM72" t="str">
            <v/>
          </cell>
          <cell r="CN72" t="str">
            <v>Labor</v>
          </cell>
          <cell r="CO72" t="str">
            <v/>
          </cell>
          <cell r="CP72" t="str">
            <v/>
          </cell>
          <cell r="CQ72" t="str">
            <v/>
          </cell>
          <cell r="CR72" t="str">
            <v/>
          </cell>
          <cell r="CS72" t="str">
            <v/>
          </cell>
          <cell r="CT72" t="str">
            <v/>
          </cell>
          <cell r="CU72" t="str">
            <v/>
          </cell>
          <cell r="CV72" t="str">
            <v>Municipal Office</v>
          </cell>
          <cell r="CW72" t="str">
            <v>Sher bahadur Sunuwar</v>
          </cell>
          <cell r="CX72" t="str">
            <v xml:space="preserve">Chairman </v>
          </cell>
          <cell r="CY72">
            <v>9843081851</v>
          </cell>
          <cell r="CZ72" t="str">
            <v>Municipal Office</v>
          </cell>
          <cell r="DA72" t="str">
            <v>Urmila Karki</v>
          </cell>
          <cell r="DB72" t="str">
            <v>Deputy Chairman</v>
          </cell>
          <cell r="DC72">
            <v>9841363663</v>
          </cell>
          <cell r="DD72" t="str">
            <v>Municipal Office</v>
          </cell>
          <cell r="DE72" t="str">
            <v/>
          </cell>
          <cell r="DF72" t="str">
            <v>Chief Adminstration Officer</v>
          </cell>
          <cell r="DG72" t="str">
            <v/>
          </cell>
          <cell r="DH72" t="str">
            <v>NRA/GMALI</v>
          </cell>
          <cell r="DI72" t="str">
            <v>Krishna Lal Piya</v>
          </cell>
          <cell r="DJ72" t="str">
            <v>NRA Chief-District</v>
          </cell>
          <cell r="DK72">
            <v>9854043491</v>
          </cell>
          <cell r="DL72" t="str">
            <v>DLPIU-Building</v>
          </cell>
          <cell r="DM72" t="str">
            <v>Prabhakar Lal Karna</v>
          </cell>
          <cell r="DN72" t="str">
            <v>DUDBC.DLPIU Chief</v>
          </cell>
          <cell r="DO72">
            <v>9854041543</v>
          </cell>
          <cell r="DP72" t="str">
            <v>Municipal Office</v>
          </cell>
          <cell r="DQ72" t="str">
            <v>Anil Thapa Magar</v>
          </cell>
          <cell r="DR72" t="str">
            <v>Focal Person</v>
          </cell>
          <cell r="DS72">
            <v>9861082182</v>
          </cell>
          <cell r="DT72" t="str">
            <v/>
          </cell>
          <cell r="DU72" t="str">
            <v/>
          </cell>
          <cell r="DV72" t="str">
            <v/>
          </cell>
          <cell r="DW72" t="str">
            <v/>
          </cell>
          <cell r="DX72" t="str">
            <v/>
          </cell>
          <cell r="DY72" t="str">
            <v/>
          </cell>
          <cell r="DZ72" t="str">
            <v/>
          </cell>
          <cell r="EA72" t="str">
            <v/>
          </cell>
          <cell r="EB72" t="str">
            <v/>
          </cell>
          <cell r="EC72" t="str">
            <v/>
          </cell>
          <cell r="ED72" t="str">
            <v/>
          </cell>
          <cell r="EE72" t="str">
            <v/>
          </cell>
          <cell r="EF72" t="str">
            <v/>
          </cell>
          <cell r="EG72" t="str">
            <v/>
          </cell>
          <cell r="EH72" t="str">
            <v/>
          </cell>
          <cell r="EI72" t="str">
            <v/>
          </cell>
          <cell r="EJ72">
            <v>333</v>
          </cell>
          <cell r="EK72">
            <v>160</v>
          </cell>
          <cell r="EL72">
            <v>148</v>
          </cell>
          <cell r="EM72">
            <v>504</v>
          </cell>
          <cell r="EN72">
            <v>358</v>
          </cell>
          <cell r="EO72">
            <v>146</v>
          </cell>
          <cell r="EP72" t="str">
            <v/>
          </cell>
          <cell r="EQ72" t="str">
            <v>Housing Recovery and Reconstruction Platform</v>
          </cell>
          <cell r="ER72" t="str">
            <v>Prakash Bishwakarma</v>
          </cell>
          <cell r="ES72" t="str">
            <v>District Coordinator</v>
          </cell>
          <cell r="ET72">
            <v>9841720436</v>
          </cell>
          <cell r="EU72" t="str">
            <v>Housing Recovery and Reconstruction Platform</v>
          </cell>
          <cell r="EV72" t="str">
            <v>Jawed Mohammad</v>
          </cell>
          <cell r="EW72" t="str">
            <v>DIstrict Information Management Officer</v>
          </cell>
          <cell r="EX72" t="str">
            <v/>
          </cell>
          <cell r="EY72" t="str">
            <v>Housing Recovery and Reconstruction Platform</v>
          </cell>
          <cell r="EZ72" t="str">
            <v>Tulasi Ram Lamichhane</v>
          </cell>
          <cell r="FA72" t="str">
            <v>District Technical Officer</v>
          </cell>
          <cell r="FB72">
            <v>9851213610</v>
          </cell>
        </row>
        <row r="73">
          <cell r="A73">
            <v>22001</v>
          </cell>
          <cell r="B73" t="str">
            <v>Dolakha</v>
          </cell>
          <cell r="C73" t="str">
            <v>Baiteshwor Gaunpalika</v>
          </cell>
          <cell r="D73">
            <v>467</v>
          </cell>
          <cell r="E73">
            <v>5925</v>
          </cell>
          <cell r="F73">
            <v>6392</v>
          </cell>
          <cell r="G73" t="str">
            <v>Stone and cement mortar masonry</v>
          </cell>
          <cell r="H73">
            <v>0.22</v>
          </cell>
          <cell r="I73">
            <v>0.54</v>
          </cell>
          <cell r="J73" t="str">
            <v>Stone and Mud Mortar Masonary</v>
          </cell>
          <cell r="K73">
            <v>89.43</v>
          </cell>
          <cell r="L73">
            <v>94.39</v>
          </cell>
          <cell r="M73" t="str">
            <v>Brick and Cement Mortar Masonary</v>
          </cell>
          <cell r="N73">
            <v>0.34</v>
          </cell>
          <cell r="O73">
            <v>1.54</v>
          </cell>
          <cell r="P73" t="str">
            <v>Brick and mud mortar Masonry</v>
          </cell>
          <cell r="Q73">
            <v>0.02</v>
          </cell>
          <cell r="R73">
            <v>0.04</v>
          </cell>
          <cell r="S73" t="str">
            <v>Reinforced cement concrete (RCC) frame</v>
          </cell>
          <cell r="T73">
            <v>1.68</v>
          </cell>
          <cell r="U73">
            <v>0.67</v>
          </cell>
          <cell r="V73" t="str">
            <v>Hybrid structure</v>
          </cell>
          <cell r="W73">
            <v>0</v>
          </cell>
          <cell r="X73">
            <v>0</v>
          </cell>
          <cell r="Y73" t="str">
            <v>Timber frame structure</v>
          </cell>
          <cell r="Z73">
            <v>0.39</v>
          </cell>
          <cell r="AA73">
            <v>0.64</v>
          </cell>
          <cell r="AB73" t="str">
            <v>Hollow concrete block Masonry</v>
          </cell>
          <cell r="AC73">
            <v>0</v>
          </cell>
          <cell r="AD73">
            <v>0</v>
          </cell>
          <cell r="AE73" t="str">
            <v>Dry stone Masonry</v>
          </cell>
          <cell r="AF73">
            <v>0.11</v>
          </cell>
          <cell r="AG73">
            <v>0.35</v>
          </cell>
          <cell r="AH73" t="str">
            <v>Adobe structures</v>
          </cell>
          <cell r="AI73">
            <v>7.61</v>
          </cell>
          <cell r="AJ73">
            <v>1.71</v>
          </cell>
          <cell r="AK73" t="str">
            <v>Bamboo</v>
          </cell>
          <cell r="AL73">
            <v>0.2</v>
          </cell>
          <cell r="AM73">
            <v>0.13</v>
          </cell>
          <cell r="AN73" t="str">
            <v>Compressed stabilized earth block (SCEB) Masonry</v>
          </cell>
          <cell r="AO73">
            <v>0</v>
          </cell>
          <cell r="AP73">
            <v>0</v>
          </cell>
          <cell r="AQ73" t="str">
            <v>Light steel frame structures</v>
          </cell>
          <cell r="AR73">
            <v>0</v>
          </cell>
          <cell r="AS73">
            <v>0</v>
          </cell>
          <cell r="AT73">
            <v>8339</v>
          </cell>
          <cell r="AU73">
            <v>8204</v>
          </cell>
          <cell r="AV73">
            <v>7703</v>
          </cell>
          <cell r="AW73">
            <v>6713</v>
          </cell>
          <cell r="AX73">
            <v>6064</v>
          </cell>
          <cell r="AY73">
            <v>5701</v>
          </cell>
          <cell r="AZ73">
            <v>5763</v>
          </cell>
          <cell r="BA73">
            <v>342</v>
          </cell>
          <cell r="BB73">
            <v>342</v>
          </cell>
          <cell r="BC73">
            <v>4</v>
          </cell>
          <cell r="BD73" t="str">
            <v/>
          </cell>
          <cell r="BE73">
            <v>0</v>
          </cell>
          <cell r="BF73">
            <v>1795</v>
          </cell>
          <cell r="BG73" t="str">
            <v/>
          </cell>
          <cell r="BH73" t="str">
            <v/>
          </cell>
          <cell r="BI73" t="str">
            <v>NSET(Rural Housing and Community Infrastructure)</v>
          </cell>
          <cell r="BJ73" t="str">
            <v>AA(Disaster Risk Management,Education,Employment and Livelihood,Gender Equality and Social Inclusion,Rural Housing and Community Infrastructure),CA(Rural Housing and Community Infrastructure),CW(Education),GON-PAF(Rural Housing and Community Infrastructure),LIONS(Education),NDBS(Education),SCI(Disaster Risk Management,Education,Employment and Livelihood,Rural Housing and Community Infrastructure,Social Protection,Water, Sanitation and Hygiene)</v>
          </cell>
          <cell r="BK73">
            <v>175691</v>
          </cell>
          <cell r="BL73" t="str">
            <v>Y</v>
          </cell>
          <cell r="BM73">
            <v>4500</v>
          </cell>
          <cell r="BN73">
            <v>178323</v>
          </cell>
          <cell r="BO73" t="str">
            <v>Y</v>
          </cell>
          <cell r="BP73">
            <v>5500</v>
          </cell>
          <cell r="BQ73">
            <v>18741</v>
          </cell>
          <cell r="BR73" t="str">
            <v>Y</v>
          </cell>
          <cell r="BS73">
            <v>5000</v>
          </cell>
          <cell r="BT73">
            <v>21558</v>
          </cell>
          <cell r="BU73" t="str">
            <v>Y</v>
          </cell>
          <cell r="BV73" t="str">
            <v>450</v>
          </cell>
          <cell r="BW73" t="str">
            <v/>
          </cell>
          <cell r="BX73" t="str">
            <v>Y</v>
          </cell>
          <cell r="BY73">
            <v>900</v>
          </cell>
          <cell r="BZ73">
            <v>590315</v>
          </cell>
          <cell r="CA73" t="str">
            <v/>
          </cell>
          <cell r="CB73">
            <v>1100</v>
          </cell>
          <cell r="CC73">
            <v>1906235</v>
          </cell>
          <cell r="CD73" t="str">
            <v>Y</v>
          </cell>
          <cell r="CE73">
            <v>96</v>
          </cell>
          <cell r="CF73">
            <v>24118</v>
          </cell>
          <cell r="CG73" t="str">
            <v>Y</v>
          </cell>
          <cell r="CH73" t="str">
            <v/>
          </cell>
          <cell r="CI73">
            <v>1744358</v>
          </cell>
          <cell r="CJ73" t="str">
            <v/>
          </cell>
          <cell r="CK73">
            <v>26</v>
          </cell>
          <cell r="CL73" t="str">
            <v>Skilled</v>
          </cell>
          <cell r="CM73">
            <v>1200</v>
          </cell>
          <cell r="CN73" t="str">
            <v>Labor</v>
          </cell>
          <cell r="CO73">
            <v>800</v>
          </cell>
          <cell r="CP73" t="str">
            <v/>
          </cell>
          <cell r="CQ73" t="str">
            <v/>
          </cell>
          <cell r="CR73" t="str">
            <v/>
          </cell>
          <cell r="CS73" t="str">
            <v/>
          </cell>
          <cell r="CT73" t="str">
            <v/>
          </cell>
          <cell r="CU73" t="str">
            <v/>
          </cell>
          <cell r="CV73" t="str">
            <v>Municipal Office</v>
          </cell>
          <cell r="CW73" t="str">
            <v>Chhabi Lama</v>
          </cell>
          <cell r="CX73" t="str">
            <v>Chairman</v>
          </cell>
          <cell r="CY73">
            <v>9754201232</v>
          </cell>
          <cell r="CZ73" t="str">
            <v>Municipal Office</v>
          </cell>
          <cell r="DA73" t="str">
            <v>Rabi Chandra Acharya</v>
          </cell>
          <cell r="DB73" t="str">
            <v>Deputy Chairman</v>
          </cell>
          <cell r="DC73">
            <v>9861221412</v>
          </cell>
          <cell r="DD73" t="str">
            <v>Municipal Office</v>
          </cell>
          <cell r="DE73" t="str">
            <v>Nawaraj Parajuli</v>
          </cell>
          <cell r="DF73" t="str">
            <v>Chief Adminstration Officer</v>
          </cell>
          <cell r="DG73">
            <v>9851249203</v>
          </cell>
          <cell r="DH73" t="str">
            <v>NRA/GMALI</v>
          </cell>
          <cell r="DI73" t="str">
            <v>Nirmal Darshan Acharya</v>
          </cell>
          <cell r="DJ73" t="str">
            <v>NRA Chief-District</v>
          </cell>
          <cell r="DK73">
            <v>9854045832</v>
          </cell>
          <cell r="DL73" t="str">
            <v>DLPIU-Building</v>
          </cell>
          <cell r="DM73" t="str">
            <v>Arjun Tamang</v>
          </cell>
          <cell r="DN73" t="str">
            <v>DUDBC.DLPIU Chief</v>
          </cell>
          <cell r="DO73">
            <v>9849246296</v>
          </cell>
          <cell r="DP73" t="str">
            <v>Municipal Office</v>
          </cell>
          <cell r="DQ73" t="str">
            <v>Ganesh Chaulagain</v>
          </cell>
          <cell r="DR73" t="str">
            <v>Focal Person</v>
          </cell>
          <cell r="DS73">
            <v>9849145438</v>
          </cell>
          <cell r="DT73" t="str">
            <v/>
          </cell>
          <cell r="DU73" t="str">
            <v/>
          </cell>
          <cell r="DV73" t="str">
            <v/>
          </cell>
          <cell r="DW73" t="str">
            <v/>
          </cell>
          <cell r="DX73" t="str">
            <v/>
          </cell>
          <cell r="DY73" t="str">
            <v/>
          </cell>
          <cell r="DZ73" t="str">
            <v/>
          </cell>
          <cell r="EA73" t="str">
            <v/>
          </cell>
          <cell r="EB73" t="str">
            <v/>
          </cell>
          <cell r="EC73" t="str">
            <v/>
          </cell>
          <cell r="ED73" t="str">
            <v/>
          </cell>
          <cell r="EE73" t="str">
            <v/>
          </cell>
          <cell r="EF73" t="str">
            <v/>
          </cell>
          <cell r="EG73" t="str">
            <v/>
          </cell>
          <cell r="EH73" t="str">
            <v/>
          </cell>
          <cell r="EI73" t="str">
            <v/>
          </cell>
          <cell r="EJ73">
            <v>423</v>
          </cell>
          <cell r="EK73">
            <v>396</v>
          </cell>
          <cell r="EL73">
            <v>27</v>
          </cell>
          <cell r="EM73">
            <v>639</v>
          </cell>
          <cell r="EN73">
            <v>77</v>
          </cell>
          <cell r="EO73">
            <v>562</v>
          </cell>
          <cell r="EP73" t="str">
            <v/>
          </cell>
          <cell r="EQ73" t="str">
            <v>Housing Recovery and Reconstruction Platform</v>
          </cell>
          <cell r="ER73" t="str">
            <v>Kamal Bahadur Mahat</v>
          </cell>
          <cell r="ES73" t="str">
            <v>District Coordinator</v>
          </cell>
          <cell r="ET73">
            <v>9841712677</v>
          </cell>
          <cell r="EU73" t="str">
            <v>Housing Recovery and Reconstruction Platform</v>
          </cell>
          <cell r="EV73" t="str">
            <v>Ravi Pajiyar</v>
          </cell>
          <cell r="EW73" t="str">
            <v>DIstrict Information Management Officer</v>
          </cell>
          <cell r="EX73">
            <v>9849829112</v>
          </cell>
          <cell r="EY73" t="str">
            <v>Housing Recovery and Reconstruction Platform</v>
          </cell>
          <cell r="EZ73" t="str">
            <v>Binod Kumar Kalauni</v>
          </cell>
          <cell r="FA73" t="str">
            <v>District Technical Officer</v>
          </cell>
          <cell r="FB73">
            <v>9864291323</v>
          </cell>
        </row>
        <row r="74">
          <cell r="A74">
            <v>22002</v>
          </cell>
          <cell r="B74" t="str">
            <v>Dolakha</v>
          </cell>
          <cell r="C74" t="str">
            <v>Bhimeshwor Nagarpalika</v>
          </cell>
          <cell r="D74">
            <v>1316</v>
          </cell>
          <cell r="E74">
            <v>9480</v>
          </cell>
          <cell r="F74">
            <v>10796</v>
          </cell>
          <cell r="G74" t="str">
            <v>Stone and cement mortar masonry</v>
          </cell>
          <cell r="H74">
            <v>1.01</v>
          </cell>
          <cell r="I74">
            <v>0.54</v>
          </cell>
          <cell r="J74" t="str">
            <v>Stone and Mud Mortar Masonary</v>
          </cell>
          <cell r="K74">
            <v>88.14</v>
          </cell>
          <cell r="L74">
            <v>94.39</v>
          </cell>
          <cell r="M74" t="str">
            <v>Brick and Cement Mortar Masonary</v>
          </cell>
          <cell r="N74">
            <v>7.55</v>
          </cell>
          <cell r="O74">
            <v>1.54</v>
          </cell>
          <cell r="P74" t="str">
            <v>Brick and mud mortar Masonry</v>
          </cell>
          <cell r="Q74">
            <v>0.13</v>
          </cell>
          <cell r="R74">
            <v>0.04</v>
          </cell>
          <cell r="S74" t="str">
            <v>Reinforced cement concrete (RCC) frame</v>
          </cell>
          <cell r="T74">
            <v>1.91</v>
          </cell>
          <cell r="U74">
            <v>0.67</v>
          </cell>
          <cell r="V74" t="str">
            <v>Hybrid structure</v>
          </cell>
          <cell r="W74">
            <v>0</v>
          </cell>
          <cell r="X74">
            <v>0</v>
          </cell>
          <cell r="Y74" t="str">
            <v>Timber frame structure</v>
          </cell>
          <cell r="Z74">
            <v>0.81</v>
          </cell>
          <cell r="AA74">
            <v>0.64</v>
          </cell>
          <cell r="AB74" t="str">
            <v>Hollow concrete block Masonry</v>
          </cell>
          <cell r="AC74">
            <v>0</v>
          </cell>
          <cell r="AD74">
            <v>0</v>
          </cell>
          <cell r="AE74" t="str">
            <v>Dry stone Masonry</v>
          </cell>
          <cell r="AF74">
            <v>0.17</v>
          </cell>
          <cell r="AG74">
            <v>0.35</v>
          </cell>
          <cell r="AH74" t="str">
            <v>Adobe structures</v>
          </cell>
          <cell r="AI74">
            <v>0.2</v>
          </cell>
          <cell r="AJ74">
            <v>1.71</v>
          </cell>
          <cell r="AK74" t="str">
            <v>Bamboo</v>
          </cell>
          <cell r="AL74">
            <v>7.0000000000000007E-2</v>
          </cell>
          <cell r="AM74">
            <v>0.13</v>
          </cell>
          <cell r="AN74" t="str">
            <v>Compressed stabilized earth block (SCEB) Masonry</v>
          </cell>
          <cell r="AO74">
            <v>0</v>
          </cell>
          <cell r="AP74">
            <v>0</v>
          </cell>
          <cell r="AQ74" t="str">
            <v>Light steel frame structures</v>
          </cell>
          <cell r="AR74">
            <v>0</v>
          </cell>
          <cell r="AS74">
            <v>0</v>
          </cell>
          <cell r="AT74">
            <v>12503</v>
          </cell>
          <cell r="AU74">
            <v>11147</v>
          </cell>
          <cell r="AV74">
            <v>10900</v>
          </cell>
          <cell r="AW74">
            <v>7856</v>
          </cell>
          <cell r="AX74">
            <v>6138</v>
          </cell>
          <cell r="AY74">
            <v>5326</v>
          </cell>
          <cell r="AZ74">
            <v>5329</v>
          </cell>
          <cell r="BA74">
            <v>348</v>
          </cell>
          <cell r="BB74">
            <v>349</v>
          </cell>
          <cell r="BC74">
            <v>101</v>
          </cell>
          <cell r="BD74">
            <v>0</v>
          </cell>
          <cell r="BE74">
            <v>0</v>
          </cell>
          <cell r="BF74">
            <v>3610</v>
          </cell>
          <cell r="BG74" t="str">
            <v/>
          </cell>
          <cell r="BH74" t="str">
            <v/>
          </cell>
          <cell r="BI74" t="str">
            <v>BC(Rural Housing and Community Infrastructure),NRCS(Education,Employment and Livelihood,Health,Rural Housing and Community Infrastructure,Water, Sanitation and Hygiene),NSET(Rural Housing and Community Infrastructure)</v>
          </cell>
          <cell r="BJ74" t="str">
            <v>AATWIN(Social Protection),BFW(Rural Housing and Community Infrastructure),CARITAS-N(Rural Housing and Community Infrastructure),CCFRY(Disaster Risk Management,Education),GAN(Rural Housing and Community Infrastructure),IOM(Rural Housing and Community Infrastructure),LIONS(Education),NDBS(Education),PLAN(Education,Gender Equality and Social Inclusion,Rural Housing and Community Infrastructure,Water, Sanitation and Hygiene),Samagra(Education),SOS(Rural Housing and Community Infrastructure)</v>
          </cell>
          <cell r="BK74">
            <v>243223</v>
          </cell>
          <cell r="BL74" t="str">
            <v>Y</v>
          </cell>
          <cell r="BM74">
            <v>5000</v>
          </cell>
          <cell r="BN74">
            <v>219988</v>
          </cell>
          <cell r="BO74" t="str">
            <v>Y</v>
          </cell>
          <cell r="BP74">
            <v>5000</v>
          </cell>
          <cell r="BQ74">
            <v>25697</v>
          </cell>
          <cell r="BR74" t="str">
            <v>Y</v>
          </cell>
          <cell r="BS74">
            <v>5000</v>
          </cell>
          <cell r="BT74">
            <v>28651</v>
          </cell>
          <cell r="BU74" t="str">
            <v>Y</v>
          </cell>
          <cell r="BV74" t="str">
            <v>500</v>
          </cell>
          <cell r="BW74" t="str">
            <v/>
          </cell>
          <cell r="BX74" t="str">
            <v>Y</v>
          </cell>
          <cell r="BY74">
            <v>920</v>
          </cell>
          <cell r="BZ74">
            <v>735026</v>
          </cell>
          <cell r="CA74" t="str">
            <v/>
          </cell>
          <cell r="CB74">
            <v>1100</v>
          </cell>
          <cell r="CC74">
            <v>2682730</v>
          </cell>
          <cell r="CD74" t="str">
            <v>Y</v>
          </cell>
          <cell r="CE74">
            <v>89</v>
          </cell>
          <cell r="CF74">
            <v>30003</v>
          </cell>
          <cell r="CG74" t="str">
            <v>Y</v>
          </cell>
          <cell r="CH74" t="str">
            <v/>
          </cell>
          <cell r="CI74">
            <v>4767560</v>
          </cell>
          <cell r="CJ74" t="str">
            <v/>
          </cell>
          <cell r="CK74">
            <v>25</v>
          </cell>
          <cell r="CL74" t="str">
            <v>Skilled</v>
          </cell>
          <cell r="CM74">
            <v>1200</v>
          </cell>
          <cell r="CN74" t="str">
            <v>Labor</v>
          </cell>
          <cell r="CO74">
            <v>800</v>
          </cell>
          <cell r="CP74" t="str">
            <v/>
          </cell>
          <cell r="CQ74" t="str">
            <v/>
          </cell>
          <cell r="CR74" t="str">
            <v/>
          </cell>
          <cell r="CS74" t="str">
            <v/>
          </cell>
          <cell r="CT74" t="str">
            <v/>
          </cell>
          <cell r="CU74" t="str">
            <v/>
          </cell>
          <cell r="CV74" t="str">
            <v>Municipal Office</v>
          </cell>
          <cell r="CW74" t="str">
            <v>Bharat Bahadur KC</v>
          </cell>
          <cell r="CX74" t="str">
            <v>Mayor</v>
          </cell>
          <cell r="CY74">
            <v>9851143779</v>
          </cell>
          <cell r="CZ74" t="str">
            <v>Municipal Office</v>
          </cell>
          <cell r="DA74" t="str">
            <v>Kamala Basnet</v>
          </cell>
          <cell r="DB74" t="str">
            <v>Deputy Mayor</v>
          </cell>
          <cell r="DC74">
            <v>9844060271</v>
          </cell>
          <cell r="DD74" t="str">
            <v>Municipal Office</v>
          </cell>
          <cell r="DE74" t="str">
            <v>Ram Krishna Upreti</v>
          </cell>
          <cell r="DF74" t="str">
            <v>Chief Adminstration Officer</v>
          </cell>
          <cell r="DG74">
            <v>9854046111</v>
          </cell>
          <cell r="DH74" t="str">
            <v>NRA/GMALI</v>
          </cell>
          <cell r="DI74" t="str">
            <v>Nirmal Darshan Acharya</v>
          </cell>
          <cell r="DJ74" t="str">
            <v>NRA Chief-District</v>
          </cell>
          <cell r="DK74">
            <v>9854045832</v>
          </cell>
          <cell r="DL74" t="str">
            <v>DLPIU-Building</v>
          </cell>
          <cell r="DM74" t="str">
            <v>Arjun Tamang</v>
          </cell>
          <cell r="DN74" t="str">
            <v>DUDBC.DLPIU Chief</v>
          </cell>
          <cell r="DO74">
            <v>9849246296</v>
          </cell>
          <cell r="DP74" t="str">
            <v>Municipal Office</v>
          </cell>
          <cell r="DQ74" t="str">
            <v>Nirajan Dahal</v>
          </cell>
          <cell r="DR74" t="str">
            <v>Focal Person</v>
          </cell>
          <cell r="DS74">
            <v>9841036406</v>
          </cell>
          <cell r="DT74" t="str">
            <v/>
          </cell>
          <cell r="DU74" t="str">
            <v/>
          </cell>
          <cell r="DV74" t="str">
            <v/>
          </cell>
          <cell r="DW74" t="str">
            <v/>
          </cell>
          <cell r="DX74" t="str">
            <v/>
          </cell>
          <cell r="DY74" t="str">
            <v/>
          </cell>
          <cell r="DZ74" t="str">
            <v/>
          </cell>
          <cell r="EA74" t="str">
            <v/>
          </cell>
          <cell r="EB74" t="str">
            <v/>
          </cell>
          <cell r="EC74" t="str">
            <v/>
          </cell>
          <cell r="ED74" t="str">
            <v/>
          </cell>
          <cell r="EE74" t="str">
            <v/>
          </cell>
          <cell r="EF74" t="str">
            <v/>
          </cell>
          <cell r="EG74" t="str">
            <v/>
          </cell>
          <cell r="EH74" t="str">
            <v/>
          </cell>
          <cell r="EI74" t="str">
            <v/>
          </cell>
          <cell r="EJ74">
            <v>711</v>
          </cell>
          <cell r="EK74">
            <v>620</v>
          </cell>
          <cell r="EL74">
            <v>91</v>
          </cell>
          <cell r="EM74">
            <v>1077</v>
          </cell>
          <cell r="EN74">
            <v>20</v>
          </cell>
          <cell r="EO74">
            <v>1057</v>
          </cell>
          <cell r="EP74" t="str">
            <v/>
          </cell>
          <cell r="EQ74" t="str">
            <v>Housing Recovery and Reconstruction Platform</v>
          </cell>
          <cell r="ER74" t="str">
            <v>Kamal Bahadur Mahat</v>
          </cell>
          <cell r="ES74" t="str">
            <v>District Coordinator</v>
          </cell>
          <cell r="ET74">
            <v>9841712677</v>
          </cell>
          <cell r="EU74" t="str">
            <v>Housing Recovery and Reconstruction Platform</v>
          </cell>
          <cell r="EV74" t="str">
            <v>Ravi Pajiyar</v>
          </cell>
          <cell r="EW74" t="str">
            <v>DIstrict Information Management Officer</v>
          </cell>
          <cell r="EX74">
            <v>9849829112</v>
          </cell>
          <cell r="EY74" t="str">
            <v>Housing Recovery and Reconstruction Platform</v>
          </cell>
          <cell r="EZ74" t="str">
            <v>Binod Kumar Kalauni</v>
          </cell>
          <cell r="FA74" t="str">
            <v>District Technical Officer</v>
          </cell>
          <cell r="FB74">
            <v>9864291323</v>
          </cell>
        </row>
        <row r="75">
          <cell r="A75">
            <v>22003</v>
          </cell>
          <cell r="B75" t="str">
            <v>Dolakha</v>
          </cell>
          <cell r="C75" t="str">
            <v>Bigu Gaunpalika</v>
          </cell>
          <cell r="D75">
            <v>102</v>
          </cell>
          <cell r="E75">
            <v>5656</v>
          </cell>
          <cell r="F75">
            <v>5758</v>
          </cell>
          <cell r="G75" t="str">
            <v>Stone and cement mortar masonry</v>
          </cell>
          <cell r="H75">
            <v>1.56</v>
          </cell>
          <cell r="I75">
            <v>0.54</v>
          </cell>
          <cell r="J75" t="str">
            <v>Stone and Mud Mortar Masonary</v>
          </cell>
          <cell r="K75">
            <v>95.86</v>
          </cell>
          <cell r="L75">
            <v>94.39</v>
          </cell>
          <cell r="M75" t="str">
            <v>Brick and Cement Mortar Masonary</v>
          </cell>
          <cell r="N75">
            <v>7.0000000000000007E-2</v>
          </cell>
          <cell r="O75">
            <v>1.54</v>
          </cell>
          <cell r="P75" t="str">
            <v>Brick and mud mortar Masonry</v>
          </cell>
          <cell r="Q75">
            <v>0</v>
          </cell>
          <cell r="R75">
            <v>0.04</v>
          </cell>
          <cell r="S75" t="str">
            <v>Reinforced cement concrete (RCC) frame</v>
          </cell>
          <cell r="T75">
            <v>0.54</v>
          </cell>
          <cell r="U75">
            <v>0.67</v>
          </cell>
          <cell r="V75" t="str">
            <v>Hybrid structure</v>
          </cell>
          <cell r="W75">
            <v>0</v>
          </cell>
          <cell r="X75">
            <v>0</v>
          </cell>
          <cell r="Y75" t="str">
            <v>Timber frame structure</v>
          </cell>
          <cell r="Z75">
            <v>0.33</v>
          </cell>
          <cell r="AA75">
            <v>0.64</v>
          </cell>
          <cell r="AB75" t="str">
            <v>Hollow concrete block Masonry</v>
          </cell>
          <cell r="AC75">
            <v>0</v>
          </cell>
          <cell r="AD75">
            <v>0</v>
          </cell>
          <cell r="AE75" t="str">
            <v>Dry stone Masonry</v>
          </cell>
          <cell r="AF75">
            <v>1.32</v>
          </cell>
          <cell r="AG75">
            <v>0.35</v>
          </cell>
          <cell r="AH75" t="str">
            <v>Adobe structures</v>
          </cell>
          <cell r="AI75">
            <v>0.05</v>
          </cell>
          <cell r="AJ75">
            <v>1.71</v>
          </cell>
          <cell r="AK75" t="str">
            <v>Bamboo</v>
          </cell>
          <cell r="AL75">
            <v>0.26</v>
          </cell>
          <cell r="AM75">
            <v>0.13</v>
          </cell>
          <cell r="AN75" t="str">
            <v>Compressed stabilized earth block (SCEB) Masonry</v>
          </cell>
          <cell r="AO75">
            <v>0</v>
          </cell>
          <cell r="AP75">
            <v>0</v>
          </cell>
          <cell r="AQ75" t="str">
            <v>Light steel frame structures</v>
          </cell>
          <cell r="AR75">
            <v>0</v>
          </cell>
          <cell r="AS75">
            <v>0</v>
          </cell>
          <cell r="AT75">
            <v>6731</v>
          </cell>
          <cell r="AU75">
            <v>6257</v>
          </cell>
          <cell r="AV75">
            <v>6189</v>
          </cell>
          <cell r="AW75">
            <v>5222</v>
          </cell>
          <cell r="AX75">
            <v>4552</v>
          </cell>
          <cell r="AY75">
            <v>4213</v>
          </cell>
          <cell r="AZ75">
            <v>4384</v>
          </cell>
          <cell r="BA75">
            <v>34</v>
          </cell>
          <cell r="BB75">
            <v>34</v>
          </cell>
          <cell r="BC75">
            <v>4</v>
          </cell>
          <cell r="BD75">
            <v>0</v>
          </cell>
          <cell r="BE75">
            <v>0</v>
          </cell>
          <cell r="BF75">
            <v>719</v>
          </cell>
          <cell r="BG75" t="str">
            <v/>
          </cell>
          <cell r="BH75" t="str">
            <v/>
          </cell>
          <cell r="BI75" t="str">
            <v/>
          </cell>
          <cell r="BJ75" t="str">
            <v>CARITAS-N(Rural Housing and Community Infrastructure)</v>
          </cell>
          <cell r="BK75">
            <v>90002</v>
          </cell>
          <cell r="BL75" t="str">
            <v>Y</v>
          </cell>
          <cell r="BM75">
            <v>15000</v>
          </cell>
          <cell r="BN75">
            <v>90231</v>
          </cell>
          <cell r="BO75" t="str">
            <v>Y</v>
          </cell>
          <cell r="BP75">
            <v>15000</v>
          </cell>
          <cell r="BQ75">
            <v>9592</v>
          </cell>
          <cell r="BR75" t="str">
            <v>Y</v>
          </cell>
          <cell r="BS75">
            <v>15000</v>
          </cell>
          <cell r="BT75">
            <v>11002</v>
          </cell>
          <cell r="BU75" t="str">
            <v/>
          </cell>
          <cell r="BV75" t="str">
            <v/>
          </cell>
          <cell r="BW75" t="str">
            <v/>
          </cell>
          <cell r="BX75" t="str">
            <v/>
          </cell>
          <cell r="BY75">
            <v>1000</v>
          </cell>
          <cell r="BZ75">
            <v>300268</v>
          </cell>
          <cell r="CA75" t="str">
            <v/>
          </cell>
          <cell r="CB75">
            <v>1350</v>
          </cell>
          <cell r="CC75">
            <v>980070</v>
          </cell>
          <cell r="CD75" t="str">
            <v/>
          </cell>
          <cell r="CE75">
            <v>110</v>
          </cell>
          <cell r="CF75">
            <v>12274</v>
          </cell>
          <cell r="CG75" t="str">
            <v/>
          </cell>
          <cell r="CH75" t="str">
            <v>105</v>
          </cell>
          <cell r="CI75">
            <v>1189008</v>
          </cell>
          <cell r="CJ75" t="str">
            <v/>
          </cell>
          <cell r="CK75" t="str">
            <v/>
          </cell>
          <cell r="CL75" t="str">
            <v>Skilled</v>
          </cell>
          <cell r="CM75" t="str">
            <v/>
          </cell>
          <cell r="CN75" t="str">
            <v>Labor</v>
          </cell>
          <cell r="CO75" t="str">
            <v/>
          </cell>
          <cell r="CP75" t="str">
            <v/>
          </cell>
          <cell r="CQ75" t="str">
            <v/>
          </cell>
          <cell r="CR75" t="str">
            <v/>
          </cell>
          <cell r="CS75" t="str">
            <v/>
          </cell>
          <cell r="CT75" t="str">
            <v/>
          </cell>
          <cell r="CU75" t="str">
            <v/>
          </cell>
          <cell r="CV75" t="str">
            <v>Municipal Office</v>
          </cell>
          <cell r="CW75" t="str">
            <v>Yudhistir Khadka</v>
          </cell>
          <cell r="CX75" t="str">
            <v>Chairman</v>
          </cell>
          <cell r="CY75">
            <v>9851203451</v>
          </cell>
          <cell r="CZ75" t="str">
            <v>Municipal Office</v>
          </cell>
          <cell r="DA75" t="str">
            <v>Sanjib Bali</v>
          </cell>
          <cell r="DB75" t="str">
            <v>Deputy Chairman</v>
          </cell>
          <cell r="DC75">
            <v>9851004295</v>
          </cell>
          <cell r="DD75" t="str">
            <v>Municipal Office</v>
          </cell>
          <cell r="DE75" t="str">
            <v>Nawarajj Oli</v>
          </cell>
          <cell r="DF75" t="str">
            <v>Chief Adminstration Officer</v>
          </cell>
          <cell r="DG75">
            <v>9851249206</v>
          </cell>
          <cell r="DH75" t="str">
            <v>NRA/GMALI</v>
          </cell>
          <cell r="DI75" t="str">
            <v>Nirmal Darshan Acharya</v>
          </cell>
          <cell r="DJ75" t="str">
            <v>NRA Chief-District</v>
          </cell>
          <cell r="DK75">
            <v>9854045832</v>
          </cell>
          <cell r="DL75" t="str">
            <v>DLPIU-Building</v>
          </cell>
          <cell r="DM75" t="str">
            <v>Arjun Tamang</v>
          </cell>
          <cell r="DN75" t="str">
            <v>DUDBC.DLPIU Chief</v>
          </cell>
          <cell r="DO75">
            <v>9849246296</v>
          </cell>
          <cell r="DP75" t="str">
            <v>Municipal Office</v>
          </cell>
          <cell r="DQ75" t="str">
            <v>Debak K.C.</v>
          </cell>
          <cell r="DR75" t="str">
            <v>Focal Person</v>
          </cell>
          <cell r="DS75">
            <v>9854045000</v>
          </cell>
          <cell r="DT75" t="str">
            <v/>
          </cell>
          <cell r="DU75" t="str">
            <v/>
          </cell>
          <cell r="DV75" t="str">
            <v/>
          </cell>
          <cell r="DW75" t="str">
            <v/>
          </cell>
          <cell r="DX75" t="str">
            <v/>
          </cell>
          <cell r="DY75" t="str">
            <v/>
          </cell>
          <cell r="DZ75" t="str">
            <v/>
          </cell>
          <cell r="EA75" t="str">
            <v/>
          </cell>
          <cell r="EB75" t="str">
            <v/>
          </cell>
          <cell r="EC75" t="str">
            <v/>
          </cell>
          <cell r="ED75" t="str">
            <v/>
          </cell>
          <cell r="EE75" t="str">
            <v/>
          </cell>
          <cell r="EF75" t="str">
            <v/>
          </cell>
          <cell r="EG75" t="str">
            <v/>
          </cell>
          <cell r="EH75" t="str">
            <v/>
          </cell>
          <cell r="EI75" t="str">
            <v/>
          </cell>
          <cell r="EJ75">
            <v>405</v>
          </cell>
          <cell r="EK75">
            <v>570</v>
          </cell>
          <cell r="EL75">
            <v>-165</v>
          </cell>
          <cell r="EM75">
            <v>621</v>
          </cell>
          <cell r="EN75">
            <v>342</v>
          </cell>
          <cell r="EO75">
            <v>279</v>
          </cell>
          <cell r="EP75" t="str">
            <v/>
          </cell>
          <cell r="EQ75" t="str">
            <v>Housing Recovery and Reconstruction Platform</v>
          </cell>
          <cell r="ER75" t="str">
            <v>Kamal Bahadur Mahat</v>
          </cell>
          <cell r="ES75" t="str">
            <v>District Coordinator</v>
          </cell>
          <cell r="ET75">
            <v>9841712677</v>
          </cell>
          <cell r="EU75" t="str">
            <v>Housing Recovery and Reconstruction Platform</v>
          </cell>
          <cell r="EV75" t="str">
            <v>Ravi Pajiyar</v>
          </cell>
          <cell r="EW75" t="str">
            <v>DIstrict Information Management Officer</v>
          </cell>
          <cell r="EX75">
            <v>9849829112</v>
          </cell>
          <cell r="EY75" t="str">
            <v>Housing Recovery and Reconstruction Platform</v>
          </cell>
          <cell r="EZ75" t="str">
            <v>Binod Kumar Kalauni</v>
          </cell>
          <cell r="FA75" t="str">
            <v>District Technical Officer</v>
          </cell>
          <cell r="FB75">
            <v>9864291323</v>
          </cell>
        </row>
        <row r="76">
          <cell r="A76">
            <v>22004</v>
          </cell>
          <cell r="B76" t="str">
            <v>Dolakha</v>
          </cell>
          <cell r="C76" t="str">
            <v>Gaurishankar Gaunpalika</v>
          </cell>
          <cell r="D76">
            <v>108</v>
          </cell>
          <cell r="E76">
            <v>5297</v>
          </cell>
          <cell r="F76">
            <v>5405</v>
          </cell>
          <cell r="G76" t="str">
            <v>Stone and cement mortar masonry</v>
          </cell>
          <cell r="H76">
            <v>0.11</v>
          </cell>
          <cell r="I76">
            <v>0.54</v>
          </cell>
          <cell r="J76" t="str">
            <v>Stone and Mud Mortar Masonary</v>
          </cell>
          <cell r="K76">
            <v>97.48</v>
          </cell>
          <cell r="L76">
            <v>94.39</v>
          </cell>
          <cell r="M76" t="str">
            <v>Brick and Cement Mortar Masonary</v>
          </cell>
          <cell r="N76">
            <v>0.09</v>
          </cell>
          <cell r="O76">
            <v>1.54</v>
          </cell>
          <cell r="P76" t="str">
            <v>Brick and mud mortar Masonry</v>
          </cell>
          <cell r="Q76">
            <v>0</v>
          </cell>
          <cell r="R76">
            <v>0.04</v>
          </cell>
          <cell r="S76" t="str">
            <v>Reinforced cement concrete (RCC) frame</v>
          </cell>
          <cell r="T76">
            <v>0.02</v>
          </cell>
          <cell r="U76">
            <v>0.67</v>
          </cell>
          <cell r="V76" t="str">
            <v>Hybrid structure</v>
          </cell>
          <cell r="W76">
            <v>0</v>
          </cell>
          <cell r="X76">
            <v>0</v>
          </cell>
          <cell r="Y76" t="str">
            <v>Timber frame structure</v>
          </cell>
          <cell r="Z76">
            <v>0.33</v>
          </cell>
          <cell r="AA76">
            <v>0.64</v>
          </cell>
          <cell r="AB76" t="str">
            <v>Hollow concrete block Masonry</v>
          </cell>
          <cell r="AC76">
            <v>0</v>
          </cell>
          <cell r="AD76">
            <v>0</v>
          </cell>
          <cell r="AE76" t="str">
            <v>Dry stone Masonry</v>
          </cell>
          <cell r="AF76">
            <v>1.52</v>
          </cell>
          <cell r="AG76">
            <v>0.35</v>
          </cell>
          <cell r="AH76" t="str">
            <v>Adobe structures</v>
          </cell>
          <cell r="AI76">
            <v>0.28000000000000003</v>
          </cell>
          <cell r="AJ76">
            <v>1.71</v>
          </cell>
          <cell r="AK76" t="str">
            <v>Bamboo</v>
          </cell>
          <cell r="AL76">
            <v>0.17</v>
          </cell>
          <cell r="AM76">
            <v>0.13</v>
          </cell>
          <cell r="AN76" t="str">
            <v>Compressed stabilized earth block (SCEB) Masonry</v>
          </cell>
          <cell r="AO76">
            <v>0</v>
          </cell>
          <cell r="AP76">
            <v>0</v>
          </cell>
          <cell r="AQ76" t="str">
            <v>Light steel frame structures</v>
          </cell>
          <cell r="AR76">
            <v>0</v>
          </cell>
          <cell r="AS76">
            <v>0</v>
          </cell>
          <cell r="AT76">
            <v>6767</v>
          </cell>
          <cell r="AU76">
            <v>6541</v>
          </cell>
          <cell r="AV76">
            <v>6439</v>
          </cell>
          <cell r="AW76">
            <v>5179</v>
          </cell>
          <cell r="AX76">
            <v>4869</v>
          </cell>
          <cell r="AY76">
            <v>4613</v>
          </cell>
          <cell r="AZ76">
            <v>4751</v>
          </cell>
          <cell r="BA76">
            <v>74</v>
          </cell>
          <cell r="BB76">
            <v>74</v>
          </cell>
          <cell r="BC76">
            <v>25</v>
          </cell>
          <cell r="BD76" t="str">
            <v/>
          </cell>
          <cell r="BE76">
            <v>0</v>
          </cell>
          <cell r="BF76">
            <v>760</v>
          </cell>
          <cell r="BG76" t="str">
            <v/>
          </cell>
          <cell r="BH76" t="str">
            <v/>
          </cell>
          <cell r="BI76" t="str">
            <v>NSET(Rural Housing and Community Infrastructure)</v>
          </cell>
          <cell r="BJ76" t="str">
            <v>HELVETAS(Rural Housing and Community Infrastructure),LWF(Rural Housing and Community Infrastructure),PLAN(Water, Sanitation and Hygiene),SCI(Education,Employment and Livelihood,Rural Housing and Community Infrastructure,Social Protection,Water, Sanitation and Hygiene)</v>
          </cell>
          <cell r="BK76">
            <v>117835</v>
          </cell>
          <cell r="BL76" t="str">
            <v>Y</v>
          </cell>
          <cell r="BM76" t="str">
            <v/>
          </cell>
          <cell r="BN76">
            <v>122129</v>
          </cell>
          <cell r="BO76" t="str">
            <v>Y</v>
          </cell>
          <cell r="BP76" t="str">
            <v/>
          </cell>
          <cell r="BQ76">
            <v>12593</v>
          </cell>
          <cell r="BR76" t="str">
            <v>Y</v>
          </cell>
          <cell r="BS76" t="str">
            <v/>
          </cell>
          <cell r="BT76">
            <v>14574</v>
          </cell>
          <cell r="BU76" t="str">
            <v/>
          </cell>
          <cell r="BV76" t="str">
            <v/>
          </cell>
          <cell r="BW76" t="str">
            <v/>
          </cell>
          <cell r="BX76" t="str">
            <v/>
          </cell>
          <cell r="BY76" t="str">
            <v/>
          </cell>
          <cell r="BZ76">
            <v>404097</v>
          </cell>
          <cell r="CA76" t="str">
            <v/>
          </cell>
          <cell r="CB76" t="str">
            <v/>
          </cell>
          <cell r="CC76">
            <v>1274973</v>
          </cell>
          <cell r="CD76" t="str">
            <v/>
          </cell>
          <cell r="CE76" t="str">
            <v/>
          </cell>
          <cell r="CF76">
            <v>16515</v>
          </cell>
          <cell r="CG76" t="str">
            <v/>
          </cell>
          <cell r="CH76" t="str">
            <v/>
          </cell>
          <cell r="CI76">
            <v>1016814</v>
          </cell>
          <cell r="CJ76" t="str">
            <v/>
          </cell>
          <cell r="CK76" t="str">
            <v/>
          </cell>
          <cell r="CL76" t="str">
            <v>Skilled</v>
          </cell>
          <cell r="CM76" t="str">
            <v/>
          </cell>
          <cell r="CN76" t="str">
            <v>Labor</v>
          </cell>
          <cell r="CO76" t="str">
            <v/>
          </cell>
          <cell r="CP76" t="str">
            <v/>
          </cell>
          <cell r="CQ76" t="str">
            <v/>
          </cell>
          <cell r="CR76" t="str">
            <v/>
          </cell>
          <cell r="CS76" t="str">
            <v/>
          </cell>
          <cell r="CT76" t="str">
            <v/>
          </cell>
          <cell r="CU76" t="str">
            <v/>
          </cell>
          <cell r="CV76" t="str">
            <v>Municipal Office</v>
          </cell>
          <cell r="CW76" t="str">
            <v>Soyam Bahadur Khadka</v>
          </cell>
          <cell r="CX76" t="str">
            <v>Chairman</v>
          </cell>
          <cell r="CY76">
            <v>9614919113</v>
          </cell>
          <cell r="CZ76" t="str">
            <v>Municipal Office</v>
          </cell>
          <cell r="DA76" t="str">
            <v>Urmila Thami</v>
          </cell>
          <cell r="DB76" t="str">
            <v>Deputy Chairman</v>
          </cell>
          <cell r="DC76">
            <v>9844175168</v>
          </cell>
          <cell r="DD76" t="str">
            <v>Municipal Office</v>
          </cell>
          <cell r="DE76" t="str">
            <v>Dipesh Chhadchha</v>
          </cell>
          <cell r="DF76" t="str">
            <v>Chief Adminstration Officer</v>
          </cell>
          <cell r="DG76">
            <v>9860439172</v>
          </cell>
          <cell r="DH76" t="str">
            <v>NRA/GMALI</v>
          </cell>
          <cell r="DI76" t="str">
            <v>Nirmal Darshan Acharya</v>
          </cell>
          <cell r="DJ76" t="str">
            <v>NRA Chief-District</v>
          </cell>
          <cell r="DK76">
            <v>9854045832</v>
          </cell>
          <cell r="DL76" t="str">
            <v>DLPIU-Building</v>
          </cell>
          <cell r="DM76" t="str">
            <v>Arjun Tamang</v>
          </cell>
          <cell r="DN76" t="str">
            <v>DUDBC.DLPIU Chief</v>
          </cell>
          <cell r="DO76">
            <v>9849246296</v>
          </cell>
          <cell r="DP76" t="str">
            <v>Municipal Office</v>
          </cell>
          <cell r="DQ76" t="str">
            <v>Lila Raj Paudel</v>
          </cell>
          <cell r="DR76" t="str">
            <v>Focal Person</v>
          </cell>
          <cell r="DS76">
            <v>9855071938</v>
          </cell>
          <cell r="DT76" t="str">
            <v/>
          </cell>
          <cell r="DU76" t="str">
            <v/>
          </cell>
          <cell r="DV76" t="str">
            <v/>
          </cell>
          <cell r="DW76" t="str">
            <v/>
          </cell>
          <cell r="DX76" t="str">
            <v/>
          </cell>
          <cell r="DY76" t="str">
            <v/>
          </cell>
          <cell r="DZ76" t="str">
            <v/>
          </cell>
          <cell r="EA76" t="str">
            <v/>
          </cell>
          <cell r="EB76" t="str">
            <v/>
          </cell>
          <cell r="EC76" t="str">
            <v/>
          </cell>
          <cell r="ED76" t="str">
            <v/>
          </cell>
          <cell r="EE76" t="str">
            <v/>
          </cell>
          <cell r="EF76" t="str">
            <v/>
          </cell>
          <cell r="EG76" t="str">
            <v/>
          </cell>
          <cell r="EH76" t="str">
            <v/>
          </cell>
          <cell r="EI76" t="str">
            <v/>
          </cell>
          <cell r="EJ76">
            <v>369</v>
          </cell>
          <cell r="EK76">
            <v>208</v>
          </cell>
          <cell r="EL76">
            <v>161</v>
          </cell>
          <cell r="EM76">
            <v>567</v>
          </cell>
          <cell r="EN76">
            <v>148</v>
          </cell>
          <cell r="EO76">
            <v>419</v>
          </cell>
          <cell r="EP76" t="str">
            <v/>
          </cell>
          <cell r="EQ76" t="str">
            <v>Housing Recovery and Reconstruction Platform</v>
          </cell>
          <cell r="ER76" t="str">
            <v>Kamal Bahadur Mahat</v>
          </cell>
          <cell r="ES76" t="str">
            <v>District Coordinator</v>
          </cell>
          <cell r="ET76">
            <v>9841712677</v>
          </cell>
          <cell r="EU76" t="str">
            <v>Housing Recovery and Reconstruction Platform</v>
          </cell>
          <cell r="EV76" t="str">
            <v>Ravi Pajiyar</v>
          </cell>
          <cell r="EW76" t="str">
            <v>DIstrict Information Management Officer</v>
          </cell>
          <cell r="EX76">
            <v>9849829112</v>
          </cell>
          <cell r="EY76" t="str">
            <v>Housing Recovery and Reconstruction Platform</v>
          </cell>
          <cell r="EZ76" t="str">
            <v>Binod Kumar Kalauni</v>
          </cell>
          <cell r="FA76" t="str">
            <v>District Technical Officer</v>
          </cell>
          <cell r="FB76">
            <v>9864291323</v>
          </cell>
        </row>
        <row r="77">
          <cell r="A77">
            <v>22005</v>
          </cell>
          <cell r="B77" t="str">
            <v>Dolakha</v>
          </cell>
          <cell r="C77" t="str">
            <v>Jiri Nagarpalika</v>
          </cell>
          <cell r="D77">
            <v>289</v>
          </cell>
          <cell r="E77">
            <v>4475</v>
          </cell>
          <cell r="F77">
            <v>4764</v>
          </cell>
          <cell r="G77" t="str">
            <v>Stone and cement mortar masonry</v>
          </cell>
          <cell r="H77">
            <v>0.11</v>
          </cell>
          <cell r="I77">
            <v>0.54</v>
          </cell>
          <cell r="J77" t="str">
            <v>Stone and Mud Mortar Masonary</v>
          </cell>
          <cell r="K77">
            <v>95.44</v>
          </cell>
          <cell r="L77">
            <v>94.39</v>
          </cell>
          <cell r="M77" t="str">
            <v>Brick and Cement Mortar Masonary</v>
          </cell>
          <cell r="N77">
            <v>0.88</v>
          </cell>
          <cell r="O77">
            <v>1.54</v>
          </cell>
          <cell r="P77" t="str">
            <v>Brick and mud mortar Masonry</v>
          </cell>
          <cell r="Q77">
            <v>0.04</v>
          </cell>
          <cell r="R77">
            <v>0.04</v>
          </cell>
          <cell r="S77" t="str">
            <v>Reinforced cement concrete (RCC) frame</v>
          </cell>
          <cell r="T77">
            <v>0.25</v>
          </cell>
          <cell r="U77">
            <v>0.67</v>
          </cell>
          <cell r="V77" t="str">
            <v>Hybrid structure</v>
          </cell>
          <cell r="W77">
            <v>0</v>
          </cell>
          <cell r="X77">
            <v>0</v>
          </cell>
          <cell r="Y77" t="str">
            <v>Timber frame structure</v>
          </cell>
          <cell r="Z77">
            <v>3.05</v>
          </cell>
          <cell r="AA77">
            <v>0.64</v>
          </cell>
          <cell r="AB77" t="str">
            <v>Hollow concrete block Masonry</v>
          </cell>
          <cell r="AC77">
            <v>0</v>
          </cell>
          <cell r="AD77">
            <v>0</v>
          </cell>
          <cell r="AE77" t="str">
            <v>Dry stone Masonry</v>
          </cell>
          <cell r="AF77">
            <v>0</v>
          </cell>
          <cell r="AG77">
            <v>0.35</v>
          </cell>
          <cell r="AH77" t="str">
            <v>Adobe structures</v>
          </cell>
          <cell r="AI77">
            <v>0.06</v>
          </cell>
          <cell r="AJ77">
            <v>1.71</v>
          </cell>
          <cell r="AK77" t="str">
            <v>Bamboo</v>
          </cell>
          <cell r="AL77">
            <v>0.17</v>
          </cell>
          <cell r="AM77">
            <v>0.13</v>
          </cell>
          <cell r="AN77" t="str">
            <v>Compressed stabilized earth block (SCEB) Masonry</v>
          </cell>
          <cell r="AO77">
            <v>0</v>
          </cell>
          <cell r="AP77">
            <v>0</v>
          </cell>
          <cell r="AQ77" t="str">
            <v>Light steel frame structures</v>
          </cell>
          <cell r="AR77">
            <v>0</v>
          </cell>
          <cell r="AS77">
            <v>0</v>
          </cell>
          <cell r="AT77">
            <v>5836</v>
          </cell>
          <cell r="AU77">
            <v>5740</v>
          </cell>
          <cell r="AV77">
            <v>4906</v>
          </cell>
          <cell r="AW77">
            <v>3708</v>
          </cell>
          <cell r="AX77">
            <v>2847</v>
          </cell>
          <cell r="AY77">
            <v>2613</v>
          </cell>
          <cell r="AZ77">
            <v>2632</v>
          </cell>
          <cell r="BA77">
            <v>153</v>
          </cell>
          <cell r="BB77">
            <v>154</v>
          </cell>
          <cell r="BC77">
            <v>20</v>
          </cell>
          <cell r="BD77" t="str">
            <v/>
          </cell>
          <cell r="BE77">
            <v>0</v>
          </cell>
          <cell r="BF77">
            <v>961</v>
          </cell>
          <cell r="BG77" t="str">
            <v/>
          </cell>
          <cell r="BH77" t="str">
            <v/>
          </cell>
          <cell r="BI77" t="str">
            <v>BC(Rural Housing and Community Infrastructure),NSET(Rural Housing and Community Infrastructure)</v>
          </cell>
          <cell r="BJ77" t="str">
            <v>CA(Rural Housing and Community Infrastructure),GON - DUDBC(Rural Housing and Community Infrastructure),LIONS(Education),LWF(Rural Housing and Community Infrastructure)</v>
          </cell>
          <cell r="BK77">
            <v>88280</v>
          </cell>
          <cell r="BL77" t="str">
            <v>Y</v>
          </cell>
          <cell r="BM77" t="str">
            <v/>
          </cell>
          <cell r="BN77">
            <v>90462</v>
          </cell>
          <cell r="BO77" t="str">
            <v>Y</v>
          </cell>
          <cell r="BP77" t="str">
            <v/>
          </cell>
          <cell r="BQ77">
            <v>9425</v>
          </cell>
          <cell r="BR77" t="str">
            <v>Y</v>
          </cell>
          <cell r="BS77" t="str">
            <v/>
          </cell>
          <cell r="BT77">
            <v>10874</v>
          </cell>
          <cell r="BU77" t="str">
            <v/>
          </cell>
          <cell r="BV77" t="str">
            <v/>
          </cell>
          <cell r="BW77" t="str">
            <v/>
          </cell>
          <cell r="BX77" t="str">
            <v/>
          </cell>
          <cell r="BY77" t="str">
            <v/>
          </cell>
          <cell r="BZ77">
            <v>299806</v>
          </cell>
          <cell r="CA77" t="str">
            <v/>
          </cell>
          <cell r="CB77" t="str">
            <v/>
          </cell>
          <cell r="CC77">
            <v>957177</v>
          </cell>
          <cell r="CD77" t="str">
            <v/>
          </cell>
          <cell r="CE77" t="str">
            <v/>
          </cell>
          <cell r="CF77">
            <v>12253</v>
          </cell>
          <cell r="CG77" t="str">
            <v/>
          </cell>
          <cell r="CH77" t="str">
            <v/>
          </cell>
          <cell r="CI77">
            <v>887241</v>
          </cell>
          <cell r="CJ77" t="str">
            <v/>
          </cell>
          <cell r="CK77" t="str">
            <v/>
          </cell>
          <cell r="CL77" t="str">
            <v>Skilled</v>
          </cell>
          <cell r="CM77" t="str">
            <v/>
          </cell>
          <cell r="CN77" t="str">
            <v>Labor</v>
          </cell>
          <cell r="CO77" t="str">
            <v/>
          </cell>
          <cell r="CP77" t="str">
            <v/>
          </cell>
          <cell r="CQ77" t="str">
            <v/>
          </cell>
          <cell r="CR77" t="str">
            <v/>
          </cell>
          <cell r="CS77" t="str">
            <v/>
          </cell>
          <cell r="CT77" t="str">
            <v/>
          </cell>
          <cell r="CU77" t="str">
            <v/>
          </cell>
          <cell r="CV77" t="str">
            <v>Municipal Office</v>
          </cell>
          <cell r="CW77" t="str">
            <v>Tanka Jirel</v>
          </cell>
          <cell r="CX77" t="str">
            <v>Mayor</v>
          </cell>
          <cell r="CY77">
            <v>9851151281</v>
          </cell>
          <cell r="CZ77" t="str">
            <v>Municipal Office</v>
          </cell>
          <cell r="DA77" t="str">
            <v>Krishna Maya Budhathoki</v>
          </cell>
          <cell r="DB77" t="str">
            <v>Deputy Mayor</v>
          </cell>
          <cell r="DC77">
            <v>9840115122</v>
          </cell>
          <cell r="DD77" t="str">
            <v>Municipal Office</v>
          </cell>
          <cell r="DE77" t="str">
            <v>Jagat Prasad Bhusal</v>
          </cell>
          <cell r="DF77" t="str">
            <v>Chief Adminstration Officer</v>
          </cell>
          <cell r="DG77">
            <v>9857035509</v>
          </cell>
          <cell r="DH77" t="str">
            <v>NRA/GMALI</v>
          </cell>
          <cell r="DI77" t="str">
            <v>Nirmal Darshan Acharya</v>
          </cell>
          <cell r="DJ77" t="str">
            <v>NRA Chief-District</v>
          </cell>
          <cell r="DK77">
            <v>9854045832</v>
          </cell>
          <cell r="DL77" t="str">
            <v>DLPIU-Building</v>
          </cell>
          <cell r="DM77" t="str">
            <v>Arjun Tamang</v>
          </cell>
          <cell r="DN77" t="str">
            <v>DUDBC.DLPIU Chief</v>
          </cell>
          <cell r="DO77">
            <v>9849246296</v>
          </cell>
          <cell r="DP77" t="str">
            <v>Municipal Office</v>
          </cell>
          <cell r="DQ77" t="str">
            <v>Chandra Bhusan Sah</v>
          </cell>
          <cell r="DR77" t="str">
            <v>Focal Person</v>
          </cell>
          <cell r="DS77">
            <v>9817853670</v>
          </cell>
          <cell r="DT77" t="str">
            <v/>
          </cell>
          <cell r="DU77" t="str">
            <v/>
          </cell>
          <cell r="DV77" t="str">
            <v/>
          </cell>
          <cell r="DW77" t="str">
            <v/>
          </cell>
          <cell r="DX77" t="str">
            <v/>
          </cell>
          <cell r="DY77" t="str">
            <v/>
          </cell>
          <cell r="DZ77" t="str">
            <v/>
          </cell>
          <cell r="EA77" t="str">
            <v/>
          </cell>
          <cell r="EB77" t="str">
            <v/>
          </cell>
          <cell r="EC77" t="str">
            <v/>
          </cell>
          <cell r="ED77" t="str">
            <v/>
          </cell>
          <cell r="EE77" t="str">
            <v/>
          </cell>
          <cell r="EF77" t="str">
            <v/>
          </cell>
          <cell r="EG77" t="str">
            <v/>
          </cell>
          <cell r="EH77" t="str">
            <v/>
          </cell>
          <cell r="EI77" t="str">
            <v/>
          </cell>
          <cell r="EJ77">
            <v>320</v>
          </cell>
          <cell r="EK77">
            <v>297</v>
          </cell>
          <cell r="EL77">
            <v>23</v>
          </cell>
          <cell r="EM77">
            <v>481</v>
          </cell>
          <cell r="EN77">
            <v>0</v>
          </cell>
          <cell r="EO77">
            <v>481</v>
          </cell>
          <cell r="EP77" t="str">
            <v/>
          </cell>
          <cell r="EQ77" t="str">
            <v>Housing Recovery and Reconstruction Platform</v>
          </cell>
          <cell r="ER77" t="str">
            <v>Kamal Bahadur Mahat</v>
          </cell>
          <cell r="ES77" t="str">
            <v>District Coordinator</v>
          </cell>
          <cell r="ET77">
            <v>9841712677</v>
          </cell>
          <cell r="EU77" t="str">
            <v>Housing Recovery and Reconstruction Platform</v>
          </cell>
          <cell r="EV77" t="str">
            <v>Ravi Pajiyar</v>
          </cell>
          <cell r="EW77" t="str">
            <v>DIstrict Information Management Officer</v>
          </cell>
          <cell r="EX77">
            <v>9849829112</v>
          </cell>
          <cell r="EY77" t="str">
            <v>Housing Recovery and Reconstruction Platform</v>
          </cell>
          <cell r="EZ77" t="str">
            <v>Binod Kumar Kalauni</v>
          </cell>
          <cell r="FA77" t="str">
            <v>District Technical Officer</v>
          </cell>
          <cell r="FB77">
            <v>9864291323</v>
          </cell>
        </row>
        <row r="78">
          <cell r="A78">
            <v>22006</v>
          </cell>
          <cell r="B78" t="str">
            <v>Dolakha</v>
          </cell>
          <cell r="C78" t="str">
            <v>Kalinchok Gaunpalika</v>
          </cell>
          <cell r="D78">
            <v>80</v>
          </cell>
          <cell r="E78">
            <v>7447</v>
          </cell>
          <cell r="F78">
            <v>7527</v>
          </cell>
          <cell r="G78" t="str">
            <v>Stone and cement mortar masonry</v>
          </cell>
          <cell r="H78">
            <v>0.32</v>
          </cell>
          <cell r="I78">
            <v>0.54</v>
          </cell>
          <cell r="J78" t="str">
            <v>Stone and Mud Mortar Masonary</v>
          </cell>
          <cell r="K78">
            <v>98.71</v>
          </cell>
          <cell r="L78">
            <v>94.39</v>
          </cell>
          <cell r="M78" t="str">
            <v>Brick and Cement Mortar Masonary</v>
          </cell>
          <cell r="N78">
            <v>7.0000000000000007E-2</v>
          </cell>
          <cell r="O78">
            <v>1.54</v>
          </cell>
          <cell r="P78" t="str">
            <v>Brick and mud mortar Masonry</v>
          </cell>
          <cell r="Q78">
            <v>0.04</v>
          </cell>
          <cell r="R78">
            <v>0.04</v>
          </cell>
          <cell r="S78" t="str">
            <v>Reinforced cement concrete (RCC) frame</v>
          </cell>
          <cell r="T78">
            <v>0.36</v>
          </cell>
          <cell r="U78">
            <v>0.67</v>
          </cell>
          <cell r="V78" t="str">
            <v>Hybrid structure</v>
          </cell>
          <cell r="W78">
            <v>0</v>
          </cell>
          <cell r="X78">
            <v>0</v>
          </cell>
          <cell r="Y78" t="str">
            <v>Timber frame structure</v>
          </cell>
          <cell r="Z78">
            <v>0.25</v>
          </cell>
          <cell r="AA78">
            <v>0.64</v>
          </cell>
          <cell r="AB78" t="str">
            <v>Hollow concrete block Masonry</v>
          </cell>
          <cell r="AC78">
            <v>0</v>
          </cell>
          <cell r="AD78">
            <v>0</v>
          </cell>
          <cell r="AE78" t="str">
            <v>Dry stone Masonry</v>
          </cell>
          <cell r="AF78">
            <v>7.0000000000000007E-2</v>
          </cell>
          <cell r="AG78">
            <v>0.35</v>
          </cell>
          <cell r="AH78" t="str">
            <v>Adobe structures</v>
          </cell>
          <cell r="AI78">
            <v>0.16</v>
          </cell>
          <cell r="AJ78">
            <v>1.71</v>
          </cell>
          <cell r="AK78" t="str">
            <v>Bamboo</v>
          </cell>
          <cell r="AL78">
            <v>0.03</v>
          </cell>
          <cell r="AM78">
            <v>0.13</v>
          </cell>
          <cell r="AN78" t="str">
            <v>Compressed stabilized earth block (SCEB) Masonry</v>
          </cell>
          <cell r="AO78">
            <v>0</v>
          </cell>
          <cell r="AP78">
            <v>0</v>
          </cell>
          <cell r="AQ78" t="str">
            <v>Light steel frame structures</v>
          </cell>
          <cell r="AR78">
            <v>0</v>
          </cell>
          <cell r="AS78">
            <v>0</v>
          </cell>
          <cell r="AT78">
            <v>8914</v>
          </cell>
          <cell r="AU78">
            <v>8395</v>
          </cell>
          <cell r="AV78">
            <v>8388</v>
          </cell>
          <cell r="AW78">
            <v>7395</v>
          </cell>
          <cell r="AX78">
            <v>6836</v>
          </cell>
          <cell r="AY78">
            <v>6514</v>
          </cell>
          <cell r="AZ78">
            <v>6572</v>
          </cell>
          <cell r="BA78">
            <v>32</v>
          </cell>
          <cell r="BB78">
            <v>32</v>
          </cell>
          <cell r="BC78">
            <v>1</v>
          </cell>
          <cell r="BD78" t="str">
            <v/>
          </cell>
          <cell r="BE78">
            <v>0</v>
          </cell>
          <cell r="BF78">
            <v>1238</v>
          </cell>
          <cell r="BG78" t="str">
            <v/>
          </cell>
          <cell r="BH78" t="str">
            <v/>
          </cell>
          <cell r="BI78" t="str">
            <v>NRCS(Education,Employment and Livelihood,Health,Rural Housing and Community Infrastructure,Water, Sanitation and Hygiene),NSET(Rural Housing and Community Infrastructure)</v>
          </cell>
          <cell r="BJ78" t="str">
            <v>AA(Disaster Risk Management,Education,Employment and Livelihood,Gender Equality and Social Inclusion),AATWIN(Social Protection),CA(Rural Housing and Community Infrastructure,Water, Sanitation and Hygiene),CWIN(Education),GAN(Rural Housing and Community Infrastructure),HI(Disaster Risk Management),IOM(Rural Housing and Community Infrastructure),Nyayik(Agriculture, Livestock Development and Irrigation,Education,Gender Equality and Social Inclusion),PLAN(Education,Gender Equality and Social Inclusion,Health,Rural Housing and Community Infrastructure,Water, Sanitation and Hygiene),PutaliS(Education),RCJ(Education)</v>
          </cell>
          <cell r="BK78">
            <v>195580</v>
          </cell>
          <cell r="BL78" t="str">
            <v>Y</v>
          </cell>
          <cell r="BM78" t="str">
            <v/>
          </cell>
          <cell r="BN78">
            <v>201529</v>
          </cell>
          <cell r="BO78" t="str">
            <v>Y</v>
          </cell>
          <cell r="BP78" t="str">
            <v/>
          </cell>
          <cell r="BQ78">
            <v>20887</v>
          </cell>
          <cell r="BR78" t="str">
            <v>Y</v>
          </cell>
          <cell r="BS78" t="str">
            <v/>
          </cell>
          <cell r="BT78">
            <v>24120</v>
          </cell>
          <cell r="BU78" t="str">
            <v/>
          </cell>
          <cell r="BV78" t="str">
            <v/>
          </cell>
          <cell r="BW78" t="str">
            <v/>
          </cell>
          <cell r="BX78" t="str">
            <v/>
          </cell>
          <cell r="BY78" t="str">
            <v/>
          </cell>
          <cell r="BZ78">
            <v>664439</v>
          </cell>
          <cell r="CA78" t="str">
            <v/>
          </cell>
          <cell r="CB78" t="str">
            <v/>
          </cell>
          <cell r="CC78">
            <v>2114511</v>
          </cell>
          <cell r="CD78" t="str">
            <v/>
          </cell>
          <cell r="CE78" t="str">
            <v/>
          </cell>
          <cell r="CF78">
            <v>27138</v>
          </cell>
          <cell r="CG78" t="str">
            <v/>
          </cell>
          <cell r="CH78" t="str">
            <v/>
          </cell>
          <cell r="CI78">
            <v>1381601</v>
          </cell>
          <cell r="CJ78" t="str">
            <v/>
          </cell>
          <cell r="CK78" t="str">
            <v/>
          </cell>
          <cell r="CL78" t="str">
            <v>Skilled</v>
          </cell>
          <cell r="CM78" t="str">
            <v/>
          </cell>
          <cell r="CN78" t="str">
            <v>Labor</v>
          </cell>
          <cell r="CO78" t="str">
            <v/>
          </cell>
          <cell r="CP78" t="str">
            <v/>
          </cell>
          <cell r="CQ78" t="str">
            <v/>
          </cell>
          <cell r="CR78" t="str">
            <v/>
          </cell>
          <cell r="CS78" t="str">
            <v/>
          </cell>
          <cell r="CT78" t="str">
            <v/>
          </cell>
          <cell r="CU78" t="str">
            <v/>
          </cell>
          <cell r="CV78" t="str">
            <v>Municipal Office</v>
          </cell>
          <cell r="CW78" t="str">
            <v>Bin Kumar Thami</v>
          </cell>
          <cell r="CX78" t="str">
            <v>Chairman</v>
          </cell>
          <cell r="CY78">
            <v>9851144523</v>
          </cell>
          <cell r="CZ78" t="str">
            <v>Municipal Office</v>
          </cell>
          <cell r="DA78" t="str">
            <v>Kalika Pathak</v>
          </cell>
          <cell r="DB78" t="str">
            <v>Deputy Chairman</v>
          </cell>
          <cell r="DC78">
            <v>9851130443</v>
          </cell>
          <cell r="DD78" t="str">
            <v>Municipal Office</v>
          </cell>
          <cell r="DE78" t="str">
            <v>Suraj Aryal</v>
          </cell>
          <cell r="DF78" t="str">
            <v>Chief Adminstration Officer</v>
          </cell>
          <cell r="DG78">
            <v>9851249209</v>
          </cell>
          <cell r="DH78" t="str">
            <v>NRA/GMALI</v>
          </cell>
          <cell r="DI78" t="str">
            <v>Nirmal Darshan Acharya</v>
          </cell>
          <cell r="DJ78" t="str">
            <v>NRA Chief-District</v>
          </cell>
          <cell r="DK78">
            <v>9854045832</v>
          </cell>
          <cell r="DL78" t="str">
            <v>DLPIU-Building</v>
          </cell>
          <cell r="DM78" t="str">
            <v>Arjun Tamang</v>
          </cell>
          <cell r="DN78" t="str">
            <v>DUDBC.DLPIU Chief</v>
          </cell>
          <cell r="DO78">
            <v>9849246296</v>
          </cell>
          <cell r="DP78" t="str">
            <v>Municipal Office</v>
          </cell>
          <cell r="DQ78" t="str">
            <v>Aaisa Joshi</v>
          </cell>
          <cell r="DR78" t="str">
            <v>Focal Person</v>
          </cell>
          <cell r="DS78">
            <v>9845399622</v>
          </cell>
          <cell r="DT78" t="str">
            <v/>
          </cell>
          <cell r="DU78" t="str">
            <v/>
          </cell>
          <cell r="DV78" t="str">
            <v/>
          </cell>
          <cell r="DW78" t="str">
            <v/>
          </cell>
          <cell r="DX78" t="str">
            <v/>
          </cell>
          <cell r="DY78" t="str">
            <v/>
          </cell>
          <cell r="DZ78" t="str">
            <v/>
          </cell>
          <cell r="EA78" t="str">
            <v/>
          </cell>
          <cell r="EB78" t="str">
            <v/>
          </cell>
          <cell r="EC78" t="str">
            <v/>
          </cell>
          <cell r="ED78" t="str">
            <v/>
          </cell>
          <cell r="EE78" t="str">
            <v/>
          </cell>
          <cell r="EF78" t="str">
            <v/>
          </cell>
          <cell r="EG78" t="str">
            <v/>
          </cell>
          <cell r="EH78" t="str">
            <v/>
          </cell>
          <cell r="EI78" t="str">
            <v/>
          </cell>
          <cell r="EJ78">
            <v>540</v>
          </cell>
          <cell r="EK78">
            <v>479</v>
          </cell>
          <cell r="EL78">
            <v>61</v>
          </cell>
          <cell r="EM78">
            <v>792</v>
          </cell>
          <cell r="EN78">
            <v>36</v>
          </cell>
          <cell r="EO78">
            <v>756</v>
          </cell>
          <cell r="EP78" t="str">
            <v/>
          </cell>
          <cell r="EQ78" t="str">
            <v>Housing Recovery and Reconstruction Platform</v>
          </cell>
          <cell r="ER78" t="str">
            <v>Kamal Bahadur Mahat</v>
          </cell>
          <cell r="ES78" t="str">
            <v>District Coordinator</v>
          </cell>
          <cell r="ET78">
            <v>9841712677</v>
          </cell>
          <cell r="EU78" t="str">
            <v>Housing Recovery and Reconstruction Platform</v>
          </cell>
          <cell r="EV78" t="str">
            <v>Ravi Pajiyar</v>
          </cell>
          <cell r="EW78" t="str">
            <v>DIstrict Information Management Officer</v>
          </cell>
          <cell r="EX78">
            <v>9849829112</v>
          </cell>
          <cell r="EY78" t="str">
            <v>Housing Recovery and Reconstruction Platform</v>
          </cell>
          <cell r="EZ78" t="str">
            <v>Binod Kumar Kalauni</v>
          </cell>
          <cell r="FA78" t="str">
            <v>District Technical Officer</v>
          </cell>
          <cell r="FB78">
            <v>9864291323</v>
          </cell>
        </row>
        <row r="79">
          <cell r="A79">
            <v>22007</v>
          </cell>
          <cell r="B79" t="str">
            <v>Dolakha</v>
          </cell>
          <cell r="C79" t="str">
            <v>Melung Gaunpalika</v>
          </cell>
          <cell r="D79">
            <v>884</v>
          </cell>
          <cell r="E79">
            <v>6122</v>
          </cell>
          <cell r="F79">
            <v>7006</v>
          </cell>
          <cell r="G79" t="str">
            <v>Stone and cement mortar masonry</v>
          </cell>
          <cell r="H79">
            <v>0.28999999999999998</v>
          </cell>
          <cell r="I79">
            <v>0.54</v>
          </cell>
          <cell r="J79" t="str">
            <v>Stone and Mud Mortar Masonary</v>
          </cell>
          <cell r="K79">
            <v>99.13</v>
          </cell>
          <cell r="L79">
            <v>94.39</v>
          </cell>
          <cell r="M79" t="str">
            <v>Brick and Cement Mortar Masonary</v>
          </cell>
          <cell r="N79">
            <v>0.1</v>
          </cell>
          <cell r="O79">
            <v>1.54</v>
          </cell>
          <cell r="P79" t="str">
            <v>Brick and mud mortar Masonry</v>
          </cell>
          <cell r="Q79">
            <v>0.03</v>
          </cell>
          <cell r="R79">
            <v>0.04</v>
          </cell>
          <cell r="S79" t="str">
            <v>Reinforced cement concrete (RCC) frame</v>
          </cell>
          <cell r="T79">
            <v>0.03</v>
          </cell>
          <cell r="U79">
            <v>0.67</v>
          </cell>
          <cell r="V79" t="str">
            <v>Hybrid structure</v>
          </cell>
          <cell r="W79">
            <v>0</v>
          </cell>
          <cell r="X79">
            <v>0</v>
          </cell>
          <cell r="Y79" t="str">
            <v>Timber frame structure</v>
          </cell>
          <cell r="Z79">
            <v>0.09</v>
          </cell>
          <cell r="AA79">
            <v>0.64</v>
          </cell>
          <cell r="AB79" t="str">
            <v>Hollow concrete block Masonry</v>
          </cell>
          <cell r="AC79">
            <v>0</v>
          </cell>
          <cell r="AD79">
            <v>0</v>
          </cell>
          <cell r="AE79" t="str">
            <v>Dry stone Masonry</v>
          </cell>
          <cell r="AF79">
            <v>0.13</v>
          </cell>
          <cell r="AG79">
            <v>0.35</v>
          </cell>
          <cell r="AH79" t="str">
            <v>Adobe structures</v>
          </cell>
          <cell r="AI79">
            <v>7.0000000000000007E-2</v>
          </cell>
          <cell r="AJ79">
            <v>1.71</v>
          </cell>
          <cell r="AK79" t="str">
            <v>Bamboo</v>
          </cell>
          <cell r="AL79">
            <v>0.14000000000000001</v>
          </cell>
          <cell r="AM79">
            <v>0.13</v>
          </cell>
          <cell r="AN79" t="str">
            <v>Compressed stabilized earth block (SCEB) Masonry</v>
          </cell>
          <cell r="AO79">
            <v>0</v>
          </cell>
          <cell r="AP79">
            <v>0</v>
          </cell>
          <cell r="AQ79" t="str">
            <v>Light steel frame structures</v>
          </cell>
          <cell r="AR79">
            <v>0</v>
          </cell>
          <cell r="AS79">
            <v>0</v>
          </cell>
          <cell r="AT79">
            <v>7607</v>
          </cell>
          <cell r="AU79">
            <v>6935</v>
          </cell>
          <cell r="AV79">
            <v>6534</v>
          </cell>
          <cell r="AW79">
            <v>5673</v>
          </cell>
          <cell r="AX79">
            <v>4723</v>
          </cell>
          <cell r="AY79">
            <v>4325</v>
          </cell>
          <cell r="AZ79">
            <v>2327</v>
          </cell>
          <cell r="BA79">
            <v>402</v>
          </cell>
          <cell r="BB79">
            <v>426</v>
          </cell>
          <cell r="BC79">
            <v>8</v>
          </cell>
          <cell r="BD79" t="str">
            <v/>
          </cell>
          <cell r="BE79">
            <v>0</v>
          </cell>
          <cell r="BF79">
            <v>1182</v>
          </cell>
          <cell r="BG79" t="str">
            <v/>
          </cell>
          <cell r="BH79" t="str">
            <v/>
          </cell>
          <cell r="BI79" t="str">
            <v>NSET(Rural Housing and Community Infrastructure)</v>
          </cell>
          <cell r="BJ79" t="str">
            <v>AA(Rural Housing and Community Infrastructure),CW(Education,Rural Housing and Community Infrastructure),GON - DUDBC(Rural Housing and Community Infrastructure),MC(Rural Housing and Community Infrastructure),NRCS(Rural Housing and Community Infrastructure),PLAN(Electricity and Renewable Energy,Gender Equality and Social Inclusion,Rural Housing and Community Infrastructure,Water, Sanitation and Hygiene)</v>
          </cell>
          <cell r="BK79">
            <v>173273</v>
          </cell>
          <cell r="BL79" t="str">
            <v>Y</v>
          </cell>
          <cell r="BM79">
            <v>3500</v>
          </cell>
          <cell r="BN79">
            <v>179078</v>
          </cell>
          <cell r="BO79" t="str">
            <v>Y</v>
          </cell>
          <cell r="BP79">
            <v>5000</v>
          </cell>
          <cell r="BQ79">
            <v>18515</v>
          </cell>
          <cell r="BR79" t="str">
            <v>Y</v>
          </cell>
          <cell r="BS79">
            <v>5200</v>
          </cell>
          <cell r="BT79">
            <v>21416</v>
          </cell>
          <cell r="BU79" t="str">
            <v/>
          </cell>
          <cell r="BV79" t="str">
            <v>500</v>
          </cell>
          <cell r="BW79" t="str">
            <v/>
          </cell>
          <cell r="BX79" t="str">
            <v>Y</v>
          </cell>
          <cell r="BY79">
            <v>900</v>
          </cell>
          <cell r="BZ79">
            <v>594016</v>
          </cell>
          <cell r="CA79" t="str">
            <v>Y</v>
          </cell>
          <cell r="CB79">
            <v>1100</v>
          </cell>
          <cell r="CC79">
            <v>1877463</v>
          </cell>
          <cell r="CD79" t="str">
            <v>Y</v>
          </cell>
          <cell r="CE79">
            <v>98</v>
          </cell>
          <cell r="CF79">
            <v>24284</v>
          </cell>
          <cell r="CG79" t="str">
            <v>Y</v>
          </cell>
          <cell r="CH79" t="str">
            <v>72</v>
          </cell>
          <cell r="CI79">
            <v>1747810</v>
          </cell>
          <cell r="CJ79" t="str">
            <v>Y</v>
          </cell>
          <cell r="CK79">
            <v>23</v>
          </cell>
          <cell r="CL79" t="str">
            <v>Skilled</v>
          </cell>
          <cell r="CM79">
            <v>1500</v>
          </cell>
          <cell r="CN79" t="str">
            <v>Labor</v>
          </cell>
          <cell r="CO79">
            <v>800</v>
          </cell>
          <cell r="CP79" t="str">
            <v/>
          </cell>
          <cell r="CQ79" t="str">
            <v/>
          </cell>
          <cell r="CR79" t="str">
            <v/>
          </cell>
          <cell r="CS79" t="str">
            <v/>
          </cell>
          <cell r="CT79" t="str">
            <v/>
          </cell>
          <cell r="CU79" t="str">
            <v/>
          </cell>
          <cell r="CV79" t="str">
            <v>Municipal Office</v>
          </cell>
          <cell r="CW79" t="str">
            <v>Nar Bahadur Shrestha</v>
          </cell>
          <cell r="CX79" t="str">
            <v>Chairman</v>
          </cell>
          <cell r="CY79">
            <v>9851192357</v>
          </cell>
          <cell r="CZ79" t="str">
            <v>Municipal Office</v>
          </cell>
          <cell r="DA79" t="str">
            <v>Kalpana Bhandari</v>
          </cell>
          <cell r="DB79" t="str">
            <v>Deputy Chairman</v>
          </cell>
          <cell r="DC79">
            <v>9860027700</v>
          </cell>
          <cell r="DD79" t="str">
            <v>Municipal Office</v>
          </cell>
          <cell r="DE79" t="str">
            <v>Bhim Bahadur Gharti</v>
          </cell>
          <cell r="DF79" t="str">
            <v>Chief Adminstration Officer</v>
          </cell>
          <cell r="DG79">
            <v>9751017778</v>
          </cell>
          <cell r="DH79" t="str">
            <v>NRA/GMALI</v>
          </cell>
          <cell r="DI79" t="str">
            <v>Nirmal Darshan Acharya</v>
          </cell>
          <cell r="DJ79" t="str">
            <v>NRA Chief-District</v>
          </cell>
          <cell r="DK79">
            <v>9854045832</v>
          </cell>
          <cell r="DL79" t="str">
            <v>DLPIU-Building</v>
          </cell>
          <cell r="DM79" t="str">
            <v>Arjun Tamang</v>
          </cell>
          <cell r="DN79" t="str">
            <v>DUDBC.DLPIU Chief</v>
          </cell>
          <cell r="DO79">
            <v>9849246296</v>
          </cell>
          <cell r="DP79" t="str">
            <v>Municipal Office</v>
          </cell>
          <cell r="DQ79" t="str">
            <v>Suresh Sah</v>
          </cell>
          <cell r="DR79" t="str">
            <v>Focal Person</v>
          </cell>
          <cell r="DS79">
            <v>9806632423</v>
          </cell>
          <cell r="DT79" t="str">
            <v/>
          </cell>
          <cell r="DU79" t="str">
            <v/>
          </cell>
          <cell r="DV79" t="str">
            <v/>
          </cell>
          <cell r="DW79" t="str">
            <v/>
          </cell>
          <cell r="DX79" t="str">
            <v/>
          </cell>
          <cell r="DY79" t="str">
            <v/>
          </cell>
          <cell r="DZ79" t="str">
            <v/>
          </cell>
          <cell r="EA79" t="str">
            <v/>
          </cell>
          <cell r="EB79" t="str">
            <v/>
          </cell>
          <cell r="EC79" t="str">
            <v/>
          </cell>
          <cell r="ED79" t="str">
            <v/>
          </cell>
          <cell r="EE79" t="str">
            <v/>
          </cell>
          <cell r="EF79" t="str">
            <v/>
          </cell>
          <cell r="EG79" t="str">
            <v/>
          </cell>
          <cell r="EH79" t="str">
            <v/>
          </cell>
          <cell r="EI79" t="str">
            <v/>
          </cell>
          <cell r="EJ79">
            <v>414</v>
          </cell>
          <cell r="EK79">
            <v>495</v>
          </cell>
          <cell r="EL79">
            <v>-81</v>
          </cell>
          <cell r="EM79">
            <v>639</v>
          </cell>
          <cell r="EN79">
            <v>0</v>
          </cell>
          <cell r="EO79">
            <v>639</v>
          </cell>
          <cell r="EP79" t="str">
            <v/>
          </cell>
          <cell r="EQ79" t="str">
            <v>Housing Recovery and Reconstruction Platform</v>
          </cell>
          <cell r="ER79" t="str">
            <v>Kamal Bahadur Mahat</v>
          </cell>
          <cell r="ES79" t="str">
            <v>District Coordinator</v>
          </cell>
          <cell r="ET79">
            <v>9841712677</v>
          </cell>
          <cell r="EU79" t="str">
            <v>Housing Recovery and Reconstruction Platform</v>
          </cell>
          <cell r="EV79" t="str">
            <v>Ravi Pajiyar</v>
          </cell>
          <cell r="EW79" t="str">
            <v>DIstrict Information Management Officer</v>
          </cell>
          <cell r="EX79">
            <v>9849829112</v>
          </cell>
          <cell r="EY79" t="str">
            <v>Housing Recovery and Reconstruction Platform</v>
          </cell>
          <cell r="EZ79" t="str">
            <v>Binod Kumar Kalauni</v>
          </cell>
          <cell r="FA79" t="str">
            <v>District Technical Officer</v>
          </cell>
          <cell r="FB79">
            <v>9864291323</v>
          </cell>
        </row>
        <row r="80">
          <cell r="A80">
            <v>22008</v>
          </cell>
          <cell r="B80" t="str">
            <v>Dolakha</v>
          </cell>
          <cell r="C80" t="str">
            <v>Sailung Gaunpalika</v>
          </cell>
          <cell r="D80">
            <v>954</v>
          </cell>
          <cell r="E80">
            <v>5846</v>
          </cell>
          <cell r="F80">
            <v>6800</v>
          </cell>
          <cell r="G80" t="str">
            <v>Stone and cement mortar masonry</v>
          </cell>
          <cell r="H80">
            <v>0.25</v>
          </cell>
          <cell r="I80">
            <v>0.54</v>
          </cell>
          <cell r="J80" t="str">
            <v>Stone and Mud Mortar Masonary</v>
          </cell>
          <cell r="K80">
            <v>98.38</v>
          </cell>
          <cell r="L80">
            <v>94.39</v>
          </cell>
          <cell r="M80" t="str">
            <v>Brick and Cement Mortar Masonary</v>
          </cell>
          <cell r="N80">
            <v>0.25</v>
          </cell>
          <cell r="O80">
            <v>1.54</v>
          </cell>
          <cell r="P80" t="str">
            <v>Brick and mud mortar Masonry</v>
          </cell>
          <cell r="Q80">
            <v>0.01</v>
          </cell>
          <cell r="R80">
            <v>0.04</v>
          </cell>
          <cell r="S80" t="str">
            <v>Reinforced cement concrete (RCC) frame</v>
          </cell>
          <cell r="T80">
            <v>0.1</v>
          </cell>
          <cell r="U80">
            <v>0.67</v>
          </cell>
          <cell r="V80" t="str">
            <v>Hybrid structure</v>
          </cell>
          <cell r="W80">
            <v>0</v>
          </cell>
          <cell r="X80">
            <v>0</v>
          </cell>
          <cell r="Y80" t="str">
            <v>Timber frame structure</v>
          </cell>
          <cell r="Z80">
            <v>0.79</v>
          </cell>
          <cell r="AA80">
            <v>0.64</v>
          </cell>
          <cell r="AB80" t="str">
            <v>Hollow concrete block Masonry</v>
          </cell>
          <cell r="AC80">
            <v>0</v>
          </cell>
          <cell r="AD80">
            <v>0</v>
          </cell>
          <cell r="AE80" t="str">
            <v>Dry stone Masonry</v>
          </cell>
          <cell r="AF80">
            <v>0.09</v>
          </cell>
          <cell r="AG80">
            <v>0.35</v>
          </cell>
          <cell r="AH80" t="str">
            <v>Adobe structures</v>
          </cell>
          <cell r="AI80">
            <v>0.06</v>
          </cell>
          <cell r="AJ80">
            <v>1.71</v>
          </cell>
          <cell r="AK80" t="str">
            <v>Bamboo</v>
          </cell>
          <cell r="AL80">
            <v>0.06</v>
          </cell>
          <cell r="AM80">
            <v>0.13</v>
          </cell>
          <cell r="AN80" t="str">
            <v>Compressed stabilized earth block (SCEB) Masonry</v>
          </cell>
          <cell r="AO80">
            <v>0</v>
          </cell>
          <cell r="AP80">
            <v>0</v>
          </cell>
          <cell r="AQ80" t="str">
            <v>Light steel frame structures</v>
          </cell>
          <cell r="AR80">
            <v>0</v>
          </cell>
          <cell r="AS80">
            <v>0</v>
          </cell>
          <cell r="AT80">
            <v>8119</v>
          </cell>
          <cell r="AU80">
            <v>6979</v>
          </cell>
          <cell r="AV80">
            <v>6831</v>
          </cell>
          <cell r="AW80">
            <v>5303</v>
          </cell>
          <cell r="AX80">
            <v>4070</v>
          </cell>
          <cell r="AY80">
            <v>3714</v>
          </cell>
          <cell r="AZ80">
            <v>3727</v>
          </cell>
          <cell r="BA80">
            <v>746</v>
          </cell>
          <cell r="BB80">
            <v>747</v>
          </cell>
          <cell r="BC80">
            <v>20</v>
          </cell>
          <cell r="BD80" t="str">
            <v/>
          </cell>
          <cell r="BE80">
            <v>0</v>
          </cell>
          <cell r="BF80">
            <v>1358</v>
          </cell>
          <cell r="BG80" t="str">
            <v/>
          </cell>
          <cell r="BH80" t="str">
            <v/>
          </cell>
          <cell r="BI80" t="str">
            <v>NSET(Rural Housing and Community Infrastructure),Pourakhi(Rural Housing and Community Infrastructure)</v>
          </cell>
          <cell r="BJ80" t="str">
            <v>CARITAS-L(Rural Housing and Community Infrastructure),NRA(Rural Housing and Community Infrastructure),PLAN(Disaster Risk Management,Education,Electricity and Renewable Energy,Employment and Livelihood,Gender Equality and Social Inclusion,Rural Housing and Community Infrastructure,Water, Sanitation and Hygiene)</v>
          </cell>
          <cell r="BK80">
            <v>163885</v>
          </cell>
          <cell r="BL80" t="str">
            <v>Y</v>
          </cell>
          <cell r="BM80">
            <v>3500</v>
          </cell>
          <cell r="BN80">
            <v>168699</v>
          </cell>
          <cell r="BO80" t="str">
            <v>Y</v>
          </cell>
          <cell r="BP80">
            <v>5200</v>
          </cell>
          <cell r="BQ80">
            <v>17507</v>
          </cell>
          <cell r="BR80" t="str">
            <v>Y</v>
          </cell>
          <cell r="BS80">
            <v>5200</v>
          </cell>
          <cell r="BT80">
            <v>20228</v>
          </cell>
          <cell r="BU80" t="str">
            <v/>
          </cell>
          <cell r="BV80" t="str">
            <v>500</v>
          </cell>
          <cell r="BW80" t="str">
            <v/>
          </cell>
          <cell r="BX80" t="str">
            <v>Y</v>
          </cell>
          <cell r="BY80">
            <v>900</v>
          </cell>
          <cell r="BZ80">
            <v>560144</v>
          </cell>
          <cell r="CA80" t="str">
            <v>Y</v>
          </cell>
          <cell r="CB80">
            <v>1100</v>
          </cell>
          <cell r="CC80">
            <v>1777362</v>
          </cell>
          <cell r="CD80" t="str">
            <v>Y</v>
          </cell>
          <cell r="CE80">
            <v>98</v>
          </cell>
          <cell r="CF80">
            <v>22901</v>
          </cell>
          <cell r="CG80" t="str">
            <v>Y</v>
          </cell>
          <cell r="CH80" t="str">
            <v>72</v>
          </cell>
          <cell r="CI80">
            <v>1770621</v>
          </cell>
          <cell r="CJ80" t="str">
            <v>Y</v>
          </cell>
          <cell r="CK80">
            <v>25</v>
          </cell>
          <cell r="CL80" t="str">
            <v>Skilled</v>
          </cell>
          <cell r="CM80">
            <v>1500</v>
          </cell>
          <cell r="CN80" t="str">
            <v>Labor</v>
          </cell>
          <cell r="CO80">
            <v>800</v>
          </cell>
          <cell r="CP80" t="str">
            <v/>
          </cell>
          <cell r="CQ80" t="str">
            <v/>
          </cell>
          <cell r="CR80" t="str">
            <v/>
          </cell>
          <cell r="CS80" t="str">
            <v/>
          </cell>
          <cell r="CT80" t="str">
            <v/>
          </cell>
          <cell r="CU80" t="str">
            <v/>
          </cell>
          <cell r="CV80" t="str">
            <v>Municipal Office</v>
          </cell>
          <cell r="CW80" t="str">
            <v>Bharat Dulal</v>
          </cell>
          <cell r="CX80" t="str">
            <v>Chairman</v>
          </cell>
          <cell r="CY80">
            <v>9851172429</v>
          </cell>
          <cell r="CZ80" t="str">
            <v>Municipal Office</v>
          </cell>
          <cell r="DA80" t="str">
            <v>Lal Maya Yonjan</v>
          </cell>
          <cell r="DB80" t="str">
            <v>Deputy Chairman</v>
          </cell>
          <cell r="DC80">
            <v>9818290228</v>
          </cell>
          <cell r="DD80" t="str">
            <v>Municipal Office</v>
          </cell>
          <cell r="DE80" t="str">
            <v>Ramesh B.K. (Sunar)</v>
          </cell>
          <cell r="DF80" t="str">
            <v>Chief Adminstration Officer</v>
          </cell>
          <cell r="DG80">
            <v>9849849483</v>
          </cell>
          <cell r="DH80" t="str">
            <v>NRA/GMALI</v>
          </cell>
          <cell r="DI80" t="str">
            <v>Nirmal Darshan Acharya</v>
          </cell>
          <cell r="DJ80" t="str">
            <v>NRA Chief-District</v>
          </cell>
          <cell r="DK80">
            <v>9854045832</v>
          </cell>
          <cell r="DL80" t="str">
            <v>DLPIU-Building</v>
          </cell>
          <cell r="DM80" t="str">
            <v>Arjun Tamang</v>
          </cell>
          <cell r="DN80" t="str">
            <v>DUDBC.DLPIU Chief</v>
          </cell>
          <cell r="DO80">
            <v>9849246296</v>
          </cell>
          <cell r="DP80" t="str">
            <v>Municipal Office</v>
          </cell>
          <cell r="DQ80" t="str">
            <v>Ananta Paudel</v>
          </cell>
          <cell r="DR80" t="str">
            <v>Focal Person</v>
          </cell>
          <cell r="DS80">
            <v>9813292976</v>
          </cell>
          <cell r="DT80" t="str">
            <v/>
          </cell>
          <cell r="DU80" t="str">
            <v/>
          </cell>
          <cell r="DV80" t="str">
            <v/>
          </cell>
          <cell r="DW80" t="str">
            <v/>
          </cell>
          <cell r="DX80" t="str">
            <v/>
          </cell>
          <cell r="DY80" t="str">
            <v/>
          </cell>
          <cell r="DZ80" t="str">
            <v/>
          </cell>
          <cell r="EA80" t="str">
            <v/>
          </cell>
          <cell r="EB80" t="str">
            <v/>
          </cell>
          <cell r="EC80" t="str">
            <v/>
          </cell>
          <cell r="ED80" t="str">
            <v/>
          </cell>
          <cell r="EE80" t="str">
            <v/>
          </cell>
          <cell r="EF80" t="str">
            <v/>
          </cell>
          <cell r="EG80" t="str">
            <v/>
          </cell>
          <cell r="EH80" t="str">
            <v/>
          </cell>
          <cell r="EI80" t="str">
            <v/>
          </cell>
          <cell r="EJ80">
            <v>414</v>
          </cell>
          <cell r="EK80">
            <v>393</v>
          </cell>
          <cell r="EL80">
            <v>21</v>
          </cell>
          <cell r="EM80">
            <v>612</v>
          </cell>
          <cell r="EN80">
            <v>37</v>
          </cell>
          <cell r="EO80">
            <v>575</v>
          </cell>
          <cell r="EP80" t="str">
            <v/>
          </cell>
          <cell r="EQ80" t="str">
            <v>Housing Recovery and Reconstruction Platform</v>
          </cell>
          <cell r="ER80" t="str">
            <v>Kamal Bahadur Mahat</v>
          </cell>
          <cell r="ES80" t="str">
            <v>District Coordinator</v>
          </cell>
          <cell r="ET80">
            <v>9841712677</v>
          </cell>
          <cell r="EU80" t="str">
            <v>Housing Recovery and Reconstruction Platform</v>
          </cell>
          <cell r="EV80" t="str">
            <v>Ravi Pajiyar</v>
          </cell>
          <cell r="EW80" t="str">
            <v>DIstrict Information Management Officer</v>
          </cell>
          <cell r="EX80">
            <v>9849829112</v>
          </cell>
          <cell r="EY80" t="str">
            <v>Housing Recovery and Reconstruction Platform</v>
          </cell>
          <cell r="EZ80" t="str">
            <v>Binod Kumar Kalauni</v>
          </cell>
          <cell r="FA80" t="str">
            <v>District Technical Officer</v>
          </cell>
          <cell r="FB80">
            <v>9864291323</v>
          </cell>
        </row>
        <row r="81">
          <cell r="A81">
            <v>22009</v>
          </cell>
          <cell r="B81" t="str">
            <v>Dolakha</v>
          </cell>
          <cell r="C81" t="str">
            <v>Tamakoshi Gaunpalika</v>
          </cell>
          <cell r="D81">
            <v>146</v>
          </cell>
          <cell r="E81">
            <v>6045</v>
          </cell>
          <cell r="F81">
            <v>6191</v>
          </cell>
          <cell r="G81" t="str">
            <v>Stone and cement mortar masonry</v>
          </cell>
          <cell r="H81">
            <v>0.66</v>
          </cell>
          <cell r="I81">
            <v>0.54</v>
          </cell>
          <cell r="J81" t="str">
            <v>Stone and Mud Mortar Masonary</v>
          </cell>
          <cell r="K81">
            <v>90.44</v>
          </cell>
          <cell r="L81">
            <v>94.39</v>
          </cell>
          <cell r="M81" t="str">
            <v>Brick and Cement Mortar Masonary</v>
          </cell>
          <cell r="N81">
            <v>0.34</v>
          </cell>
          <cell r="O81">
            <v>1.54</v>
          </cell>
          <cell r="P81" t="str">
            <v>Brick and mud mortar Masonry</v>
          </cell>
          <cell r="Q81">
            <v>0.02</v>
          </cell>
          <cell r="R81">
            <v>0.04</v>
          </cell>
          <cell r="S81" t="str">
            <v>Reinforced cement concrete (RCC) frame</v>
          </cell>
          <cell r="T81">
            <v>0.21</v>
          </cell>
          <cell r="U81">
            <v>0.67</v>
          </cell>
          <cell r="V81" t="str">
            <v>Hybrid structure</v>
          </cell>
          <cell r="W81">
            <v>0</v>
          </cell>
          <cell r="X81">
            <v>0</v>
          </cell>
          <cell r="Y81" t="str">
            <v>Timber frame structure</v>
          </cell>
          <cell r="Z81">
            <v>0.19</v>
          </cell>
          <cell r="AA81">
            <v>0.64</v>
          </cell>
          <cell r="AB81" t="str">
            <v>Hollow concrete block Masonry</v>
          </cell>
          <cell r="AC81">
            <v>0</v>
          </cell>
          <cell r="AD81">
            <v>0</v>
          </cell>
          <cell r="AE81" t="str">
            <v>Dry stone Masonry</v>
          </cell>
          <cell r="AF81">
            <v>0.1</v>
          </cell>
          <cell r="AG81">
            <v>0.35</v>
          </cell>
          <cell r="AH81" t="str">
            <v>Adobe structures</v>
          </cell>
          <cell r="AI81">
            <v>7.86</v>
          </cell>
          <cell r="AJ81">
            <v>1.71</v>
          </cell>
          <cell r="AK81" t="str">
            <v>Bamboo</v>
          </cell>
          <cell r="AL81">
            <v>0.18</v>
          </cell>
          <cell r="AM81">
            <v>0.13</v>
          </cell>
          <cell r="AN81" t="str">
            <v>Compressed stabilized earth block (SCEB) Masonry</v>
          </cell>
          <cell r="AO81">
            <v>0</v>
          </cell>
          <cell r="AP81">
            <v>0</v>
          </cell>
          <cell r="AQ81" t="str">
            <v>Light steel frame structures</v>
          </cell>
          <cell r="AR81">
            <v>0</v>
          </cell>
          <cell r="AS81">
            <v>0</v>
          </cell>
          <cell r="AT81">
            <v>7433</v>
          </cell>
          <cell r="AU81">
            <v>6827</v>
          </cell>
          <cell r="AV81">
            <v>6819</v>
          </cell>
          <cell r="AW81">
            <v>5859</v>
          </cell>
          <cell r="AX81">
            <v>5173</v>
          </cell>
          <cell r="AY81">
            <v>4886</v>
          </cell>
          <cell r="AZ81">
            <v>489</v>
          </cell>
          <cell r="BA81">
            <v>110</v>
          </cell>
          <cell r="BB81">
            <v>110</v>
          </cell>
          <cell r="BC81">
            <v>9</v>
          </cell>
          <cell r="BD81" t="str">
            <v/>
          </cell>
          <cell r="BE81">
            <v>0</v>
          </cell>
          <cell r="BF81">
            <v>828</v>
          </cell>
          <cell r="BG81" t="str">
            <v/>
          </cell>
          <cell r="BH81" t="str">
            <v/>
          </cell>
          <cell r="BI81" t="str">
            <v>NSET(Rural Housing and Community Infrastructure)</v>
          </cell>
          <cell r="BJ81" t="str">
            <v>AA(Disaster Risk Management,Education,Employment and Livelihood,Gender Equality and Social Inclusion),CW(Education,Rural Housing and Community Infrastructure),GON-PAF(Rural Housing and Community Infrastructure),MC(Rural Housing and Community Infrastructure),NRCS(Rural Housing and Community Infrastructure),PLAN(Water, Sanitation and Hygiene)</v>
          </cell>
          <cell r="BK81">
            <v>143059</v>
          </cell>
          <cell r="BL81" t="str">
            <v>Y</v>
          </cell>
          <cell r="BM81" t="str">
            <v/>
          </cell>
          <cell r="BN81">
            <v>143518</v>
          </cell>
          <cell r="BO81" t="str">
            <v>Y</v>
          </cell>
          <cell r="BP81" t="str">
            <v/>
          </cell>
          <cell r="BQ81">
            <v>15249</v>
          </cell>
          <cell r="BR81" t="str">
            <v>Y</v>
          </cell>
          <cell r="BS81" t="str">
            <v/>
          </cell>
          <cell r="BT81">
            <v>17499</v>
          </cell>
          <cell r="BU81" t="str">
            <v/>
          </cell>
          <cell r="BV81" t="str">
            <v/>
          </cell>
          <cell r="BW81" t="str">
            <v/>
          </cell>
          <cell r="BX81" t="str">
            <v/>
          </cell>
          <cell r="BY81" t="str">
            <v/>
          </cell>
          <cell r="BZ81">
            <v>478634</v>
          </cell>
          <cell r="CA81" t="str">
            <v/>
          </cell>
          <cell r="CB81" t="str">
            <v/>
          </cell>
          <cell r="CC81">
            <v>1559098</v>
          </cell>
          <cell r="CD81" t="str">
            <v/>
          </cell>
          <cell r="CE81" t="str">
            <v/>
          </cell>
          <cell r="CF81">
            <v>19572</v>
          </cell>
          <cell r="CG81" t="str">
            <v/>
          </cell>
          <cell r="CH81" t="str">
            <v/>
          </cell>
          <cell r="CI81">
            <v>2044674</v>
          </cell>
          <cell r="CJ81" t="str">
            <v/>
          </cell>
          <cell r="CK81" t="str">
            <v/>
          </cell>
          <cell r="CL81" t="str">
            <v>Skilled</v>
          </cell>
          <cell r="CM81" t="str">
            <v/>
          </cell>
          <cell r="CN81" t="str">
            <v>Labor</v>
          </cell>
          <cell r="CO81" t="str">
            <v/>
          </cell>
          <cell r="CP81" t="str">
            <v/>
          </cell>
          <cell r="CQ81" t="str">
            <v/>
          </cell>
          <cell r="CR81" t="str">
            <v/>
          </cell>
          <cell r="CS81" t="str">
            <v/>
          </cell>
          <cell r="CT81" t="str">
            <v/>
          </cell>
          <cell r="CU81" t="str">
            <v/>
          </cell>
          <cell r="CV81" t="str">
            <v>Municipal Office</v>
          </cell>
          <cell r="CW81" t="str">
            <v>Ishwore Chandra Pokhrel</v>
          </cell>
          <cell r="CX81" t="str">
            <v>Chairman</v>
          </cell>
          <cell r="CY81">
            <v>9851076128</v>
          </cell>
          <cell r="CZ81" t="str">
            <v>Municipal Office</v>
          </cell>
          <cell r="DA81" t="str">
            <v>Urmila Khadka</v>
          </cell>
          <cell r="DB81" t="str">
            <v>Deputy Chairman</v>
          </cell>
          <cell r="DC81">
            <v>9860643489</v>
          </cell>
          <cell r="DD81" t="str">
            <v>Municipal Office</v>
          </cell>
          <cell r="DE81" t="str">
            <v>Dipesh Kattel</v>
          </cell>
          <cell r="DF81" t="str">
            <v>Chief Adminstration Officer</v>
          </cell>
          <cell r="DG81" t="str">
            <v/>
          </cell>
          <cell r="DH81" t="str">
            <v>NRA/GMALI</v>
          </cell>
          <cell r="DI81" t="str">
            <v>Nirmal Darshan Acharya</v>
          </cell>
          <cell r="DJ81" t="str">
            <v>NRA Chief-District</v>
          </cell>
          <cell r="DK81">
            <v>9854045832</v>
          </cell>
          <cell r="DL81" t="str">
            <v>DLPIU-Building</v>
          </cell>
          <cell r="DM81" t="str">
            <v>Arjun Tamang</v>
          </cell>
          <cell r="DN81" t="str">
            <v>DUDBC.DLPIU Chief</v>
          </cell>
          <cell r="DO81">
            <v>9849246296</v>
          </cell>
          <cell r="DP81" t="str">
            <v>Municipal Office</v>
          </cell>
          <cell r="DQ81" t="str">
            <v>Sudhir Shrestha</v>
          </cell>
          <cell r="DR81" t="str">
            <v>Focal Person</v>
          </cell>
          <cell r="DS81">
            <v>9849664663</v>
          </cell>
          <cell r="DT81" t="str">
            <v/>
          </cell>
          <cell r="DU81" t="str">
            <v/>
          </cell>
          <cell r="DV81" t="str">
            <v/>
          </cell>
          <cell r="DW81" t="str">
            <v/>
          </cell>
          <cell r="DX81" t="str">
            <v/>
          </cell>
          <cell r="DY81" t="str">
            <v/>
          </cell>
          <cell r="DZ81" t="str">
            <v/>
          </cell>
          <cell r="EA81" t="str">
            <v/>
          </cell>
          <cell r="EB81" t="str">
            <v/>
          </cell>
          <cell r="EC81" t="str">
            <v/>
          </cell>
          <cell r="ED81" t="str">
            <v/>
          </cell>
          <cell r="EE81" t="str">
            <v/>
          </cell>
          <cell r="EF81" t="str">
            <v/>
          </cell>
          <cell r="EG81" t="str">
            <v/>
          </cell>
          <cell r="EH81" t="str">
            <v/>
          </cell>
          <cell r="EI81" t="str">
            <v/>
          </cell>
          <cell r="EJ81">
            <v>432</v>
          </cell>
          <cell r="EK81">
            <v>430</v>
          </cell>
          <cell r="EL81">
            <v>2</v>
          </cell>
          <cell r="EM81">
            <v>657</v>
          </cell>
          <cell r="EN81">
            <v>68</v>
          </cell>
          <cell r="EO81">
            <v>589</v>
          </cell>
          <cell r="EP81" t="str">
            <v/>
          </cell>
          <cell r="EQ81" t="str">
            <v>Housing Recovery and Reconstruction Platform</v>
          </cell>
          <cell r="ER81" t="str">
            <v>Kamal Bahadur Mahat</v>
          </cell>
          <cell r="ES81" t="str">
            <v>District Coordinator</v>
          </cell>
          <cell r="ET81">
            <v>9841712677</v>
          </cell>
          <cell r="EU81" t="str">
            <v>Housing Recovery and Reconstruction Platform</v>
          </cell>
          <cell r="EV81" t="str">
            <v>Ravi Pajiyar</v>
          </cell>
          <cell r="EW81" t="str">
            <v>DIstrict Information Management Officer</v>
          </cell>
          <cell r="EX81">
            <v>9849829112</v>
          </cell>
          <cell r="EY81" t="str">
            <v>Housing Recovery and Reconstruction Platform</v>
          </cell>
          <cell r="EZ81" t="str">
            <v>Binod Kumar Kalauni</v>
          </cell>
          <cell r="FA81" t="str">
            <v>District Technical Officer</v>
          </cell>
          <cell r="FB81">
            <v>9864291323</v>
          </cell>
        </row>
        <row r="82">
          <cell r="A82">
            <v>23001</v>
          </cell>
          <cell r="B82" t="str">
            <v>Sindhupalchowk</v>
          </cell>
          <cell r="C82" t="str">
            <v>Balefi Gaunpalika</v>
          </cell>
          <cell r="D82">
            <v>191</v>
          </cell>
          <cell r="E82">
            <v>6050</v>
          </cell>
          <cell r="F82">
            <v>6241</v>
          </cell>
          <cell r="G82" t="str">
            <v>Stone and cement mortar masonry</v>
          </cell>
          <cell r="H82">
            <v>1.84</v>
          </cell>
          <cell r="I82">
            <v>1.23</v>
          </cell>
          <cell r="J82" t="str">
            <v>Stone and Mud Mortar Masonary</v>
          </cell>
          <cell r="K82">
            <v>90.82</v>
          </cell>
          <cell r="L82">
            <v>90.24</v>
          </cell>
          <cell r="M82" t="str">
            <v>Brick and Cement Mortar Masonary</v>
          </cell>
          <cell r="N82">
            <v>2.76</v>
          </cell>
          <cell r="O82">
            <v>2.5499999999999998</v>
          </cell>
          <cell r="P82" t="str">
            <v>Brick and mud mortar Masonry</v>
          </cell>
          <cell r="Q82">
            <v>0.21</v>
          </cell>
          <cell r="R82">
            <v>0.16</v>
          </cell>
          <cell r="S82" t="str">
            <v>Reinforced cement concrete (RCC) frame</v>
          </cell>
          <cell r="T82">
            <v>3.78</v>
          </cell>
          <cell r="U82">
            <v>1.57</v>
          </cell>
          <cell r="V82" t="str">
            <v>Hybrid structure</v>
          </cell>
          <cell r="W82">
            <v>0</v>
          </cell>
          <cell r="X82">
            <v>0</v>
          </cell>
          <cell r="Y82" t="str">
            <v>Timber frame structure</v>
          </cell>
          <cell r="Z82">
            <v>0</v>
          </cell>
          <cell r="AA82">
            <v>0.3</v>
          </cell>
          <cell r="AB82" t="str">
            <v>Hollow concrete block Masonry</v>
          </cell>
          <cell r="AC82">
            <v>0</v>
          </cell>
          <cell r="AD82">
            <v>0</v>
          </cell>
          <cell r="AE82" t="str">
            <v>Dry stone Masonry</v>
          </cell>
          <cell r="AF82">
            <v>0.38</v>
          </cell>
          <cell r="AG82">
            <v>1.08</v>
          </cell>
          <cell r="AH82" t="str">
            <v>Adobe structures</v>
          </cell>
          <cell r="AI82">
            <v>0.21</v>
          </cell>
          <cell r="AJ82">
            <v>2.85</v>
          </cell>
          <cell r="AK82" t="str">
            <v>Bamboo</v>
          </cell>
          <cell r="AL82">
            <v>0</v>
          </cell>
          <cell r="AM82">
            <v>0.02</v>
          </cell>
          <cell r="AN82" t="str">
            <v>Compressed stabilized earth block (SCEB) Masonry</v>
          </cell>
          <cell r="AO82">
            <v>0</v>
          </cell>
          <cell r="AP82">
            <v>0</v>
          </cell>
          <cell r="AQ82" t="str">
            <v>Light steel frame structures</v>
          </cell>
          <cell r="AR82">
            <v>0</v>
          </cell>
          <cell r="AS82">
            <v>0</v>
          </cell>
          <cell r="AT82">
            <v>6043</v>
          </cell>
          <cell r="AU82">
            <v>5958</v>
          </cell>
          <cell r="AV82">
            <v>5958</v>
          </cell>
          <cell r="AW82">
            <v>5593</v>
          </cell>
          <cell r="AX82">
            <v>4836</v>
          </cell>
          <cell r="AY82">
            <v>0</v>
          </cell>
          <cell r="AZ82" t="str">
            <v/>
          </cell>
          <cell r="BA82">
            <v>24</v>
          </cell>
          <cell r="BB82">
            <v>5</v>
          </cell>
          <cell r="BC82">
            <v>5</v>
          </cell>
          <cell r="BD82">
            <v>0</v>
          </cell>
          <cell r="BE82">
            <v>1240</v>
          </cell>
          <cell r="BF82">
            <v>464</v>
          </cell>
          <cell r="BG82" t="str">
            <v/>
          </cell>
          <cell r="BH82" t="str">
            <v/>
          </cell>
          <cell r="BI82" t="str">
            <v>JICA(Rural Housing and Community Infrastructure),PIN(Rural Housing and Community Infrastructure)</v>
          </cell>
          <cell r="BJ82" t="str">
            <v>AATWIN(Social Protection),GON(Rural Housing and Community Infrastructure),IOM(Rural Housing and Community Infrastructure),LN(Education),MI(Health),OXFAM-GB(Rural Housing and Community Infrastructure),PLAN(Water, Sanitation and Hygiene),PWJ(Rural Housing and Community Infrastructure),SABAL(Rural Housing and Community Infrastructure),SCI(Education,Employment and Livelihood,Nutrition,Rural Housing and Community Infrastructure,Social Protection,Water, Sanitation and Hygiene),SSS(Education),WVIN(Agriculture, Livestock Development and Irrigation,Water, Sanitation and Hygiene)</v>
          </cell>
          <cell r="BK82">
            <v>234873</v>
          </cell>
          <cell r="BL82" t="str">
            <v>Y</v>
          </cell>
          <cell r="BM82">
            <v>1600</v>
          </cell>
          <cell r="BN82">
            <v>166799</v>
          </cell>
          <cell r="BO82" t="str">
            <v>Y</v>
          </cell>
          <cell r="BP82">
            <v>3000</v>
          </cell>
          <cell r="BQ82">
            <v>24384</v>
          </cell>
          <cell r="BR82" t="str">
            <v>Y</v>
          </cell>
          <cell r="BS82">
            <v>3000</v>
          </cell>
          <cell r="BT82">
            <v>25591</v>
          </cell>
          <cell r="BU82" t="str">
            <v/>
          </cell>
          <cell r="BV82" t="str">
            <v/>
          </cell>
          <cell r="BW82" t="str">
            <v/>
          </cell>
          <cell r="BX82" t="str">
            <v>Y</v>
          </cell>
          <cell r="BY82">
            <v>850</v>
          </cell>
          <cell r="BZ82">
            <v>562365</v>
          </cell>
          <cell r="CA82" t="str">
            <v>Y</v>
          </cell>
          <cell r="CB82">
            <v>960</v>
          </cell>
          <cell r="CC82">
            <v>2654414</v>
          </cell>
          <cell r="CD82" t="str">
            <v>Y</v>
          </cell>
          <cell r="CE82">
            <v>94</v>
          </cell>
          <cell r="CF82">
            <v>22857</v>
          </cell>
          <cell r="CG82" t="str">
            <v/>
          </cell>
          <cell r="CH82" t="str">
            <v/>
          </cell>
          <cell r="CI82">
            <v>7392627</v>
          </cell>
          <cell r="CJ82" t="str">
            <v>Y</v>
          </cell>
          <cell r="CK82">
            <v>16</v>
          </cell>
          <cell r="CL82" t="str">
            <v>Skilled</v>
          </cell>
          <cell r="CM82">
            <v>1500</v>
          </cell>
          <cell r="CN82" t="str">
            <v>Labor</v>
          </cell>
          <cell r="CO82">
            <v>1000</v>
          </cell>
          <cell r="CP82" t="str">
            <v/>
          </cell>
          <cell r="CQ82" t="str">
            <v/>
          </cell>
          <cell r="CR82" t="str">
            <v/>
          </cell>
          <cell r="CS82" t="str">
            <v/>
          </cell>
          <cell r="CT82" t="str">
            <v/>
          </cell>
          <cell r="CU82" t="str">
            <v/>
          </cell>
          <cell r="CV82" t="str">
            <v>Municipal Office</v>
          </cell>
          <cell r="CW82" t="str">
            <v>Kedar Chhetri</v>
          </cell>
          <cell r="CX82" t="str">
            <v>Chairman</v>
          </cell>
          <cell r="CY82">
            <v>9851100694</v>
          </cell>
          <cell r="CZ82" t="str">
            <v>Municipal Office</v>
          </cell>
          <cell r="DA82" t="str">
            <v>Kamala Kayastha</v>
          </cell>
          <cell r="DB82" t="str">
            <v>Deputy Chairman</v>
          </cell>
          <cell r="DC82">
            <v>9849211638</v>
          </cell>
          <cell r="DD82" t="str">
            <v>Municipal Office</v>
          </cell>
          <cell r="DE82" t="str">
            <v>Ganesh Nepali</v>
          </cell>
          <cell r="DF82" t="str">
            <v>Chief Adminstration Officer</v>
          </cell>
          <cell r="DG82">
            <v>9851243637</v>
          </cell>
          <cell r="DH82" t="str">
            <v>NRA/GMALI</v>
          </cell>
          <cell r="DI82" t="str">
            <v>Jay Prakash Gupta</v>
          </cell>
          <cell r="DJ82" t="str">
            <v>NRA Chief-District</v>
          </cell>
          <cell r="DK82">
            <v>9858320531</v>
          </cell>
          <cell r="DL82" t="str">
            <v>DLPIU-Building</v>
          </cell>
          <cell r="DM82" t="str">
            <v>Santosh Kumar Niraula</v>
          </cell>
          <cell r="DN82" t="str">
            <v>DUDBC.DLPIU Chief</v>
          </cell>
          <cell r="DO82">
            <v>9851136372</v>
          </cell>
          <cell r="DP82" t="str">
            <v>Municipal Office</v>
          </cell>
          <cell r="DQ82" t="str">
            <v>Pradeep Kakshyapati</v>
          </cell>
          <cell r="DR82" t="str">
            <v>Focal Person</v>
          </cell>
          <cell r="DS82">
            <v>9849620343</v>
          </cell>
          <cell r="DT82" t="str">
            <v>N/A</v>
          </cell>
          <cell r="DU82" t="str">
            <v>N/A</v>
          </cell>
          <cell r="DV82" t="str">
            <v>N/A</v>
          </cell>
          <cell r="DW82" t="str">
            <v>N/A</v>
          </cell>
          <cell r="DX82" t="str">
            <v>N/A</v>
          </cell>
          <cell r="DY82" t="str">
            <v>N/A</v>
          </cell>
          <cell r="DZ82" t="str">
            <v/>
          </cell>
          <cell r="EA82" t="str">
            <v/>
          </cell>
          <cell r="EB82" t="str">
            <v/>
          </cell>
          <cell r="EC82" t="str">
            <v/>
          </cell>
          <cell r="ED82" t="str">
            <v/>
          </cell>
          <cell r="EE82" t="str">
            <v/>
          </cell>
          <cell r="EF82" t="str">
            <v/>
          </cell>
          <cell r="EG82" t="str">
            <v/>
          </cell>
          <cell r="EH82" t="str">
            <v/>
          </cell>
          <cell r="EI82" t="str">
            <v/>
          </cell>
          <cell r="EJ82">
            <v>423</v>
          </cell>
          <cell r="EK82">
            <v>415</v>
          </cell>
          <cell r="EL82">
            <v>8</v>
          </cell>
          <cell r="EM82">
            <v>630</v>
          </cell>
          <cell r="EN82">
            <v>33</v>
          </cell>
          <cell r="EO82">
            <v>597</v>
          </cell>
          <cell r="EP82" t="str">
            <v/>
          </cell>
          <cell r="EQ82" t="str">
            <v>Housing Recovery and Reconstruction Platform</v>
          </cell>
          <cell r="ER82" t="str">
            <v/>
          </cell>
          <cell r="ES82" t="str">
            <v>District Coordinator</v>
          </cell>
          <cell r="ET82">
            <v>9654028388</v>
          </cell>
          <cell r="EU82" t="str">
            <v>Housing Recovery and Reconstruction Platform</v>
          </cell>
          <cell r="EV82" t="str">
            <v>Pranjal Bhandari</v>
          </cell>
          <cell r="EW82" t="str">
            <v>DIstrict Information Management Officer</v>
          </cell>
          <cell r="EX82">
            <v>9840057752</v>
          </cell>
          <cell r="EY82" t="str">
            <v>Housing Recovery and Reconstruction Platform</v>
          </cell>
          <cell r="EZ82" t="str">
            <v xml:space="preserve">Pradip Sharma </v>
          </cell>
          <cell r="FA82" t="str">
            <v>District Technical Officer</v>
          </cell>
          <cell r="FB82">
            <v>9851073208</v>
          </cell>
        </row>
        <row r="83">
          <cell r="A83">
            <v>23002</v>
          </cell>
          <cell r="B83" t="str">
            <v>Sindhupalchowk</v>
          </cell>
          <cell r="C83" t="str">
            <v>Barhabise Nagarpalika</v>
          </cell>
          <cell r="D83">
            <v>369</v>
          </cell>
          <cell r="E83">
            <v>7619</v>
          </cell>
          <cell r="F83">
            <v>7988</v>
          </cell>
          <cell r="G83" t="str">
            <v>Stone and cement mortar masonry</v>
          </cell>
          <cell r="H83">
            <v>3.86</v>
          </cell>
          <cell r="I83">
            <v>1.23</v>
          </cell>
          <cell r="J83" t="str">
            <v>Stone and Mud Mortar Masonary</v>
          </cell>
          <cell r="K83">
            <v>80.010000000000005</v>
          </cell>
          <cell r="L83">
            <v>90.24</v>
          </cell>
          <cell r="M83" t="str">
            <v>Brick and Cement Mortar Masonary</v>
          </cell>
          <cell r="N83">
            <v>5.0599999999999996</v>
          </cell>
          <cell r="O83">
            <v>2.5499999999999998</v>
          </cell>
          <cell r="P83" t="str">
            <v>Brick and mud mortar Masonry</v>
          </cell>
          <cell r="Q83">
            <v>0.14000000000000001</v>
          </cell>
          <cell r="R83">
            <v>0.16</v>
          </cell>
          <cell r="S83" t="str">
            <v>Reinforced cement concrete (RCC) frame</v>
          </cell>
          <cell r="T83">
            <v>1.85</v>
          </cell>
          <cell r="U83">
            <v>1.57</v>
          </cell>
          <cell r="V83" t="str">
            <v>Hybrid structure</v>
          </cell>
          <cell r="W83">
            <v>0</v>
          </cell>
          <cell r="X83">
            <v>0</v>
          </cell>
          <cell r="Y83" t="str">
            <v>Timber frame structure</v>
          </cell>
          <cell r="Z83">
            <v>0.93</v>
          </cell>
          <cell r="AA83">
            <v>0.3</v>
          </cell>
          <cell r="AB83" t="str">
            <v>Hollow concrete block Masonry</v>
          </cell>
          <cell r="AC83">
            <v>0</v>
          </cell>
          <cell r="AD83">
            <v>0</v>
          </cell>
          <cell r="AE83" t="str">
            <v>Dry stone Masonry</v>
          </cell>
          <cell r="AF83">
            <v>0.83</v>
          </cell>
          <cell r="AG83">
            <v>1.08</v>
          </cell>
          <cell r="AH83" t="str">
            <v>Adobe structures</v>
          </cell>
          <cell r="AI83">
            <v>7.26</v>
          </cell>
          <cell r="AJ83">
            <v>2.85</v>
          </cell>
          <cell r="AK83" t="str">
            <v>Bamboo</v>
          </cell>
          <cell r="AL83">
            <v>0.06</v>
          </cell>
          <cell r="AM83">
            <v>0.02</v>
          </cell>
          <cell r="AN83" t="str">
            <v>Compressed stabilized earth block (SCEB) Masonry</v>
          </cell>
          <cell r="AO83">
            <v>0</v>
          </cell>
          <cell r="AP83">
            <v>0</v>
          </cell>
          <cell r="AQ83" t="str">
            <v>Light steel frame structures</v>
          </cell>
          <cell r="AR83">
            <v>0</v>
          </cell>
          <cell r="AS83">
            <v>0</v>
          </cell>
          <cell r="AT83">
            <v>7811</v>
          </cell>
          <cell r="AU83">
            <v>7702</v>
          </cell>
          <cell r="AV83">
            <v>7700</v>
          </cell>
          <cell r="AW83">
            <v>6934</v>
          </cell>
          <cell r="AX83">
            <v>4809</v>
          </cell>
          <cell r="AY83">
            <v>0</v>
          </cell>
          <cell r="AZ83" t="str">
            <v/>
          </cell>
          <cell r="BA83">
            <v>72</v>
          </cell>
          <cell r="BB83">
            <v>18</v>
          </cell>
          <cell r="BC83">
            <v>18</v>
          </cell>
          <cell r="BD83">
            <v>0</v>
          </cell>
          <cell r="BE83">
            <v>2490</v>
          </cell>
          <cell r="BF83">
            <v>683</v>
          </cell>
          <cell r="BG83" t="str">
            <v/>
          </cell>
          <cell r="BH83" t="str">
            <v/>
          </cell>
          <cell r="BI83" t="str">
            <v>BC(Rural Housing and Community Infrastructure),CECI(Agriculture, Livestock Development and Irrigation,Disaster Risk Management,Employment and Livelihood,Governance),JICA(Rural Housing and Community Infrastructure)</v>
          </cell>
          <cell r="BJ83" t="str">
            <v>AATWIN(Social Protection),GON-PAF(Rural Housing and Community Infrastructure),ICCO(Agriculture, Livestock Development and Irrigation,Education,Employment and Livelihood,Rural Housing and Community Infrastructure),IOM(Rural Housing and Community Infrastructure),MC(NA-Others-Others-(Please specify in Activity Detail),Rural Housing and Community Infrastructure),NN(Education),NR(Education),OXFAM-GB(Rural Housing and Community Infrastructure),PLAN(Water, Sanitation and Hygiene),SABAL(Rural Housing and Community Infrastructure),SCI(Nutrition,Rural Housing and Community Infrastructure),SSS(Education)</v>
          </cell>
          <cell r="BK83">
            <v>191858</v>
          </cell>
          <cell r="BL83" t="str">
            <v/>
          </cell>
          <cell r="BM83" t="str">
            <v/>
          </cell>
          <cell r="BN83">
            <v>137004</v>
          </cell>
          <cell r="BO83" t="str">
            <v/>
          </cell>
          <cell r="BP83" t="str">
            <v/>
          </cell>
          <cell r="BQ83">
            <v>19919</v>
          </cell>
          <cell r="BR83" t="str">
            <v/>
          </cell>
          <cell r="BS83" t="str">
            <v/>
          </cell>
          <cell r="BT83">
            <v>20910</v>
          </cell>
          <cell r="BU83" t="str">
            <v/>
          </cell>
          <cell r="BV83" t="str">
            <v/>
          </cell>
          <cell r="BW83" t="str">
            <v/>
          </cell>
          <cell r="BX83" t="str">
            <v/>
          </cell>
          <cell r="BY83" t="str">
            <v/>
          </cell>
          <cell r="BZ83">
            <v>457262</v>
          </cell>
          <cell r="CA83" t="str">
            <v/>
          </cell>
          <cell r="CB83" t="str">
            <v/>
          </cell>
          <cell r="CC83">
            <v>2161144</v>
          </cell>
          <cell r="CD83" t="str">
            <v/>
          </cell>
          <cell r="CE83" t="str">
            <v/>
          </cell>
          <cell r="CF83">
            <v>18559</v>
          </cell>
          <cell r="CG83" t="str">
            <v/>
          </cell>
          <cell r="CH83" t="str">
            <v/>
          </cell>
          <cell r="CI83">
            <v>5297365</v>
          </cell>
          <cell r="CJ83" t="str">
            <v/>
          </cell>
          <cell r="CK83" t="str">
            <v/>
          </cell>
          <cell r="CL83" t="str">
            <v>Skilled</v>
          </cell>
          <cell r="CM83" t="str">
            <v/>
          </cell>
          <cell r="CN83" t="str">
            <v>Labor</v>
          </cell>
          <cell r="CO83" t="str">
            <v/>
          </cell>
          <cell r="CP83" t="str">
            <v/>
          </cell>
          <cell r="CQ83" t="str">
            <v/>
          </cell>
          <cell r="CR83" t="str">
            <v/>
          </cell>
          <cell r="CS83" t="str">
            <v/>
          </cell>
          <cell r="CT83" t="str">
            <v/>
          </cell>
          <cell r="CU83" t="str">
            <v/>
          </cell>
          <cell r="CV83" t="str">
            <v>Municipal Office</v>
          </cell>
          <cell r="CW83" t="str">
            <v>Nimafunjo Sherpa</v>
          </cell>
          <cell r="CX83" t="str">
            <v>Mayor</v>
          </cell>
          <cell r="CY83">
            <v>9851077128</v>
          </cell>
          <cell r="CZ83" t="str">
            <v>Municipal Office</v>
          </cell>
          <cell r="DA83" t="str">
            <v>Sushila Pakhrin</v>
          </cell>
          <cell r="DB83" t="str">
            <v>Deputy Mayor</v>
          </cell>
          <cell r="DC83">
            <v>9841590646</v>
          </cell>
          <cell r="DD83" t="str">
            <v>Municipal Office</v>
          </cell>
          <cell r="DE83" t="str">
            <v>Fadindra Prasad Poudel</v>
          </cell>
          <cell r="DF83" t="str">
            <v>Chief Adminstration Officer</v>
          </cell>
          <cell r="DG83">
            <v>9841403866</v>
          </cell>
          <cell r="DH83" t="str">
            <v>NRA/GMALI</v>
          </cell>
          <cell r="DI83" t="str">
            <v>Jay Prakash Gupta</v>
          </cell>
          <cell r="DJ83" t="str">
            <v>NRA Chief-District</v>
          </cell>
          <cell r="DK83">
            <v>9858320531</v>
          </cell>
          <cell r="DL83" t="str">
            <v>DLPIU-Building</v>
          </cell>
          <cell r="DM83" t="str">
            <v>Santosh Kumar Niraula</v>
          </cell>
          <cell r="DN83" t="str">
            <v>DUDBC.DLPIU Chief</v>
          </cell>
          <cell r="DO83">
            <v>9851136372</v>
          </cell>
          <cell r="DP83" t="str">
            <v>Municipal Office</v>
          </cell>
          <cell r="DQ83" t="str">
            <v>Surendra Nepal</v>
          </cell>
          <cell r="DR83" t="str">
            <v>Focal Person</v>
          </cell>
          <cell r="DS83">
            <v>9861345052</v>
          </cell>
          <cell r="DT83" t="str">
            <v/>
          </cell>
          <cell r="DU83" t="str">
            <v/>
          </cell>
          <cell r="DV83" t="str">
            <v/>
          </cell>
          <cell r="DW83" t="str">
            <v/>
          </cell>
          <cell r="DX83" t="str">
            <v/>
          </cell>
          <cell r="DY83" t="str">
            <v/>
          </cell>
          <cell r="DZ83" t="str">
            <v/>
          </cell>
          <cell r="EA83" t="str">
            <v/>
          </cell>
          <cell r="EB83" t="str">
            <v/>
          </cell>
          <cell r="EC83" t="str">
            <v/>
          </cell>
          <cell r="ED83" t="str">
            <v/>
          </cell>
          <cell r="EE83" t="str">
            <v/>
          </cell>
          <cell r="EF83" t="str">
            <v/>
          </cell>
          <cell r="EG83" t="str">
            <v/>
          </cell>
          <cell r="EH83" t="str">
            <v/>
          </cell>
          <cell r="EI83" t="str">
            <v/>
          </cell>
          <cell r="EJ83">
            <v>461</v>
          </cell>
          <cell r="EK83">
            <v>548</v>
          </cell>
          <cell r="EL83">
            <v>-87</v>
          </cell>
          <cell r="EM83">
            <v>689</v>
          </cell>
          <cell r="EN83">
            <v>115</v>
          </cell>
          <cell r="EO83">
            <v>574</v>
          </cell>
          <cell r="EP83" t="str">
            <v/>
          </cell>
          <cell r="EQ83" t="str">
            <v>Housing Recovery and Reconstruction Platform</v>
          </cell>
          <cell r="ER83" t="str">
            <v/>
          </cell>
          <cell r="ES83" t="str">
            <v>District Coordinator</v>
          </cell>
          <cell r="ET83">
            <v>9654028388</v>
          </cell>
          <cell r="EU83" t="str">
            <v>Housing Recovery and Reconstruction Platform</v>
          </cell>
          <cell r="EV83" t="str">
            <v>Pranjal Bhandari</v>
          </cell>
          <cell r="EW83" t="str">
            <v>DIstrict Information Management Officer</v>
          </cell>
          <cell r="EX83">
            <v>9840057752</v>
          </cell>
          <cell r="EY83" t="str">
            <v>Housing Recovery and Reconstruction Platform</v>
          </cell>
          <cell r="EZ83" t="str">
            <v xml:space="preserve">Pradip Sharma </v>
          </cell>
          <cell r="FA83" t="str">
            <v>District Technical Officer</v>
          </cell>
          <cell r="FB83">
            <v>9851073208</v>
          </cell>
        </row>
        <row r="84">
          <cell r="A84">
            <v>23003</v>
          </cell>
          <cell r="B84" t="str">
            <v>Sindhupalchowk</v>
          </cell>
          <cell r="C84" t="str">
            <v>Bhotekoshi Gaunpalika</v>
          </cell>
          <cell r="D84">
            <v>392</v>
          </cell>
          <cell r="E84">
            <v>4046</v>
          </cell>
          <cell r="F84">
            <v>4438</v>
          </cell>
          <cell r="G84" t="str">
            <v>Stone and cement mortar masonry</v>
          </cell>
          <cell r="H84">
            <v>3.78</v>
          </cell>
          <cell r="I84">
            <v>1.23</v>
          </cell>
          <cell r="J84" t="str">
            <v>Stone and Mud Mortar Masonary</v>
          </cell>
          <cell r="K84">
            <v>75.38</v>
          </cell>
          <cell r="L84">
            <v>90.24</v>
          </cell>
          <cell r="M84" t="str">
            <v>Brick and Cement Mortar Masonary</v>
          </cell>
          <cell r="N84">
            <v>12.13</v>
          </cell>
          <cell r="O84">
            <v>2.5499999999999998</v>
          </cell>
          <cell r="P84" t="str">
            <v>Brick and mud mortar Masonry</v>
          </cell>
          <cell r="Q84">
            <v>0.18</v>
          </cell>
          <cell r="R84">
            <v>0.16</v>
          </cell>
          <cell r="S84" t="str">
            <v>Reinforced cement concrete (RCC) frame</v>
          </cell>
          <cell r="T84">
            <v>0.88</v>
          </cell>
          <cell r="U84">
            <v>1.57</v>
          </cell>
          <cell r="V84" t="str">
            <v>Hybrid structure</v>
          </cell>
          <cell r="W84">
            <v>0</v>
          </cell>
          <cell r="X84">
            <v>0</v>
          </cell>
          <cell r="Y84" t="str">
            <v>Timber frame structure</v>
          </cell>
          <cell r="Z84">
            <v>2.2200000000000002</v>
          </cell>
          <cell r="AA84">
            <v>0.3</v>
          </cell>
          <cell r="AB84" t="str">
            <v>Hollow concrete block Masonry</v>
          </cell>
          <cell r="AC84">
            <v>0</v>
          </cell>
          <cell r="AD84">
            <v>0</v>
          </cell>
          <cell r="AE84" t="str">
            <v>Dry stone Masonry</v>
          </cell>
          <cell r="AF84">
            <v>5.36</v>
          </cell>
          <cell r="AG84">
            <v>1.08</v>
          </cell>
          <cell r="AH84" t="str">
            <v>Adobe structures</v>
          </cell>
          <cell r="AI84">
            <v>0.05</v>
          </cell>
          <cell r="AJ84">
            <v>2.85</v>
          </cell>
          <cell r="AK84" t="str">
            <v>Bamboo</v>
          </cell>
          <cell r="AL84">
            <v>0.02</v>
          </cell>
          <cell r="AM84">
            <v>0.02</v>
          </cell>
          <cell r="AN84" t="str">
            <v>Compressed stabilized earth block (SCEB) Masonry</v>
          </cell>
          <cell r="AO84">
            <v>0</v>
          </cell>
          <cell r="AP84">
            <v>0</v>
          </cell>
          <cell r="AQ84" t="str">
            <v>Light steel frame structures</v>
          </cell>
          <cell r="AR84">
            <v>0</v>
          </cell>
          <cell r="AS84">
            <v>0</v>
          </cell>
          <cell r="AT84">
            <v>4214</v>
          </cell>
          <cell r="AU84">
            <v>4050</v>
          </cell>
          <cell r="AV84">
            <v>4033</v>
          </cell>
          <cell r="AW84">
            <v>3198</v>
          </cell>
          <cell r="AX84">
            <v>1418</v>
          </cell>
          <cell r="AY84">
            <v>0</v>
          </cell>
          <cell r="AZ84" t="str">
            <v/>
          </cell>
          <cell r="BA84">
            <v>68</v>
          </cell>
          <cell r="BB84">
            <v>8</v>
          </cell>
          <cell r="BC84">
            <v>8</v>
          </cell>
          <cell r="BD84">
            <v>0</v>
          </cell>
          <cell r="BE84">
            <v>1150</v>
          </cell>
          <cell r="BF84">
            <v>439</v>
          </cell>
          <cell r="BG84">
            <v>80</v>
          </cell>
          <cell r="BH84">
            <v>20</v>
          </cell>
          <cell r="BI84" t="str">
            <v/>
          </cell>
          <cell r="BJ84" t="str">
            <v>OXFAM-GB(Rural Housing and Community Infrastructure),SABAL(Rural Housing and Community Infrastructure)</v>
          </cell>
          <cell r="BK84">
            <v>116142</v>
          </cell>
          <cell r="BL84" t="str">
            <v>Y</v>
          </cell>
          <cell r="BM84">
            <v>6500</v>
          </cell>
          <cell r="BN84">
            <v>79602</v>
          </cell>
          <cell r="BO84" t="str">
            <v>Y</v>
          </cell>
          <cell r="BP84">
            <v>8500</v>
          </cell>
          <cell r="BQ84">
            <v>12047</v>
          </cell>
          <cell r="BR84" t="str">
            <v>Y</v>
          </cell>
          <cell r="BS84">
            <v>8500</v>
          </cell>
          <cell r="BT84">
            <v>12601</v>
          </cell>
          <cell r="BU84" t="str">
            <v/>
          </cell>
          <cell r="BV84" t="str">
            <v/>
          </cell>
          <cell r="BW84" t="str">
            <v/>
          </cell>
          <cell r="BX84" t="str">
            <v/>
          </cell>
          <cell r="BY84" t="str">
            <v/>
          </cell>
          <cell r="BZ84">
            <v>280861</v>
          </cell>
          <cell r="CA84" t="str">
            <v>Y</v>
          </cell>
          <cell r="CB84">
            <v>840</v>
          </cell>
          <cell r="CC84">
            <v>1332792</v>
          </cell>
          <cell r="CD84" t="str">
            <v>Y</v>
          </cell>
          <cell r="CE84">
            <v>85</v>
          </cell>
          <cell r="CF84">
            <v>11482</v>
          </cell>
          <cell r="CG84" t="str">
            <v>Y</v>
          </cell>
          <cell r="CH84" t="str">
            <v>8740</v>
          </cell>
          <cell r="CI84">
            <v>5681132</v>
          </cell>
          <cell r="CJ84" t="str">
            <v>Y</v>
          </cell>
          <cell r="CK84">
            <v>17.5</v>
          </cell>
          <cell r="CL84" t="str">
            <v>Skilled</v>
          </cell>
          <cell r="CM84">
            <v>1000</v>
          </cell>
          <cell r="CN84" t="str">
            <v>Labor</v>
          </cell>
          <cell r="CO84">
            <v>700</v>
          </cell>
          <cell r="CP84" t="str">
            <v/>
          </cell>
          <cell r="CQ84" t="str">
            <v/>
          </cell>
          <cell r="CR84" t="str">
            <v/>
          </cell>
          <cell r="CS84" t="str">
            <v/>
          </cell>
          <cell r="CT84" t="str">
            <v/>
          </cell>
          <cell r="CU84" t="str">
            <v/>
          </cell>
          <cell r="CV84" t="str">
            <v>Municipal Office</v>
          </cell>
          <cell r="CW84" t="str">
            <v>Rajkumar Poudel</v>
          </cell>
          <cell r="CX84" t="str">
            <v>Chairman</v>
          </cell>
          <cell r="CY84">
            <v>9851021832</v>
          </cell>
          <cell r="CZ84" t="str">
            <v>Municipal Office</v>
          </cell>
          <cell r="DA84" t="str">
            <v>Dabuti Sherpa</v>
          </cell>
          <cell r="DB84" t="str">
            <v>Deputy Chairman</v>
          </cell>
          <cell r="DC84">
            <v>9843043563</v>
          </cell>
          <cell r="DD84" t="str">
            <v>Municipal Office</v>
          </cell>
          <cell r="DE84" t="str">
            <v>Deependra Regmi</v>
          </cell>
          <cell r="DF84" t="str">
            <v>Chief Adminstration Officer</v>
          </cell>
          <cell r="DG84">
            <v>9851147221</v>
          </cell>
          <cell r="DH84" t="str">
            <v>NRA/GMALI</v>
          </cell>
          <cell r="DI84" t="str">
            <v>Jay Prakash Gupta</v>
          </cell>
          <cell r="DJ84" t="str">
            <v>NRA Chief-District</v>
          </cell>
          <cell r="DK84">
            <v>9858320531</v>
          </cell>
          <cell r="DL84" t="str">
            <v>DLPIU-Building</v>
          </cell>
          <cell r="DM84" t="str">
            <v>Santosh Kumar Niraula</v>
          </cell>
          <cell r="DN84" t="str">
            <v>DUDBC.DLPIU Chief</v>
          </cell>
          <cell r="DO84">
            <v>9851136372</v>
          </cell>
          <cell r="DP84" t="str">
            <v>Municipal Office</v>
          </cell>
          <cell r="DQ84" t="str">
            <v>Bijaya B.K</v>
          </cell>
          <cell r="DR84" t="str">
            <v>Focal Person</v>
          </cell>
          <cell r="DS84">
            <v>9849637657</v>
          </cell>
          <cell r="DT84" t="str">
            <v>20</v>
          </cell>
          <cell r="DU84" t="str">
            <v>10</v>
          </cell>
          <cell r="DV84" t="str">
            <v>100</v>
          </cell>
          <cell r="DW84" t="str">
            <v>30</v>
          </cell>
          <cell r="DX84" t="str">
            <v>30</v>
          </cell>
          <cell r="DY84" t="str">
            <v>10</v>
          </cell>
          <cell r="DZ84">
            <v>6</v>
          </cell>
          <cell r="EA84" t="str">
            <v>0</v>
          </cell>
          <cell r="EB84">
            <v>5</v>
          </cell>
          <cell r="EC84" t="str">
            <v>0</v>
          </cell>
          <cell r="ED84" t="str">
            <v/>
          </cell>
          <cell r="EE84" t="str">
            <v/>
          </cell>
          <cell r="EF84" t="str">
            <v>200</v>
          </cell>
          <cell r="EG84" t="str">
            <v>0</v>
          </cell>
          <cell r="EH84" t="str">
            <v/>
          </cell>
          <cell r="EI84" t="str">
            <v/>
          </cell>
          <cell r="EJ84">
            <v>289</v>
          </cell>
          <cell r="EK84">
            <v>197</v>
          </cell>
          <cell r="EL84">
            <v>92</v>
          </cell>
          <cell r="EM84">
            <v>429</v>
          </cell>
          <cell r="EN84">
            <v>40</v>
          </cell>
          <cell r="EO84">
            <v>389</v>
          </cell>
          <cell r="EP84" t="str">
            <v/>
          </cell>
          <cell r="EQ84" t="str">
            <v>Housing Recovery and Reconstruction Platform</v>
          </cell>
          <cell r="ER84" t="str">
            <v/>
          </cell>
          <cell r="ES84" t="str">
            <v>District Coordinator</v>
          </cell>
          <cell r="ET84">
            <v>9654028388</v>
          </cell>
          <cell r="EU84" t="str">
            <v>Housing Recovery and Reconstruction Platform</v>
          </cell>
          <cell r="EV84" t="str">
            <v>Pranjal Bhandari</v>
          </cell>
          <cell r="EW84" t="str">
            <v>DIstrict Information Management Officer</v>
          </cell>
          <cell r="EX84">
            <v>9840057752</v>
          </cell>
          <cell r="EY84" t="str">
            <v>Housing Recovery and Reconstruction Platform</v>
          </cell>
          <cell r="EZ84" t="str">
            <v xml:space="preserve">Pradip Sharma </v>
          </cell>
          <cell r="FA84" t="str">
            <v>District Technical Officer</v>
          </cell>
          <cell r="FB84">
            <v>9851073208</v>
          </cell>
        </row>
        <row r="85">
          <cell r="A85">
            <v>23004</v>
          </cell>
          <cell r="B85" t="str">
            <v>Sindhupalchowk</v>
          </cell>
          <cell r="C85" t="str">
            <v>Chautara SangachokGadhi Nagarpalika</v>
          </cell>
          <cell r="D85">
            <v>804</v>
          </cell>
          <cell r="E85">
            <v>13776</v>
          </cell>
          <cell r="F85">
            <v>14580</v>
          </cell>
          <cell r="G85" t="str">
            <v>Stone and cement mortar masonry</v>
          </cell>
          <cell r="H85">
            <v>0.73</v>
          </cell>
          <cell r="I85">
            <v>1.23</v>
          </cell>
          <cell r="J85" t="str">
            <v>Stone and Mud Mortar Masonary</v>
          </cell>
          <cell r="K85">
            <v>89.86</v>
          </cell>
          <cell r="L85">
            <v>90.24</v>
          </cell>
          <cell r="M85" t="str">
            <v>Brick and Cement Mortar Masonary</v>
          </cell>
          <cell r="N85">
            <v>3.97</v>
          </cell>
          <cell r="O85">
            <v>2.5499999999999998</v>
          </cell>
          <cell r="P85" t="str">
            <v>Brick and mud mortar Masonry</v>
          </cell>
          <cell r="Q85">
            <v>0.22</v>
          </cell>
          <cell r="R85">
            <v>0.16</v>
          </cell>
          <cell r="S85" t="str">
            <v>Reinforced cement concrete (RCC) frame</v>
          </cell>
          <cell r="T85">
            <v>2.65</v>
          </cell>
          <cell r="U85">
            <v>1.57</v>
          </cell>
          <cell r="V85" t="str">
            <v>Hybrid structure</v>
          </cell>
          <cell r="W85">
            <v>0</v>
          </cell>
          <cell r="X85">
            <v>0</v>
          </cell>
          <cell r="Y85" t="str">
            <v>Timber frame structure</v>
          </cell>
          <cell r="Z85">
            <v>0.1</v>
          </cell>
          <cell r="AA85">
            <v>0.3</v>
          </cell>
          <cell r="AB85" t="str">
            <v>Hollow concrete block Masonry</v>
          </cell>
          <cell r="AC85">
            <v>0</v>
          </cell>
          <cell r="AD85">
            <v>0</v>
          </cell>
          <cell r="AE85" t="str">
            <v>Dry stone Masonry</v>
          </cell>
          <cell r="AF85">
            <v>0.78</v>
          </cell>
          <cell r="AG85">
            <v>1.08</v>
          </cell>
          <cell r="AH85" t="str">
            <v>Adobe structures</v>
          </cell>
          <cell r="AI85">
            <v>1.7</v>
          </cell>
          <cell r="AJ85">
            <v>2.85</v>
          </cell>
          <cell r="AK85" t="str">
            <v>Bamboo</v>
          </cell>
          <cell r="AL85">
            <v>0.01</v>
          </cell>
          <cell r="AM85">
            <v>0.02</v>
          </cell>
          <cell r="AN85" t="str">
            <v>Compressed stabilized earth block (SCEB) Masonry</v>
          </cell>
          <cell r="AO85">
            <v>0</v>
          </cell>
          <cell r="AP85">
            <v>0</v>
          </cell>
          <cell r="AQ85" t="str">
            <v>Light steel frame structures</v>
          </cell>
          <cell r="AR85">
            <v>0</v>
          </cell>
          <cell r="AS85">
            <v>0</v>
          </cell>
          <cell r="AT85">
            <v>13961</v>
          </cell>
          <cell r="AU85">
            <v>13763</v>
          </cell>
          <cell r="AV85">
            <v>13755</v>
          </cell>
          <cell r="AW85">
            <v>12811</v>
          </cell>
          <cell r="AX85">
            <v>11023</v>
          </cell>
          <cell r="AY85">
            <v>0</v>
          </cell>
          <cell r="AZ85" t="str">
            <v/>
          </cell>
          <cell r="BA85">
            <v>95</v>
          </cell>
          <cell r="BB85">
            <v>33</v>
          </cell>
          <cell r="BC85">
            <v>33</v>
          </cell>
          <cell r="BD85">
            <v>0</v>
          </cell>
          <cell r="BE85">
            <v>3513</v>
          </cell>
          <cell r="BF85">
            <v>1512</v>
          </cell>
          <cell r="BG85" t="str">
            <v/>
          </cell>
          <cell r="BH85" t="str">
            <v/>
          </cell>
          <cell r="BI85" t="str">
            <v>BC(Education,Rural Housing and Community Infrastructure),GSS(Education),JICA(NA-Others-Others-(Please specify in Activity Detail),Rural Housing and Community Infrastructure),NRCS(Health),PIN(Rural Housing and Community Infrastructure)</v>
          </cell>
          <cell r="BJ85" t="str">
            <v>ANMF-N(Health),CARE-N(Agriculture, Livestock Development and Irrigation),CARITAS-N(Rural Housing and Community Infrastructure),FAIRMED(Health),GON-PAF(Rural Housing and Community Infrastructure),HELP(Disaster Risk Management,Education,Employment and Livelihood,Rural Housing and Community Infrastructure,Water, Sanitation and Hygiene),NDBS(Education),NJSI(Education),OXFAM-GB(Rural Housing and Community Infrastructure),PLAN(Gender Equality and Social Inclusion,Rural Housing and Community Infrastructure,Water, Sanitation and Hygiene),PWJ(Rural Housing and Community Infrastructure,Water, Sanitation and Hygiene),SABAL(Rural Housing and Community Infrastructure),SCI(Education,Employment and Livelihood,Nutrition,Rural Housing and Community Infrastructure,Social Protection,Water, Sanitation and Hygiene),UNDP(NA-Others-Others-(Please specify in Activity Detail),Rural Housing and Community Infrastructure),UNWOMEN(Rural Housing and Community Infrastructure),WVIN(Agriculture, Livestock Development and Irrigation,Rural Housing and Community Infrastructure,Water, Sanitation and Hygiene)</v>
          </cell>
          <cell r="BK85">
            <v>366837</v>
          </cell>
          <cell r="BL85" t="str">
            <v/>
          </cell>
          <cell r="BM85" t="str">
            <v/>
          </cell>
          <cell r="BN85">
            <v>321584</v>
          </cell>
          <cell r="BO85" t="str">
            <v/>
          </cell>
          <cell r="BP85" t="str">
            <v/>
          </cell>
          <cell r="BQ85">
            <v>38652</v>
          </cell>
          <cell r="BR85" t="str">
            <v/>
          </cell>
          <cell r="BS85" t="str">
            <v/>
          </cell>
          <cell r="BT85">
            <v>42710</v>
          </cell>
          <cell r="BU85" t="str">
            <v/>
          </cell>
          <cell r="BV85" t="str">
            <v/>
          </cell>
          <cell r="BW85" t="str">
            <v/>
          </cell>
          <cell r="BX85" t="str">
            <v/>
          </cell>
          <cell r="BY85" t="str">
            <v/>
          </cell>
          <cell r="BZ85">
            <v>1069700</v>
          </cell>
          <cell r="CA85" t="str">
            <v/>
          </cell>
          <cell r="CB85" t="str">
            <v/>
          </cell>
          <cell r="CC85">
            <v>4052525</v>
          </cell>
          <cell r="CD85" t="str">
            <v/>
          </cell>
          <cell r="CE85" t="str">
            <v/>
          </cell>
          <cell r="CF85">
            <v>43607</v>
          </cell>
          <cell r="CG85" t="str">
            <v/>
          </cell>
          <cell r="CH85" t="str">
            <v/>
          </cell>
          <cell r="CI85">
            <v>6909671</v>
          </cell>
          <cell r="CJ85" t="str">
            <v/>
          </cell>
          <cell r="CK85" t="str">
            <v/>
          </cell>
          <cell r="CL85" t="str">
            <v>Skilled</v>
          </cell>
          <cell r="CM85" t="str">
            <v/>
          </cell>
          <cell r="CN85" t="str">
            <v>Labor</v>
          </cell>
          <cell r="CO85" t="str">
            <v/>
          </cell>
          <cell r="CP85" t="str">
            <v/>
          </cell>
          <cell r="CQ85" t="str">
            <v/>
          </cell>
          <cell r="CR85" t="str">
            <v/>
          </cell>
          <cell r="CS85" t="str">
            <v/>
          </cell>
          <cell r="CT85" t="str">
            <v/>
          </cell>
          <cell r="CU85" t="str">
            <v/>
          </cell>
          <cell r="CV85" t="str">
            <v>Municipal Office</v>
          </cell>
          <cell r="CW85" t="str">
            <v>Aman Singh Tamang</v>
          </cell>
          <cell r="CX85" t="str">
            <v>Mayor</v>
          </cell>
          <cell r="CY85">
            <v>9865707737</v>
          </cell>
          <cell r="CZ85" t="str">
            <v>Municipal Office</v>
          </cell>
          <cell r="DA85" t="str">
            <v>Januka Parajuli</v>
          </cell>
          <cell r="DB85" t="str">
            <v>Deputy Mayor</v>
          </cell>
          <cell r="DC85">
            <v>9863697523</v>
          </cell>
          <cell r="DD85" t="str">
            <v>Municipal Office</v>
          </cell>
          <cell r="DE85" t="str">
            <v>Indra Basyal</v>
          </cell>
          <cell r="DF85" t="str">
            <v>Chief Adminstration Officer</v>
          </cell>
          <cell r="DG85">
            <v>9851164875</v>
          </cell>
          <cell r="DH85" t="str">
            <v>NRA/GMALI</v>
          </cell>
          <cell r="DI85" t="str">
            <v>Jay Prakash Gupta</v>
          </cell>
          <cell r="DJ85" t="str">
            <v>NRA Chief-District</v>
          </cell>
          <cell r="DK85">
            <v>9858320531</v>
          </cell>
          <cell r="DL85" t="str">
            <v>DLPIU-Building</v>
          </cell>
          <cell r="DM85" t="str">
            <v>Santosh Kumar Niraula</v>
          </cell>
          <cell r="DN85" t="str">
            <v>DUDBC.DLPIU Chief</v>
          </cell>
          <cell r="DO85">
            <v>9851136372</v>
          </cell>
          <cell r="DP85" t="str">
            <v>Municipal Office</v>
          </cell>
          <cell r="DQ85" t="str">
            <v/>
          </cell>
          <cell r="DR85" t="str">
            <v>Focal Person</v>
          </cell>
          <cell r="DS85" t="str">
            <v/>
          </cell>
          <cell r="DT85" t="str">
            <v/>
          </cell>
          <cell r="DU85" t="str">
            <v/>
          </cell>
          <cell r="DV85" t="str">
            <v/>
          </cell>
          <cell r="DW85" t="str">
            <v/>
          </cell>
          <cell r="DX85" t="str">
            <v/>
          </cell>
          <cell r="DY85" t="str">
            <v/>
          </cell>
          <cell r="DZ85" t="str">
            <v/>
          </cell>
          <cell r="EA85" t="str">
            <v/>
          </cell>
          <cell r="EB85" t="str">
            <v/>
          </cell>
          <cell r="EC85" t="str">
            <v/>
          </cell>
          <cell r="ED85" t="str">
            <v/>
          </cell>
          <cell r="EE85" t="str">
            <v/>
          </cell>
          <cell r="EF85" t="str">
            <v/>
          </cell>
          <cell r="EG85" t="str">
            <v/>
          </cell>
          <cell r="EH85" t="str">
            <v/>
          </cell>
          <cell r="EI85" t="str">
            <v/>
          </cell>
          <cell r="EJ85">
            <v>963</v>
          </cell>
          <cell r="EK85">
            <v>1005</v>
          </cell>
          <cell r="EL85">
            <v>-42</v>
          </cell>
          <cell r="EM85">
            <v>1422</v>
          </cell>
          <cell r="EN85">
            <v>353</v>
          </cell>
          <cell r="EO85">
            <v>1069</v>
          </cell>
          <cell r="EP85" t="str">
            <v/>
          </cell>
          <cell r="EQ85" t="str">
            <v>Housing Recovery and Reconstruction Platform</v>
          </cell>
          <cell r="ER85" t="str">
            <v/>
          </cell>
          <cell r="ES85" t="str">
            <v>District Coordinator</v>
          </cell>
          <cell r="ET85">
            <v>9654028388</v>
          </cell>
          <cell r="EU85" t="str">
            <v>Housing Recovery and Reconstruction Platform</v>
          </cell>
          <cell r="EV85" t="str">
            <v>Pranjal Bhandari</v>
          </cell>
          <cell r="EW85" t="str">
            <v>DIstrict Information Management Officer</v>
          </cell>
          <cell r="EX85">
            <v>9840057752</v>
          </cell>
          <cell r="EY85" t="str">
            <v>Housing Recovery and Reconstruction Platform</v>
          </cell>
          <cell r="EZ85" t="str">
            <v xml:space="preserve">Pradip Sharma </v>
          </cell>
          <cell r="FA85" t="str">
            <v>District Technical Officer</v>
          </cell>
          <cell r="FB85">
            <v>9851073208</v>
          </cell>
        </row>
        <row r="86">
          <cell r="A86">
            <v>23005</v>
          </cell>
          <cell r="B86" t="str">
            <v>Sindhupalchowk</v>
          </cell>
          <cell r="C86" t="str">
            <v>Helambu Gaunpalika</v>
          </cell>
          <cell r="D86">
            <v>143</v>
          </cell>
          <cell r="E86">
            <v>5589</v>
          </cell>
          <cell r="F86">
            <v>5732</v>
          </cell>
          <cell r="G86" t="str">
            <v>Stone and cement mortar masonry</v>
          </cell>
          <cell r="H86">
            <v>1.06</v>
          </cell>
          <cell r="I86">
            <v>1.23</v>
          </cell>
          <cell r="J86" t="str">
            <v>Stone and Mud Mortar Masonary</v>
          </cell>
          <cell r="K86">
            <v>88.64</v>
          </cell>
          <cell r="L86">
            <v>90.24</v>
          </cell>
          <cell r="M86" t="str">
            <v>Brick and Cement Mortar Masonary</v>
          </cell>
          <cell r="N86">
            <v>0.65</v>
          </cell>
          <cell r="O86">
            <v>2.5499999999999998</v>
          </cell>
          <cell r="P86" t="str">
            <v>Brick and mud mortar Masonry</v>
          </cell>
          <cell r="Q86">
            <v>0.3</v>
          </cell>
          <cell r="R86">
            <v>0.16</v>
          </cell>
          <cell r="S86" t="str">
            <v>Reinforced cement concrete (RCC) frame</v>
          </cell>
          <cell r="T86">
            <v>1.26</v>
          </cell>
          <cell r="U86">
            <v>1.57</v>
          </cell>
          <cell r="V86" t="str">
            <v>Hybrid structure</v>
          </cell>
          <cell r="W86">
            <v>0</v>
          </cell>
          <cell r="X86">
            <v>0</v>
          </cell>
          <cell r="Y86" t="str">
            <v>Timber frame structure</v>
          </cell>
          <cell r="Z86">
            <v>0.1</v>
          </cell>
          <cell r="AA86">
            <v>0.3</v>
          </cell>
          <cell r="AB86" t="str">
            <v>Hollow concrete block Masonry</v>
          </cell>
          <cell r="AC86">
            <v>0</v>
          </cell>
          <cell r="AD86">
            <v>0</v>
          </cell>
          <cell r="AE86" t="str">
            <v>Dry stone Masonry</v>
          </cell>
          <cell r="AF86">
            <v>0.16</v>
          </cell>
          <cell r="AG86">
            <v>1.08</v>
          </cell>
          <cell r="AH86" t="str">
            <v>Adobe structures</v>
          </cell>
          <cell r="AI86">
            <v>7.83</v>
          </cell>
          <cell r="AJ86">
            <v>2.85</v>
          </cell>
          <cell r="AK86" t="str">
            <v>Bamboo</v>
          </cell>
          <cell r="AL86">
            <v>0</v>
          </cell>
          <cell r="AM86">
            <v>0.02</v>
          </cell>
          <cell r="AN86" t="str">
            <v>Compressed stabilized earth block (SCEB) Masonry</v>
          </cell>
          <cell r="AO86">
            <v>0</v>
          </cell>
          <cell r="AP86">
            <v>0</v>
          </cell>
          <cell r="AQ86" t="str">
            <v>Light steel frame structures</v>
          </cell>
          <cell r="AR86">
            <v>0</v>
          </cell>
          <cell r="AS86">
            <v>0</v>
          </cell>
          <cell r="AT86">
            <v>5348</v>
          </cell>
          <cell r="AU86">
            <v>5158</v>
          </cell>
          <cell r="AV86">
            <v>5148</v>
          </cell>
          <cell r="AW86">
            <v>4392</v>
          </cell>
          <cell r="AX86">
            <v>3420</v>
          </cell>
          <cell r="AY86">
            <v>0</v>
          </cell>
          <cell r="AZ86" t="str">
            <v/>
          </cell>
          <cell r="BA86">
            <v>45</v>
          </cell>
          <cell r="BB86">
            <v>6</v>
          </cell>
          <cell r="BC86">
            <v>6</v>
          </cell>
          <cell r="BD86">
            <v>0</v>
          </cell>
          <cell r="BE86">
            <v>1333</v>
          </cell>
          <cell r="BF86">
            <v>306</v>
          </cell>
          <cell r="BG86" t="str">
            <v/>
          </cell>
          <cell r="BH86" t="str">
            <v/>
          </cell>
          <cell r="BI86" t="str">
            <v/>
          </cell>
          <cell r="BJ86" t="str">
            <v>OXFAM-GB(Rural Housing and Community Infrastructure),SABAL(Rural Housing and Community Infrastructure)</v>
          </cell>
          <cell r="BK86">
            <v>97655</v>
          </cell>
          <cell r="BL86" t="str">
            <v>Y</v>
          </cell>
          <cell r="BM86" t="str">
            <v/>
          </cell>
          <cell r="BN86">
            <v>92157</v>
          </cell>
          <cell r="BO86" t="str">
            <v>Y</v>
          </cell>
          <cell r="BP86" t="str">
            <v/>
          </cell>
          <cell r="BQ86">
            <v>10352</v>
          </cell>
          <cell r="BR86" t="str">
            <v>Y</v>
          </cell>
          <cell r="BS86">
            <v>15000</v>
          </cell>
          <cell r="BT86">
            <v>11672</v>
          </cell>
          <cell r="BU86" t="str">
            <v/>
          </cell>
          <cell r="BV86" t="str">
            <v/>
          </cell>
          <cell r="BW86" t="str">
            <v/>
          </cell>
          <cell r="BX86" t="str">
            <v>Y</v>
          </cell>
          <cell r="BY86">
            <v>930</v>
          </cell>
          <cell r="BZ86">
            <v>306597</v>
          </cell>
          <cell r="CA86" t="str">
            <v>Y</v>
          </cell>
          <cell r="CB86">
            <v>1000</v>
          </cell>
          <cell r="CC86">
            <v>1070578</v>
          </cell>
          <cell r="CD86" t="str">
            <v>Y</v>
          </cell>
          <cell r="CE86">
            <v>108</v>
          </cell>
          <cell r="CF86">
            <v>12518</v>
          </cell>
          <cell r="CG86" t="str">
            <v/>
          </cell>
          <cell r="CH86" t="str">
            <v/>
          </cell>
          <cell r="CI86">
            <v>1543334</v>
          </cell>
          <cell r="CJ86" t="str">
            <v>Y</v>
          </cell>
          <cell r="CK86">
            <v>22</v>
          </cell>
          <cell r="CL86" t="str">
            <v>Skilled</v>
          </cell>
          <cell r="CM86">
            <v>1200</v>
          </cell>
          <cell r="CN86" t="str">
            <v>Labor</v>
          </cell>
          <cell r="CO86">
            <v>700</v>
          </cell>
          <cell r="CP86" t="str">
            <v/>
          </cell>
          <cell r="CQ86" t="str">
            <v/>
          </cell>
          <cell r="CR86" t="str">
            <v/>
          </cell>
          <cell r="CS86" t="str">
            <v/>
          </cell>
          <cell r="CT86" t="str">
            <v/>
          </cell>
          <cell r="CU86" t="str">
            <v/>
          </cell>
          <cell r="CV86" t="str">
            <v>Municipal Office</v>
          </cell>
          <cell r="CW86" t="str">
            <v>Nima Gyaljen Sherpa</v>
          </cell>
          <cell r="CX86" t="str">
            <v>Chairman</v>
          </cell>
          <cell r="CY86">
            <v>9851048846</v>
          </cell>
          <cell r="CZ86" t="str">
            <v>Municipal Office</v>
          </cell>
          <cell r="DA86" t="str">
            <v>Kopila Pandit</v>
          </cell>
          <cell r="DB86" t="str">
            <v>Deputy Chairman</v>
          </cell>
          <cell r="DC86">
            <v>9860281422</v>
          </cell>
          <cell r="DD86" t="str">
            <v>Municipal Office</v>
          </cell>
          <cell r="DE86" t="str">
            <v xml:space="preserve">Bhim Raj Koirala </v>
          </cell>
          <cell r="DF86" t="str">
            <v>Chief Adminstration Officer</v>
          </cell>
          <cell r="DG86">
            <v>9801017857</v>
          </cell>
          <cell r="DH86" t="str">
            <v>NRA/GMALI</v>
          </cell>
          <cell r="DI86" t="str">
            <v>Jay Prakash Gupta</v>
          </cell>
          <cell r="DJ86" t="str">
            <v>NRA Chief-District</v>
          </cell>
          <cell r="DK86">
            <v>9858320531</v>
          </cell>
          <cell r="DL86" t="str">
            <v>DLPIU-Building</v>
          </cell>
          <cell r="DM86" t="str">
            <v>Santosh Kumar Niraula</v>
          </cell>
          <cell r="DN86" t="str">
            <v>DUDBC.DLPIU Chief</v>
          </cell>
          <cell r="DO86">
            <v>9851136372</v>
          </cell>
          <cell r="DP86" t="str">
            <v>Municipal Office</v>
          </cell>
          <cell r="DQ86" t="str">
            <v>Narayan Adhikari</v>
          </cell>
          <cell r="DR86" t="str">
            <v>Focal Person</v>
          </cell>
          <cell r="DS86">
            <v>9861147660</v>
          </cell>
          <cell r="DT86" t="str">
            <v/>
          </cell>
          <cell r="DU86" t="str">
            <v/>
          </cell>
          <cell r="DV86" t="str">
            <v/>
          </cell>
          <cell r="DW86" t="str">
            <v/>
          </cell>
          <cell r="DX86" t="str">
            <v/>
          </cell>
          <cell r="DY86" t="str">
            <v/>
          </cell>
          <cell r="DZ86">
            <v>7</v>
          </cell>
          <cell r="EA86" t="str">
            <v>3</v>
          </cell>
          <cell r="EB86">
            <v>4</v>
          </cell>
          <cell r="EC86" t="str">
            <v>5</v>
          </cell>
          <cell r="ED86">
            <v>5</v>
          </cell>
          <cell r="EE86" t="str">
            <v>2</v>
          </cell>
          <cell r="EF86" t="str">
            <v/>
          </cell>
          <cell r="EG86" t="str">
            <v/>
          </cell>
          <cell r="EH86" t="str">
            <v/>
          </cell>
          <cell r="EI86" t="str">
            <v/>
          </cell>
          <cell r="EJ86">
            <v>387</v>
          </cell>
          <cell r="EK86">
            <v>96</v>
          </cell>
          <cell r="EL86">
            <v>291</v>
          </cell>
          <cell r="EM86">
            <v>576</v>
          </cell>
          <cell r="EN86">
            <v>18</v>
          </cell>
          <cell r="EO86">
            <v>558</v>
          </cell>
          <cell r="EP86" t="str">
            <v/>
          </cell>
          <cell r="EQ86" t="str">
            <v>Housing Recovery and Reconstruction Platform</v>
          </cell>
          <cell r="ER86" t="str">
            <v/>
          </cell>
          <cell r="ES86" t="str">
            <v>District Coordinator</v>
          </cell>
          <cell r="ET86">
            <v>9654028388</v>
          </cell>
          <cell r="EU86" t="str">
            <v>Housing Recovery and Reconstruction Platform</v>
          </cell>
          <cell r="EV86" t="str">
            <v>Pranjal Bhandari</v>
          </cell>
          <cell r="EW86" t="str">
            <v>DIstrict Information Management Officer</v>
          </cell>
          <cell r="EX86">
            <v>9840057752</v>
          </cell>
          <cell r="EY86" t="str">
            <v>Housing Recovery and Reconstruction Platform</v>
          </cell>
          <cell r="EZ86" t="str">
            <v xml:space="preserve">Pradip Sharma </v>
          </cell>
          <cell r="FA86" t="str">
            <v>District Technical Officer</v>
          </cell>
          <cell r="FB86">
            <v>9851073208</v>
          </cell>
        </row>
        <row r="87">
          <cell r="A87">
            <v>23006</v>
          </cell>
          <cell r="B87" t="str">
            <v>Sindhupalchowk</v>
          </cell>
          <cell r="C87" t="str">
            <v>Indrawati Gaunpalika</v>
          </cell>
          <cell r="D87">
            <v>122</v>
          </cell>
          <cell r="E87">
            <v>8447</v>
          </cell>
          <cell r="F87">
            <v>8569</v>
          </cell>
          <cell r="G87" t="str">
            <v>Stone and cement mortar masonry</v>
          </cell>
          <cell r="H87">
            <v>0.34</v>
          </cell>
          <cell r="I87">
            <v>1.23</v>
          </cell>
          <cell r="J87" t="str">
            <v>Stone and Mud Mortar Masonary</v>
          </cell>
          <cell r="K87">
            <v>86.88</v>
          </cell>
          <cell r="L87">
            <v>90.24</v>
          </cell>
          <cell r="M87" t="str">
            <v>Brick and Cement Mortar Masonary</v>
          </cell>
          <cell r="N87">
            <v>0.79</v>
          </cell>
          <cell r="O87">
            <v>2.5499999999999998</v>
          </cell>
          <cell r="P87" t="str">
            <v>Brick and mud mortar Masonry</v>
          </cell>
          <cell r="Q87">
            <v>0.41</v>
          </cell>
          <cell r="R87">
            <v>0.16</v>
          </cell>
          <cell r="S87" t="str">
            <v>Reinforced cement concrete (RCC) frame</v>
          </cell>
          <cell r="T87">
            <v>0.83</v>
          </cell>
          <cell r="U87">
            <v>1.57</v>
          </cell>
          <cell r="V87" t="str">
            <v>Hybrid structure</v>
          </cell>
          <cell r="W87">
            <v>0</v>
          </cell>
          <cell r="X87">
            <v>0</v>
          </cell>
          <cell r="Y87" t="str">
            <v>Timber frame structure</v>
          </cell>
          <cell r="Z87">
            <v>0.01</v>
          </cell>
          <cell r="AA87">
            <v>0.3</v>
          </cell>
          <cell r="AB87" t="str">
            <v>Hollow concrete block Masonry</v>
          </cell>
          <cell r="AC87">
            <v>0</v>
          </cell>
          <cell r="AD87">
            <v>0</v>
          </cell>
          <cell r="AE87" t="str">
            <v>Dry stone Masonry</v>
          </cell>
          <cell r="AF87">
            <v>0.09</v>
          </cell>
          <cell r="AG87">
            <v>1.08</v>
          </cell>
          <cell r="AH87" t="str">
            <v>Adobe structures</v>
          </cell>
          <cell r="AI87">
            <v>10.65</v>
          </cell>
          <cell r="AJ87">
            <v>2.85</v>
          </cell>
          <cell r="AK87" t="str">
            <v>Bamboo</v>
          </cell>
          <cell r="AL87">
            <v>0</v>
          </cell>
          <cell r="AM87">
            <v>0.02</v>
          </cell>
          <cell r="AN87" t="str">
            <v>Compressed stabilized earth block (SCEB) Masonry</v>
          </cell>
          <cell r="AO87">
            <v>0</v>
          </cell>
          <cell r="AP87">
            <v>0</v>
          </cell>
          <cell r="AQ87" t="str">
            <v>Light steel frame structures</v>
          </cell>
          <cell r="AR87">
            <v>0</v>
          </cell>
          <cell r="AS87">
            <v>0</v>
          </cell>
          <cell r="AT87">
            <v>8301</v>
          </cell>
          <cell r="AU87">
            <v>8087</v>
          </cell>
          <cell r="AV87">
            <v>8055</v>
          </cell>
          <cell r="AW87">
            <v>7328</v>
          </cell>
          <cell r="AX87">
            <v>5147</v>
          </cell>
          <cell r="AY87">
            <v>0</v>
          </cell>
          <cell r="AZ87" t="str">
            <v/>
          </cell>
          <cell r="BA87">
            <v>37</v>
          </cell>
          <cell r="BB87">
            <v>7</v>
          </cell>
          <cell r="BC87">
            <v>7</v>
          </cell>
          <cell r="BD87">
            <v>0</v>
          </cell>
          <cell r="BE87">
            <v>2421</v>
          </cell>
          <cell r="BF87">
            <v>638</v>
          </cell>
          <cell r="BG87" t="str">
            <v/>
          </cell>
          <cell r="BH87" t="str">
            <v/>
          </cell>
          <cell r="BI87" t="str">
            <v>NRCS(Agriculture, Livestock Development and Irrigation,Education,Employment and Livelihood,Health,Rural Housing and Community Infrastructure,Water, Sanitation and Hygiene),PIN(Rural Housing and Community Infrastructure),WOREC(Rural Housing and Community Infrastructure)</v>
          </cell>
          <cell r="BJ87" t="str">
            <v>GON-PAF(Rural Housing and Community Infrastructure),JICA(Rural Housing and Community Infrastructure),NNDSWO(Education),NYF(Education),OXFAM-GB(Rural Housing and Community Infrastructure),PLAN(Education,Gender Equality and Social Inclusion,Rural Housing and Community Infrastructure,Water, Sanitation and Hygiene),SABAL(Rural Housing and Community Infrastructure),SCI(Nutrition),UNDP(Rural Housing and Community Infrastructure)</v>
          </cell>
          <cell r="BK87">
            <v>180192</v>
          </cell>
          <cell r="BL87" t="str">
            <v>N</v>
          </cell>
          <cell r="BM87">
            <v>9174.4</v>
          </cell>
          <cell r="BN87">
            <v>179297</v>
          </cell>
          <cell r="BO87" t="str">
            <v>N</v>
          </cell>
          <cell r="BP87">
            <v>9174.7000000000007</v>
          </cell>
          <cell r="BQ87">
            <v>19182</v>
          </cell>
          <cell r="BR87" t="str">
            <v>N</v>
          </cell>
          <cell r="BS87">
            <v>11997.7</v>
          </cell>
          <cell r="BT87">
            <v>21924</v>
          </cell>
          <cell r="BU87" t="str">
            <v/>
          </cell>
          <cell r="BV87" t="str">
            <v/>
          </cell>
          <cell r="BW87" t="str">
            <v/>
          </cell>
          <cell r="BX87" t="str">
            <v>N</v>
          </cell>
          <cell r="BY87">
            <v>800</v>
          </cell>
          <cell r="BZ87">
            <v>590291</v>
          </cell>
          <cell r="CA87" t="str">
            <v>N</v>
          </cell>
          <cell r="CB87">
            <v>850</v>
          </cell>
          <cell r="CC87">
            <v>1955348</v>
          </cell>
          <cell r="CD87" t="str">
            <v>N</v>
          </cell>
          <cell r="CE87">
            <v>85</v>
          </cell>
          <cell r="CF87">
            <v>24088</v>
          </cell>
          <cell r="CG87" t="str">
            <v/>
          </cell>
          <cell r="CH87" t="str">
            <v/>
          </cell>
          <cell r="CI87">
            <v>1467471</v>
          </cell>
          <cell r="CJ87" t="str">
            <v>N</v>
          </cell>
          <cell r="CK87">
            <v>15</v>
          </cell>
          <cell r="CL87" t="str">
            <v>Skilled</v>
          </cell>
          <cell r="CM87">
            <v>1200</v>
          </cell>
          <cell r="CN87" t="str">
            <v>Labor</v>
          </cell>
          <cell r="CO87">
            <v>1000</v>
          </cell>
          <cell r="CP87" t="str">
            <v/>
          </cell>
          <cell r="CQ87" t="str">
            <v/>
          </cell>
          <cell r="CR87" t="str">
            <v/>
          </cell>
          <cell r="CS87" t="str">
            <v/>
          </cell>
          <cell r="CT87" t="str">
            <v/>
          </cell>
          <cell r="CU87" t="str">
            <v/>
          </cell>
          <cell r="CV87" t="str">
            <v>Municipal Office</v>
          </cell>
          <cell r="CW87" t="str">
            <v>Bangsa Lal Tamang</v>
          </cell>
          <cell r="CX87" t="str">
            <v>Chairman</v>
          </cell>
          <cell r="CY87">
            <v>9860674432</v>
          </cell>
          <cell r="CZ87" t="str">
            <v>Municipal Office</v>
          </cell>
          <cell r="DA87" t="str">
            <v>Mira Adhikari Lama</v>
          </cell>
          <cell r="DB87" t="str">
            <v>Deputy Chairman</v>
          </cell>
          <cell r="DC87">
            <v>9808070820</v>
          </cell>
          <cell r="DD87" t="str">
            <v>Municipal Office</v>
          </cell>
          <cell r="DE87" t="str">
            <v>Binod Rokka</v>
          </cell>
          <cell r="DF87" t="str">
            <v>Chief Adminstration Officer</v>
          </cell>
          <cell r="DG87">
            <v>9851210013</v>
          </cell>
          <cell r="DH87" t="str">
            <v>NRA/GMALI</v>
          </cell>
          <cell r="DI87" t="str">
            <v>Jay Prakash Gupta</v>
          </cell>
          <cell r="DJ87" t="str">
            <v>NRA Chief-District</v>
          </cell>
          <cell r="DK87">
            <v>9858320531</v>
          </cell>
          <cell r="DL87" t="str">
            <v>DLPIU-Building</v>
          </cell>
          <cell r="DM87" t="str">
            <v>Santosh Kumar Niraula</v>
          </cell>
          <cell r="DN87" t="str">
            <v>DUDBC.DLPIU Chief</v>
          </cell>
          <cell r="DO87">
            <v>9851136372</v>
          </cell>
          <cell r="DP87" t="str">
            <v>Municipal Office</v>
          </cell>
          <cell r="DQ87" t="str">
            <v>Manoj Dangal</v>
          </cell>
          <cell r="DR87" t="str">
            <v>Focal Person</v>
          </cell>
          <cell r="DS87">
            <v>9849261653</v>
          </cell>
          <cell r="DT87" t="str">
            <v>118</v>
          </cell>
          <cell r="DU87" t="str">
            <v>0</v>
          </cell>
          <cell r="DV87" t="str">
            <v>200</v>
          </cell>
          <cell r="DW87" t="str">
            <v/>
          </cell>
          <cell r="DX87" t="str">
            <v>0</v>
          </cell>
          <cell r="DY87" t="str">
            <v>2200</v>
          </cell>
          <cell r="DZ87">
            <v>11</v>
          </cell>
          <cell r="EA87" t="str">
            <v>5</v>
          </cell>
          <cell r="EB87">
            <v>12</v>
          </cell>
          <cell r="EC87" t="str">
            <v>10</v>
          </cell>
          <cell r="ED87" t="str">
            <v/>
          </cell>
          <cell r="EE87" t="str">
            <v/>
          </cell>
          <cell r="EF87" t="str">
            <v>1300</v>
          </cell>
          <cell r="EG87" t="str">
            <v>1100</v>
          </cell>
          <cell r="EH87" t="str">
            <v/>
          </cell>
          <cell r="EI87" t="str">
            <v/>
          </cell>
          <cell r="EJ87">
            <v>594</v>
          </cell>
          <cell r="EK87">
            <v>1255</v>
          </cell>
          <cell r="EL87">
            <v>-661</v>
          </cell>
          <cell r="EM87">
            <v>864</v>
          </cell>
          <cell r="EN87">
            <v>456</v>
          </cell>
          <cell r="EO87">
            <v>408</v>
          </cell>
          <cell r="EP87" t="str">
            <v/>
          </cell>
          <cell r="EQ87" t="str">
            <v>Housing Recovery and Reconstruction Platform</v>
          </cell>
          <cell r="ER87" t="str">
            <v/>
          </cell>
          <cell r="ES87" t="str">
            <v>District Coordinator</v>
          </cell>
          <cell r="ET87">
            <v>9654028388</v>
          </cell>
          <cell r="EU87" t="str">
            <v>Housing Recovery and Reconstruction Platform</v>
          </cell>
          <cell r="EV87" t="str">
            <v>Pranjal Bhandari</v>
          </cell>
          <cell r="EW87" t="str">
            <v>DIstrict Information Management Officer</v>
          </cell>
          <cell r="EX87">
            <v>9840057752</v>
          </cell>
          <cell r="EY87" t="str">
            <v>Housing Recovery and Reconstruction Platform</v>
          </cell>
          <cell r="EZ87" t="str">
            <v xml:space="preserve">Pradip Sharma </v>
          </cell>
          <cell r="FA87" t="str">
            <v>District Technical Officer</v>
          </cell>
          <cell r="FB87">
            <v>9851073208</v>
          </cell>
        </row>
        <row r="88">
          <cell r="A88">
            <v>23007</v>
          </cell>
          <cell r="B88" t="str">
            <v>Sindhupalchowk</v>
          </cell>
          <cell r="C88" t="str">
            <v>Jugal Gaunpalika</v>
          </cell>
          <cell r="D88">
            <v>104</v>
          </cell>
          <cell r="E88">
            <v>5556</v>
          </cell>
          <cell r="F88">
            <v>5660</v>
          </cell>
          <cell r="G88" t="str">
            <v>Stone and cement mortar masonry</v>
          </cell>
          <cell r="H88">
            <v>0.67</v>
          </cell>
          <cell r="I88">
            <v>1.23</v>
          </cell>
          <cell r="J88" t="str">
            <v>Stone and Mud Mortar Masonary</v>
          </cell>
          <cell r="K88">
            <v>98.48</v>
          </cell>
          <cell r="L88">
            <v>90.24</v>
          </cell>
          <cell r="M88" t="str">
            <v>Brick and Cement Mortar Masonary</v>
          </cell>
          <cell r="N88">
            <v>0.37</v>
          </cell>
          <cell r="O88">
            <v>2.5499999999999998</v>
          </cell>
          <cell r="P88" t="str">
            <v>Brick and mud mortar Masonry</v>
          </cell>
          <cell r="Q88">
            <v>0.04</v>
          </cell>
          <cell r="R88">
            <v>0.16</v>
          </cell>
          <cell r="S88" t="str">
            <v>Reinforced cement concrete (RCC) frame</v>
          </cell>
          <cell r="T88">
            <v>0.19</v>
          </cell>
          <cell r="U88">
            <v>1.57</v>
          </cell>
          <cell r="V88" t="str">
            <v>Hybrid structure</v>
          </cell>
          <cell r="W88">
            <v>0</v>
          </cell>
          <cell r="X88">
            <v>0</v>
          </cell>
          <cell r="Y88" t="str">
            <v>Timber frame structure</v>
          </cell>
          <cell r="Z88">
            <v>0.12</v>
          </cell>
          <cell r="AA88">
            <v>0.3</v>
          </cell>
          <cell r="AB88" t="str">
            <v>Hollow concrete block Masonry</v>
          </cell>
          <cell r="AC88">
            <v>0</v>
          </cell>
          <cell r="AD88">
            <v>0</v>
          </cell>
          <cell r="AE88" t="str">
            <v>Dry stone Masonry</v>
          </cell>
          <cell r="AF88">
            <v>0.04</v>
          </cell>
          <cell r="AG88">
            <v>1.08</v>
          </cell>
          <cell r="AH88" t="str">
            <v>Adobe structures</v>
          </cell>
          <cell r="AI88">
            <v>0.05</v>
          </cell>
          <cell r="AJ88">
            <v>2.85</v>
          </cell>
          <cell r="AK88" t="str">
            <v>Bamboo</v>
          </cell>
          <cell r="AL88">
            <v>0.04</v>
          </cell>
          <cell r="AM88">
            <v>0.02</v>
          </cell>
          <cell r="AN88" t="str">
            <v>Compressed stabilized earth block (SCEB) Masonry</v>
          </cell>
          <cell r="AO88">
            <v>0</v>
          </cell>
          <cell r="AP88">
            <v>0</v>
          </cell>
          <cell r="AQ88" t="str">
            <v>Light steel frame structures</v>
          </cell>
          <cell r="AR88">
            <v>0</v>
          </cell>
          <cell r="AS88">
            <v>0</v>
          </cell>
          <cell r="AT88">
            <v>5585</v>
          </cell>
          <cell r="AU88">
            <v>5556</v>
          </cell>
          <cell r="AV88">
            <v>5555</v>
          </cell>
          <cell r="AW88">
            <v>5235</v>
          </cell>
          <cell r="AX88">
            <v>3439</v>
          </cell>
          <cell r="AY88">
            <v>0</v>
          </cell>
          <cell r="AZ88" t="str">
            <v/>
          </cell>
          <cell r="BA88">
            <v>14</v>
          </cell>
          <cell r="BB88">
            <v>5</v>
          </cell>
          <cell r="BC88">
            <v>5</v>
          </cell>
          <cell r="BD88">
            <v>0</v>
          </cell>
          <cell r="BE88">
            <v>1260</v>
          </cell>
          <cell r="BF88">
            <v>285</v>
          </cell>
          <cell r="BG88" t="str">
            <v/>
          </cell>
          <cell r="BH88" t="str">
            <v/>
          </cell>
          <cell r="BI88" t="str">
            <v>PIN(Agriculture, Livestock Development and Irrigation,Rural Housing and Community Infrastructure)</v>
          </cell>
          <cell r="BJ88" t="str">
            <v>GON-PAF(Rural Housing and Community Infrastructure),LWF(Rural Housing and Community Infrastructure),MC(Rural Housing and Community Infrastructure),OXFAM-GB(Rural Housing and Community Infrastructure),SCI(Education,Employment and Livelihood,Rural Housing and Community Infrastructure,Social Protection,Water, Sanitation and Hygiene)</v>
          </cell>
          <cell r="BK88">
            <v>134435</v>
          </cell>
          <cell r="BL88" t="str">
            <v/>
          </cell>
          <cell r="BM88" t="str">
            <v/>
          </cell>
          <cell r="BN88">
            <v>135611</v>
          </cell>
          <cell r="BO88" t="str">
            <v/>
          </cell>
          <cell r="BP88" t="str">
            <v/>
          </cell>
          <cell r="BQ88">
            <v>14333</v>
          </cell>
          <cell r="BR88" t="str">
            <v/>
          </cell>
          <cell r="BS88" t="str">
            <v/>
          </cell>
          <cell r="BT88">
            <v>16461</v>
          </cell>
          <cell r="BU88" t="str">
            <v/>
          </cell>
          <cell r="BV88" t="str">
            <v/>
          </cell>
          <cell r="BW88" t="str">
            <v/>
          </cell>
          <cell r="BX88" t="str">
            <v/>
          </cell>
          <cell r="BY88" t="str">
            <v/>
          </cell>
          <cell r="BZ88">
            <v>449494</v>
          </cell>
          <cell r="CA88" t="str">
            <v/>
          </cell>
          <cell r="CB88" t="str">
            <v/>
          </cell>
          <cell r="CC88">
            <v>1460451</v>
          </cell>
          <cell r="CD88" t="str">
            <v/>
          </cell>
          <cell r="CE88" t="str">
            <v/>
          </cell>
          <cell r="CF88">
            <v>18366</v>
          </cell>
          <cell r="CG88" t="str">
            <v/>
          </cell>
          <cell r="CH88" t="str">
            <v/>
          </cell>
          <cell r="CI88">
            <v>1463453</v>
          </cell>
          <cell r="CJ88" t="str">
            <v/>
          </cell>
          <cell r="CK88" t="str">
            <v/>
          </cell>
          <cell r="CL88" t="str">
            <v>Skilled</v>
          </cell>
          <cell r="CM88" t="str">
            <v/>
          </cell>
          <cell r="CN88" t="str">
            <v>Labor</v>
          </cell>
          <cell r="CO88" t="str">
            <v/>
          </cell>
          <cell r="CP88" t="str">
            <v/>
          </cell>
          <cell r="CQ88" t="str">
            <v/>
          </cell>
          <cell r="CR88" t="str">
            <v/>
          </cell>
          <cell r="CS88" t="str">
            <v/>
          </cell>
          <cell r="CT88" t="str">
            <v/>
          </cell>
          <cell r="CU88" t="str">
            <v/>
          </cell>
          <cell r="CV88" t="str">
            <v>Municipal Office</v>
          </cell>
          <cell r="CW88" t="str">
            <v>Hom Narayan Shrestha</v>
          </cell>
          <cell r="CX88" t="str">
            <v>Chairman</v>
          </cell>
          <cell r="CY88">
            <v>9843572999</v>
          </cell>
          <cell r="CZ88" t="str">
            <v>Municipal Office</v>
          </cell>
          <cell r="DA88" t="str">
            <v>Shrijana Tamang</v>
          </cell>
          <cell r="DB88" t="str">
            <v>Deputy Chairman</v>
          </cell>
          <cell r="DC88">
            <v>9741473238</v>
          </cell>
          <cell r="DD88" t="str">
            <v>Municipal Office</v>
          </cell>
          <cell r="DE88" t="str">
            <v>Dhakaram Aryal</v>
          </cell>
          <cell r="DF88" t="str">
            <v>Chief Adminstration Officer</v>
          </cell>
          <cell r="DG88">
            <v>9851199087</v>
          </cell>
          <cell r="DH88" t="str">
            <v>NRA/GMALI</v>
          </cell>
          <cell r="DI88" t="str">
            <v>Jay Prakash Gupta</v>
          </cell>
          <cell r="DJ88" t="str">
            <v>NRA Chief-District</v>
          </cell>
          <cell r="DK88">
            <v>9858320531</v>
          </cell>
          <cell r="DL88" t="str">
            <v>DLPIU-Building</v>
          </cell>
          <cell r="DM88" t="str">
            <v>Santosh Kumar Niraula</v>
          </cell>
          <cell r="DN88" t="str">
            <v>DUDBC.DLPIU Chief</v>
          </cell>
          <cell r="DO88">
            <v>9851136372</v>
          </cell>
          <cell r="DP88" t="str">
            <v>Municipal Office</v>
          </cell>
          <cell r="DQ88" t="str">
            <v>Suresh Poudel</v>
          </cell>
          <cell r="DR88" t="str">
            <v>Focal Person</v>
          </cell>
          <cell r="DS88">
            <v>9841120213</v>
          </cell>
          <cell r="DT88" t="str">
            <v/>
          </cell>
          <cell r="DU88" t="str">
            <v/>
          </cell>
          <cell r="DV88" t="str">
            <v/>
          </cell>
          <cell r="DW88" t="str">
            <v/>
          </cell>
          <cell r="DX88" t="str">
            <v/>
          </cell>
          <cell r="DY88" t="str">
            <v/>
          </cell>
          <cell r="DZ88" t="str">
            <v/>
          </cell>
          <cell r="EA88" t="str">
            <v/>
          </cell>
          <cell r="EB88" t="str">
            <v/>
          </cell>
          <cell r="EC88" t="str">
            <v/>
          </cell>
          <cell r="ED88" t="str">
            <v/>
          </cell>
          <cell r="EE88" t="str">
            <v/>
          </cell>
          <cell r="EF88" t="str">
            <v/>
          </cell>
          <cell r="EG88" t="str">
            <v/>
          </cell>
          <cell r="EH88" t="str">
            <v/>
          </cell>
          <cell r="EI88" t="str">
            <v/>
          </cell>
          <cell r="EJ88">
            <v>405</v>
          </cell>
          <cell r="EK88">
            <v>465</v>
          </cell>
          <cell r="EL88">
            <v>-60</v>
          </cell>
          <cell r="EM88">
            <v>621</v>
          </cell>
          <cell r="EN88">
            <v>59</v>
          </cell>
          <cell r="EO88">
            <v>562</v>
          </cell>
          <cell r="EP88" t="str">
            <v/>
          </cell>
          <cell r="EQ88" t="str">
            <v>Housing Recovery and Reconstruction Platform</v>
          </cell>
          <cell r="ER88" t="str">
            <v/>
          </cell>
          <cell r="ES88" t="str">
            <v>District Coordinator</v>
          </cell>
          <cell r="ET88">
            <v>9654028388</v>
          </cell>
          <cell r="EU88" t="str">
            <v>Housing Recovery and Reconstruction Platform</v>
          </cell>
          <cell r="EV88" t="str">
            <v>Pranjal Bhandari</v>
          </cell>
          <cell r="EW88" t="str">
            <v>DIstrict Information Management Officer</v>
          </cell>
          <cell r="EX88">
            <v>9840057752</v>
          </cell>
          <cell r="EY88" t="str">
            <v>Housing Recovery and Reconstruction Platform</v>
          </cell>
          <cell r="EZ88" t="str">
            <v xml:space="preserve">Pradip Sharma </v>
          </cell>
          <cell r="FA88" t="str">
            <v>District Technical Officer</v>
          </cell>
          <cell r="FB88">
            <v>9851073208</v>
          </cell>
        </row>
        <row r="89">
          <cell r="A89">
            <v>23008</v>
          </cell>
          <cell r="B89" t="str">
            <v>Sindhupalchowk</v>
          </cell>
          <cell r="C89" t="str">
            <v>Lisangkhu Pakhar Gaunpalika</v>
          </cell>
          <cell r="D89">
            <v>337</v>
          </cell>
          <cell r="E89">
            <v>4536</v>
          </cell>
          <cell r="F89">
            <v>4873</v>
          </cell>
          <cell r="G89" t="str">
            <v>Stone and cement mortar masonry</v>
          </cell>
          <cell r="H89">
            <v>0.47</v>
          </cell>
          <cell r="I89">
            <v>1.23</v>
          </cell>
          <cell r="J89" t="str">
            <v>Stone and Mud Mortar Masonary</v>
          </cell>
          <cell r="K89">
            <v>93.72</v>
          </cell>
          <cell r="L89">
            <v>90.24</v>
          </cell>
          <cell r="M89" t="str">
            <v>Brick and Cement Mortar Masonary</v>
          </cell>
          <cell r="N89">
            <v>1.5</v>
          </cell>
          <cell r="O89">
            <v>2.5499999999999998</v>
          </cell>
          <cell r="P89" t="str">
            <v>Brick and mud mortar Masonry</v>
          </cell>
          <cell r="Q89">
            <v>0</v>
          </cell>
          <cell r="R89">
            <v>0.16</v>
          </cell>
          <cell r="S89" t="str">
            <v>Reinforced cement concrete (RCC) frame</v>
          </cell>
          <cell r="T89">
            <v>2.91</v>
          </cell>
          <cell r="U89">
            <v>1.57</v>
          </cell>
          <cell r="V89" t="str">
            <v>Hybrid structure</v>
          </cell>
          <cell r="W89">
            <v>0</v>
          </cell>
          <cell r="X89">
            <v>0</v>
          </cell>
          <cell r="Y89" t="str">
            <v>Timber frame structure</v>
          </cell>
          <cell r="Z89">
            <v>0.47</v>
          </cell>
          <cell r="AA89">
            <v>0.3</v>
          </cell>
          <cell r="AB89" t="str">
            <v>Hollow concrete block Masonry</v>
          </cell>
          <cell r="AC89">
            <v>0</v>
          </cell>
          <cell r="AD89">
            <v>0</v>
          </cell>
          <cell r="AE89" t="str">
            <v>Dry stone Masonry</v>
          </cell>
          <cell r="AF89">
            <v>0.41</v>
          </cell>
          <cell r="AG89">
            <v>1.08</v>
          </cell>
          <cell r="AH89" t="str">
            <v>Adobe structures</v>
          </cell>
          <cell r="AI89">
            <v>0.51</v>
          </cell>
          <cell r="AJ89">
            <v>2.85</v>
          </cell>
          <cell r="AK89" t="str">
            <v>Bamboo</v>
          </cell>
          <cell r="AL89">
            <v>0</v>
          </cell>
          <cell r="AM89">
            <v>0.02</v>
          </cell>
          <cell r="AN89" t="str">
            <v>Compressed stabilized earth block (SCEB) Masonry</v>
          </cell>
          <cell r="AO89">
            <v>0</v>
          </cell>
          <cell r="AP89">
            <v>0</v>
          </cell>
          <cell r="AQ89" t="str">
            <v>Light steel frame structures</v>
          </cell>
          <cell r="AR89">
            <v>0</v>
          </cell>
          <cell r="AS89">
            <v>0</v>
          </cell>
          <cell r="AT89">
            <v>5213</v>
          </cell>
          <cell r="AU89">
            <v>4756</v>
          </cell>
          <cell r="AV89">
            <v>4751</v>
          </cell>
          <cell r="AW89">
            <v>3811</v>
          </cell>
          <cell r="AX89">
            <v>2521</v>
          </cell>
          <cell r="AY89">
            <v>0</v>
          </cell>
          <cell r="AZ89" t="str">
            <v/>
          </cell>
          <cell r="BA89">
            <v>39</v>
          </cell>
          <cell r="BB89">
            <v>4</v>
          </cell>
          <cell r="BC89">
            <v>4</v>
          </cell>
          <cell r="BD89">
            <v>0</v>
          </cell>
          <cell r="BE89">
            <v>2269</v>
          </cell>
          <cell r="BF89">
            <v>973</v>
          </cell>
          <cell r="BG89" t="str">
            <v/>
          </cell>
          <cell r="BH89" t="str">
            <v/>
          </cell>
          <cell r="BI89" t="str">
            <v/>
          </cell>
          <cell r="BJ89" t="str">
            <v>AATWIN(Social Protection),CFJ(Education),GON(Rural Housing and Community Infrastructure),IOM(Rural Housing and Community Infrastructure),Islamic-R(NA-Others-Others-(Please specify in Activity Detail)),MI(Health),NDBS(Education),NR(Education),NRA(Rural Housing and Community Infrastructure),PWJ(Rural Housing and Community Infrastructure),SABAL(Rural Housing and Community Infrastructure),SCI(Education,Nutrition,Rural Housing and Community Infrastructure,Social Protection,Water, Sanitation and Hygiene)</v>
          </cell>
          <cell r="BK89">
            <v>92465</v>
          </cell>
          <cell r="BL89" t="str">
            <v>Y</v>
          </cell>
          <cell r="BM89" t="str">
            <v/>
          </cell>
          <cell r="BN89">
            <v>90746</v>
          </cell>
          <cell r="BO89" t="str">
            <v>Y</v>
          </cell>
          <cell r="BP89" t="str">
            <v/>
          </cell>
          <cell r="BQ89">
            <v>9837</v>
          </cell>
          <cell r="BR89" t="str">
            <v>Y</v>
          </cell>
          <cell r="BS89" t="str">
            <v/>
          </cell>
          <cell r="BT89">
            <v>11217</v>
          </cell>
          <cell r="BU89" t="str">
            <v>Y</v>
          </cell>
          <cell r="BV89" t="str">
            <v/>
          </cell>
          <cell r="BW89" t="str">
            <v/>
          </cell>
          <cell r="BX89" t="str">
            <v>Y</v>
          </cell>
          <cell r="BY89" t="str">
            <v/>
          </cell>
          <cell r="BZ89">
            <v>302572</v>
          </cell>
          <cell r="CA89" t="str">
            <v>Y</v>
          </cell>
          <cell r="CB89" t="str">
            <v/>
          </cell>
          <cell r="CC89">
            <v>1010147</v>
          </cell>
          <cell r="CD89" t="str">
            <v>Y</v>
          </cell>
          <cell r="CE89" t="str">
            <v/>
          </cell>
          <cell r="CF89">
            <v>12367</v>
          </cell>
          <cell r="CG89" t="str">
            <v>Y</v>
          </cell>
          <cell r="CH89" t="str">
            <v/>
          </cell>
          <cell r="CI89">
            <v>1401742</v>
          </cell>
          <cell r="CJ89" t="str">
            <v>Y</v>
          </cell>
          <cell r="CK89" t="str">
            <v/>
          </cell>
          <cell r="CL89" t="str">
            <v>Skilled</v>
          </cell>
          <cell r="CM89" t="str">
            <v/>
          </cell>
          <cell r="CN89" t="str">
            <v>Labor</v>
          </cell>
          <cell r="CO89" t="str">
            <v/>
          </cell>
          <cell r="CP89" t="str">
            <v/>
          </cell>
          <cell r="CQ89" t="str">
            <v/>
          </cell>
          <cell r="CR89" t="str">
            <v/>
          </cell>
          <cell r="CS89" t="str">
            <v/>
          </cell>
          <cell r="CT89" t="str">
            <v/>
          </cell>
          <cell r="CU89" t="str">
            <v/>
          </cell>
          <cell r="CV89" t="str">
            <v>Municipal Office</v>
          </cell>
          <cell r="CW89" t="str">
            <v>Kamal Nepal</v>
          </cell>
          <cell r="CX89" t="str">
            <v>Chairman</v>
          </cell>
          <cell r="CY89">
            <v>9851177012</v>
          </cell>
          <cell r="CZ89" t="str">
            <v>Municipal Office</v>
          </cell>
          <cell r="DA89" t="str">
            <v>Hemganga Moktan</v>
          </cell>
          <cell r="DB89" t="str">
            <v>Deputy Chairman</v>
          </cell>
          <cell r="DC89">
            <v>9741208062</v>
          </cell>
          <cell r="DD89" t="str">
            <v>Municipal Office</v>
          </cell>
          <cell r="DE89" t="str">
            <v>Purna Prasad Dulal</v>
          </cell>
          <cell r="DF89" t="str">
            <v>Chief Adminstration Officer</v>
          </cell>
          <cell r="DG89">
            <v>9851090662</v>
          </cell>
          <cell r="DH89" t="str">
            <v>NRA/GMALI</v>
          </cell>
          <cell r="DI89" t="str">
            <v>Jay Prakash Gupta</v>
          </cell>
          <cell r="DJ89" t="str">
            <v>NRA Chief-District</v>
          </cell>
          <cell r="DK89">
            <v>9858320531</v>
          </cell>
          <cell r="DL89" t="str">
            <v>DLPIU-Building</v>
          </cell>
          <cell r="DM89" t="str">
            <v>Santosh Kumar Niraula</v>
          </cell>
          <cell r="DN89" t="str">
            <v>DUDBC.DLPIU Chief</v>
          </cell>
          <cell r="DO89">
            <v>9851136372</v>
          </cell>
          <cell r="DP89" t="str">
            <v>Municipal Office</v>
          </cell>
          <cell r="DQ89" t="str">
            <v>Dirban Singh Lama</v>
          </cell>
          <cell r="DR89" t="str">
            <v>Focal Person</v>
          </cell>
          <cell r="DS89">
            <v>9849327784</v>
          </cell>
          <cell r="DT89" t="str">
            <v/>
          </cell>
          <cell r="DU89" t="str">
            <v/>
          </cell>
          <cell r="DV89" t="str">
            <v/>
          </cell>
          <cell r="DW89" t="str">
            <v/>
          </cell>
          <cell r="DX89" t="str">
            <v/>
          </cell>
          <cell r="DY89" t="str">
            <v/>
          </cell>
          <cell r="DZ89">
            <v>8</v>
          </cell>
          <cell r="EA89" t="str">
            <v>8</v>
          </cell>
          <cell r="EB89">
            <v>5</v>
          </cell>
          <cell r="EC89" t="str">
            <v>7</v>
          </cell>
          <cell r="ED89">
            <v>2</v>
          </cell>
          <cell r="EE89" t="str">
            <v>7</v>
          </cell>
          <cell r="EF89" t="str">
            <v>100</v>
          </cell>
          <cell r="EG89" t="str">
            <v/>
          </cell>
          <cell r="EH89" t="str">
            <v/>
          </cell>
          <cell r="EI89" t="str">
            <v>50</v>
          </cell>
          <cell r="EJ89">
            <v>324</v>
          </cell>
          <cell r="EK89">
            <v>252</v>
          </cell>
          <cell r="EL89">
            <v>72</v>
          </cell>
          <cell r="EM89">
            <v>486</v>
          </cell>
          <cell r="EN89">
            <v>187</v>
          </cell>
          <cell r="EO89">
            <v>299</v>
          </cell>
          <cell r="EP89" t="str">
            <v/>
          </cell>
          <cell r="EQ89" t="str">
            <v>Housing Recovery and Reconstruction Platform</v>
          </cell>
          <cell r="ER89" t="str">
            <v/>
          </cell>
          <cell r="ES89" t="str">
            <v>District Coordinator</v>
          </cell>
          <cell r="ET89">
            <v>9654028388</v>
          </cell>
          <cell r="EU89" t="str">
            <v>Housing Recovery and Reconstruction Platform</v>
          </cell>
          <cell r="EV89" t="str">
            <v>Pranjal Bhandari</v>
          </cell>
          <cell r="EW89" t="str">
            <v>DIstrict Information Management Officer</v>
          </cell>
          <cell r="EX89">
            <v>9840057752</v>
          </cell>
          <cell r="EY89" t="str">
            <v>Housing Recovery and Reconstruction Platform</v>
          </cell>
          <cell r="EZ89" t="str">
            <v xml:space="preserve">Pradip Sharma </v>
          </cell>
          <cell r="FA89" t="str">
            <v>District Technical Officer</v>
          </cell>
          <cell r="FB89">
            <v>9851073208</v>
          </cell>
        </row>
        <row r="90">
          <cell r="A90">
            <v>23009</v>
          </cell>
          <cell r="B90" t="str">
            <v>Sindhupalchowk</v>
          </cell>
          <cell r="C90" t="str">
            <v>Melamchi Nagarpalika</v>
          </cell>
          <cell r="D90">
            <v>410</v>
          </cell>
          <cell r="E90">
            <v>13536</v>
          </cell>
          <cell r="F90">
            <v>13946</v>
          </cell>
          <cell r="G90" t="str">
            <v>Stone and cement mortar masonry</v>
          </cell>
          <cell r="H90">
            <v>0.48</v>
          </cell>
          <cell r="I90">
            <v>1.23</v>
          </cell>
          <cell r="J90" t="str">
            <v>Stone and Mud Mortar Masonary</v>
          </cell>
          <cell r="K90">
            <v>94.91</v>
          </cell>
          <cell r="L90">
            <v>90.24</v>
          </cell>
          <cell r="M90" t="str">
            <v>Brick and Cement Mortar Masonary</v>
          </cell>
          <cell r="N90">
            <v>1.56</v>
          </cell>
          <cell r="O90">
            <v>2.5499999999999998</v>
          </cell>
          <cell r="P90" t="str">
            <v>Brick and mud mortar Masonry</v>
          </cell>
          <cell r="Q90">
            <v>0.1</v>
          </cell>
          <cell r="R90">
            <v>0.16</v>
          </cell>
          <cell r="S90" t="str">
            <v>Reinforced cement concrete (RCC) frame</v>
          </cell>
          <cell r="T90">
            <v>0.77</v>
          </cell>
          <cell r="U90">
            <v>1.57</v>
          </cell>
          <cell r="V90" t="str">
            <v>Hybrid structure</v>
          </cell>
          <cell r="W90">
            <v>0</v>
          </cell>
          <cell r="X90">
            <v>0</v>
          </cell>
          <cell r="Y90" t="str">
            <v>Timber frame structure</v>
          </cell>
          <cell r="Z90">
            <v>0.14000000000000001</v>
          </cell>
          <cell r="AA90">
            <v>0.3</v>
          </cell>
          <cell r="AB90" t="str">
            <v>Hollow concrete block Masonry</v>
          </cell>
          <cell r="AC90">
            <v>0</v>
          </cell>
          <cell r="AD90">
            <v>0</v>
          </cell>
          <cell r="AE90" t="str">
            <v>Dry stone Masonry</v>
          </cell>
          <cell r="AF90">
            <v>0.16</v>
          </cell>
          <cell r="AG90">
            <v>1.08</v>
          </cell>
          <cell r="AH90" t="str">
            <v>Adobe structures</v>
          </cell>
          <cell r="AI90">
            <v>1.88</v>
          </cell>
          <cell r="AJ90">
            <v>2.85</v>
          </cell>
          <cell r="AK90" t="str">
            <v>Bamboo</v>
          </cell>
          <cell r="AL90">
            <v>0.01</v>
          </cell>
          <cell r="AM90">
            <v>0.02</v>
          </cell>
          <cell r="AN90" t="str">
            <v>Compressed stabilized earth block (SCEB) Masonry</v>
          </cell>
          <cell r="AO90">
            <v>0</v>
          </cell>
          <cell r="AP90">
            <v>0</v>
          </cell>
          <cell r="AQ90" t="str">
            <v>Light steel frame structures</v>
          </cell>
          <cell r="AR90">
            <v>0</v>
          </cell>
          <cell r="AS90">
            <v>0</v>
          </cell>
          <cell r="AT90">
            <v>13325</v>
          </cell>
          <cell r="AU90">
            <v>13112</v>
          </cell>
          <cell r="AV90">
            <v>13106</v>
          </cell>
          <cell r="AW90">
            <v>11403</v>
          </cell>
          <cell r="AX90">
            <v>7341</v>
          </cell>
          <cell r="AY90">
            <v>0</v>
          </cell>
          <cell r="AZ90" t="str">
            <v/>
          </cell>
          <cell r="BA90">
            <v>105</v>
          </cell>
          <cell r="BB90">
            <v>5</v>
          </cell>
          <cell r="BC90">
            <v>5</v>
          </cell>
          <cell r="BD90">
            <v>0</v>
          </cell>
          <cell r="BE90">
            <v>2557</v>
          </cell>
          <cell r="BF90">
            <v>761</v>
          </cell>
          <cell r="BG90" t="str">
            <v/>
          </cell>
          <cell r="BH90" t="str">
            <v/>
          </cell>
          <cell r="BI90" t="str">
            <v>BC(Rural Housing and Community Infrastructure),CARE-N(Agriculture, Livestock Development and Irrigation,Disaster Risk Management,Gender Equality and Social Inclusion,Rural Housing and Community Infrastructure,Water, Sanitation and Hygiene),CARITAS-S(Disaster Risk Management,Education,Water, Sanitation and Hygiene),JICA(Rural Housing and Community Infrastructure),NRCS(Agriculture, Livestock Development and Irrigation,Education,Employment and Livelihood,Health,Rural Housing and Community Infrastructure,Water, Sanitation and Hygiene)</v>
          </cell>
          <cell r="BJ90" t="str">
            <v>AA(Disaster Risk Management,Education,Gender Equality and Social Inclusion),BUN(Employment and Livelihood,Rural Housing and Community Infrastructure),DSF(Rural Housing and Community Infrastructure),FAIRMED(Employment and Livelihood,Health,Water, Sanitation and Hygiene),FORE-N(Health),GHN(Education),GON(Rural Housing and Community Infrastructure),HELVETAS(Agriculture, Livestock Development and Irrigation,Rural Housing and Community Infrastructure,Water, Sanitation and Hygiene),LWF(Rural Housing and Community Infrastructure),PLAN(Education,Gender Equality and Social Inclusion,Rural Housing and Community Infrastructure,Social Protection,Water, Sanitation and Hygiene),ROTARY(Rural Housing and Community Infrastructure),SABAL(Rural Housing and Community Infrastructure),SCI(Education,Nutrition,Rural Housing and Community Infrastructure,Social Protection),SS-N(Education),UNDP(NA-Others-Others-(Please specify in Activity Detail),Rural Housing and Community Infrastructure),WVIN(Agriculture, Livestock Development and Irrigation,Rural Housing and Community Infrastructure,Water, Sanitation and Hygiene)</v>
          </cell>
          <cell r="BK90">
            <v>274809</v>
          </cell>
          <cell r="BL90" t="str">
            <v/>
          </cell>
          <cell r="BM90" t="str">
            <v/>
          </cell>
          <cell r="BN90">
            <v>274190</v>
          </cell>
          <cell r="BO90" t="str">
            <v/>
          </cell>
          <cell r="BP90" t="str">
            <v/>
          </cell>
          <cell r="BQ90">
            <v>29270</v>
          </cell>
          <cell r="BR90" t="str">
            <v/>
          </cell>
          <cell r="BS90" t="str">
            <v/>
          </cell>
          <cell r="BT90">
            <v>33511</v>
          </cell>
          <cell r="BU90" t="str">
            <v/>
          </cell>
          <cell r="BV90" t="str">
            <v/>
          </cell>
          <cell r="BW90" t="str">
            <v/>
          </cell>
          <cell r="BX90" t="str">
            <v/>
          </cell>
          <cell r="BY90" t="str">
            <v/>
          </cell>
          <cell r="BZ90">
            <v>909093</v>
          </cell>
          <cell r="CA90" t="str">
            <v/>
          </cell>
          <cell r="CB90" t="str">
            <v/>
          </cell>
          <cell r="CC90">
            <v>2989671</v>
          </cell>
          <cell r="CD90" t="str">
            <v/>
          </cell>
          <cell r="CE90" t="str">
            <v/>
          </cell>
          <cell r="CF90">
            <v>37138</v>
          </cell>
          <cell r="CG90" t="str">
            <v/>
          </cell>
          <cell r="CH90" t="str">
            <v/>
          </cell>
          <cell r="CI90">
            <v>3178291</v>
          </cell>
          <cell r="CJ90" t="str">
            <v/>
          </cell>
          <cell r="CK90" t="str">
            <v/>
          </cell>
          <cell r="CL90" t="str">
            <v>Skilled</v>
          </cell>
          <cell r="CM90" t="str">
            <v/>
          </cell>
          <cell r="CN90" t="str">
            <v>Labor</v>
          </cell>
          <cell r="CO90" t="str">
            <v/>
          </cell>
          <cell r="CP90" t="str">
            <v/>
          </cell>
          <cell r="CQ90" t="str">
            <v/>
          </cell>
          <cell r="CR90" t="str">
            <v/>
          </cell>
          <cell r="CS90" t="str">
            <v/>
          </cell>
          <cell r="CT90" t="str">
            <v/>
          </cell>
          <cell r="CU90" t="str">
            <v/>
          </cell>
          <cell r="CV90" t="str">
            <v>Municipal Office</v>
          </cell>
          <cell r="CW90" t="str">
            <v>Dambar Bahadur Aryal</v>
          </cell>
          <cell r="CX90" t="str">
            <v>Mayor</v>
          </cell>
          <cell r="CY90">
            <v>9851210270</v>
          </cell>
          <cell r="CZ90" t="str">
            <v>Municipal Office</v>
          </cell>
          <cell r="DA90" t="str">
            <v>Bhagawati Nepal</v>
          </cell>
          <cell r="DB90" t="str">
            <v>Deputy Mayor</v>
          </cell>
          <cell r="DC90">
            <v>9741181911</v>
          </cell>
          <cell r="DD90" t="str">
            <v>Municipal Office</v>
          </cell>
          <cell r="DE90" t="str">
            <v>Devi Prasad Thapaliya</v>
          </cell>
          <cell r="DF90" t="str">
            <v>Chief Adminstration Officer</v>
          </cell>
          <cell r="DG90">
            <v>9851250027</v>
          </cell>
          <cell r="DH90" t="str">
            <v>NRA/GMALI</v>
          </cell>
          <cell r="DI90" t="str">
            <v>Jay Prakash Gupta</v>
          </cell>
          <cell r="DJ90" t="str">
            <v>NRA Chief-District</v>
          </cell>
          <cell r="DK90">
            <v>9858320531</v>
          </cell>
          <cell r="DL90" t="str">
            <v>DLPIU-Building</v>
          </cell>
          <cell r="DM90" t="str">
            <v>Santosh Kumar Niraula</v>
          </cell>
          <cell r="DN90" t="str">
            <v>DUDBC.DLPIU Chief</v>
          </cell>
          <cell r="DO90">
            <v>9851136372</v>
          </cell>
          <cell r="DP90" t="str">
            <v>Municipal Office</v>
          </cell>
          <cell r="DQ90" t="str">
            <v>Jit Bahadur Karki</v>
          </cell>
          <cell r="DR90" t="str">
            <v>Focal Person</v>
          </cell>
          <cell r="DS90">
            <v>9849964020</v>
          </cell>
          <cell r="DT90" t="str">
            <v/>
          </cell>
          <cell r="DU90" t="str">
            <v/>
          </cell>
          <cell r="DV90" t="str">
            <v/>
          </cell>
          <cell r="DW90" t="str">
            <v/>
          </cell>
          <cell r="DX90" t="str">
            <v/>
          </cell>
          <cell r="DY90" t="str">
            <v/>
          </cell>
          <cell r="DZ90" t="str">
            <v/>
          </cell>
          <cell r="EA90" t="str">
            <v/>
          </cell>
          <cell r="EB90" t="str">
            <v/>
          </cell>
          <cell r="EC90" t="str">
            <v/>
          </cell>
          <cell r="ED90" t="str">
            <v/>
          </cell>
          <cell r="EE90" t="str">
            <v/>
          </cell>
          <cell r="EF90" t="str">
            <v/>
          </cell>
          <cell r="EG90" t="str">
            <v/>
          </cell>
          <cell r="EH90" t="str">
            <v/>
          </cell>
          <cell r="EI90" t="str">
            <v/>
          </cell>
          <cell r="EJ90">
            <v>963</v>
          </cell>
          <cell r="EK90">
            <v>1243</v>
          </cell>
          <cell r="EL90">
            <v>-280</v>
          </cell>
          <cell r="EM90">
            <v>1437</v>
          </cell>
          <cell r="EN90">
            <v>100</v>
          </cell>
          <cell r="EO90">
            <v>1337</v>
          </cell>
          <cell r="EP90" t="str">
            <v/>
          </cell>
          <cell r="EQ90" t="str">
            <v>Housing Recovery and Reconstruction Platform</v>
          </cell>
          <cell r="ER90" t="str">
            <v/>
          </cell>
          <cell r="ES90" t="str">
            <v>District Coordinator</v>
          </cell>
          <cell r="ET90">
            <v>9654028388</v>
          </cell>
          <cell r="EU90" t="str">
            <v>Housing Recovery and Reconstruction Platform</v>
          </cell>
          <cell r="EV90" t="str">
            <v>Pranjal Bhandari</v>
          </cell>
          <cell r="EW90" t="str">
            <v>DIstrict Information Management Officer</v>
          </cell>
          <cell r="EX90">
            <v>9840057752</v>
          </cell>
          <cell r="EY90" t="str">
            <v>Housing Recovery and Reconstruction Platform</v>
          </cell>
          <cell r="EZ90" t="str">
            <v xml:space="preserve">Pradip Sharma </v>
          </cell>
          <cell r="FA90" t="str">
            <v>District Technical Officer</v>
          </cell>
          <cell r="FB90">
            <v>9851073208</v>
          </cell>
        </row>
        <row r="91">
          <cell r="A91">
            <v>23010</v>
          </cell>
          <cell r="B91" t="str">
            <v>Sindhupalchowk</v>
          </cell>
          <cell r="C91" t="str">
            <v>Panchpokhari Thangpal Gaunpalika</v>
          </cell>
          <cell r="D91">
            <v>134</v>
          </cell>
          <cell r="E91">
            <v>6327</v>
          </cell>
          <cell r="F91">
            <v>6461</v>
          </cell>
          <cell r="G91" t="str">
            <v>Stone and cement mortar masonry</v>
          </cell>
          <cell r="H91">
            <v>1.39</v>
          </cell>
          <cell r="I91">
            <v>1.23</v>
          </cell>
          <cell r="J91" t="str">
            <v>Stone and Mud Mortar Masonary</v>
          </cell>
          <cell r="K91">
            <v>89.41</v>
          </cell>
          <cell r="L91">
            <v>90.24</v>
          </cell>
          <cell r="M91" t="str">
            <v>Brick and Cement Mortar Masonary</v>
          </cell>
          <cell r="N91">
            <v>0.56999999999999995</v>
          </cell>
          <cell r="O91">
            <v>2.5499999999999998</v>
          </cell>
          <cell r="P91" t="str">
            <v>Brick and mud mortar Masonry</v>
          </cell>
          <cell r="Q91">
            <v>0.12</v>
          </cell>
          <cell r="R91">
            <v>0.16</v>
          </cell>
          <cell r="S91" t="str">
            <v>Reinforced cement concrete (RCC) frame</v>
          </cell>
          <cell r="T91">
            <v>1.39</v>
          </cell>
          <cell r="U91">
            <v>1.57</v>
          </cell>
          <cell r="V91" t="str">
            <v>Hybrid structure</v>
          </cell>
          <cell r="W91">
            <v>0</v>
          </cell>
          <cell r="X91">
            <v>0</v>
          </cell>
          <cell r="Y91" t="str">
            <v>Timber frame structure</v>
          </cell>
          <cell r="Z91">
            <v>0.17</v>
          </cell>
          <cell r="AA91">
            <v>0.3</v>
          </cell>
          <cell r="AB91" t="str">
            <v>Hollow concrete block Masonry</v>
          </cell>
          <cell r="AC91">
            <v>0</v>
          </cell>
          <cell r="AD91">
            <v>0</v>
          </cell>
          <cell r="AE91" t="str">
            <v>Dry stone Masonry</v>
          </cell>
          <cell r="AF91">
            <v>6.72</v>
          </cell>
          <cell r="AG91">
            <v>1.08</v>
          </cell>
          <cell r="AH91" t="str">
            <v>Adobe structures</v>
          </cell>
          <cell r="AI91">
            <v>0.2</v>
          </cell>
          <cell r="AJ91">
            <v>2.85</v>
          </cell>
          <cell r="AK91" t="str">
            <v>Bamboo</v>
          </cell>
          <cell r="AL91">
            <v>0.02</v>
          </cell>
          <cell r="AM91">
            <v>0.02</v>
          </cell>
          <cell r="AN91" t="str">
            <v>Compressed stabilized earth block (SCEB) Masonry</v>
          </cell>
          <cell r="AO91">
            <v>0</v>
          </cell>
          <cell r="AP91">
            <v>0</v>
          </cell>
          <cell r="AQ91" t="str">
            <v>Light steel frame structures</v>
          </cell>
          <cell r="AR91">
            <v>0</v>
          </cell>
          <cell r="AS91">
            <v>0</v>
          </cell>
          <cell r="AT91">
            <v>7030</v>
          </cell>
          <cell r="AU91">
            <v>6681</v>
          </cell>
          <cell r="AV91">
            <v>6679</v>
          </cell>
          <cell r="AW91">
            <v>5279</v>
          </cell>
          <cell r="AX91">
            <v>2924</v>
          </cell>
          <cell r="AY91">
            <v>0</v>
          </cell>
          <cell r="AZ91" t="str">
            <v/>
          </cell>
          <cell r="BA91">
            <v>16</v>
          </cell>
          <cell r="BB91">
            <v>0</v>
          </cell>
          <cell r="BC91">
            <v>0</v>
          </cell>
          <cell r="BD91">
            <v>0</v>
          </cell>
          <cell r="BE91">
            <v>2937</v>
          </cell>
          <cell r="BF91">
            <v>1273</v>
          </cell>
          <cell r="BG91" t="str">
            <v/>
          </cell>
          <cell r="BH91" t="str">
            <v/>
          </cell>
          <cell r="BI91" t="str">
            <v>CARE-N(Agriculture, Livestock Development and Irrigation,Disaster Risk Management,Gender Equality and Social Inclusion,Rural Housing and Community Infrastructure,Water, Sanitation and Hygiene),DH(Rural Housing and Community Infrastructure),NRCS(Agriculture, Livestock Development and Irrigation,Education,Employment and Livelihood,Health,Rural Housing and Community Infrastructure,Water, Sanitation and Hygiene),PIN(Agriculture, Livestock Development and Irrigation,Rural Housing and Community Infrastructure),TGH(Agriculture, Livestock Development and Irrigation,Disaster Risk Management,Employment and Livelihood,Rural Housing and Community Infrastructure,Transport,Water, Sanitation and Hygiene)</v>
          </cell>
          <cell r="BJ91" t="str">
            <v>AATWIN(Social Protection),ARSOW-TGH(Rural Housing and Community Infrastructure),CMI-N(Education),DSCBD(Education),FAIRMED(Employment and Livelihood,Health,Water, Sanitation and Hygiene),GHN(Education),GON-PAF(Rural Housing and Community Infrastructure),PLAN(Gender Equality and Social Inclusion,Rural Housing and Community Infrastructure,Social Protection,Water, Sanitation and Hygiene),SABAL(Rural Housing and Community Infrastructure),SCI(Nutrition)</v>
          </cell>
          <cell r="BK91">
            <v>121331</v>
          </cell>
          <cell r="BL91" t="str">
            <v>Y</v>
          </cell>
          <cell r="BM91" t="str">
            <v/>
          </cell>
          <cell r="BN91">
            <v>111904</v>
          </cell>
          <cell r="BO91" t="str">
            <v>Y</v>
          </cell>
          <cell r="BP91" t="str">
            <v/>
          </cell>
          <cell r="BQ91">
            <v>12835</v>
          </cell>
          <cell r="BR91" t="str">
            <v>Y</v>
          </cell>
          <cell r="BS91" t="str">
            <v/>
          </cell>
          <cell r="BT91">
            <v>14374</v>
          </cell>
          <cell r="BU91" t="str">
            <v>Y</v>
          </cell>
          <cell r="BV91" t="str">
            <v>N/A</v>
          </cell>
          <cell r="BW91" t="str">
            <v/>
          </cell>
          <cell r="BX91" t="str">
            <v>Y</v>
          </cell>
          <cell r="BY91" t="str">
            <v/>
          </cell>
          <cell r="BZ91">
            <v>370950</v>
          </cell>
          <cell r="CA91" t="str">
            <v>Y</v>
          </cell>
          <cell r="CB91" t="str">
            <v/>
          </cell>
          <cell r="CC91">
            <v>1331616</v>
          </cell>
          <cell r="CD91" t="str">
            <v>Y</v>
          </cell>
          <cell r="CE91" t="str">
            <v/>
          </cell>
          <cell r="CF91">
            <v>15130</v>
          </cell>
          <cell r="CG91" t="str">
            <v>Y</v>
          </cell>
          <cell r="CH91" t="str">
            <v>N/A</v>
          </cell>
          <cell r="CI91">
            <v>1831727</v>
          </cell>
          <cell r="CJ91" t="str">
            <v>Y</v>
          </cell>
          <cell r="CK91" t="str">
            <v/>
          </cell>
          <cell r="CL91" t="str">
            <v>Skilled</v>
          </cell>
          <cell r="CM91" t="str">
            <v/>
          </cell>
          <cell r="CN91" t="str">
            <v>Labor</v>
          </cell>
          <cell r="CO91" t="str">
            <v/>
          </cell>
          <cell r="CP91" t="str">
            <v/>
          </cell>
          <cell r="CQ91" t="str">
            <v/>
          </cell>
          <cell r="CR91" t="str">
            <v/>
          </cell>
          <cell r="CS91" t="str">
            <v/>
          </cell>
          <cell r="CT91" t="str">
            <v/>
          </cell>
          <cell r="CU91" t="str">
            <v/>
          </cell>
          <cell r="CV91" t="str">
            <v>Municipal Office</v>
          </cell>
          <cell r="CW91" t="str">
            <v>Tashi Lama Hyolmo</v>
          </cell>
          <cell r="CX91" t="str">
            <v>Chairman</v>
          </cell>
          <cell r="CY91">
            <v>9803275836</v>
          </cell>
          <cell r="CZ91" t="str">
            <v>Municipal Office</v>
          </cell>
          <cell r="DA91" t="str">
            <v>Sunita Adhikari</v>
          </cell>
          <cell r="DB91" t="str">
            <v>Deputy Chairman</v>
          </cell>
          <cell r="DC91">
            <v>9803805437</v>
          </cell>
          <cell r="DD91" t="str">
            <v>Municipal Office</v>
          </cell>
          <cell r="DE91" t="str">
            <v>Sanjay Kumar Singh</v>
          </cell>
          <cell r="DF91" t="str">
            <v>Chief Adminstration Officer</v>
          </cell>
          <cell r="DG91">
            <v>9805928539</v>
          </cell>
          <cell r="DH91" t="str">
            <v>NRA/GMALI</v>
          </cell>
          <cell r="DI91" t="str">
            <v>Jay Prakash Gupta</v>
          </cell>
          <cell r="DJ91" t="str">
            <v>NRA Chief-District</v>
          </cell>
          <cell r="DK91">
            <v>9858320531</v>
          </cell>
          <cell r="DL91" t="str">
            <v>DLPIU-Building</v>
          </cell>
          <cell r="DM91" t="str">
            <v>Santosh Kumar Niraula</v>
          </cell>
          <cell r="DN91" t="str">
            <v>DUDBC.DLPIU Chief</v>
          </cell>
          <cell r="DO91">
            <v>9851136372</v>
          </cell>
          <cell r="DP91" t="str">
            <v>Municipal Office</v>
          </cell>
          <cell r="DQ91" t="str">
            <v>Benjamin Shrestha</v>
          </cell>
          <cell r="DR91" t="str">
            <v>Focal Person</v>
          </cell>
          <cell r="DS91">
            <v>9843200490</v>
          </cell>
          <cell r="DT91" t="str">
            <v/>
          </cell>
          <cell r="DU91" t="str">
            <v/>
          </cell>
          <cell r="DV91" t="str">
            <v/>
          </cell>
          <cell r="DW91" t="str">
            <v/>
          </cell>
          <cell r="DX91" t="str">
            <v/>
          </cell>
          <cell r="DY91" t="str">
            <v/>
          </cell>
          <cell r="DZ91">
            <v>8</v>
          </cell>
          <cell r="EA91" t="str">
            <v>0</v>
          </cell>
          <cell r="EB91">
            <v>5</v>
          </cell>
          <cell r="EC91" t="str">
            <v>3</v>
          </cell>
          <cell r="ED91">
            <v>5</v>
          </cell>
          <cell r="EE91" t="str">
            <v>3</v>
          </cell>
          <cell r="EF91" t="str">
            <v>1020</v>
          </cell>
          <cell r="EG91" t="str">
            <v>0</v>
          </cell>
          <cell r="EH91" t="str">
            <v>125</v>
          </cell>
          <cell r="EI91" t="str">
            <v>0</v>
          </cell>
          <cell r="EJ91">
            <v>441</v>
          </cell>
          <cell r="EK91">
            <v>1184</v>
          </cell>
          <cell r="EL91">
            <v>-743</v>
          </cell>
          <cell r="EM91">
            <v>657</v>
          </cell>
          <cell r="EN91">
            <v>0</v>
          </cell>
          <cell r="EO91">
            <v>657</v>
          </cell>
          <cell r="EP91" t="str">
            <v/>
          </cell>
          <cell r="EQ91" t="str">
            <v>Housing Recovery and Reconstruction Platform</v>
          </cell>
          <cell r="ER91" t="str">
            <v/>
          </cell>
          <cell r="ES91" t="str">
            <v>District Coordinator</v>
          </cell>
          <cell r="ET91">
            <v>9654028388</v>
          </cell>
          <cell r="EU91" t="str">
            <v>Housing Recovery and Reconstruction Platform</v>
          </cell>
          <cell r="EV91" t="str">
            <v>Pranjal Bhandari</v>
          </cell>
          <cell r="EW91" t="str">
            <v>DIstrict Information Management Officer</v>
          </cell>
          <cell r="EX91">
            <v>9840057752</v>
          </cell>
          <cell r="EY91" t="str">
            <v>Housing Recovery and Reconstruction Platform</v>
          </cell>
          <cell r="EZ91" t="str">
            <v xml:space="preserve">Pradip Sharma </v>
          </cell>
          <cell r="FA91" t="str">
            <v>District Technical Officer</v>
          </cell>
          <cell r="FB91">
            <v>9851073208</v>
          </cell>
        </row>
        <row r="92">
          <cell r="A92">
            <v>23011</v>
          </cell>
          <cell r="B92" t="str">
            <v>Sindhupalchowk</v>
          </cell>
          <cell r="C92" t="str">
            <v>Sunkoshi Gaunpalika</v>
          </cell>
          <cell r="D92">
            <v>123</v>
          </cell>
          <cell r="E92">
            <v>5485</v>
          </cell>
          <cell r="F92">
            <v>5608</v>
          </cell>
          <cell r="G92" t="str">
            <v>Stone and cement mortar masonry</v>
          </cell>
          <cell r="H92">
            <v>0.75</v>
          </cell>
          <cell r="I92">
            <v>1.23</v>
          </cell>
          <cell r="J92" t="str">
            <v>Stone and Mud Mortar Masonary</v>
          </cell>
          <cell r="K92">
            <v>96.59</v>
          </cell>
          <cell r="L92">
            <v>90.24</v>
          </cell>
          <cell r="M92" t="str">
            <v>Brick and Cement Mortar Masonary</v>
          </cell>
          <cell r="N92">
            <v>1.71</v>
          </cell>
          <cell r="O92">
            <v>2.5499999999999998</v>
          </cell>
          <cell r="P92" t="str">
            <v>Brick and mud mortar Masonry</v>
          </cell>
          <cell r="Q92">
            <v>0.02</v>
          </cell>
          <cell r="R92">
            <v>0.16</v>
          </cell>
          <cell r="S92" t="str">
            <v>Reinforced cement concrete (RCC) frame</v>
          </cell>
          <cell r="T92">
            <v>0.54</v>
          </cell>
          <cell r="U92">
            <v>1.57</v>
          </cell>
          <cell r="V92" t="str">
            <v>Hybrid structure</v>
          </cell>
          <cell r="W92">
            <v>0</v>
          </cell>
          <cell r="X92">
            <v>0</v>
          </cell>
          <cell r="Y92" t="str">
            <v>Timber frame structure</v>
          </cell>
          <cell r="Z92">
            <v>0.16</v>
          </cell>
          <cell r="AA92">
            <v>0.3</v>
          </cell>
          <cell r="AB92" t="str">
            <v>Hollow concrete block Masonry</v>
          </cell>
          <cell r="AC92">
            <v>0</v>
          </cell>
          <cell r="AD92">
            <v>0</v>
          </cell>
          <cell r="AE92" t="str">
            <v>Dry stone Masonry</v>
          </cell>
          <cell r="AF92">
            <v>0.05</v>
          </cell>
          <cell r="AG92">
            <v>1.08</v>
          </cell>
          <cell r="AH92" t="str">
            <v>Adobe structures</v>
          </cell>
          <cell r="AI92">
            <v>0.11</v>
          </cell>
          <cell r="AJ92">
            <v>2.85</v>
          </cell>
          <cell r="AK92" t="str">
            <v>Bamboo</v>
          </cell>
          <cell r="AL92">
            <v>7.0000000000000007E-2</v>
          </cell>
          <cell r="AM92">
            <v>0.02</v>
          </cell>
          <cell r="AN92" t="str">
            <v>Compressed stabilized earth block (SCEB) Masonry</v>
          </cell>
          <cell r="AO92">
            <v>0</v>
          </cell>
          <cell r="AP92">
            <v>0</v>
          </cell>
          <cell r="AQ92" t="str">
            <v>Light steel frame structures</v>
          </cell>
          <cell r="AR92">
            <v>0</v>
          </cell>
          <cell r="AS92">
            <v>0</v>
          </cell>
          <cell r="AT92">
            <v>5616</v>
          </cell>
          <cell r="AU92">
            <v>5554</v>
          </cell>
          <cell r="AV92">
            <v>5553</v>
          </cell>
          <cell r="AW92">
            <v>4947</v>
          </cell>
          <cell r="AX92">
            <v>4050</v>
          </cell>
          <cell r="AY92">
            <v>0</v>
          </cell>
          <cell r="AZ92" t="str">
            <v/>
          </cell>
          <cell r="BA92">
            <v>31</v>
          </cell>
          <cell r="BB92">
            <v>8</v>
          </cell>
          <cell r="BC92">
            <v>8</v>
          </cell>
          <cell r="BD92">
            <v>0</v>
          </cell>
          <cell r="BE92">
            <v>1127</v>
          </cell>
          <cell r="BF92">
            <v>682</v>
          </cell>
          <cell r="BG92" t="str">
            <v/>
          </cell>
          <cell r="BH92" t="str">
            <v/>
          </cell>
          <cell r="BI92" t="str">
            <v>CARITAS-N(Rural Housing and Community Infrastructure)</v>
          </cell>
          <cell r="BJ92" t="str">
            <v>CFJ(Education),ChayYa-N(Education),GON(Rural Housing and Community Infrastructure),IOM(Rural Housing and Community Infrastructure),MI(Health),NR(Education),OXFAM-GB(Rural Housing and Community Infrastructure),PLAN(Water, Sanitation and Hygiene),PWJ(Water, Sanitation and Hygiene),SABAL(Rural Housing and Community Infrastructure),SCI(Disaster Risk Management,Education,Nutrition,Rural Housing and Community Infrastructure,Social Protection)</v>
          </cell>
          <cell r="BK92">
            <v>74256</v>
          </cell>
          <cell r="BL92" t="str">
            <v/>
          </cell>
          <cell r="BM92" t="str">
            <v/>
          </cell>
          <cell r="BN92">
            <v>72362</v>
          </cell>
          <cell r="BO92" t="str">
            <v/>
          </cell>
          <cell r="BP92" t="str">
            <v/>
          </cell>
          <cell r="BQ92">
            <v>7893</v>
          </cell>
          <cell r="BR92" t="str">
            <v/>
          </cell>
          <cell r="BS92" t="str">
            <v/>
          </cell>
          <cell r="BT92">
            <v>8978</v>
          </cell>
          <cell r="BU92" t="str">
            <v/>
          </cell>
          <cell r="BV92" t="str">
            <v/>
          </cell>
          <cell r="BW92" t="str">
            <v/>
          </cell>
          <cell r="BX92" t="str">
            <v/>
          </cell>
          <cell r="BY92" t="str">
            <v/>
          </cell>
          <cell r="BZ92">
            <v>240274</v>
          </cell>
          <cell r="CA92" t="str">
            <v/>
          </cell>
          <cell r="CB92" t="str">
            <v/>
          </cell>
          <cell r="CC92">
            <v>810529</v>
          </cell>
          <cell r="CD92" t="str">
            <v/>
          </cell>
          <cell r="CE92" t="str">
            <v/>
          </cell>
          <cell r="CF92">
            <v>9813</v>
          </cell>
          <cell r="CG92" t="str">
            <v/>
          </cell>
          <cell r="CH92" t="str">
            <v/>
          </cell>
          <cell r="CI92">
            <v>995738</v>
          </cell>
          <cell r="CJ92" t="str">
            <v/>
          </cell>
          <cell r="CK92" t="str">
            <v/>
          </cell>
          <cell r="CL92" t="str">
            <v>Skilled</v>
          </cell>
          <cell r="CM92" t="str">
            <v/>
          </cell>
          <cell r="CN92" t="str">
            <v>Labor</v>
          </cell>
          <cell r="CO92" t="str">
            <v/>
          </cell>
          <cell r="CP92" t="str">
            <v/>
          </cell>
          <cell r="CQ92" t="str">
            <v/>
          </cell>
          <cell r="CR92" t="str">
            <v/>
          </cell>
          <cell r="CS92" t="str">
            <v/>
          </cell>
          <cell r="CT92" t="str">
            <v/>
          </cell>
          <cell r="CU92" t="str">
            <v/>
          </cell>
          <cell r="CV92" t="str">
            <v>Municipal Office</v>
          </cell>
          <cell r="CW92" t="str">
            <v>Shrawan Kumar G.C</v>
          </cell>
          <cell r="CX92" t="str">
            <v>Chairman</v>
          </cell>
          <cell r="CY92">
            <v>9851030336</v>
          </cell>
          <cell r="CZ92" t="str">
            <v>Municipal Office</v>
          </cell>
          <cell r="DA92" t="str">
            <v>Laxmi Poudel</v>
          </cell>
          <cell r="DB92" t="str">
            <v>Deputy Chairman</v>
          </cell>
          <cell r="DC92">
            <v>9851038575</v>
          </cell>
          <cell r="DD92" t="str">
            <v>Municipal Office</v>
          </cell>
          <cell r="DE92" t="str">
            <v>Bir Bahadur Basnet</v>
          </cell>
          <cell r="DF92" t="str">
            <v>Chief Adminstration Officer</v>
          </cell>
          <cell r="DG92">
            <v>9841743662</v>
          </cell>
          <cell r="DH92" t="str">
            <v>NRA/GMALI</v>
          </cell>
          <cell r="DI92" t="str">
            <v>Jay Prakash Gupta</v>
          </cell>
          <cell r="DJ92" t="str">
            <v>NRA Chief-District</v>
          </cell>
          <cell r="DK92">
            <v>9858320531</v>
          </cell>
          <cell r="DL92" t="str">
            <v>DLPIU-Building</v>
          </cell>
          <cell r="DM92" t="str">
            <v>Santosh Kumar Niraula</v>
          </cell>
          <cell r="DN92" t="str">
            <v>DUDBC.DLPIU Chief</v>
          </cell>
          <cell r="DO92">
            <v>9851136372</v>
          </cell>
          <cell r="DP92" t="str">
            <v>Municipal Office</v>
          </cell>
          <cell r="DQ92" t="str">
            <v>Ram Hari Thapa</v>
          </cell>
          <cell r="DR92" t="str">
            <v>Focal Person</v>
          </cell>
          <cell r="DS92">
            <v>9851203284</v>
          </cell>
          <cell r="DT92" t="str">
            <v/>
          </cell>
          <cell r="DU92" t="str">
            <v/>
          </cell>
          <cell r="DV92" t="str">
            <v/>
          </cell>
          <cell r="DW92" t="str">
            <v/>
          </cell>
          <cell r="DX92" t="str">
            <v/>
          </cell>
          <cell r="DY92" t="str">
            <v/>
          </cell>
          <cell r="DZ92" t="str">
            <v/>
          </cell>
          <cell r="EA92" t="str">
            <v/>
          </cell>
          <cell r="EB92" t="str">
            <v/>
          </cell>
          <cell r="EC92" t="str">
            <v/>
          </cell>
          <cell r="ED92" t="str">
            <v/>
          </cell>
          <cell r="EE92" t="str">
            <v/>
          </cell>
          <cell r="EF92" t="str">
            <v/>
          </cell>
          <cell r="EG92" t="str">
            <v/>
          </cell>
          <cell r="EH92" t="str">
            <v/>
          </cell>
          <cell r="EI92" t="str">
            <v/>
          </cell>
          <cell r="EJ92">
            <v>387</v>
          </cell>
          <cell r="EK92">
            <v>125</v>
          </cell>
          <cell r="EL92">
            <v>262</v>
          </cell>
          <cell r="EM92">
            <v>567</v>
          </cell>
          <cell r="EN92">
            <v>17</v>
          </cell>
          <cell r="EO92">
            <v>550</v>
          </cell>
          <cell r="EP92" t="str">
            <v/>
          </cell>
          <cell r="EQ92" t="str">
            <v>Housing Recovery and Reconstruction Platform</v>
          </cell>
          <cell r="ER92" t="str">
            <v/>
          </cell>
          <cell r="ES92" t="str">
            <v>District Coordinator</v>
          </cell>
          <cell r="ET92">
            <v>9654028388</v>
          </cell>
          <cell r="EU92" t="str">
            <v>Housing Recovery and Reconstruction Platform</v>
          </cell>
          <cell r="EV92" t="str">
            <v>Pranjal Bhandari</v>
          </cell>
          <cell r="EW92" t="str">
            <v>DIstrict Information Management Officer</v>
          </cell>
          <cell r="EX92">
            <v>9840057752</v>
          </cell>
          <cell r="EY92" t="str">
            <v>Housing Recovery and Reconstruction Platform</v>
          </cell>
          <cell r="EZ92" t="str">
            <v xml:space="preserve">Pradip Sharma </v>
          </cell>
          <cell r="FA92" t="str">
            <v>District Technical Officer</v>
          </cell>
          <cell r="FB92">
            <v>9851073208</v>
          </cell>
        </row>
        <row r="93">
          <cell r="A93">
            <v>23012</v>
          </cell>
          <cell r="B93" t="str">
            <v>Sindhupalchowk</v>
          </cell>
          <cell r="C93" t="str">
            <v>Tripurasundari Gaunpalika</v>
          </cell>
          <cell r="D93">
            <v>108</v>
          </cell>
          <cell r="E93">
            <v>4404</v>
          </cell>
          <cell r="F93">
            <v>4512</v>
          </cell>
          <cell r="G93" t="str">
            <v>Stone and cement mortar masonry</v>
          </cell>
          <cell r="H93">
            <v>1.04</v>
          </cell>
          <cell r="I93">
            <v>1.23</v>
          </cell>
          <cell r="J93" t="str">
            <v>Stone and Mud Mortar Masonary</v>
          </cell>
          <cell r="K93">
            <v>96.52</v>
          </cell>
          <cell r="L93">
            <v>90.24</v>
          </cell>
          <cell r="M93" t="str">
            <v>Brick and Cement Mortar Masonary</v>
          </cell>
          <cell r="N93">
            <v>0.4</v>
          </cell>
          <cell r="O93">
            <v>2.5499999999999998</v>
          </cell>
          <cell r="P93" t="str">
            <v>Brick and mud mortar Masonry</v>
          </cell>
          <cell r="Q93">
            <v>0</v>
          </cell>
          <cell r="R93">
            <v>0.16</v>
          </cell>
          <cell r="S93" t="str">
            <v>Reinforced cement concrete (RCC) frame</v>
          </cell>
          <cell r="T93">
            <v>1.22</v>
          </cell>
          <cell r="U93">
            <v>1.57</v>
          </cell>
          <cell r="V93" t="str">
            <v>Hybrid structure</v>
          </cell>
          <cell r="W93">
            <v>0</v>
          </cell>
          <cell r="X93">
            <v>0</v>
          </cell>
          <cell r="Y93" t="str">
            <v>Timber frame structure</v>
          </cell>
          <cell r="Z93">
            <v>0.16</v>
          </cell>
          <cell r="AA93">
            <v>0.3</v>
          </cell>
          <cell r="AB93" t="str">
            <v>Hollow concrete block Masonry</v>
          </cell>
          <cell r="AC93">
            <v>0</v>
          </cell>
          <cell r="AD93">
            <v>0</v>
          </cell>
          <cell r="AE93" t="str">
            <v>Dry stone Masonry</v>
          </cell>
          <cell r="AF93">
            <v>0.4</v>
          </cell>
          <cell r="AG93">
            <v>1.08</v>
          </cell>
          <cell r="AH93" t="str">
            <v>Adobe structures</v>
          </cell>
          <cell r="AI93">
            <v>0.24</v>
          </cell>
          <cell r="AJ93">
            <v>2.85</v>
          </cell>
          <cell r="AK93" t="str">
            <v>Bamboo</v>
          </cell>
          <cell r="AL93">
            <v>0.02</v>
          </cell>
          <cell r="AM93">
            <v>0.02</v>
          </cell>
          <cell r="AN93" t="str">
            <v>Compressed stabilized earth block (SCEB) Masonry</v>
          </cell>
          <cell r="AO93">
            <v>0</v>
          </cell>
          <cell r="AP93">
            <v>0</v>
          </cell>
          <cell r="AQ93" t="str">
            <v>Light steel frame structures</v>
          </cell>
          <cell r="AR93">
            <v>0</v>
          </cell>
          <cell r="AS93">
            <v>0</v>
          </cell>
          <cell r="AT93">
            <v>4554</v>
          </cell>
          <cell r="AU93">
            <v>4437</v>
          </cell>
          <cell r="AV93">
            <v>4436</v>
          </cell>
          <cell r="AW93">
            <v>4085</v>
          </cell>
          <cell r="AX93">
            <v>3081</v>
          </cell>
          <cell r="AY93">
            <v>0</v>
          </cell>
          <cell r="AZ93" t="str">
            <v/>
          </cell>
          <cell r="BA93">
            <v>19</v>
          </cell>
          <cell r="BB93">
            <v>5</v>
          </cell>
          <cell r="BC93">
            <v>5</v>
          </cell>
          <cell r="BD93">
            <v>0</v>
          </cell>
          <cell r="BE93">
            <v>930</v>
          </cell>
          <cell r="BF93">
            <v>448</v>
          </cell>
          <cell r="BG93" t="str">
            <v/>
          </cell>
          <cell r="BH93" t="str">
            <v/>
          </cell>
          <cell r="BI93" t="str">
            <v>JICA(Rural Housing and Community Infrastructure)</v>
          </cell>
          <cell r="BJ93" t="str">
            <v>AATWIN(Social Protection),CFJ(Education),GON-PAF(Rural Housing and Community Infrastructure),ICCO(Agriculture, Livestock Development and Irrigation,Disaster Risk Management,Education,Employment and Livelihood,Rural Housing and Community Infrastructure),MC(NA-Others-Others-(Please specify in Activity Detail),Rural Housing and Community Infrastructure),NRA(Rural Housing and Community Infrastructure),OXFAM-GB(Rural Housing and Community Infrastructure),PLAN(Water, Sanitation and Hygiene),Praramva(Education),SABAL(Rural Housing and Community Infrastructure),SCI(Nutrition,Rural Housing and Community Infrastructure)</v>
          </cell>
          <cell r="BK93">
            <v>101425</v>
          </cell>
          <cell r="BL93" t="str">
            <v/>
          </cell>
          <cell r="BM93" t="str">
            <v/>
          </cell>
          <cell r="BN93">
            <v>98610</v>
          </cell>
          <cell r="BO93" t="str">
            <v/>
          </cell>
          <cell r="BP93" t="str">
            <v/>
          </cell>
          <cell r="BQ93">
            <v>10783</v>
          </cell>
          <cell r="BR93" t="str">
            <v/>
          </cell>
          <cell r="BS93" t="str">
            <v/>
          </cell>
          <cell r="BT93">
            <v>12271</v>
          </cell>
          <cell r="BU93" t="str">
            <v/>
          </cell>
          <cell r="BV93" t="str">
            <v/>
          </cell>
          <cell r="BW93" t="str">
            <v/>
          </cell>
          <cell r="BX93" t="str">
            <v/>
          </cell>
          <cell r="BY93" t="str">
            <v/>
          </cell>
          <cell r="BZ93">
            <v>330453</v>
          </cell>
          <cell r="CA93" t="str">
            <v/>
          </cell>
          <cell r="CB93" t="str">
            <v/>
          </cell>
          <cell r="CC93">
            <v>1111430</v>
          </cell>
          <cell r="CD93" t="str">
            <v/>
          </cell>
          <cell r="CE93" t="str">
            <v/>
          </cell>
          <cell r="CF93">
            <v>13514</v>
          </cell>
          <cell r="CG93" t="str">
            <v/>
          </cell>
          <cell r="CH93" t="str">
            <v/>
          </cell>
          <cell r="CI93">
            <v>1834218</v>
          </cell>
          <cell r="CJ93" t="str">
            <v/>
          </cell>
          <cell r="CK93" t="str">
            <v/>
          </cell>
          <cell r="CL93" t="str">
            <v>Skilled</v>
          </cell>
          <cell r="CM93" t="str">
            <v/>
          </cell>
          <cell r="CN93" t="str">
            <v>Labor</v>
          </cell>
          <cell r="CO93" t="str">
            <v/>
          </cell>
          <cell r="CP93" t="str">
            <v/>
          </cell>
          <cell r="CQ93" t="str">
            <v/>
          </cell>
          <cell r="CR93" t="str">
            <v/>
          </cell>
          <cell r="CS93" t="str">
            <v/>
          </cell>
          <cell r="CT93" t="str">
            <v/>
          </cell>
          <cell r="CU93" t="str">
            <v/>
          </cell>
          <cell r="CV93" t="str">
            <v>Municipal Office</v>
          </cell>
          <cell r="CW93" t="str">
            <v>Bhupendra Shrestha</v>
          </cell>
          <cell r="CX93" t="str">
            <v>Chairman</v>
          </cell>
          <cell r="CY93">
            <v>9851210270</v>
          </cell>
          <cell r="CZ93" t="str">
            <v>Municipal Office</v>
          </cell>
          <cell r="DA93" t="str">
            <v>Durga Nepal</v>
          </cell>
          <cell r="DB93" t="str">
            <v>Deputy Chairman</v>
          </cell>
          <cell r="DC93">
            <v>9741181911</v>
          </cell>
          <cell r="DD93" t="str">
            <v>Municipal Office</v>
          </cell>
          <cell r="DE93" t="str">
            <v>Rajendra Prasad Nepal</v>
          </cell>
          <cell r="DF93" t="str">
            <v>Chief Adminstration Officer</v>
          </cell>
          <cell r="DG93">
            <v>9841535479</v>
          </cell>
          <cell r="DH93" t="str">
            <v>NRA/GMALI</v>
          </cell>
          <cell r="DI93" t="str">
            <v>Jay Prakash Gupta</v>
          </cell>
          <cell r="DJ93" t="str">
            <v>NRA Chief-District</v>
          </cell>
          <cell r="DK93">
            <v>9858320531</v>
          </cell>
          <cell r="DL93" t="str">
            <v>DLPIU-Building</v>
          </cell>
          <cell r="DM93" t="str">
            <v>Santosh Kumar Niraula</v>
          </cell>
          <cell r="DN93" t="str">
            <v>DUDBC.DLPIU Chief</v>
          </cell>
          <cell r="DO93">
            <v>9851136372</v>
          </cell>
          <cell r="DP93" t="str">
            <v>Municipal Office</v>
          </cell>
          <cell r="DQ93" t="str">
            <v>Sunil Shrestha</v>
          </cell>
          <cell r="DR93" t="str">
            <v>Focal Person</v>
          </cell>
          <cell r="DS93">
            <v>9849394426</v>
          </cell>
          <cell r="DT93" t="str">
            <v/>
          </cell>
          <cell r="DU93" t="str">
            <v/>
          </cell>
          <cell r="DV93" t="str">
            <v/>
          </cell>
          <cell r="DW93" t="str">
            <v/>
          </cell>
          <cell r="DX93" t="str">
            <v/>
          </cell>
          <cell r="DY93" t="str">
            <v/>
          </cell>
          <cell r="DZ93" t="str">
            <v/>
          </cell>
          <cell r="EA93" t="str">
            <v/>
          </cell>
          <cell r="EB93" t="str">
            <v/>
          </cell>
          <cell r="EC93" t="str">
            <v/>
          </cell>
          <cell r="ED93" t="str">
            <v/>
          </cell>
          <cell r="EE93" t="str">
            <v/>
          </cell>
          <cell r="EF93" t="str">
            <v/>
          </cell>
          <cell r="EG93" t="str">
            <v/>
          </cell>
          <cell r="EH93" t="str">
            <v/>
          </cell>
          <cell r="EI93" t="str">
            <v/>
          </cell>
          <cell r="EJ93">
            <v>322</v>
          </cell>
          <cell r="EK93">
            <v>340</v>
          </cell>
          <cell r="EL93">
            <v>-18</v>
          </cell>
          <cell r="EM93">
            <v>472</v>
          </cell>
          <cell r="EN93">
            <v>83</v>
          </cell>
          <cell r="EO93">
            <v>389</v>
          </cell>
          <cell r="EP93" t="str">
            <v/>
          </cell>
          <cell r="EQ93" t="str">
            <v>Housing Recovery and Reconstruction Platform</v>
          </cell>
          <cell r="ER93" t="str">
            <v/>
          </cell>
          <cell r="ES93" t="str">
            <v>District Coordinator</v>
          </cell>
          <cell r="ET93">
            <v>9654028388</v>
          </cell>
          <cell r="EU93" t="str">
            <v>Housing Recovery and Reconstruction Platform</v>
          </cell>
          <cell r="EV93" t="str">
            <v>Pranjal Bhandari</v>
          </cell>
          <cell r="EW93" t="str">
            <v>DIstrict Information Management Officer</v>
          </cell>
          <cell r="EX93">
            <v>9840057752</v>
          </cell>
          <cell r="EY93" t="str">
            <v>Housing Recovery and Reconstruction Platform</v>
          </cell>
          <cell r="EZ93" t="str">
            <v xml:space="preserve">Pradip Sharma </v>
          </cell>
          <cell r="FA93" t="str">
            <v>District Technical Officer</v>
          </cell>
          <cell r="FB93">
            <v>9851073208</v>
          </cell>
        </row>
        <row r="94">
          <cell r="A94">
            <v>24001</v>
          </cell>
          <cell r="B94" t="str">
            <v>Kavrepalanchok</v>
          </cell>
          <cell r="C94" t="str">
            <v>Banepa Nagarpalika</v>
          </cell>
          <cell r="D94">
            <v>4855</v>
          </cell>
          <cell r="E94">
            <v>7190</v>
          </cell>
          <cell r="F94">
            <v>12045</v>
          </cell>
          <cell r="G94" t="str">
            <v>Stone and cement mortar masonry</v>
          </cell>
          <cell r="H94">
            <v>0.62</v>
          </cell>
          <cell r="I94">
            <v>0.28999999999999998</v>
          </cell>
          <cell r="J94" t="str">
            <v>Stone and Mud Mortar Masonary</v>
          </cell>
          <cell r="K94">
            <v>29.57</v>
          </cell>
          <cell r="L94">
            <v>69.19</v>
          </cell>
          <cell r="M94" t="str">
            <v>Brick and Cement Mortar Masonary</v>
          </cell>
          <cell r="N94">
            <v>22.85</v>
          </cell>
          <cell r="O94">
            <v>5.98</v>
          </cell>
          <cell r="P94" t="str">
            <v>Brick and mud mortar Masonry</v>
          </cell>
          <cell r="Q94">
            <v>12.93</v>
          </cell>
          <cell r="R94">
            <v>4.0199999999999996</v>
          </cell>
          <cell r="S94" t="str">
            <v>Reinforced cement concrete (RCC) frame</v>
          </cell>
          <cell r="T94">
            <v>16.75</v>
          </cell>
          <cell r="U94">
            <v>4.6500000000000004</v>
          </cell>
          <cell r="V94" t="str">
            <v>Hybrid structure</v>
          </cell>
          <cell r="W94">
            <v>0</v>
          </cell>
          <cell r="X94">
            <v>0</v>
          </cell>
          <cell r="Y94" t="str">
            <v>Timber frame structure</v>
          </cell>
          <cell r="Z94">
            <v>0.11</v>
          </cell>
          <cell r="AA94">
            <v>0.38</v>
          </cell>
          <cell r="AB94" t="str">
            <v>Hollow concrete block Masonry</v>
          </cell>
          <cell r="AC94">
            <v>0</v>
          </cell>
          <cell r="AD94">
            <v>0</v>
          </cell>
          <cell r="AE94" t="str">
            <v>Dry stone Masonry</v>
          </cell>
          <cell r="AF94">
            <v>0.02</v>
          </cell>
          <cell r="AG94">
            <v>0.06</v>
          </cell>
          <cell r="AH94" t="str">
            <v>Adobe structures</v>
          </cell>
          <cell r="AI94">
            <v>17.079999999999998</v>
          </cell>
          <cell r="AJ94">
            <v>15.32</v>
          </cell>
          <cell r="AK94" t="str">
            <v>Bamboo</v>
          </cell>
          <cell r="AL94">
            <v>0.08</v>
          </cell>
          <cell r="AM94">
            <v>0.11</v>
          </cell>
          <cell r="AN94" t="str">
            <v>Compressed stabilized earth block (SCEB) Masonry</v>
          </cell>
          <cell r="AO94">
            <v>0</v>
          </cell>
          <cell r="AP94">
            <v>0</v>
          </cell>
          <cell r="AQ94" t="str">
            <v>Light steel frame structures</v>
          </cell>
          <cell r="AR94">
            <v>0</v>
          </cell>
          <cell r="AS94">
            <v>0</v>
          </cell>
          <cell r="AT94">
            <v>7070</v>
          </cell>
          <cell r="AU94">
            <v>6354</v>
          </cell>
          <cell r="AV94">
            <v>6250</v>
          </cell>
          <cell r="AW94">
            <v>2744</v>
          </cell>
          <cell r="AX94">
            <v>2084</v>
          </cell>
          <cell r="AY94">
            <v>0</v>
          </cell>
          <cell r="AZ94" t="str">
            <v/>
          </cell>
          <cell r="BA94">
            <v>234</v>
          </cell>
          <cell r="BB94" t="str">
            <v/>
          </cell>
          <cell r="BC94">
            <v>73</v>
          </cell>
          <cell r="BD94">
            <v>0</v>
          </cell>
          <cell r="BE94">
            <v>2226</v>
          </cell>
          <cell r="BF94">
            <v>2031</v>
          </cell>
          <cell r="BG94">
            <v>25</v>
          </cell>
          <cell r="BH94">
            <v>25</v>
          </cell>
          <cell r="BI94" t="str">
            <v/>
          </cell>
          <cell r="BJ94" t="str">
            <v>SCI(Education,Social Protection)</v>
          </cell>
          <cell r="BK94">
            <v>52224</v>
          </cell>
          <cell r="BL94" t="str">
            <v>Y</v>
          </cell>
          <cell r="BM94">
            <v>2200</v>
          </cell>
          <cell r="BN94">
            <v>45461</v>
          </cell>
          <cell r="BO94" t="str">
            <v>Y</v>
          </cell>
          <cell r="BP94">
            <v>2800</v>
          </cell>
          <cell r="BQ94">
            <v>5502</v>
          </cell>
          <cell r="BR94" t="str">
            <v>Y</v>
          </cell>
          <cell r="BS94">
            <v>3000</v>
          </cell>
          <cell r="BT94">
            <v>6078</v>
          </cell>
          <cell r="BU94" t="str">
            <v>Y</v>
          </cell>
          <cell r="BV94" t="str">
            <v>6000</v>
          </cell>
          <cell r="BW94" t="str">
            <v/>
          </cell>
          <cell r="BX94" t="str">
            <v>Y</v>
          </cell>
          <cell r="BY94">
            <v>900</v>
          </cell>
          <cell r="BZ94">
            <v>153129</v>
          </cell>
          <cell r="CA94" t="str">
            <v>Y</v>
          </cell>
          <cell r="CB94">
            <v>900</v>
          </cell>
          <cell r="CC94">
            <v>579897</v>
          </cell>
          <cell r="CD94" t="str">
            <v>Y</v>
          </cell>
          <cell r="CE94">
            <v>86</v>
          </cell>
          <cell r="CF94">
            <v>6253</v>
          </cell>
          <cell r="CG94" t="str">
            <v>Y</v>
          </cell>
          <cell r="CH94" t="str">
            <v>5000</v>
          </cell>
          <cell r="CI94">
            <v>1290870</v>
          </cell>
          <cell r="CJ94" t="str">
            <v>Y</v>
          </cell>
          <cell r="CK94">
            <v>20</v>
          </cell>
          <cell r="CL94" t="str">
            <v>Skilled</v>
          </cell>
          <cell r="CM94">
            <v>1500</v>
          </cell>
          <cell r="CN94" t="str">
            <v>Labor</v>
          </cell>
          <cell r="CO94">
            <v>800</v>
          </cell>
          <cell r="CP94" t="str">
            <v/>
          </cell>
          <cell r="CQ94" t="str">
            <v/>
          </cell>
          <cell r="CR94" t="str">
            <v/>
          </cell>
          <cell r="CS94" t="str">
            <v/>
          </cell>
          <cell r="CT94" t="str">
            <v/>
          </cell>
          <cell r="CU94" t="str">
            <v/>
          </cell>
          <cell r="CV94" t="str">
            <v>Municipal Office</v>
          </cell>
          <cell r="CW94" t="str">
            <v>Laxmi Narsingh Bade</v>
          </cell>
          <cell r="CX94" t="str">
            <v>Mayor</v>
          </cell>
          <cell r="CY94">
            <v>9851056975</v>
          </cell>
          <cell r="CZ94" t="str">
            <v>Municipal Office</v>
          </cell>
          <cell r="DA94" t="str">
            <v>Rekha Dahal</v>
          </cell>
          <cell r="DB94" t="str">
            <v>Deputy Mayor</v>
          </cell>
          <cell r="DC94">
            <v>9860936366</v>
          </cell>
          <cell r="DD94" t="str">
            <v>Municipal Office</v>
          </cell>
          <cell r="DE94" t="str">
            <v>Bhoj Raj Ghimire</v>
          </cell>
          <cell r="DF94" t="str">
            <v>Adminstration Officer</v>
          </cell>
          <cell r="DG94">
            <v>9851049487</v>
          </cell>
          <cell r="DH94" t="str">
            <v>NRA/GMALI</v>
          </cell>
          <cell r="DI94" t="str">
            <v>Lok Nath Regmi</v>
          </cell>
          <cell r="DJ94" t="str">
            <v>NRA Chief-District</v>
          </cell>
          <cell r="DK94">
            <v>9851146403</v>
          </cell>
          <cell r="DL94" t="str">
            <v>DLPIU-Building</v>
          </cell>
          <cell r="DM94" t="str">
            <v>Mahalaxmi Joshi</v>
          </cell>
          <cell r="DN94" t="str">
            <v>DUDBC.DLPIU Chief</v>
          </cell>
          <cell r="DO94">
            <v>9841010222</v>
          </cell>
          <cell r="DP94" t="str">
            <v>Municipal Office</v>
          </cell>
          <cell r="DQ94" t="str">
            <v>Ram Krishna Ghimire</v>
          </cell>
          <cell r="DR94" t="str">
            <v>Focal Person</v>
          </cell>
          <cell r="DS94">
            <v>9841935146</v>
          </cell>
          <cell r="DT94" t="str">
            <v/>
          </cell>
          <cell r="DU94" t="str">
            <v/>
          </cell>
          <cell r="DV94" t="str">
            <v/>
          </cell>
          <cell r="DW94" t="str">
            <v/>
          </cell>
          <cell r="DX94" t="str">
            <v/>
          </cell>
          <cell r="DY94" t="str">
            <v/>
          </cell>
          <cell r="DZ94" t="str">
            <v/>
          </cell>
          <cell r="EA94" t="str">
            <v/>
          </cell>
          <cell r="EB94" t="str">
            <v/>
          </cell>
          <cell r="EC94" t="str">
            <v/>
          </cell>
          <cell r="ED94" t="str">
            <v/>
          </cell>
          <cell r="EE94" t="str">
            <v/>
          </cell>
          <cell r="EF94" t="str">
            <v/>
          </cell>
          <cell r="EG94" t="str">
            <v/>
          </cell>
          <cell r="EH94" t="str">
            <v/>
          </cell>
          <cell r="EI94" t="str">
            <v/>
          </cell>
          <cell r="EJ94">
            <v>456</v>
          </cell>
          <cell r="EK94">
            <v>56</v>
          </cell>
          <cell r="EL94">
            <v>400</v>
          </cell>
          <cell r="EM94">
            <v>653</v>
          </cell>
          <cell r="EN94">
            <v>2</v>
          </cell>
          <cell r="EO94">
            <v>651</v>
          </cell>
          <cell r="EP94" t="str">
            <v/>
          </cell>
          <cell r="EQ94" t="str">
            <v>Housing Recovery and Reconstruction Platform</v>
          </cell>
          <cell r="ER94" t="str">
            <v>Reshma Shrestha</v>
          </cell>
          <cell r="ES94" t="str">
            <v>District Coordinator</v>
          </cell>
          <cell r="ET94">
            <v>9841264190</v>
          </cell>
          <cell r="EU94" t="str">
            <v>Housing Recovery and Reconstruction Platform</v>
          </cell>
          <cell r="EV94" t="str">
            <v>Ishor Neupane</v>
          </cell>
          <cell r="EW94" t="str">
            <v>DIstrict Information Management Officer</v>
          </cell>
          <cell r="EX94">
            <v>9801317265</v>
          </cell>
          <cell r="EY94" t="str">
            <v>Housing Recovery and Reconstruction Platform</v>
          </cell>
          <cell r="EZ94" t="str">
            <v/>
          </cell>
          <cell r="FA94" t="str">
            <v>District Technical Officer</v>
          </cell>
          <cell r="FB94" t="str">
            <v/>
          </cell>
        </row>
        <row r="95">
          <cell r="A95">
            <v>24002</v>
          </cell>
          <cell r="B95" t="str">
            <v>Kavrepalanchok</v>
          </cell>
          <cell r="C95" t="str">
            <v>Bethanchowk Gaunpalika</v>
          </cell>
          <cell r="D95">
            <v>738</v>
          </cell>
          <cell r="E95">
            <v>3925</v>
          </cell>
          <cell r="F95">
            <v>4663</v>
          </cell>
          <cell r="G95" t="str">
            <v>Stone and cement mortar masonry</v>
          </cell>
          <cell r="H95">
            <v>0.06</v>
          </cell>
          <cell r="I95">
            <v>0.28999999999999998</v>
          </cell>
          <cell r="J95" t="str">
            <v>Stone and Mud Mortar Masonary</v>
          </cell>
          <cell r="K95">
            <v>89.17</v>
          </cell>
          <cell r="L95">
            <v>69.19</v>
          </cell>
          <cell r="M95" t="str">
            <v>Brick and Cement Mortar Masonary</v>
          </cell>
          <cell r="N95">
            <v>0.43</v>
          </cell>
          <cell r="O95">
            <v>5.98</v>
          </cell>
          <cell r="P95" t="str">
            <v>Brick and mud mortar Masonry</v>
          </cell>
          <cell r="Q95">
            <v>0.09</v>
          </cell>
          <cell r="R95">
            <v>4.0199999999999996</v>
          </cell>
          <cell r="S95" t="str">
            <v>Reinforced cement concrete (RCC) frame</v>
          </cell>
          <cell r="T95">
            <v>0.24</v>
          </cell>
          <cell r="U95">
            <v>4.6500000000000004</v>
          </cell>
          <cell r="V95" t="str">
            <v>Hybrid structure</v>
          </cell>
          <cell r="W95">
            <v>0</v>
          </cell>
          <cell r="X95">
            <v>0</v>
          </cell>
          <cell r="Y95" t="str">
            <v>Timber frame structure</v>
          </cell>
          <cell r="Z95">
            <v>0.17</v>
          </cell>
          <cell r="AA95">
            <v>0.38</v>
          </cell>
          <cell r="AB95" t="str">
            <v>Hollow concrete block Masonry</v>
          </cell>
          <cell r="AC95">
            <v>0</v>
          </cell>
          <cell r="AD95">
            <v>0</v>
          </cell>
          <cell r="AE95" t="str">
            <v>Dry stone Masonry</v>
          </cell>
          <cell r="AF95">
            <v>0</v>
          </cell>
          <cell r="AG95">
            <v>0.06</v>
          </cell>
          <cell r="AH95" t="str">
            <v>Adobe structures</v>
          </cell>
          <cell r="AI95">
            <v>9.8000000000000007</v>
          </cell>
          <cell r="AJ95">
            <v>15.32</v>
          </cell>
          <cell r="AK95" t="str">
            <v>Bamboo</v>
          </cell>
          <cell r="AL95">
            <v>0.04</v>
          </cell>
          <cell r="AM95">
            <v>0.11</v>
          </cell>
          <cell r="AN95" t="str">
            <v>Compressed stabilized earth block (SCEB) Masonry</v>
          </cell>
          <cell r="AO95">
            <v>0</v>
          </cell>
          <cell r="AP95">
            <v>0</v>
          </cell>
          <cell r="AQ95" t="str">
            <v>Light steel frame structures</v>
          </cell>
          <cell r="AR95">
            <v>0</v>
          </cell>
          <cell r="AS95">
            <v>0</v>
          </cell>
          <cell r="AT95">
            <v>4377</v>
          </cell>
          <cell r="AU95">
            <v>3759</v>
          </cell>
          <cell r="AV95">
            <v>3724</v>
          </cell>
          <cell r="AW95">
            <v>2532</v>
          </cell>
          <cell r="AX95">
            <v>1310</v>
          </cell>
          <cell r="AY95">
            <v>0</v>
          </cell>
          <cell r="AZ95" t="str">
            <v/>
          </cell>
          <cell r="BA95">
            <v>553</v>
          </cell>
          <cell r="BB95" t="str">
            <v/>
          </cell>
          <cell r="BC95">
            <v>73</v>
          </cell>
          <cell r="BD95">
            <v>0</v>
          </cell>
          <cell r="BE95">
            <v>1202</v>
          </cell>
          <cell r="BF95">
            <v>1202</v>
          </cell>
          <cell r="BG95">
            <v>4</v>
          </cell>
          <cell r="BH95">
            <v>4</v>
          </cell>
          <cell r="BI95" t="str">
            <v>CECI(Agriculture, Livestock Development and Irrigation,Disaster Risk Management,Employment and Livelihood,Governance)</v>
          </cell>
          <cell r="BJ95" t="str">
            <v>AATWIN(Social Protection),ARSOW-N(Rural Housing and Community Infrastructure),BC(Education,Rural Housing and Community Infrastructure),GON - DUDBC(Rural Housing and Community Infrastructure),HELVETAS(Rural Housing and Community Infrastructure),Maiti-N(Education),WeWorld(Education)</v>
          </cell>
          <cell r="BK95">
            <v>52068</v>
          </cell>
          <cell r="BL95" t="str">
            <v>Y</v>
          </cell>
          <cell r="BM95">
            <v>1000</v>
          </cell>
          <cell r="BN95">
            <v>52710</v>
          </cell>
          <cell r="BO95" t="str">
            <v>Y</v>
          </cell>
          <cell r="BP95">
            <v>3000</v>
          </cell>
          <cell r="BQ95">
            <v>5554</v>
          </cell>
          <cell r="BR95" t="str">
            <v>Y</v>
          </cell>
          <cell r="BS95">
            <v>4000</v>
          </cell>
          <cell r="BT95">
            <v>6388</v>
          </cell>
          <cell r="BU95" t="str">
            <v>Y</v>
          </cell>
          <cell r="BV95" t="str">
            <v>6500</v>
          </cell>
          <cell r="BW95" t="str">
            <v/>
          </cell>
          <cell r="BX95" t="str">
            <v>Y</v>
          </cell>
          <cell r="BY95">
            <v>870</v>
          </cell>
          <cell r="BZ95">
            <v>175336</v>
          </cell>
          <cell r="CA95" t="str">
            <v>Y</v>
          </cell>
          <cell r="CB95">
            <v>900</v>
          </cell>
          <cell r="CC95">
            <v>566244</v>
          </cell>
          <cell r="CD95" t="str">
            <v>Y</v>
          </cell>
          <cell r="CE95">
            <v>98</v>
          </cell>
          <cell r="CF95">
            <v>7168</v>
          </cell>
          <cell r="CG95" t="str">
            <v>Y</v>
          </cell>
          <cell r="CH95" t="str">
            <v>7000</v>
          </cell>
          <cell r="CI95">
            <v>653444</v>
          </cell>
          <cell r="CJ95" t="str">
            <v>Y</v>
          </cell>
          <cell r="CK95">
            <v>20</v>
          </cell>
          <cell r="CL95" t="str">
            <v>Skilled</v>
          </cell>
          <cell r="CM95">
            <v>1500</v>
          </cell>
          <cell r="CN95" t="str">
            <v>Labor</v>
          </cell>
          <cell r="CO95">
            <v>800</v>
          </cell>
          <cell r="CP95" t="str">
            <v/>
          </cell>
          <cell r="CQ95" t="str">
            <v/>
          </cell>
          <cell r="CR95" t="str">
            <v/>
          </cell>
          <cell r="CS95" t="str">
            <v/>
          </cell>
          <cell r="CT95" t="str">
            <v/>
          </cell>
          <cell r="CU95" t="str">
            <v/>
          </cell>
          <cell r="CV95" t="str">
            <v>Municipal Office</v>
          </cell>
          <cell r="CW95" t="str">
            <v>Prem Prasad Timalsina</v>
          </cell>
          <cell r="CX95" t="str">
            <v>Mayor</v>
          </cell>
          <cell r="CY95">
            <v>9851099511</v>
          </cell>
          <cell r="CZ95" t="str">
            <v>Municipal Office</v>
          </cell>
          <cell r="DA95" t="str">
            <v>Sarita Lamichhane</v>
          </cell>
          <cell r="DB95" t="str">
            <v>Deputy Mayor</v>
          </cell>
          <cell r="DC95">
            <v>9841447532</v>
          </cell>
          <cell r="DD95" t="str">
            <v>Municipal Office</v>
          </cell>
          <cell r="DE95" t="str">
            <v>Tekraj Acharya</v>
          </cell>
          <cell r="DF95" t="str">
            <v>Adminstration Officer</v>
          </cell>
          <cell r="DG95">
            <v>9851154211</v>
          </cell>
          <cell r="DH95" t="str">
            <v>NRA/GMALI</v>
          </cell>
          <cell r="DI95" t="str">
            <v>Lok Nath Regmi</v>
          </cell>
          <cell r="DJ95" t="str">
            <v>NRA Chief-District</v>
          </cell>
          <cell r="DK95">
            <v>9851146403</v>
          </cell>
          <cell r="DL95" t="str">
            <v>DLPIU-Building</v>
          </cell>
          <cell r="DM95" t="str">
            <v>Mahalaxmi Joshi</v>
          </cell>
          <cell r="DN95" t="str">
            <v>DUDBC.DLPIU Chief</v>
          </cell>
          <cell r="DO95">
            <v>9841010222</v>
          </cell>
          <cell r="DP95" t="str">
            <v>Municipal Office</v>
          </cell>
          <cell r="DQ95" t="str">
            <v/>
          </cell>
          <cell r="DR95" t="str">
            <v>Focal Person</v>
          </cell>
          <cell r="DS95" t="str">
            <v/>
          </cell>
          <cell r="DT95" t="str">
            <v/>
          </cell>
          <cell r="DU95" t="str">
            <v/>
          </cell>
          <cell r="DV95" t="str">
            <v/>
          </cell>
          <cell r="DW95" t="str">
            <v/>
          </cell>
          <cell r="DX95" t="str">
            <v/>
          </cell>
          <cell r="DY95" t="str">
            <v/>
          </cell>
          <cell r="DZ95">
            <v>6</v>
          </cell>
          <cell r="EA95" t="str">
            <v/>
          </cell>
          <cell r="EB95">
            <v>2</v>
          </cell>
          <cell r="EC95" t="str">
            <v>4</v>
          </cell>
          <cell r="ED95">
            <v>3</v>
          </cell>
          <cell r="EE95" t="str">
            <v>4</v>
          </cell>
          <cell r="EF95" t="str">
            <v>300</v>
          </cell>
          <cell r="EG95" t="str">
            <v>100</v>
          </cell>
          <cell r="EH95" t="str">
            <v/>
          </cell>
          <cell r="EI95" t="str">
            <v/>
          </cell>
          <cell r="EJ95">
            <v>261</v>
          </cell>
          <cell r="EK95">
            <v>306</v>
          </cell>
          <cell r="EL95">
            <v>-45</v>
          </cell>
          <cell r="EM95">
            <v>378</v>
          </cell>
          <cell r="EN95">
            <v>0</v>
          </cell>
          <cell r="EO95">
            <v>378</v>
          </cell>
          <cell r="EP95" t="str">
            <v/>
          </cell>
          <cell r="EQ95" t="str">
            <v>Housing Recovery and Reconstruction Platform</v>
          </cell>
          <cell r="ER95" t="str">
            <v>Reshma Shrestha</v>
          </cell>
          <cell r="ES95" t="str">
            <v>District Coordinator</v>
          </cell>
          <cell r="ET95">
            <v>9841264190</v>
          </cell>
          <cell r="EU95" t="str">
            <v>Housing Recovery and Reconstruction Platform</v>
          </cell>
          <cell r="EV95" t="str">
            <v>Ishor Neupane</v>
          </cell>
          <cell r="EW95" t="str">
            <v>DIstrict Information Management Officer</v>
          </cell>
          <cell r="EX95">
            <v>9801317265</v>
          </cell>
          <cell r="EY95" t="str">
            <v>Housing Recovery and Reconstruction Platform</v>
          </cell>
          <cell r="EZ95" t="str">
            <v/>
          </cell>
          <cell r="FA95" t="str">
            <v>District Technical Officer</v>
          </cell>
          <cell r="FB95" t="str">
            <v/>
          </cell>
        </row>
        <row r="96">
          <cell r="A96">
            <v>24003</v>
          </cell>
          <cell r="B96" t="str">
            <v>Kavrepalanchok</v>
          </cell>
          <cell r="C96" t="str">
            <v>Bhumlu Gaunpalika</v>
          </cell>
          <cell r="D96">
            <v>254</v>
          </cell>
          <cell r="E96">
            <v>5897</v>
          </cell>
          <cell r="F96">
            <v>6151</v>
          </cell>
          <cell r="G96" t="str">
            <v>Stone and cement mortar masonry</v>
          </cell>
          <cell r="H96">
            <v>7.0000000000000007E-2</v>
          </cell>
          <cell r="I96">
            <v>0.28999999999999998</v>
          </cell>
          <cell r="J96" t="str">
            <v>Stone and Mud Mortar Masonary</v>
          </cell>
          <cell r="K96">
            <v>97.04</v>
          </cell>
          <cell r="L96">
            <v>69.19</v>
          </cell>
          <cell r="M96" t="str">
            <v>Brick and Cement Mortar Masonary</v>
          </cell>
          <cell r="N96">
            <v>1.27</v>
          </cell>
          <cell r="O96">
            <v>5.98</v>
          </cell>
          <cell r="P96" t="str">
            <v>Brick and mud mortar Masonry</v>
          </cell>
          <cell r="Q96">
            <v>0.08</v>
          </cell>
          <cell r="R96">
            <v>4.0199999999999996</v>
          </cell>
          <cell r="S96" t="str">
            <v>Reinforced cement concrete (RCC) frame</v>
          </cell>
          <cell r="T96">
            <v>1.01</v>
          </cell>
          <cell r="U96">
            <v>4.6500000000000004</v>
          </cell>
          <cell r="V96" t="str">
            <v>Hybrid structure</v>
          </cell>
          <cell r="W96">
            <v>0</v>
          </cell>
          <cell r="X96">
            <v>0</v>
          </cell>
          <cell r="Y96" t="str">
            <v>Timber frame structure</v>
          </cell>
          <cell r="Z96">
            <v>0.05</v>
          </cell>
          <cell r="AA96">
            <v>0.38</v>
          </cell>
          <cell r="AB96" t="str">
            <v>Hollow concrete block Masonry</v>
          </cell>
          <cell r="AC96">
            <v>0</v>
          </cell>
          <cell r="AD96">
            <v>0</v>
          </cell>
          <cell r="AE96" t="str">
            <v>Dry stone Masonry</v>
          </cell>
          <cell r="AF96">
            <v>0.05</v>
          </cell>
          <cell r="AG96">
            <v>0.06</v>
          </cell>
          <cell r="AH96" t="str">
            <v>Adobe structures</v>
          </cell>
          <cell r="AI96">
            <v>0.42</v>
          </cell>
          <cell r="AJ96">
            <v>15.32</v>
          </cell>
          <cell r="AK96" t="str">
            <v>Bamboo</v>
          </cell>
          <cell r="AL96">
            <v>0.02</v>
          </cell>
          <cell r="AM96">
            <v>0.11</v>
          </cell>
          <cell r="AN96" t="str">
            <v>Compressed stabilized earth block (SCEB) Masonry</v>
          </cell>
          <cell r="AO96">
            <v>0</v>
          </cell>
          <cell r="AP96">
            <v>0</v>
          </cell>
          <cell r="AQ96" t="str">
            <v>Light steel frame structures</v>
          </cell>
          <cell r="AR96">
            <v>0</v>
          </cell>
          <cell r="AS96">
            <v>0</v>
          </cell>
          <cell r="AT96">
            <v>6203</v>
          </cell>
          <cell r="AU96">
            <v>5810</v>
          </cell>
          <cell r="AV96">
            <v>5723</v>
          </cell>
          <cell r="AW96">
            <v>4721</v>
          </cell>
          <cell r="AX96">
            <v>3480</v>
          </cell>
          <cell r="AY96">
            <v>0</v>
          </cell>
          <cell r="AZ96" t="str">
            <v/>
          </cell>
          <cell r="BA96">
            <v>88</v>
          </cell>
          <cell r="BB96" t="str">
            <v/>
          </cell>
          <cell r="BC96">
            <v>14</v>
          </cell>
          <cell r="BD96">
            <v>0</v>
          </cell>
          <cell r="BE96">
            <v>1038</v>
          </cell>
          <cell r="BF96">
            <v>971</v>
          </cell>
          <cell r="BG96" t="str">
            <v/>
          </cell>
          <cell r="BH96" t="str">
            <v/>
          </cell>
          <cell r="BI96" t="str">
            <v>EcoH-N(Education,Health,Social Protection),NRCS(Agriculture, Livestock Development and Irrigation,Employment and Livelihood,Health,Rural Housing and Community Infrastructure,Water, Sanitation and Hygiene)</v>
          </cell>
          <cell r="BJ96" t="str">
            <v>AA(Disaster Risk Management,Education,Employment and Livelihood,Gender Equality and Social Inclusion),ADRA(Rural Housing and Community Infrastructure),Garuda-N(Education,Water, Sanitation and Hygiene),HELVETAS(Rural Housing and Community Infrastructure),HI(Disaster Risk Management,Employment and Livelihood,Nutrition,Rural Housing and Community Infrastructure,Water, Sanitation and Hygiene),LWF(Agriculture, Livestock Development and Irrigation,Employment and Livelihood,Water, Sanitation and Hygiene),NN(Rural Housing and Community Infrastructure),SABAL(Rural Housing and Community Infrastructure),Tdh(Health)</v>
          </cell>
          <cell r="BK96">
            <v>98363</v>
          </cell>
          <cell r="BL96" t="str">
            <v>Y</v>
          </cell>
          <cell r="BM96">
            <v>3000</v>
          </cell>
          <cell r="BN96">
            <v>97349</v>
          </cell>
          <cell r="BO96" t="str">
            <v>N</v>
          </cell>
          <cell r="BP96">
            <v>5000</v>
          </cell>
          <cell r="BQ96">
            <v>10473</v>
          </cell>
          <cell r="BR96" t="str">
            <v>N</v>
          </cell>
          <cell r="BS96">
            <v>5000</v>
          </cell>
          <cell r="BT96">
            <v>11973</v>
          </cell>
          <cell r="BU96" t="str">
            <v/>
          </cell>
          <cell r="BV96" t="str">
            <v/>
          </cell>
          <cell r="BW96" t="str">
            <v/>
          </cell>
          <cell r="BX96" t="str">
            <v>N</v>
          </cell>
          <cell r="BY96">
            <v>1000</v>
          </cell>
          <cell r="BZ96">
            <v>325118</v>
          </cell>
          <cell r="CA96" t="str">
            <v>N</v>
          </cell>
          <cell r="CB96">
            <v>1100</v>
          </cell>
          <cell r="CC96">
            <v>1074268</v>
          </cell>
          <cell r="CD96" t="str">
            <v>N</v>
          </cell>
          <cell r="CE96">
            <v>100</v>
          </cell>
          <cell r="CF96">
            <v>13294</v>
          </cell>
          <cell r="CG96" t="str">
            <v/>
          </cell>
          <cell r="CH96" t="str">
            <v/>
          </cell>
          <cell r="CI96">
            <v>1535500</v>
          </cell>
          <cell r="CJ96" t="str">
            <v/>
          </cell>
          <cell r="CK96" t="str">
            <v/>
          </cell>
          <cell r="CL96" t="str">
            <v>Skilled</v>
          </cell>
          <cell r="CM96">
            <v>1200</v>
          </cell>
          <cell r="CN96" t="str">
            <v>Labor</v>
          </cell>
          <cell r="CO96">
            <v>1000</v>
          </cell>
          <cell r="CP96" t="str">
            <v/>
          </cell>
          <cell r="CQ96" t="str">
            <v/>
          </cell>
          <cell r="CR96" t="str">
            <v/>
          </cell>
          <cell r="CS96" t="str">
            <v/>
          </cell>
          <cell r="CT96" t="str">
            <v/>
          </cell>
          <cell r="CU96" t="str">
            <v/>
          </cell>
          <cell r="CV96" t="str">
            <v>Municipal Office</v>
          </cell>
          <cell r="CW96" t="str">
            <v>Guman Dhoj Kunwar</v>
          </cell>
          <cell r="CX96" t="str">
            <v>Mayor</v>
          </cell>
          <cell r="CY96">
            <v>9851084808</v>
          </cell>
          <cell r="CZ96" t="str">
            <v>Municipal Office</v>
          </cell>
          <cell r="DA96" t="str">
            <v>Kalpana Shrestha</v>
          </cell>
          <cell r="DB96" t="str">
            <v>Deputy Mayor</v>
          </cell>
          <cell r="DC96">
            <v>9841648772</v>
          </cell>
          <cell r="DD96" t="str">
            <v>Municipal Office</v>
          </cell>
          <cell r="DE96" t="str">
            <v>Hari Ballav Ghimire</v>
          </cell>
          <cell r="DF96" t="str">
            <v>Adminstration Officer</v>
          </cell>
          <cell r="DG96">
            <v>9841831427</v>
          </cell>
          <cell r="DH96" t="str">
            <v>NRA/GMALI</v>
          </cell>
          <cell r="DI96" t="str">
            <v>Lok Nath Regmi</v>
          </cell>
          <cell r="DJ96" t="str">
            <v>NRA Chief-District</v>
          </cell>
          <cell r="DK96">
            <v>9851146403</v>
          </cell>
          <cell r="DL96" t="str">
            <v>DLPIU-Building</v>
          </cell>
          <cell r="DM96" t="str">
            <v>Mahalaxmi Joshi</v>
          </cell>
          <cell r="DN96" t="str">
            <v>DUDBC.DLPIU Chief</v>
          </cell>
          <cell r="DO96">
            <v>9841010222</v>
          </cell>
          <cell r="DP96" t="str">
            <v>Municipal Office</v>
          </cell>
          <cell r="DQ96" t="str">
            <v/>
          </cell>
          <cell r="DR96" t="str">
            <v>Focal Person</v>
          </cell>
          <cell r="DS96" t="str">
            <v/>
          </cell>
          <cell r="DT96" t="str">
            <v>80</v>
          </cell>
          <cell r="DU96" t="str">
            <v>1405</v>
          </cell>
          <cell r="DV96" t="str">
            <v>325</v>
          </cell>
          <cell r="DW96" t="str">
            <v/>
          </cell>
          <cell r="DX96" t="str">
            <v>150</v>
          </cell>
          <cell r="DY96" t="str">
            <v>125</v>
          </cell>
          <cell r="DZ96" t="str">
            <v/>
          </cell>
          <cell r="EA96" t="str">
            <v/>
          </cell>
          <cell r="EB96" t="str">
            <v/>
          </cell>
          <cell r="EC96" t="str">
            <v/>
          </cell>
          <cell r="ED96" t="str">
            <v/>
          </cell>
          <cell r="EE96" t="str">
            <v/>
          </cell>
          <cell r="EF96" t="str">
            <v/>
          </cell>
          <cell r="EG96" t="str">
            <v/>
          </cell>
          <cell r="EH96" t="str">
            <v/>
          </cell>
          <cell r="EI96" t="str">
            <v/>
          </cell>
          <cell r="EJ96">
            <v>417</v>
          </cell>
          <cell r="EK96">
            <v>370</v>
          </cell>
          <cell r="EL96">
            <v>47</v>
          </cell>
          <cell r="EM96">
            <v>599</v>
          </cell>
          <cell r="EN96">
            <v>8</v>
          </cell>
          <cell r="EO96">
            <v>591</v>
          </cell>
          <cell r="EP96" t="str">
            <v/>
          </cell>
          <cell r="EQ96" t="str">
            <v>Housing Recovery and Reconstruction Platform</v>
          </cell>
          <cell r="ER96" t="str">
            <v>Reshma Shrestha</v>
          </cell>
          <cell r="ES96" t="str">
            <v>District Coordinator</v>
          </cell>
          <cell r="ET96">
            <v>9841264190</v>
          </cell>
          <cell r="EU96" t="str">
            <v>Housing Recovery and Reconstruction Platform</v>
          </cell>
          <cell r="EV96" t="str">
            <v>Ishor Neupane</v>
          </cell>
          <cell r="EW96" t="str">
            <v>DIstrict Information Management Officer</v>
          </cell>
          <cell r="EX96">
            <v>9801317265</v>
          </cell>
          <cell r="EY96" t="str">
            <v>Housing Recovery and Reconstruction Platform</v>
          </cell>
          <cell r="EZ96" t="str">
            <v/>
          </cell>
          <cell r="FA96" t="str">
            <v>District Technical Officer</v>
          </cell>
          <cell r="FB96" t="str">
            <v/>
          </cell>
        </row>
        <row r="97">
          <cell r="A97">
            <v>24004</v>
          </cell>
          <cell r="B97" t="str">
            <v>Kavrepalanchok</v>
          </cell>
          <cell r="C97" t="str">
            <v>Chaurideurali Gaunpalika</v>
          </cell>
          <cell r="D97">
            <v>654</v>
          </cell>
          <cell r="E97">
            <v>5481</v>
          </cell>
          <cell r="F97">
            <v>6135</v>
          </cell>
          <cell r="G97" t="str">
            <v>Stone and cement mortar masonry</v>
          </cell>
          <cell r="H97">
            <v>0.13</v>
          </cell>
          <cell r="I97">
            <v>0.28999999999999998</v>
          </cell>
          <cell r="J97" t="str">
            <v>Stone and Mud Mortar Masonary</v>
          </cell>
          <cell r="K97">
            <v>97.98</v>
          </cell>
          <cell r="L97">
            <v>69.19</v>
          </cell>
          <cell r="M97" t="str">
            <v>Brick and Cement Mortar Masonary</v>
          </cell>
          <cell r="N97">
            <v>0.05</v>
          </cell>
          <cell r="O97">
            <v>5.98</v>
          </cell>
          <cell r="P97" t="str">
            <v>Brick and mud mortar Masonry</v>
          </cell>
          <cell r="Q97">
            <v>0.02</v>
          </cell>
          <cell r="R97">
            <v>4.0199999999999996</v>
          </cell>
          <cell r="S97" t="str">
            <v>Reinforced cement concrete (RCC) frame</v>
          </cell>
          <cell r="T97">
            <v>0.1</v>
          </cell>
          <cell r="U97">
            <v>4.6500000000000004</v>
          </cell>
          <cell r="V97" t="str">
            <v>Hybrid structure</v>
          </cell>
          <cell r="W97">
            <v>0</v>
          </cell>
          <cell r="X97">
            <v>0</v>
          </cell>
          <cell r="Y97" t="str">
            <v>Timber frame structure</v>
          </cell>
          <cell r="Z97">
            <v>0.02</v>
          </cell>
          <cell r="AA97">
            <v>0.38</v>
          </cell>
          <cell r="AB97" t="str">
            <v>Hollow concrete block Masonry</v>
          </cell>
          <cell r="AC97">
            <v>0</v>
          </cell>
          <cell r="AD97">
            <v>0</v>
          </cell>
          <cell r="AE97" t="str">
            <v>Dry stone Masonry</v>
          </cell>
          <cell r="AF97">
            <v>0.02</v>
          </cell>
          <cell r="AG97">
            <v>0.06</v>
          </cell>
          <cell r="AH97" t="str">
            <v>Adobe structures</v>
          </cell>
          <cell r="AI97">
            <v>1.57</v>
          </cell>
          <cell r="AJ97">
            <v>15.32</v>
          </cell>
          <cell r="AK97" t="str">
            <v>Bamboo</v>
          </cell>
          <cell r="AL97">
            <v>0.13</v>
          </cell>
          <cell r="AM97">
            <v>0.11</v>
          </cell>
          <cell r="AN97" t="str">
            <v>Compressed stabilized earth block (SCEB) Masonry</v>
          </cell>
          <cell r="AO97">
            <v>0</v>
          </cell>
          <cell r="AP97">
            <v>0</v>
          </cell>
          <cell r="AQ97" t="str">
            <v>Light steel frame structures</v>
          </cell>
          <cell r="AR97">
            <v>0</v>
          </cell>
          <cell r="AS97">
            <v>0</v>
          </cell>
          <cell r="AT97">
            <v>6411</v>
          </cell>
          <cell r="AU97">
            <v>5459</v>
          </cell>
          <cell r="AV97">
            <v>5176</v>
          </cell>
          <cell r="AW97">
            <v>3686</v>
          </cell>
          <cell r="AX97">
            <v>1667</v>
          </cell>
          <cell r="AY97">
            <v>0</v>
          </cell>
          <cell r="AZ97" t="str">
            <v/>
          </cell>
          <cell r="BA97">
            <v>440</v>
          </cell>
          <cell r="BB97" t="str">
            <v/>
          </cell>
          <cell r="BC97">
            <v>42</v>
          </cell>
          <cell r="BD97">
            <v>0</v>
          </cell>
          <cell r="BE97">
            <v>1578</v>
          </cell>
          <cell r="BF97">
            <v>1517</v>
          </cell>
          <cell r="BG97" t="str">
            <v/>
          </cell>
          <cell r="BH97" t="str">
            <v/>
          </cell>
          <cell r="BI97" t="str">
            <v>NRCS(Health)</v>
          </cell>
          <cell r="BJ97" t="str">
            <v>GON - DUDBC(Rural Housing and Community Infrastructure),NN(Rural Housing and Community Infrastructure),NYF(Education,Rural Housing and Community Infrastructure),SABAL(Rural Housing and Community Infrastructure),Tdh(Health)</v>
          </cell>
          <cell r="BK97">
            <v>61968</v>
          </cell>
          <cell r="BL97" t="str">
            <v>Y</v>
          </cell>
          <cell r="BM97">
            <v>5000</v>
          </cell>
          <cell r="BN97">
            <v>64939</v>
          </cell>
          <cell r="BO97" t="str">
            <v>N</v>
          </cell>
          <cell r="BP97">
            <v>35000</v>
          </cell>
          <cell r="BQ97">
            <v>6629</v>
          </cell>
          <cell r="BR97" t="str">
            <v>N</v>
          </cell>
          <cell r="BS97">
            <v>35000</v>
          </cell>
          <cell r="BT97">
            <v>7694</v>
          </cell>
          <cell r="BU97" t="str">
            <v>Y</v>
          </cell>
          <cell r="BV97" t="str">
            <v/>
          </cell>
          <cell r="BW97" t="str">
            <v/>
          </cell>
          <cell r="BX97" t="str">
            <v>N</v>
          </cell>
          <cell r="BY97" t="str">
            <v/>
          </cell>
          <cell r="BZ97">
            <v>214341</v>
          </cell>
          <cell r="CA97" t="str">
            <v>N</v>
          </cell>
          <cell r="CB97" t="str">
            <v/>
          </cell>
          <cell r="CC97">
            <v>668867</v>
          </cell>
          <cell r="CD97" t="str">
            <v>N</v>
          </cell>
          <cell r="CE97" t="str">
            <v/>
          </cell>
          <cell r="CF97">
            <v>8758</v>
          </cell>
          <cell r="CG97" t="str">
            <v>N</v>
          </cell>
          <cell r="CH97" t="str">
            <v/>
          </cell>
          <cell r="CI97">
            <v>418941</v>
          </cell>
          <cell r="CJ97" t="str">
            <v>N</v>
          </cell>
          <cell r="CK97" t="str">
            <v/>
          </cell>
          <cell r="CL97" t="str">
            <v>Skilled</v>
          </cell>
          <cell r="CM97">
            <v>1200</v>
          </cell>
          <cell r="CN97" t="str">
            <v>Labor</v>
          </cell>
          <cell r="CO97">
            <v>1000</v>
          </cell>
          <cell r="CP97" t="str">
            <v/>
          </cell>
          <cell r="CQ97" t="str">
            <v/>
          </cell>
          <cell r="CR97" t="str">
            <v/>
          </cell>
          <cell r="CS97" t="str">
            <v/>
          </cell>
          <cell r="CT97" t="str">
            <v/>
          </cell>
          <cell r="CU97" t="str">
            <v/>
          </cell>
          <cell r="CV97" t="str">
            <v>Municipal Office</v>
          </cell>
          <cell r="CW97" t="str">
            <v>Dina Nath Gautam</v>
          </cell>
          <cell r="CX97" t="str">
            <v>Mayor</v>
          </cell>
          <cell r="CY97">
            <v>9751003030</v>
          </cell>
          <cell r="CZ97" t="str">
            <v>Municipal Office</v>
          </cell>
          <cell r="DA97" t="str">
            <v>Tara Chaulagain</v>
          </cell>
          <cell r="DB97" t="str">
            <v>Deputy Mayor</v>
          </cell>
          <cell r="DC97">
            <v>9865051558</v>
          </cell>
          <cell r="DD97" t="str">
            <v>Municipal Office</v>
          </cell>
          <cell r="DE97" t="str">
            <v>Tarzan Kumar Limbu</v>
          </cell>
          <cell r="DF97" t="str">
            <v>Adminstration Officer</v>
          </cell>
          <cell r="DG97">
            <v>9861965095</v>
          </cell>
          <cell r="DH97" t="str">
            <v>NRA/GMALI</v>
          </cell>
          <cell r="DI97" t="str">
            <v>Lok Nath Regmi</v>
          </cell>
          <cell r="DJ97" t="str">
            <v>NRA Chief-District</v>
          </cell>
          <cell r="DK97">
            <v>9851146403</v>
          </cell>
          <cell r="DL97" t="str">
            <v>DLPIU-Building</v>
          </cell>
          <cell r="DM97" t="str">
            <v>Mahalaxmi Joshi</v>
          </cell>
          <cell r="DN97" t="str">
            <v>DUDBC.DLPIU Chief</v>
          </cell>
          <cell r="DO97">
            <v>9841010222</v>
          </cell>
          <cell r="DP97" t="str">
            <v>Municipal Office</v>
          </cell>
          <cell r="DQ97" t="str">
            <v/>
          </cell>
          <cell r="DR97" t="str">
            <v>Focal Person</v>
          </cell>
          <cell r="DS97" t="str">
            <v/>
          </cell>
          <cell r="DT97" t="str">
            <v>63</v>
          </cell>
          <cell r="DU97" t="str">
            <v/>
          </cell>
          <cell r="DV97" t="str">
            <v/>
          </cell>
          <cell r="DW97" t="str">
            <v/>
          </cell>
          <cell r="DX97" t="str">
            <v/>
          </cell>
          <cell r="DY97" t="str">
            <v/>
          </cell>
          <cell r="DZ97">
            <v>5</v>
          </cell>
          <cell r="EA97" t="str">
            <v/>
          </cell>
          <cell r="EB97">
            <v>9</v>
          </cell>
          <cell r="EC97" t="str">
            <v/>
          </cell>
          <cell r="ED97">
            <v>9</v>
          </cell>
          <cell r="EE97" t="str">
            <v/>
          </cell>
          <cell r="EF97" t="str">
            <v>110</v>
          </cell>
          <cell r="EG97" t="str">
            <v>0</v>
          </cell>
          <cell r="EH97" t="str">
            <v/>
          </cell>
          <cell r="EI97" t="str">
            <v>100</v>
          </cell>
          <cell r="EJ97">
            <v>396</v>
          </cell>
          <cell r="EK97">
            <v>100</v>
          </cell>
          <cell r="EL97">
            <v>296</v>
          </cell>
          <cell r="EM97">
            <v>531</v>
          </cell>
          <cell r="EN97">
            <v>6</v>
          </cell>
          <cell r="EO97">
            <v>525</v>
          </cell>
          <cell r="EP97" t="str">
            <v/>
          </cell>
          <cell r="EQ97" t="str">
            <v>Housing Recovery and Reconstruction Platform</v>
          </cell>
          <cell r="ER97" t="str">
            <v>Reshma Shrestha</v>
          </cell>
          <cell r="ES97" t="str">
            <v>District Coordinator</v>
          </cell>
          <cell r="ET97">
            <v>9841264190</v>
          </cell>
          <cell r="EU97" t="str">
            <v>Housing Recovery and Reconstruction Platform</v>
          </cell>
          <cell r="EV97" t="str">
            <v>Ishor Neupane</v>
          </cell>
          <cell r="EW97" t="str">
            <v>DIstrict Information Management Officer</v>
          </cell>
          <cell r="EX97">
            <v>9801317265</v>
          </cell>
          <cell r="EY97" t="str">
            <v>Housing Recovery and Reconstruction Platform</v>
          </cell>
          <cell r="EZ97" t="str">
            <v/>
          </cell>
          <cell r="FA97" t="str">
            <v>District Technical Officer</v>
          </cell>
          <cell r="FB97" t="str">
            <v/>
          </cell>
        </row>
        <row r="98">
          <cell r="A98">
            <v>24005</v>
          </cell>
          <cell r="B98" t="str">
            <v>Kavrepalanchok</v>
          </cell>
          <cell r="C98" t="str">
            <v>Dhulikhel Nagarpalika</v>
          </cell>
          <cell r="D98">
            <v>2094</v>
          </cell>
          <cell r="E98">
            <v>5787</v>
          </cell>
          <cell r="F98">
            <v>7881</v>
          </cell>
          <cell r="G98" t="str">
            <v>Stone and cement mortar masonry</v>
          </cell>
          <cell r="H98">
            <v>0.37</v>
          </cell>
          <cell r="I98">
            <v>0.28999999999999998</v>
          </cell>
          <cell r="J98" t="str">
            <v>Stone and Mud Mortar Masonary</v>
          </cell>
          <cell r="K98">
            <v>38.479999999999997</v>
          </cell>
          <cell r="L98">
            <v>69.19</v>
          </cell>
          <cell r="M98" t="str">
            <v>Brick and Cement Mortar Masonary</v>
          </cell>
          <cell r="N98">
            <v>8.5399999999999991</v>
          </cell>
          <cell r="O98">
            <v>5.98</v>
          </cell>
          <cell r="P98" t="str">
            <v>Brick and mud mortar Masonry</v>
          </cell>
          <cell r="Q98">
            <v>6.45</v>
          </cell>
          <cell r="R98">
            <v>4.0199999999999996</v>
          </cell>
          <cell r="S98" t="str">
            <v>Reinforced cement concrete (RCC) frame</v>
          </cell>
          <cell r="T98">
            <v>9.73</v>
          </cell>
          <cell r="U98">
            <v>4.6500000000000004</v>
          </cell>
          <cell r="V98" t="str">
            <v>Hybrid structure</v>
          </cell>
          <cell r="W98">
            <v>0</v>
          </cell>
          <cell r="X98">
            <v>0</v>
          </cell>
          <cell r="Y98" t="str">
            <v>Timber frame structure</v>
          </cell>
          <cell r="Z98">
            <v>0.06</v>
          </cell>
          <cell r="AA98">
            <v>0.38</v>
          </cell>
          <cell r="AB98" t="str">
            <v>Hollow concrete block Masonry</v>
          </cell>
          <cell r="AC98">
            <v>0</v>
          </cell>
          <cell r="AD98">
            <v>0</v>
          </cell>
          <cell r="AE98" t="str">
            <v>Dry stone Masonry</v>
          </cell>
          <cell r="AF98">
            <v>0.12</v>
          </cell>
          <cell r="AG98">
            <v>0.06</v>
          </cell>
          <cell r="AH98" t="str">
            <v>Adobe structures</v>
          </cell>
          <cell r="AI98">
            <v>36</v>
          </cell>
          <cell r="AJ98">
            <v>15.32</v>
          </cell>
          <cell r="AK98" t="str">
            <v>Bamboo</v>
          </cell>
          <cell r="AL98">
            <v>0.24</v>
          </cell>
          <cell r="AM98">
            <v>0.11</v>
          </cell>
          <cell r="AN98" t="str">
            <v>Compressed stabilized earth block (SCEB) Masonry</v>
          </cell>
          <cell r="AO98">
            <v>0</v>
          </cell>
          <cell r="AP98">
            <v>0</v>
          </cell>
          <cell r="AQ98" t="str">
            <v>Light steel frame structures</v>
          </cell>
          <cell r="AR98">
            <v>0</v>
          </cell>
          <cell r="AS98">
            <v>0</v>
          </cell>
          <cell r="AT98">
            <v>5968</v>
          </cell>
          <cell r="AU98">
            <v>5074</v>
          </cell>
          <cell r="AV98">
            <v>4950</v>
          </cell>
          <cell r="AW98">
            <v>2435</v>
          </cell>
          <cell r="AX98">
            <v>1594</v>
          </cell>
          <cell r="AY98">
            <v>2408</v>
          </cell>
          <cell r="AZ98">
            <v>1463</v>
          </cell>
          <cell r="BA98">
            <v>362</v>
          </cell>
          <cell r="BB98">
            <v>362</v>
          </cell>
          <cell r="BC98">
            <v>35</v>
          </cell>
          <cell r="BD98">
            <v>0</v>
          </cell>
          <cell r="BE98">
            <v>2151</v>
          </cell>
          <cell r="BF98">
            <v>1919</v>
          </cell>
          <cell r="BG98">
            <v>2</v>
          </cell>
          <cell r="BH98">
            <v>2</v>
          </cell>
          <cell r="BI98" t="str">
            <v>NRCS(Health)</v>
          </cell>
          <cell r="BJ98" t="str">
            <v>AATWIN(Social Protection),CDRA(Rural Housing and Community Infrastructure),Emergency(Education),HELVETAS(Rural Housing and Community Infrastructure),SABAL(Rural Housing and Community Infrastructure),SCI(Education,Social Protection),Tdh(Health),WeWorld(Education)</v>
          </cell>
          <cell r="BK98">
            <v>50645</v>
          </cell>
          <cell r="BL98" t="str">
            <v>Y</v>
          </cell>
          <cell r="BM98">
            <v>2200</v>
          </cell>
          <cell r="BN98">
            <v>48710</v>
          </cell>
          <cell r="BO98" t="str">
            <v>Y</v>
          </cell>
          <cell r="BP98">
            <v>2800</v>
          </cell>
          <cell r="BQ98">
            <v>5379</v>
          </cell>
          <cell r="BR98" t="str">
            <v>Y</v>
          </cell>
          <cell r="BS98">
            <v>3000</v>
          </cell>
          <cell r="BT98">
            <v>6100</v>
          </cell>
          <cell r="BU98" t="str">
            <v>Y</v>
          </cell>
          <cell r="BV98" t="str">
            <v>7000</v>
          </cell>
          <cell r="BW98" t="str">
            <v/>
          </cell>
          <cell r="BX98" t="str">
            <v>Y</v>
          </cell>
          <cell r="BY98">
            <v>950</v>
          </cell>
          <cell r="BZ98">
            <v>162745</v>
          </cell>
          <cell r="CA98" t="str">
            <v>Y</v>
          </cell>
          <cell r="CB98">
            <v>850</v>
          </cell>
          <cell r="CC98">
            <v>554972</v>
          </cell>
          <cell r="CD98" t="str">
            <v>Y</v>
          </cell>
          <cell r="CE98">
            <v>88</v>
          </cell>
          <cell r="CF98">
            <v>6651</v>
          </cell>
          <cell r="CG98" t="str">
            <v>Y</v>
          </cell>
          <cell r="CH98" t="str">
            <v>5000</v>
          </cell>
          <cell r="CI98">
            <v>863632</v>
          </cell>
          <cell r="CJ98" t="str">
            <v>Y</v>
          </cell>
          <cell r="CK98">
            <v>19</v>
          </cell>
          <cell r="CL98" t="str">
            <v>Skilled</v>
          </cell>
          <cell r="CM98">
            <v>1200</v>
          </cell>
          <cell r="CN98" t="str">
            <v>Labor</v>
          </cell>
          <cell r="CO98">
            <v>800</v>
          </cell>
          <cell r="CP98" t="str">
            <v/>
          </cell>
          <cell r="CQ98" t="str">
            <v/>
          </cell>
          <cell r="CR98" t="str">
            <v/>
          </cell>
          <cell r="CS98" t="str">
            <v/>
          </cell>
          <cell r="CT98" t="str">
            <v/>
          </cell>
          <cell r="CU98" t="str">
            <v/>
          </cell>
          <cell r="CV98" t="str">
            <v>Municipal Office</v>
          </cell>
          <cell r="CW98" t="str">
            <v>Ashok Byanju</v>
          </cell>
          <cell r="CX98" t="str">
            <v>Mayor</v>
          </cell>
          <cell r="CY98">
            <v>9851073175</v>
          </cell>
          <cell r="CZ98" t="str">
            <v>Municipal Office</v>
          </cell>
          <cell r="DA98" t="str">
            <v>Bimala Sharma</v>
          </cell>
          <cell r="DB98" t="str">
            <v>Deputy Mayor</v>
          </cell>
          <cell r="DC98">
            <v>9841578064</v>
          </cell>
          <cell r="DD98" t="str">
            <v>Municipal Office</v>
          </cell>
          <cell r="DE98" t="str">
            <v>TaraNath Luitel</v>
          </cell>
          <cell r="DF98" t="str">
            <v>Adminstration Officer</v>
          </cell>
          <cell r="DG98">
            <v>9851156817</v>
          </cell>
          <cell r="DH98" t="str">
            <v>NRA/GMALI</v>
          </cell>
          <cell r="DI98" t="str">
            <v>Lok Nath Regmi</v>
          </cell>
          <cell r="DJ98" t="str">
            <v>NRA Chief-District</v>
          </cell>
          <cell r="DK98">
            <v>9851146403</v>
          </cell>
          <cell r="DL98" t="str">
            <v>DLPIU-Building</v>
          </cell>
          <cell r="DM98" t="str">
            <v>Mahalaxmi Joshi</v>
          </cell>
          <cell r="DN98" t="str">
            <v>DUDBC.DLPIU Chief</v>
          </cell>
          <cell r="DO98">
            <v>9841010222</v>
          </cell>
          <cell r="DP98" t="str">
            <v>Municipal Office</v>
          </cell>
          <cell r="DQ98" t="str">
            <v>BalRam Dhimal</v>
          </cell>
          <cell r="DR98" t="str">
            <v>Focal Person</v>
          </cell>
          <cell r="DS98">
            <v>9841105844</v>
          </cell>
          <cell r="DT98" t="str">
            <v/>
          </cell>
          <cell r="DU98" t="str">
            <v/>
          </cell>
          <cell r="DV98" t="str">
            <v/>
          </cell>
          <cell r="DW98" t="str">
            <v/>
          </cell>
          <cell r="DX98" t="str">
            <v/>
          </cell>
          <cell r="DY98" t="str">
            <v/>
          </cell>
          <cell r="DZ98">
            <v>8</v>
          </cell>
          <cell r="EA98" t="str">
            <v>12</v>
          </cell>
          <cell r="EB98">
            <v>6</v>
          </cell>
          <cell r="EC98" t="str">
            <v>12</v>
          </cell>
          <cell r="ED98">
            <v>5</v>
          </cell>
          <cell r="EE98" t="str">
            <v/>
          </cell>
          <cell r="EF98" t="str">
            <v/>
          </cell>
          <cell r="EG98" t="str">
            <v/>
          </cell>
          <cell r="EH98" t="str">
            <v/>
          </cell>
          <cell r="EI98" t="str">
            <v/>
          </cell>
          <cell r="EJ98">
            <v>357</v>
          </cell>
          <cell r="EK98">
            <v>70</v>
          </cell>
          <cell r="EL98">
            <v>287</v>
          </cell>
          <cell r="EM98">
            <v>521</v>
          </cell>
          <cell r="EN98">
            <v>90</v>
          </cell>
          <cell r="EO98">
            <v>431</v>
          </cell>
          <cell r="EP98" t="str">
            <v/>
          </cell>
          <cell r="EQ98" t="str">
            <v>Housing Recovery and Reconstruction Platform</v>
          </cell>
          <cell r="ER98" t="str">
            <v>Reshma Shrestha</v>
          </cell>
          <cell r="ES98" t="str">
            <v>District Coordinator</v>
          </cell>
          <cell r="ET98">
            <v>9841264190</v>
          </cell>
          <cell r="EU98" t="str">
            <v>Housing Recovery and Reconstruction Platform</v>
          </cell>
          <cell r="EV98" t="str">
            <v>Ishor Neupane</v>
          </cell>
          <cell r="EW98" t="str">
            <v>DIstrict Information Management Officer</v>
          </cell>
          <cell r="EX98">
            <v>9801317265</v>
          </cell>
          <cell r="EY98" t="str">
            <v>Housing Recovery and Reconstruction Platform</v>
          </cell>
          <cell r="EZ98" t="str">
            <v/>
          </cell>
          <cell r="FA98" t="str">
            <v>District Technical Officer</v>
          </cell>
          <cell r="FB98" t="str">
            <v/>
          </cell>
        </row>
        <row r="99">
          <cell r="A99">
            <v>24006</v>
          </cell>
          <cell r="B99" t="str">
            <v>Kavrepalanchok</v>
          </cell>
          <cell r="C99" t="str">
            <v>Khanikhola Gaunpalika</v>
          </cell>
          <cell r="D99">
            <v>315</v>
          </cell>
          <cell r="E99">
            <v>2431</v>
          </cell>
          <cell r="F99">
            <v>2746</v>
          </cell>
          <cell r="G99" t="str">
            <v>Stone and cement mortar masonry</v>
          </cell>
          <cell r="H99">
            <v>0.44</v>
          </cell>
          <cell r="I99">
            <v>0.28999999999999998</v>
          </cell>
          <cell r="J99" t="str">
            <v>Stone and Mud Mortar Masonary</v>
          </cell>
          <cell r="K99">
            <v>84.89</v>
          </cell>
          <cell r="L99">
            <v>69.19</v>
          </cell>
          <cell r="M99" t="str">
            <v>Brick and Cement Mortar Masonary</v>
          </cell>
          <cell r="N99">
            <v>0</v>
          </cell>
          <cell r="O99">
            <v>5.98</v>
          </cell>
          <cell r="P99" t="str">
            <v>Brick and mud mortar Masonry</v>
          </cell>
          <cell r="Q99">
            <v>0</v>
          </cell>
          <cell r="R99">
            <v>4.0199999999999996</v>
          </cell>
          <cell r="S99" t="str">
            <v>Reinforced cement concrete (RCC) frame</v>
          </cell>
          <cell r="T99">
            <v>0</v>
          </cell>
          <cell r="U99">
            <v>4.6500000000000004</v>
          </cell>
          <cell r="V99" t="str">
            <v>Hybrid structure</v>
          </cell>
          <cell r="W99">
            <v>0</v>
          </cell>
          <cell r="X99">
            <v>0</v>
          </cell>
          <cell r="Y99" t="str">
            <v>Timber frame structure</v>
          </cell>
          <cell r="Z99">
            <v>3.61</v>
          </cell>
          <cell r="AA99">
            <v>0.38</v>
          </cell>
          <cell r="AB99" t="str">
            <v>Hollow concrete block Masonry</v>
          </cell>
          <cell r="AC99">
            <v>0</v>
          </cell>
          <cell r="AD99">
            <v>0</v>
          </cell>
          <cell r="AE99" t="str">
            <v>Dry stone Masonry</v>
          </cell>
          <cell r="AF99">
            <v>0.04</v>
          </cell>
          <cell r="AG99">
            <v>0.06</v>
          </cell>
          <cell r="AH99" t="str">
            <v>Adobe structures</v>
          </cell>
          <cell r="AI99">
            <v>10.74</v>
          </cell>
          <cell r="AJ99">
            <v>15.32</v>
          </cell>
          <cell r="AK99" t="str">
            <v>Bamboo</v>
          </cell>
          <cell r="AL99">
            <v>0.28999999999999998</v>
          </cell>
          <cell r="AM99">
            <v>0.11</v>
          </cell>
          <cell r="AN99" t="str">
            <v>Compressed stabilized earth block (SCEB) Masonry</v>
          </cell>
          <cell r="AO99">
            <v>0</v>
          </cell>
          <cell r="AP99">
            <v>0</v>
          </cell>
          <cell r="AQ99" t="str">
            <v>Light steel frame structures</v>
          </cell>
          <cell r="AR99">
            <v>0</v>
          </cell>
          <cell r="AS99">
            <v>0</v>
          </cell>
          <cell r="AT99">
            <v>2842</v>
          </cell>
          <cell r="AU99">
            <v>2732</v>
          </cell>
          <cell r="AV99">
            <v>2726</v>
          </cell>
          <cell r="AW99">
            <v>2132</v>
          </cell>
          <cell r="AX99">
            <v>545</v>
          </cell>
          <cell r="AY99">
            <v>0</v>
          </cell>
          <cell r="AZ99" t="str">
            <v/>
          </cell>
          <cell r="BA99">
            <v>217</v>
          </cell>
          <cell r="BB99" t="str">
            <v/>
          </cell>
          <cell r="BC99">
            <v>43</v>
          </cell>
          <cell r="BD99">
            <v>0</v>
          </cell>
          <cell r="BE99">
            <v>683</v>
          </cell>
          <cell r="BF99">
            <v>681</v>
          </cell>
          <cell r="BG99" t="str">
            <v/>
          </cell>
          <cell r="BH99" t="str">
            <v/>
          </cell>
          <cell r="BI99" t="str">
            <v>NRCS(Health)</v>
          </cell>
          <cell r="BJ99" t="str">
            <v>GON - DUDBC(Rural Housing and Community Infrastructure),HELVETAS(Rural Housing and Community Infrastructure),SABAL(Rural Housing and Community Infrastructure),WeWorld(Education)</v>
          </cell>
          <cell r="BK99">
            <v>40231</v>
          </cell>
          <cell r="BL99" t="str">
            <v>Y</v>
          </cell>
          <cell r="BM99">
            <v>2000</v>
          </cell>
          <cell r="BN99">
            <v>40675</v>
          </cell>
          <cell r="BO99" t="str">
            <v>Y</v>
          </cell>
          <cell r="BP99">
            <v>100000</v>
          </cell>
          <cell r="BQ99">
            <v>4293</v>
          </cell>
          <cell r="BR99" t="str">
            <v>Y</v>
          </cell>
          <cell r="BS99">
            <v>10000</v>
          </cell>
          <cell r="BT99">
            <v>4941</v>
          </cell>
          <cell r="BU99" t="str">
            <v/>
          </cell>
          <cell r="BV99" t="str">
            <v/>
          </cell>
          <cell r="BW99" t="str">
            <v/>
          </cell>
          <cell r="BX99" t="str">
            <v>N</v>
          </cell>
          <cell r="BY99">
            <v>900</v>
          </cell>
          <cell r="BZ99">
            <v>136555</v>
          </cell>
          <cell r="CA99" t="str">
            <v>N</v>
          </cell>
          <cell r="CB99">
            <v>1000</v>
          </cell>
          <cell r="CC99">
            <v>439259</v>
          </cell>
          <cell r="CD99" t="str">
            <v/>
          </cell>
          <cell r="CE99" t="str">
            <v/>
          </cell>
          <cell r="CF99">
            <v>5590</v>
          </cell>
          <cell r="CG99" t="str">
            <v/>
          </cell>
          <cell r="CH99" t="str">
            <v/>
          </cell>
          <cell r="CI99">
            <v>699259</v>
          </cell>
          <cell r="CJ99" t="str">
            <v/>
          </cell>
          <cell r="CK99" t="str">
            <v/>
          </cell>
          <cell r="CL99" t="str">
            <v>Skilled</v>
          </cell>
          <cell r="CM99" t="str">
            <v/>
          </cell>
          <cell r="CN99" t="str">
            <v>Labor</v>
          </cell>
          <cell r="CO99" t="str">
            <v/>
          </cell>
          <cell r="CP99" t="str">
            <v/>
          </cell>
          <cell r="CQ99" t="str">
            <v/>
          </cell>
          <cell r="CR99" t="str">
            <v/>
          </cell>
          <cell r="CS99" t="str">
            <v/>
          </cell>
          <cell r="CT99" t="str">
            <v/>
          </cell>
          <cell r="CU99" t="str">
            <v/>
          </cell>
          <cell r="CV99" t="str">
            <v>Municipal Office</v>
          </cell>
          <cell r="CW99" t="str">
            <v>Krishna Bdr Khulal</v>
          </cell>
          <cell r="CX99" t="str">
            <v>Mayor</v>
          </cell>
          <cell r="CY99">
            <v>9741277731</v>
          </cell>
          <cell r="CZ99" t="str">
            <v>Municipal Office</v>
          </cell>
          <cell r="DA99" t="str">
            <v>Rukmani Gurung</v>
          </cell>
          <cell r="DB99" t="str">
            <v>Deputy Mayor</v>
          </cell>
          <cell r="DC99">
            <v>9621198697</v>
          </cell>
          <cell r="DD99" t="str">
            <v>Municipal Office</v>
          </cell>
          <cell r="DE99" t="str">
            <v>Laxmi Prasad Adhikari</v>
          </cell>
          <cell r="DF99" t="str">
            <v>Adminstration Officer</v>
          </cell>
          <cell r="DG99">
            <v>9841400343</v>
          </cell>
          <cell r="DH99" t="str">
            <v>NRA/GMALI</v>
          </cell>
          <cell r="DI99" t="str">
            <v>Lok Nath Regmi</v>
          </cell>
          <cell r="DJ99" t="str">
            <v>NRA Chief-District</v>
          </cell>
          <cell r="DK99">
            <v>9851146403</v>
          </cell>
          <cell r="DL99" t="str">
            <v>DLPIU-Building</v>
          </cell>
          <cell r="DM99" t="str">
            <v>Mahalaxmi Joshi</v>
          </cell>
          <cell r="DN99" t="str">
            <v>DUDBC.DLPIU Chief</v>
          </cell>
          <cell r="DO99">
            <v>9841010222</v>
          </cell>
          <cell r="DP99" t="str">
            <v>Municipal Office</v>
          </cell>
          <cell r="DQ99" t="str">
            <v/>
          </cell>
          <cell r="DR99" t="str">
            <v>Focal Person</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v>171</v>
          </cell>
          <cell r="EK99">
            <v>170</v>
          </cell>
          <cell r="EL99">
            <v>1</v>
          </cell>
          <cell r="EM99">
            <v>252</v>
          </cell>
          <cell r="EN99">
            <v>24</v>
          </cell>
          <cell r="EO99">
            <v>228</v>
          </cell>
          <cell r="EP99" t="str">
            <v/>
          </cell>
          <cell r="EQ99" t="str">
            <v>Housing Recovery and Reconstruction Platform</v>
          </cell>
          <cell r="ER99" t="str">
            <v>Reshma Shrestha</v>
          </cell>
          <cell r="ES99" t="str">
            <v>District Coordinator</v>
          </cell>
          <cell r="ET99">
            <v>9841264190</v>
          </cell>
          <cell r="EU99" t="str">
            <v>Housing Recovery and Reconstruction Platform</v>
          </cell>
          <cell r="EV99" t="str">
            <v>Ishor Neupane</v>
          </cell>
          <cell r="EW99" t="str">
            <v>DIstrict Information Management Officer</v>
          </cell>
          <cell r="EX99">
            <v>9801317265</v>
          </cell>
          <cell r="EY99" t="str">
            <v>Housing Recovery and Reconstruction Platform</v>
          </cell>
          <cell r="EZ99" t="str">
            <v/>
          </cell>
          <cell r="FA99" t="str">
            <v>District Technical Officer</v>
          </cell>
          <cell r="FB99" t="str">
            <v/>
          </cell>
        </row>
        <row r="100">
          <cell r="A100">
            <v>24007</v>
          </cell>
          <cell r="B100" t="str">
            <v>Kavrepalanchok</v>
          </cell>
          <cell r="C100" t="str">
            <v>Mahabharat Gaunpalika</v>
          </cell>
          <cell r="D100">
            <v>643</v>
          </cell>
          <cell r="E100">
            <v>2861</v>
          </cell>
          <cell r="F100">
            <v>3504</v>
          </cell>
          <cell r="G100" t="str">
            <v>Stone and cement mortar masonry</v>
          </cell>
          <cell r="H100">
            <v>0</v>
          </cell>
          <cell r="I100">
            <v>0.28999999999999998</v>
          </cell>
          <cell r="J100" t="str">
            <v>Stone and Mud Mortar Masonary</v>
          </cell>
          <cell r="K100">
            <v>94.06</v>
          </cell>
          <cell r="L100">
            <v>69.19</v>
          </cell>
          <cell r="M100" t="str">
            <v>Brick and Cement Mortar Masonary</v>
          </cell>
          <cell r="N100">
            <v>0.03</v>
          </cell>
          <cell r="O100">
            <v>5.98</v>
          </cell>
          <cell r="P100" t="str">
            <v>Brick and mud mortar Masonry</v>
          </cell>
          <cell r="Q100">
            <v>0.03</v>
          </cell>
          <cell r="R100">
            <v>4.0199999999999996</v>
          </cell>
          <cell r="S100" t="str">
            <v>Reinforced cement concrete (RCC) frame</v>
          </cell>
          <cell r="T100">
            <v>0</v>
          </cell>
          <cell r="U100">
            <v>4.6500000000000004</v>
          </cell>
          <cell r="V100" t="str">
            <v>Hybrid structure</v>
          </cell>
          <cell r="W100">
            <v>0</v>
          </cell>
          <cell r="X100">
            <v>0</v>
          </cell>
          <cell r="Y100" t="str">
            <v>Timber frame structure</v>
          </cell>
          <cell r="Z100">
            <v>4.97</v>
          </cell>
          <cell r="AA100">
            <v>0.38</v>
          </cell>
          <cell r="AB100" t="str">
            <v>Hollow concrete block Masonry</v>
          </cell>
          <cell r="AC100">
            <v>0</v>
          </cell>
          <cell r="AD100">
            <v>0</v>
          </cell>
          <cell r="AE100" t="str">
            <v>Dry stone Masonry</v>
          </cell>
          <cell r="AF100">
            <v>0.09</v>
          </cell>
          <cell r="AG100">
            <v>0.06</v>
          </cell>
          <cell r="AH100" t="str">
            <v>Adobe structures</v>
          </cell>
          <cell r="AI100">
            <v>0.46</v>
          </cell>
          <cell r="AJ100">
            <v>15.32</v>
          </cell>
          <cell r="AK100" t="str">
            <v>Bamboo</v>
          </cell>
          <cell r="AL100">
            <v>0.37</v>
          </cell>
          <cell r="AM100">
            <v>0.11</v>
          </cell>
          <cell r="AN100" t="str">
            <v>Compressed stabilized earth block (SCEB) Masonry</v>
          </cell>
          <cell r="AO100">
            <v>0</v>
          </cell>
          <cell r="AP100">
            <v>0</v>
          </cell>
          <cell r="AQ100" t="str">
            <v>Light steel frame structures</v>
          </cell>
          <cell r="AR100">
            <v>0</v>
          </cell>
          <cell r="AS100">
            <v>0</v>
          </cell>
          <cell r="AT100">
            <v>2950</v>
          </cell>
          <cell r="AU100">
            <v>2872</v>
          </cell>
          <cell r="AV100">
            <v>2800</v>
          </cell>
          <cell r="AW100">
            <v>2350</v>
          </cell>
          <cell r="AX100">
            <v>1317</v>
          </cell>
          <cell r="AY100">
            <v>0</v>
          </cell>
          <cell r="AZ100" t="str">
            <v/>
          </cell>
          <cell r="BA100">
            <v>220</v>
          </cell>
          <cell r="BB100">
            <v>143</v>
          </cell>
          <cell r="BC100">
            <v>143</v>
          </cell>
          <cell r="BD100">
            <v>0</v>
          </cell>
          <cell r="BE100">
            <v>1075</v>
          </cell>
          <cell r="BF100">
            <v>1055</v>
          </cell>
          <cell r="BG100" t="str">
            <v/>
          </cell>
          <cell r="BH100" t="str">
            <v/>
          </cell>
          <cell r="BI100" t="str">
            <v>NRCS(Health)</v>
          </cell>
          <cell r="BJ100" t="str">
            <v>HELVETAS(Rural Housing and Community Infrastructure),NYF(Rural Housing and Community Infrastructure),SABAL(Rural Housing and Community Infrastructure),SCI(Education,Rural Housing and Community Infrastructure,Social Protection)</v>
          </cell>
          <cell r="BK100">
            <v>51653</v>
          </cell>
          <cell r="BL100" t="str">
            <v>Y</v>
          </cell>
          <cell r="BM100">
            <v>4000</v>
          </cell>
          <cell r="BN100">
            <v>53471</v>
          </cell>
          <cell r="BO100" t="str">
            <v>Y</v>
          </cell>
          <cell r="BP100">
            <v>7000</v>
          </cell>
          <cell r="BQ100">
            <v>5520</v>
          </cell>
          <cell r="BR100" t="str">
            <v>N</v>
          </cell>
          <cell r="BS100">
            <v>5000</v>
          </cell>
          <cell r="BT100">
            <v>6387</v>
          </cell>
          <cell r="BU100" t="str">
            <v/>
          </cell>
          <cell r="BV100" t="str">
            <v/>
          </cell>
          <cell r="BW100" t="str">
            <v/>
          </cell>
          <cell r="BX100" t="str">
            <v>N</v>
          </cell>
          <cell r="BY100">
            <v>950</v>
          </cell>
          <cell r="BZ100">
            <v>177191</v>
          </cell>
          <cell r="CA100" t="str">
            <v>N</v>
          </cell>
          <cell r="CB100">
            <v>1000</v>
          </cell>
          <cell r="CC100">
            <v>559329</v>
          </cell>
          <cell r="CD100" t="str">
            <v>N</v>
          </cell>
          <cell r="CE100">
            <v>110</v>
          </cell>
          <cell r="CF100">
            <v>7243</v>
          </cell>
          <cell r="CG100" t="str">
            <v/>
          </cell>
          <cell r="CH100" t="str">
            <v/>
          </cell>
          <cell r="CI100">
            <v>489939</v>
          </cell>
          <cell r="CJ100" t="str">
            <v/>
          </cell>
          <cell r="CK100" t="str">
            <v/>
          </cell>
          <cell r="CL100" t="str">
            <v>Skilled</v>
          </cell>
          <cell r="CM100">
            <v>1000</v>
          </cell>
          <cell r="CN100" t="str">
            <v>Labor</v>
          </cell>
          <cell r="CO100">
            <v>700</v>
          </cell>
          <cell r="CP100" t="str">
            <v/>
          </cell>
          <cell r="CQ100" t="str">
            <v/>
          </cell>
          <cell r="CR100" t="str">
            <v/>
          </cell>
          <cell r="CS100" t="str">
            <v/>
          </cell>
          <cell r="CT100" t="str">
            <v/>
          </cell>
          <cell r="CU100" t="str">
            <v/>
          </cell>
          <cell r="CV100" t="str">
            <v>Municipal Office</v>
          </cell>
          <cell r="CW100" t="str">
            <v>Kancha Man Jimba</v>
          </cell>
          <cell r="CX100" t="str">
            <v>Mayor</v>
          </cell>
          <cell r="CY100">
            <v>9851205710</v>
          </cell>
          <cell r="CZ100" t="str">
            <v>Municipal Office</v>
          </cell>
          <cell r="DA100" t="str">
            <v>Tej Kumari Majhi</v>
          </cell>
          <cell r="DB100" t="str">
            <v>Deputy Mayor</v>
          </cell>
          <cell r="DC100">
            <v>9621105710</v>
          </cell>
          <cell r="DD100" t="str">
            <v>Municipal Office</v>
          </cell>
          <cell r="DE100" t="str">
            <v>Raymond Bdr Thapa Magar</v>
          </cell>
          <cell r="DF100" t="str">
            <v>Adminstration Officer</v>
          </cell>
          <cell r="DG100">
            <v>9851227723</v>
          </cell>
          <cell r="DH100" t="str">
            <v>NRA/GMALI</v>
          </cell>
          <cell r="DI100" t="str">
            <v>Lok Nath Regmi</v>
          </cell>
          <cell r="DJ100" t="str">
            <v>NRA Chief-District</v>
          </cell>
          <cell r="DK100">
            <v>9851146403</v>
          </cell>
          <cell r="DL100" t="str">
            <v>DLPIU-Building</v>
          </cell>
          <cell r="DM100" t="str">
            <v>Mahalaxmi Joshi</v>
          </cell>
          <cell r="DN100" t="str">
            <v>DUDBC.DLPIU Chief</v>
          </cell>
          <cell r="DO100">
            <v>9841010222</v>
          </cell>
          <cell r="DP100" t="str">
            <v>Municipal Office</v>
          </cell>
          <cell r="DQ100" t="str">
            <v>Anjan Parajuli</v>
          </cell>
          <cell r="DR100" t="str">
            <v>Focal Person</v>
          </cell>
          <cell r="DS100">
            <v>9849622902</v>
          </cell>
          <cell r="DT100" t="str">
            <v/>
          </cell>
          <cell r="DU100" t="str">
            <v/>
          </cell>
          <cell r="DV100" t="str">
            <v>1</v>
          </cell>
          <cell r="DW100" t="str">
            <v/>
          </cell>
          <cell r="DX100" t="str">
            <v>17</v>
          </cell>
          <cell r="DY100" t="str">
            <v/>
          </cell>
          <cell r="DZ100">
            <v>4</v>
          </cell>
          <cell r="EA100" t="str">
            <v>4</v>
          </cell>
          <cell r="EB100">
            <v>3</v>
          </cell>
          <cell r="EC100" t="str">
            <v>5</v>
          </cell>
          <cell r="ED100">
            <v>2</v>
          </cell>
          <cell r="EE100" t="str">
            <v>6</v>
          </cell>
          <cell r="EF100" t="str">
            <v>200</v>
          </cell>
          <cell r="EG100" t="str">
            <v>8</v>
          </cell>
          <cell r="EH100" t="str">
            <v/>
          </cell>
          <cell r="EI100" t="str">
            <v>7</v>
          </cell>
          <cell r="EJ100">
            <v>180</v>
          </cell>
          <cell r="EK100">
            <v>36</v>
          </cell>
          <cell r="EL100">
            <v>144</v>
          </cell>
          <cell r="EM100">
            <v>279</v>
          </cell>
          <cell r="EN100">
            <v>190</v>
          </cell>
          <cell r="EO100">
            <v>89</v>
          </cell>
          <cell r="EP100" t="str">
            <v/>
          </cell>
          <cell r="EQ100" t="str">
            <v>Housing Recovery and Reconstruction Platform</v>
          </cell>
          <cell r="ER100" t="str">
            <v>Reshma Shrestha</v>
          </cell>
          <cell r="ES100" t="str">
            <v>District Coordinator</v>
          </cell>
          <cell r="ET100">
            <v>9841264190</v>
          </cell>
          <cell r="EU100" t="str">
            <v>Housing Recovery and Reconstruction Platform</v>
          </cell>
          <cell r="EV100" t="str">
            <v>Ishor Neupane</v>
          </cell>
          <cell r="EW100" t="str">
            <v>DIstrict Information Management Officer</v>
          </cell>
          <cell r="EX100">
            <v>9801317265</v>
          </cell>
          <cell r="EY100" t="str">
            <v>Housing Recovery and Reconstruction Platform</v>
          </cell>
          <cell r="EZ100" t="str">
            <v/>
          </cell>
          <cell r="FA100" t="str">
            <v>District Technical Officer</v>
          </cell>
          <cell r="FB100" t="str">
            <v/>
          </cell>
        </row>
        <row r="101">
          <cell r="A101">
            <v>24008</v>
          </cell>
          <cell r="B101" t="str">
            <v>Kavrepalanchok</v>
          </cell>
          <cell r="C101" t="str">
            <v>Mandandeupur Nagarpalika</v>
          </cell>
          <cell r="D101">
            <v>967</v>
          </cell>
          <cell r="E101">
            <v>8768</v>
          </cell>
          <cell r="F101">
            <v>9735</v>
          </cell>
          <cell r="G101" t="str">
            <v>Stone and cement mortar masonry</v>
          </cell>
          <cell r="H101">
            <v>0.31</v>
          </cell>
          <cell r="I101">
            <v>0.28999999999999998</v>
          </cell>
          <cell r="J101" t="str">
            <v>Stone and Mud Mortar Masonary</v>
          </cell>
          <cell r="K101">
            <v>87.3</v>
          </cell>
          <cell r="L101">
            <v>69.19</v>
          </cell>
          <cell r="M101" t="str">
            <v>Brick and Cement Mortar Masonary</v>
          </cell>
          <cell r="N101">
            <v>2.2000000000000002</v>
          </cell>
          <cell r="O101">
            <v>5.98</v>
          </cell>
          <cell r="P101" t="str">
            <v>Brick and mud mortar Masonry</v>
          </cell>
          <cell r="Q101">
            <v>1.68</v>
          </cell>
          <cell r="R101">
            <v>4.0199999999999996</v>
          </cell>
          <cell r="S101" t="str">
            <v>Reinforced cement concrete (RCC) frame</v>
          </cell>
          <cell r="T101">
            <v>3.28</v>
          </cell>
          <cell r="U101">
            <v>4.6500000000000004</v>
          </cell>
          <cell r="V101" t="str">
            <v>Hybrid structure</v>
          </cell>
          <cell r="W101">
            <v>0</v>
          </cell>
          <cell r="X101">
            <v>0</v>
          </cell>
          <cell r="Y101" t="str">
            <v>Timber frame structure</v>
          </cell>
          <cell r="Z101">
            <v>0.09</v>
          </cell>
          <cell r="AA101">
            <v>0.38</v>
          </cell>
          <cell r="AB101" t="str">
            <v>Hollow concrete block Masonry</v>
          </cell>
          <cell r="AC101">
            <v>0</v>
          </cell>
          <cell r="AD101">
            <v>0</v>
          </cell>
          <cell r="AE101" t="str">
            <v>Dry stone Masonry</v>
          </cell>
          <cell r="AF101">
            <v>0.19</v>
          </cell>
          <cell r="AG101">
            <v>0.06</v>
          </cell>
          <cell r="AH101" t="str">
            <v>Adobe structures</v>
          </cell>
          <cell r="AI101">
            <v>4.8899999999999997</v>
          </cell>
          <cell r="AJ101">
            <v>15.32</v>
          </cell>
          <cell r="AK101" t="str">
            <v>Bamboo</v>
          </cell>
          <cell r="AL101">
            <v>0.06</v>
          </cell>
          <cell r="AM101">
            <v>0.11</v>
          </cell>
          <cell r="AN101" t="str">
            <v>Compressed stabilized earth block (SCEB) Masonry</v>
          </cell>
          <cell r="AO101">
            <v>0</v>
          </cell>
          <cell r="AP101">
            <v>0</v>
          </cell>
          <cell r="AQ101" t="str">
            <v>Light steel frame structures</v>
          </cell>
          <cell r="AR101">
            <v>0</v>
          </cell>
          <cell r="AS101">
            <v>0</v>
          </cell>
          <cell r="AT101">
            <v>9195</v>
          </cell>
          <cell r="AU101">
            <v>8434</v>
          </cell>
          <cell r="AV101">
            <v>8407</v>
          </cell>
          <cell r="AW101">
            <v>6384</v>
          </cell>
          <cell r="AX101">
            <v>3754</v>
          </cell>
          <cell r="AY101">
            <v>0</v>
          </cell>
          <cell r="AZ101" t="str">
            <v/>
          </cell>
          <cell r="BA101">
            <v>145</v>
          </cell>
          <cell r="BB101" t="str">
            <v/>
          </cell>
          <cell r="BC101">
            <v>21</v>
          </cell>
          <cell r="BD101">
            <v>0</v>
          </cell>
          <cell r="BE101">
            <v>2300</v>
          </cell>
          <cell r="BF101">
            <v>1762</v>
          </cell>
          <cell r="BG101">
            <v>19</v>
          </cell>
          <cell r="BH101">
            <v>19</v>
          </cell>
          <cell r="BI101" t="str">
            <v>CARITAS-N(Agriculture, Livestock Development and Irrigation,Rural Housing and Community Infrastructure),EcoH-N(Education,Health,Social Protection),NRCS(Agriculture, Livestock Development and Irrigation,Employment and Livelihood,Health,Rural Housing and Community Infrastructure,Water, Sanitation and Hygiene),ROTARY(Rural Housing and Community Infrastructure,Water, Sanitation and Hygiene)</v>
          </cell>
          <cell r="BJ101" t="str">
            <v>AA(Disaster Risk Management,Education,Employment and Livelihood,Gender Equality and Social Inclusion),AATWIN(Social Protection),ADRA(Rural Housing and Community Infrastructure),CDRA(Rural Housing and Community Infrastructure),Emergency(Education),HELVETAS(Rural Housing and Community Infrastructure),LWF(Agriculture, Livestock Development and Irrigation,Disaster Risk Management,Education,Employment and Livelihood,Rural Housing and Community Infrastructure,Water, Sanitation and Hygiene),MI(Disaster Risk Management,Health,Water, Sanitation and Hygiene),NJSI(Education),SABAL(Rural Housing and Community Infrastructure)</v>
          </cell>
          <cell r="BK101">
            <v>86892</v>
          </cell>
          <cell r="BL101" t="str">
            <v/>
          </cell>
          <cell r="BM101" t="str">
            <v/>
          </cell>
          <cell r="BN101">
            <v>82508</v>
          </cell>
          <cell r="BO101" t="str">
            <v/>
          </cell>
          <cell r="BP101" t="str">
            <v/>
          </cell>
          <cell r="BQ101">
            <v>9220</v>
          </cell>
          <cell r="BR101" t="str">
            <v/>
          </cell>
          <cell r="BS101" t="str">
            <v/>
          </cell>
          <cell r="BT101">
            <v>10425</v>
          </cell>
          <cell r="BU101" t="str">
            <v/>
          </cell>
          <cell r="BV101" t="str">
            <v/>
          </cell>
          <cell r="BW101" t="str">
            <v/>
          </cell>
          <cell r="BX101" t="str">
            <v/>
          </cell>
          <cell r="BY101" t="str">
            <v/>
          </cell>
          <cell r="BZ101">
            <v>276977</v>
          </cell>
          <cell r="CA101" t="str">
            <v/>
          </cell>
          <cell r="CB101" t="str">
            <v/>
          </cell>
          <cell r="CC101">
            <v>955264</v>
          </cell>
          <cell r="CD101" t="str">
            <v/>
          </cell>
          <cell r="CE101" t="str">
            <v/>
          </cell>
          <cell r="CF101">
            <v>11325</v>
          </cell>
          <cell r="CG101" t="str">
            <v/>
          </cell>
          <cell r="CH101" t="str">
            <v/>
          </cell>
          <cell r="CI101">
            <v>1729278</v>
          </cell>
          <cell r="CJ101" t="str">
            <v/>
          </cell>
          <cell r="CK101" t="str">
            <v/>
          </cell>
          <cell r="CL101" t="str">
            <v>Skilled</v>
          </cell>
          <cell r="CM101" t="str">
            <v/>
          </cell>
          <cell r="CN101" t="str">
            <v>Labor</v>
          </cell>
          <cell r="CO101" t="str">
            <v/>
          </cell>
          <cell r="CP101" t="str">
            <v/>
          </cell>
          <cell r="CQ101" t="str">
            <v/>
          </cell>
          <cell r="CR101" t="str">
            <v/>
          </cell>
          <cell r="CS101" t="str">
            <v/>
          </cell>
          <cell r="CT101" t="str">
            <v/>
          </cell>
          <cell r="CU101" t="str">
            <v/>
          </cell>
          <cell r="CV101" t="str">
            <v>Municipal Office</v>
          </cell>
          <cell r="CW101" t="str">
            <v>Tok Bahadur Waiba</v>
          </cell>
          <cell r="CX101" t="str">
            <v>Mayor</v>
          </cell>
          <cell r="CY101">
            <v>9851199918</v>
          </cell>
          <cell r="CZ101" t="str">
            <v>Municipal Office</v>
          </cell>
          <cell r="DA101" t="str">
            <v>Nirmala Shahi</v>
          </cell>
          <cell r="DB101" t="str">
            <v>Deputy Mayor</v>
          </cell>
          <cell r="DC101">
            <v>9843445819</v>
          </cell>
          <cell r="DD101" t="str">
            <v>Municipal Office</v>
          </cell>
          <cell r="DE101" t="str">
            <v>Bhim Kanta Sharma</v>
          </cell>
          <cell r="DF101" t="str">
            <v>Adminstration Officer</v>
          </cell>
          <cell r="DG101">
            <v>9851243560</v>
          </cell>
          <cell r="DH101" t="str">
            <v>NRA/GMALI</v>
          </cell>
          <cell r="DI101" t="str">
            <v>Lok Nath Regmi</v>
          </cell>
          <cell r="DJ101" t="str">
            <v>NRA Chief-District</v>
          </cell>
          <cell r="DK101">
            <v>9851146403</v>
          </cell>
          <cell r="DL101" t="str">
            <v>DLPIU-Building</v>
          </cell>
          <cell r="DM101" t="str">
            <v>Mahalaxmi Joshi</v>
          </cell>
          <cell r="DN101" t="str">
            <v>DUDBC.DLPIU Chief</v>
          </cell>
          <cell r="DO101">
            <v>9841010222</v>
          </cell>
          <cell r="DP101" t="str">
            <v>Municipal Office</v>
          </cell>
          <cell r="DQ101" t="str">
            <v/>
          </cell>
          <cell r="DR101" t="str">
            <v>Focal Person</v>
          </cell>
          <cell r="DS101" t="str">
            <v/>
          </cell>
          <cell r="DT101" t="str">
            <v/>
          </cell>
          <cell r="DU101" t="str">
            <v/>
          </cell>
          <cell r="DV101" t="str">
            <v/>
          </cell>
          <cell r="DW101" t="str">
            <v/>
          </cell>
          <cell r="DX101" t="str">
            <v/>
          </cell>
          <cell r="DY101" t="str">
            <v/>
          </cell>
          <cell r="DZ101" t="str">
            <v/>
          </cell>
          <cell r="EA101" t="str">
            <v/>
          </cell>
          <cell r="EB101" t="str">
            <v/>
          </cell>
          <cell r="EC101" t="str">
            <v/>
          </cell>
          <cell r="ED101" t="str">
            <v/>
          </cell>
          <cell r="EE101" t="str">
            <v/>
          </cell>
          <cell r="EF101" t="str">
            <v/>
          </cell>
          <cell r="EG101" t="str">
            <v/>
          </cell>
          <cell r="EH101" t="str">
            <v/>
          </cell>
          <cell r="EI101" t="str">
            <v/>
          </cell>
          <cell r="EJ101">
            <v>609</v>
          </cell>
          <cell r="EK101">
            <v>402</v>
          </cell>
          <cell r="EL101">
            <v>207</v>
          </cell>
          <cell r="EM101">
            <v>886</v>
          </cell>
          <cell r="EN101">
            <v>84</v>
          </cell>
          <cell r="EO101">
            <v>802</v>
          </cell>
          <cell r="EP101" t="str">
            <v/>
          </cell>
          <cell r="EQ101" t="str">
            <v>Housing Recovery and Reconstruction Platform</v>
          </cell>
          <cell r="ER101" t="str">
            <v>Reshma Shrestha</v>
          </cell>
          <cell r="ES101" t="str">
            <v>District Coordinator</v>
          </cell>
          <cell r="ET101">
            <v>9841264190</v>
          </cell>
          <cell r="EU101" t="str">
            <v>Housing Recovery and Reconstruction Platform</v>
          </cell>
          <cell r="EV101" t="str">
            <v>Ishor Neupane</v>
          </cell>
          <cell r="EW101" t="str">
            <v>DIstrict Information Management Officer</v>
          </cell>
          <cell r="EX101">
            <v>9801317265</v>
          </cell>
          <cell r="EY101" t="str">
            <v>Housing Recovery and Reconstruction Platform</v>
          </cell>
          <cell r="EZ101" t="str">
            <v/>
          </cell>
          <cell r="FA101" t="str">
            <v>District Technical Officer</v>
          </cell>
          <cell r="FB101" t="str">
            <v/>
          </cell>
        </row>
        <row r="102">
          <cell r="A102">
            <v>24009</v>
          </cell>
          <cell r="B102" t="str">
            <v>Kavrepalanchok</v>
          </cell>
          <cell r="C102" t="str">
            <v>Namobuddha Nagarpalika</v>
          </cell>
          <cell r="D102">
            <v>1209</v>
          </cell>
          <cell r="E102">
            <v>7064</v>
          </cell>
          <cell r="F102">
            <v>8273</v>
          </cell>
          <cell r="G102" t="str">
            <v>Stone and cement mortar masonry</v>
          </cell>
          <cell r="H102">
            <v>0.11</v>
          </cell>
          <cell r="I102">
            <v>0.28999999999999998</v>
          </cell>
          <cell r="J102" t="str">
            <v>Stone and Mud Mortar Masonary</v>
          </cell>
          <cell r="K102">
            <v>73.739999999999995</v>
          </cell>
          <cell r="L102">
            <v>69.19</v>
          </cell>
          <cell r="M102" t="str">
            <v>Brick and Cement Mortar Masonary</v>
          </cell>
          <cell r="N102">
            <v>1.78</v>
          </cell>
          <cell r="O102">
            <v>5.98</v>
          </cell>
          <cell r="P102" t="str">
            <v>Brick and mud mortar Masonry</v>
          </cell>
          <cell r="Q102">
            <v>1.61</v>
          </cell>
          <cell r="R102">
            <v>4.0199999999999996</v>
          </cell>
          <cell r="S102" t="str">
            <v>Reinforced cement concrete (RCC) frame</v>
          </cell>
          <cell r="T102">
            <v>1.77</v>
          </cell>
          <cell r="U102">
            <v>4.6500000000000004</v>
          </cell>
          <cell r="V102" t="str">
            <v>Hybrid structure</v>
          </cell>
          <cell r="W102">
            <v>0</v>
          </cell>
          <cell r="X102">
            <v>0</v>
          </cell>
          <cell r="Y102" t="str">
            <v>Timber frame structure</v>
          </cell>
          <cell r="Z102">
            <v>0.2</v>
          </cell>
          <cell r="AA102">
            <v>0.38</v>
          </cell>
          <cell r="AB102" t="str">
            <v>Hollow concrete block Masonry</v>
          </cell>
          <cell r="AC102">
            <v>0</v>
          </cell>
          <cell r="AD102">
            <v>0</v>
          </cell>
          <cell r="AE102" t="str">
            <v>Dry stone Masonry</v>
          </cell>
          <cell r="AF102">
            <v>0.02</v>
          </cell>
          <cell r="AG102">
            <v>0.06</v>
          </cell>
          <cell r="AH102" t="str">
            <v>Adobe structures</v>
          </cell>
          <cell r="AI102">
            <v>20.63</v>
          </cell>
          <cell r="AJ102">
            <v>15.32</v>
          </cell>
          <cell r="AK102" t="str">
            <v>Bamboo</v>
          </cell>
          <cell r="AL102">
            <v>0.15</v>
          </cell>
          <cell r="AM102">
            <v>0.11</v>
          </cell>
          <cell r="AN102" t="str">
            <v>Compressed stabilized earth block (SCEB) Masonry</v>
          </cell>
          <cell r="AO102">
            <v>0</v>
          </cell>
          <cell r="AP102">
            <v>0</v>
          </cell>
          <cell r="AQ102" t="str">
            <v>Light steel frame structures</v>
          </cell>
          <cell r="AR102">
            <v>0</v>
          </cell>
          <cell r="AS102">
            <v>0</v>
          </cell>
          <cell r="AT102">
            <v>7593</v>
          </cell>
          <cell r="AU102">
            <v>6147</v>
          </cell>
          <cell r="AV102">
            <v>6109</v>
          </cell>
          <cell r="AW102">
            <v>3004</v>
          </cell>
          <cell r="AX102">
            <v>1585</v>
          </cell>
          <cell r="AY102">
            <v>2981</v>
          </cell>
          <cell r="AZ102">
            <v>1520</v>
          </cell>
          <cell r="BA102">
            <v>672</v>
          </cell>
          <cell r="BB102">
            <v>672</v>
          </cell>
          <cell r="BC102">
            <v>20</v>
          </cell>
          <cell r="BD102">
            <v>0</v>
          </cell>
          <cell r="BE102">
            <v>2814</v>
          </cell>
          <cell r="BF102">
            <v>2296</v>
          </cell>
          <cell r="BG102">
            <v>16</v>
          </cell>
          <cell r="BH102">
            <v>16</v>
          </cell>
          <cell r="BI102" t="str">
            <v/>
          </cell>
          <cell r="BJ102" t="str">
            <v>CDRA(Rural Housing and Community Infrastructure),CNF(Education),GON(Rural Housing and Community Infrastructure),GON - DUDBC(Rural Housing and Community Infrastructure),NCRS(NA-Others-Others-(Please specify in Activity Detail),Rural Housing and Community Infrastructure,Water, Sanitation and Hygiene),NYF(Rural Housing and Community Infrastructure),SABAL(Rural Housing and Community Infrastructure),SP-N(Disaster Risk Management,Rural Housing and Community Infrastructure,Water, Sanitation and Hygiene)</v>
          </cell>
          <cell r="BK102">
            <v>52040</v>
          </cell>
          <cell r="BL102" t="str">
            <v>Y</v>
          </cell>
          <cell r="BM102">
            <v>10271</v>
          </cell>
          <cell r="BN102">
            <v>52825</v>
          </cell>
          <cell r="BO102" t="str">
            <v/>
          </cell>
          <cell r="BP102">
            <v>14500</v>
          </cell>
          <cell r="BQ102">
            <v>5552</v>
          </cell>
          <cell r="BR102" t="str">
            <v>Y</v>
          </cell>
          <cell r="BS102">
            <v>14300</v>
          </cell>
          <cell r="BT102">
            <v>6391</v>
          </cell>
          <cell r="BU102" t="str">
            <v/>
          </cell>
          <cell r="BV102" t="str">
            <v/>
          </cell>
          <cell r="BW102" t="str">
            <v/>
          </cell>
          <cell r="BX102" t="str">
            <v>Y</v>
          </cell>
          <cell r="BY102">
            <v>725</v>
          </cell>
          <cell r="BZ102">
            <v>175667</v>
          </cell>
          <cell r="CA102" t="str">
            <v>Y</v>
          </cell>
          <cell r="CB102">
            <v>930</v>
          </cell>
          <cell r="CC102">
            <v>565687</v>
          </cell>
          <cell r="CD102" t="str">
            <v>Y</v>
          </cell>
          <cell r="CE102">
            <v>124</v>
          </cell>
          <cell r="CF102">
            <v>7182</v>
          </cell>
          <cell r="CG102" t="str">
            <v/>
          </cell>
          <cell r="CH102" t="str">
            <v/>
          </cell>
          <cell r="CI102">
            <v>638433</v>
          </cell>
          <cell r="CJ102" t="str">
            <v>N</v>
          </cell>
          <cell r="CK102">
            <v>16</v>
          </cell>
          <cell r="CL102" t="str">
            <v>Skilled</v>
          </cell>
          <cell r="CM102">
            <v>1500</v>
          </cell>
          <cell r="CN102" t="str">
            <v>Labor</v>
          </cell>
          <cell r="CO102">
            <v>950</v>
          </cell>
          <cell r="CP102" t="str">
            <v/>
          </cell>
          <cell r="CQ102" t="str">
            <v/>
          </cell>
          <cell r="CR102" t="str">
            <v/>
          </cell>
          <cell r="CS102" t="str">
            <v/>
          </cell>
          <cell r="CT102" t="str">
            <v/>
          </cell>
          <cell r="CU102" t="str">
            <v/>
          </cell>
          <cell r="CV102" t="str">
            <v>Municipal Office</v>
          </cell>
          <cell r="CW102" t="str">
            <v>TP Sharma</v>
          </cell>
          <cell r="CX102" t="str">
            <v>Mayor</v>
          </cell>
          <cell r="CY102">
            <v>9851149160</v>
          </cell>
          <cell r="CZ102" t="str">
            <v>Municipal Office</v>
          </cell>
          <cell r="DA102" t="str">
            <v>Ram Devi Tamang</v>
          </cell>
          <cell r="DB102" t="str">
            <v>Deputy Mayor</v>
          </cell>
          <cell r="DC102">
            <v>9851154222</v>
          </cell>
          <cell r="DD102" t="str">
            <v>Municipal Office</v>
          </cell>
          <cell r="DE102" t="str">
            <v>Kumar Koirala</v>
          </cell>
          <cell r="DF102" t="str">
            <v>Adminstration Officer</v>
          </cell>
          <cell r="DG102">
            <v>98511250032</v>
          </cell>
          <cell r="DH102" t="str">
            <v>NRA/GMALI</v>
          </cell>
          <cell r="DI102" t="str">
            <v>Lok Nath Regmi</v>
          </cell>
          <cell r="DJ102" t="str">
            <v>NRA Chief-District</v>
          </cell>
          <cell r="DK102">
            <v>9851146403</v>
          </cell>
          <cell r="DL102" t="str">
            <v>DLPIU-Building</v>
          </cell>
          <cell r="DM102" t="str">
            <v>Mahalaxmi Joshi</v>
          </cell>
          <cell r="DN102" t="str">
            <v>DUDBC.DLPIU Chief</v>
          </cell>
          <cell r="DO102">
            <v>9841010222</v>
          </cell>
          <cell r="DP102" t="str">
            <v>Municipal Office</v>
          </cell>
          <cell r="DQ102" t="str">
            <v>Kamal Kuikel</v>
          </cell>
          <cell r="DR102" t="str">
            <v>Focal Person</v>
          </cell>
          <cell r="DS102">
            <v>9849444221</v>
          </cell>
          <cell r="DT102" t="str">
            <v>4</v>
          </cell>
          <cell r="DU102" t="str">
            <v>1</v>
          </cell>
          <cell r="DV102" t="str">
            <v>2</v>
          </cell>
          <cell r="DW102" t="str">
            <v/>
          </cell>
          <cell r="DX102" t="str">
            <v/>
          </cell>
          <cell r="DY102" t="str">
            <v>158</v>
          </cell>
          <cell r="DZ102">
            <v>10</v>
          </cell>
          <cell r="EA102" t="str">
            <v>11</v>
          </cell>
          <cell r="EB102">
            <v>4</v>
          </cell>
          <cell r="EC102" t="str">
            <v>11</v>
          </cell>
          <cell r="ED102">
            <v>1</v>
          </cell>
          <cell r="EE102" t="str">
            <v>11</v>
          </cell>
          <cell r="EF102" t="str">
            <v/>
          </cell>
          <cell r="EG102" t="str">
            <v/>
          </cell>
          <cell r="EH102" t="str">
            <v/>
          </cell>
          <cell r="EI102" t="str">
            <v/>
          </cell>
          <cell r="EJ102">
            <v>471</v>
          </cell>
          <cell r="EK102">
            <v>674</v>
          </cell>
          <cell r="EL102">
            <v>-203</v>
          </cell>
          <cell r="EM102">
            <v>666</v>
          </cell>
          <cell r="EN102">
            <v>20</v>
          </cell>
          <cell r="EO102">
            <v>646</v>
          </cell>
          <cell r="EP102" t="str">
            <v/>
          </cell>
          <cell r="EQ102" t="str">
            <v>Housing Recovery and Reconstruction Platform</v>
          </cell>
          <cell r="ER102" t="str">
            <v>Reshma Shrestha</v>
          </cell>
          <cell r="ES102" t="str">
            <v>District Coordinator</v>
          </cell>
          <cell r="ET102">
            <v>9841264190</v>
          </cell>
          <cell r="EU102" t="str">
            <v>Housing Recovery and Reconstruction Platform</v>
          </cell>
          <cell r="EV102" t="str">
            <v>Ishor Neupane</v>
          </cell>
          <cell r="EW102" t="str">
            <v>DIstrict Information Management Officer</v>
          </cell>
          <cell r="EX102">
            <v>9801317265</v>
          </cell>
          <cell r="EY102" t="str">
            <v>Housing Recovery and Reconstruction Platform</v>
          </cell>
          <cell r="EZ102" t="str">
            <v/>
          </cell>
          <cell r="FA102" t="str">
            <v>District Technical Officer</v>
          </cell>
          <cell r="FB102" t="str">
            <v/>
          </cell>
        </row>
        <row r="103">
          <cell r="A103">
            <v>24010</v>
          </cell>
          <cell r="B103" t="str">
            <v>Kavrepalanchok</v>
          </cell>
          <cell r="C103" t="str">
            <v>Panauti Nagarpalika</v>
          </cell>
          <cell r="D103">
            <v>3435</v>
          </cell>
          <cell r="E103">
            <v>8850</v>
          </cell>
          <cell r="F103">
            <v>12285</v>
          </cell>
          <cell r="G103" t="str">
            <v>Stone and cement mortar masonry</v>
          </cell>
          <cell r="H103">
            <v>0.46</v>
          </cell>
          <cell r="I103">
            <v>0.28999999999999998</v>
          </cell>
          <cell r="J103" t="str">
            <v>Stone and Mud Mortar Masonary</v>
          </cell>
          <cell r="K103">
            <v>42.19</v>
          </cell>
          <cell r="L103">
            <v>69.19</v>
          </cell>
          <cell r="M103" t="str">
            <v>Brick and Cement Mortar Masonary</v>
          </cell>
          <cell r="N103">
            <v>12.17</v>
          </cell>
          <cell r="O103">
            <v>5.98</v>
          </cell>
          <cell r="P103" t="str">
            <v>Brick and mud mortar Masonry</v>
          </cell>
          <cell r="Q103">
            <v>10.1</v>
          </cell>
          <cell r="R103">
            <v>4.0199999999999996</v>
          </cell>
          <cell r="S103" t="str">
            <v>Reinforced cement concrete (RCC) frame</v>
          </cell>
          <cell r="T103">
            <v>6.76</v>
          </cell>
          <cell r="U103">
            <v>4.6500000000000004</v>
          </cell>
          <cell r="V103" t="str">
            <v>Hybrid structure</v>
          </cell>
          <cell r="W103">
            <v>0</v>
          </cell>
          <cell r="X103">
            <v>0</v>
          </cell>
          <cell r="Y103" t="str">
            <v>Timber frame structure</v>
          </cell>
          <cell r="Z103">
            <v>0.11</v>
          </cell>
          <cell r="AA103">
            <v>0.38</v>
          </cell>
          <cell r="AB103" t="str">
            <v>Hollow concrete block Masonry</v>
          </cell>
          <cell r="AC103">
            <v>0</v>
          </cell>
          <cell r="AD103">
            <v>0</v>
          </cell>
          <cell r="AE103" t="str">
            <v>Dry stone Masonry</v>
          </cell>
          <cell r="AF103">
            <v>0.04</v>
          </cell>
          <cell r="AG103">
            <v>0.06</v>
          </cell>
          <cell r="AH103" t="str">
            <v>Adobe structures</v>
          </cell>
          <cell r="AI103">
            <v>28.06</v>
          </cell>
          <cell r="AJ103">
            <v>15.32</v>
          </cell>
          <cell r="AK103" t="str">
            <v>Bamboo</v>
          </cell>
          <cell r="AL103">
            <v>0.09</v>
          </cell>
          <cell r="AM103">
            <v>0.11</v>
          </cell>
          <cell r="AN103" t="str">
            <v>Compressed stabilized earth block (SCEB) Masonry</v>
          </cell>
          <cell r="AO103">
            <v>0</v>
          </cell>
          <cell r="AP103">
            <v>0</v>
          </cell>
          <cell r="AQ103" t="str">
            <v>Light steel frame structures</v>
          </cell>
          <cell r="AR103">
            <v>0</v>
          </cell>
          <cell r="AS103">
            <v>0</v>
          </cell>
          <cell r="AT103">
            <v>9178</v>
          </cell>
          <cell r="AU103">
            <v>8813</v>
          </cell>
          <cell r="AV103">
            <v>8766</v>
          </cell>
          <cell r="AW103">
            <v>5779</v>
          </cell>
          <cell r="AX103">
            <v>3458</v>
          </cell>
          <cell r="AY103">
            <v>0</v>
          </cell>
          <cell r="AZ103" t="str">
            <v/>
          </cell>
          <cell r="BA103">
            <v>832</v>
          </cell>
          <cell r="BB103" t="str">
            <v/>
          </cell>
          <cell r="BC103">
            <v>88</v>
          </cell>
          <cell r="BD103">
            <v>12</v>
          </cell>
          <cell r="BE103">
            <v>2874</v>
          </cell>
          <cell r="BF103">
            <v>2932</v>
          </cell>
          <cell r="BG103">
            <v>7</v>
          </cell>
          <cell r="BH103">
            <v>7</v>
          </cell>
          <cell r="BI103" t="str">
            <v/>
          </cell>
          <cell r="BJ103" t="str">
            <v>AATWIN(Social Protection)</v>
          </cell>
          <cell r="BK103">
            <v>100424</v>
          </cell>
          <cell r="BL103" t="str">
            <v/>
          </cell>
          <cell r="BM103" t="str">
            <v/>
          </cell>
          <cell r="BN103">
            <v>92943</v>
          </cell>
          <cell r="BO103" t="str">
            <v/>
          </cell>
          <cell r="BP103" t="str">
            <v/>
          </cell>
          <cell r="BQ103">
            <v>10634</v>
          </cell>
          <cell r="BR103" t="str">
            <v/>
          </cell>
          <cell r="BS103" t="str">
            <v/>
          </cell>
          <cell r="BT103">
            <v>11943</v>
          </cell>
          <cell r="BU103" t="str">
            <v/>
          </cell>
          <cell r="BV103" t="str">
            <v/>
          </cell>
          <cell r="BW103" t="str">
            <v/>
          </cell>
          <cell r="BX103" t="str">
            <v/>
          </cell>
          <cell r="BY103" t="str">
            <v/>
          </cell>
          <cell r="BZ103">
            <v>313070</v>
          </cell>
          <cell r="CA103" t="str">
            <v/>
          </cell>
          <cell r="CB103" t="str">
            <v/>
          </cell>
          <cell r="CC103">
            <v>1108419</v>
          </cell>
          <cell r="CD103" t="str">
            <v/>
          </cell>
          <cell r="CE103" t="str">
            <v/>
          </cell>
          <cell r="CF103">
            <v>12800</v>
          </cell>
          <cell r="CG103" t="str">
            <v/>
          </cell>
          <cell r="CH103" t="str">
            <v/>
          </cell>
          <cell r="CI103">
            <v>2262239</v>
          </cell>
          <cell r="CJ103" t="str">
            <v/>
          </cell>
          <cell r="CK103" t="str">
            <v/>
          </cell>
          <cell r="CL103" t="str">
            <v>Skilled</v>
          </cell>
          <cell r="CM103">
            <v>1200</v>
          </cell>
          <cell r="CN103" t="str">
            <v>Labor</v>
          </cell>
          <cell r="CO103">
            <v>1000</v>
          </cell>
          <cell r="CP103" t="str">
            <v/>
          </cell>
          <cell r="CQ103" t="str">
            <v/>
          </cell>
          <cell r="CR103" t="str">
            <v/>
          </cell>
          <cell r="CS103" t="str">
            <v/>
          </cell>
          <cell r="CT103" t="str">
            <v/>
          </cell>
          <cell r="CU103" t="str">
            <v/>
          </cell>
          <cell r="CV103" t="str">
            <v>Municipal Office</v>
          </cell>
          <cell r="CW103" t="str">
            <v>Bhim Neupane</v>
          </cell>
          <cell r="CX103" t="str">
            <v>Mayor</v>
          </cell>
          <cell r="CY103">
            <v>9851169272</v>
          </cell>
          <cell r="CZ103" t="str">
            <v>Municipal Office</v>
          </cell>
          <cell r="DA103" t="str">
            <v>Gita Banjara</v>
          </cell>
          <cell r="DB103" t="str">
            <v>Deputy Mayor</v>
          </cell>
          <cell r="DC103">
            <v>9841543139</v>
          </cell>
          <cell r="DD103" t="str">
            <v>Municipal Office</v>
          </cell>
          <cell r="DE103" t="str">
            <v>Bijaye Raj Paudel</v>
          </cell>
          <cell r="DF103" t="str">
            <v>Adminstration Officer</v>
          </cell>
          <cell r="DG103">
            <v>9843794219</v>
          </cell>
          <cell r="DH103" t="str">
            <v>NRA/GMALI</v>
          </cell>
          <cell r="DI103" t="str">
            <v>Lok Nath Regmi</v>
          </cell>
          <cell r="DJ103" t="str">
            <v>NRA Chief-District</v>
          </cell>
          <cell r="DK103">
            <v>9851146403</v>
          </cell>
          <cell r="DL103" t="str">
            <v>DLPIU-Building</v>
          </cell>
          <cell r="DM103" t="str">
            <v>Mahalaxmi Joshi</v>
          </cell>
          <cell r="DN103" t="str">
            <v>DUDBC.DLPIU Chief</v>
          </cell>
          <cell r="DO103">
            <v>9841010222</v>
          </cell>
          <cell r="DP103" t="str">
            <v>Municipal Office</v>
          </cell>
          <cell r="DQ103" t="str">
            <v/>
          </cell>
          <cell r="DR103" t="str">
            <v>Focal Person</v>
          </cell>
          <cell r="DS103" t="str">
            <v/>
          </cell>
          <cell r="DT103" t="str">
            <v>105</v>
          </cell>
          <cell r="DU103" t="str">
            <v>120</v>
          </cell>
          <cell r="DV103" t="str">
            <v>2000</v>
          </cell>
          <cell r="DW103" t="str">
            <v>20</v>
          </cell>
          <cell r="DX103" t="str">
            <v>300</v>
          </cell>
          <cell r="DY103" t="str">
            <v>200</v>
          </cell>
          <cell r="DZ103">
            <v>12</v>
          </cell>
          <cell r="EA103" t="str">
            <v>5</v>
          </cell>
          <cell r="EB103">
            <v>5</v>
          </cell>
          <cell r="EC103" t="str">
            <v>6</v>
          </cell>
          <cell r="ED103">
            <v>4</v>
          </cell>
          <cell r="EE103" t="str">
            <v>3</v>
          </cell>
          <cell r="EF103" t="str">
            <v>100</v>
          </cell>
          <cell r="EG103" t="str">
            <v>2</v>
          </cell>
          <cell r="EH103" t="str">
            <v/>
          </cell>
          <cell r="EI103" t="str">
            <v/>
          </cell>
          <cell r="EJ103">
            <v>526</v>
          </cell>
          <cell r="EK103">
            <v>460</v>
          </cell>
          <cell r="EL103">
            <v>66</v>
          </cell>
          <cell r="EM103">
            <v>759</v>
          </cell>
          <cell r="EN103">
            <v>0</v>
          </cell>
          <cell r="EO103">
            <v>759</v>
          </cell>
          <cell r="EP103" t="str">
            <v/>
          </cell>
          <cell r="EQ103" t="str">
            <v>Housing Recovery and Reconstruction Platform</v>
          </cell>
          <cell r="ER103" t="str">
            <v>Reshma Shrestha</v>
          </cell>
          <cell r="ES103" t="str">
            <v>District Coordinator</v>
          </cell>
          <cell r="ET103">
            <v>9841264190</v>
          </cell>
          <cell r="EU103" t="str">
            <v>Housing Recovery and Reconstruction Platform</v>
          </cell>
          <cell r="EV103" t="str">
            <v>Ishor Neupane</v>
          </cell>
          <cell r="EW103" t="str">
            <v>DIstrict Information Management Officer</v>
          </cell>
          <cell r="EX103">
            <v>9801317265</v>
          </cell>
          <cell r="EY103" t="str">
            <v>Housing Recovery and Reconstruction Platform</v>
          </cell>
          <cell r="EZ103" t="str">
            <v/>
          </cell>
          <cell r="FA103" t="str">
            <v>District Technical Officer</v>
          </cell>
          <cell r="FB103" t="str">
            <v/>
          </cell>
        </row>
        <row r="104">
          <cell r="A104">
            <v>24011</v>
          </cell>
          <cell r="B104" t="str">
            <v>Kavrepalanchok</v>
          </cell>
          <cell r="C104" t="str">
            <v>Panchkhal Nagarpalika</v>
          </cell>
          <cell r="D104">
            <v>1721</v>
          </cell>
          <cell r="E104">
            <v>9278</v>
          </cell>
          <cell r="F104">
            <v>10999</v>
          </cell>
          <cell r="G104" t="str">
            <v>Stone and cement mortar masonry</v>
          </cell>
          <cell r="H104">
            <v>0.26</v>
          </cell>
          <cell r="I104">
            <v>0.28999999999999998</v>
          </cell>
          <cell r="J104" t="str">
            <v>Stone and Mud Mortar Masonary</v>
          </cell>
          <cell r="K104">
            <v>57.7</v>
          </cell>
          <cell r="L104">
            <v>69.19</v>
          </cell>
          <cell r="M104" t="str">
            <v>Brick and Cement Mortar Masonary</v>
          </cell>
          <cell r="N104">
            <v>4.13</v>
          </cell>
          <cell r="O104">
            <v>5.98</v>
          </cell>
          <cell r="P104" t="str">
            <v>Brick and mud mortar Masonry</v>
          </cell>
          <cell r="Q104">
            <v>2.83</v>
          </cell>
          <cell r="R104">
            <v>4.0199999999999996</v>
          </cell>
          <cell r="S104" t="str">
            <v>Reinforced cement concrete (RCC) frame</v>
          </cell>
          <cell r="T104">
            <v>3.43</v>
          </cell>
          <cell r="U104">
            <v>4.6500000000000004</v>
          </cell>
          <cell r="V104" t="str">
            <v>Hybrid structure</v>
          </cell>
          <cell r="W104">
            <v>0</v>
          </cell>
          <cell r="X104">
            <v>0</v>
          </cell>
          <cell r="Y104" t="str">
            <v>Timber frame structure</v>
          </cell>
          <cell r="Z104">
            <v>0.13</v>
          </cell>
          <cell r="AA104">
            <v>0.38</v>
          </cell>
          <cell r="AB104" t="str">
            <v>Hollow concrete block Masonry</v>
          </cell>
          <cell r="AC104">
            <v>0</v>
          </cell>
          <cell r="AD104">
            <v>0</v>
          </cell>
          <cell r="AE104" t="str">
            <v>Dry stone Masonry</v>
          </cell>
          <cell r="AF104">
            <v>0.04</v>
          </cell>
          <cell r="AG104">
            <v>0.06</v>
          </cell>
          <cell r="AH104" t="str">
            <v>Adobe structures</v>
          </cell>
          <cell r="AI104">
            <v>31.42</v>
          </cell>
          <cell r="AJ104">
            <v>15.32</v>
          </cell>
          <cell r="AK104" t="str">
            <v>Bamboo</v>
          </cell>
          <cell r="AL104">
            <v>0.06</v>
          </cell>
          <cell r="AM104">
            <v>0.11</v>
          </cell>
          <cell r="AN104" t="str">
            <v>Compressed stabilized earth block (SCEB) Masonry</v>
          </cell>
          <cell r="AO104">
            <v>0</v>
          </cell>
          <cell r="AP104">
            <v>0</v>
          </cell>
          <cell r="AQ104" t="str">
            <v>Light steel frame structures</v>
          </cell>
          <cell r="AR104">
            <v>0</v>
          </cell>
          <cell r="AS104">
            <v>0</v>
          </cell>
          <cell r="AT104">
            <v>9937</v>
          </cell>
          <cell r="AU104">
            <v>7958</v>
          </cell>
          <cell r="AV104">
            <v>7906</v>
          </cell>
          <cell r="AW104">
            <v>4147</v>
          </cell>
          <cell r="AX104">
            <v>2874</v>
          </cell>
          <cell r="AY104">
            <v>0</v>
          </cell>
          <cell r="AZ104" t="str">
            <v/>
          </cell>
          <cell r="BA104">
            <v>397</v>
          </cell>
          <cell r="BB104" t="str">
            <v/>
          </cell>
          <cell r="BC104">
            <v>111</v>
          </cell>
          <cell r="BD104">
            <v>0</v>
          </cell>
          <cell r="BE104">
            <v>3041</v>
          </cell>
          <cell r="BF104">
            <v>2851</v>
          </cell>
          <cell r="BG104">
            <v>4</v>
          </cell>
          <cell r="BH104">
            <v>4</v>
          </cell>
          <cell r="BI104" t="str">
            <v>NRCS(Agriculture, Livestock Development and Irrigation,Employment and Livelihood,Health,Rural Housing and Community Infrastructure,Water, Sanitation and Hygiene)</v>
          </cell>
          <cell r="BJ104" t="str">
            <v>AATWIN(Social Protection),ADRA(Health),Centum Learning(Rural Housing and Community Infrastructure),Garuda-N(Education,Water, Sanitation and Hygiene),HELVETAS(Rural Housing and Community Infrastructure),HFH(Disaster Risk Management,Employment and Livelihood,Rural Housing and Community Infrastructure,Urban Housing and Settlements),MI(Disaster Risk Management,Health,Water, Sanitation and Hygiene),Navjyoti(Rural Housing and Community Infrastructure,Water, Sanitation and Hygiene),NJSI(Education),NN(Rural Housing and Community Infrastructure),,SCI(Education,Rural Housing and Community Infrastructure,Social Protection),UNDP(Rural Housing and Community Infrastructure),WeWorld(Education)</v>
          </cell>
          <cell r="BK104">
            <v>62830</v>
          </cell>
          <cell r="BL104" t="str">
            <v/>
          </cell>
          <cell r="BM104" t="str">
            <v/>
          </cell>
          <cell r="BN104">
            <v>60339</v>
          </cell>
          <cell r="BO104" t="str">
            <v/>
          </cell>
          <cell r="BP104" t="str">
            <v/>
          </cell>
          <cell r="BQ104">
            <v>6673</v>
          </cell>
          <cell r="BR104" t="str">
            <v/>
          </cell>
          <cell r="BS104" t="str">
            <v/>
          </cell>
          <cell r="BT104">
            <v>7570</v>
          </cell>
          <cell r="BU104" t="str">
            <v/>
          </cell>
          <cell r="BV104" t="str">
            <v/>
          </cell>
          <cell r="BW104" t="str">
            <v/>
          </cell>
          <cell r="BX104" t="str">
            <v/>
          </cell>
          <cell r="BY104" t="str">
            <v/>
          </cell>
          <cell r="BZ104">
            <v>202676</v>
          </cell>
          <cell r="CA104" t="str">
            <v/>
          </cell>
          <cell r="CB104" t="str">
            <v/>
          </cell>
          <cell r="CC104">
            <v>690063</v>
          </cell>
          <cell r="CD104" t="str">
            <v/>
          </cell>
          <cell r="CE104" t="str">
            <v/>
          </cell>
          <cell r="CF104">
            <v>8289</v>
          </cell>
          <cell r="CG104" t="str">
            <v/>
          </cell>
          <cell r="CH104" t="str">
            <v/>
          </cell>
          <cell r="CI104">
            <v>1240754</v>
          </cell>
          <cell r="CJ104" t="str">
            <v/>
          </cell>
          <cell r="CK104" t="str">
            <v/>
          </cell>
          <cell r="CL104" t="str">
            <v>Skilled</v>
          </cell>
          <cell r="CM104">
            <v>1400</v>
          </cell>
          <cell r="CN104" t="str">
            <v>Labor</v>
          </cell>
          <cell r="CO104">
            <v>800</v>
          </cell>
          <cell r="CP104" t="str">
            <v/>
          </cell>
          <cell r="CQ104" t="str">
            <v/>
          </cell>
          <cell r="CR104" t="str">
            <v/>
          </cell>
          <cell r="CS104" t="str">
            <v/>
          </cell>
          <cell r="CT104" t="str">
            <v/>
          </cell>
          <cell r="CU104" t="str">
            <v/>
          </cell>
          <cell r="CV104" t="str">
            <v>Municipal Office</v>
          </cell>
          <cell r="CW104" t="str">
            <v>Mahesh Kharel</v>
          </cell>
          <cell r="CX104" t="str">
            <v>Mayor</v>
          </cell>
          <cell r="CY104">
            <v>9843041788</v>
          </cell>
          <cell r="CZ104" t="str">
            <v>Municipal Office</v>
          </cell>
          <cell r="DA104" t="str">
            <v>Laxmi Danuwar</v>
          </cell>
          <cell r="DB104" t="str">
            <v>Deputy Mayor</v>
          </cell>
          <cell r="DC104">
            <v>9841670594</v>
          </cell>
          <cell r="DD104" t="str">
            <v>Municipal Office</v>
          </cell>
          <cell r="DE104" t="str">
            <v>Bhola Chapagain</v>
          </cell>
          <cell r="DF104" t="str">
            <v>Adminstration Officer</v>
          </cell>
          <cell r="DG104">
            <v>9851250031</v>
          </cell>
          <cell r="DH104" t="str">
            <v>NRA/GMALI</v>
          </cell>
          <cell r="DI104" t="str">
            <v>Lok Nath Regmi</v>
          </cell>
          <cell r="DJ104" t="str">
            <v>NRA Chief-District</v>
          </cell>
          <cell r="DK104">
            <v>9851146403</v>
          </cell>
          <cell r="DL104" t="str">
            <v>DLPIU-Building</v>
          </cell>
          <cell r="DM104" t="str">
            <v>Mahalaxmi Joshi</v>
          </cell>
          <cell r="DN104" t="str">
            <v>DUDBC.DLPIU Chief</v>
          </cell>
          <cell r="DO104">
            <v>9841010222</v>
          </cell>
          <cell r="DP104" t="str">
            <v>Municipal Office</v>
          </cell>
          <cell r="DQ104" t="str">
            <v/>
          </cell>
          <cell r="DR104" t="str">
            <v>Focal Person</v>
          </cell>
          <cell r="DS104" t="str">
            <v/>
          </cell>
          <cell r="DT104" t="str">
            <v/>
          </cell>
          <cell r="DU104" t="str">
            <v/>
          </cell>
          <cell r="DV104" t="str">
            <v/>
          </cell>
          <cell r="DW104" t="str">
            <v/>
          </cell>
          <cell r="DX104" t="str">
            <v/>
          </cell>
          <cell r="DY104" t="str">
            <v/>
          </cell>
          <cell r="DZ104">
            <v>14</v>
          </cell>
          <cell r="EA104" t="str">
            <v/>
          </cell>
          <cell r="EB104">
            <v>2</v>
          </cell>
          <cell r="EC104" t="str">
            <v/>
          </cell>
          <cell r="ED104">
            <v>4</v>
          </cell>
          <cell r="EE104" t="str">
            <v/>
          </cell>
          <cell r="EF104" t="str">
            <v/>
          </cell>
          <cell r="EG104" t="str">
            <v/>
          </cell>
          <cell r="EH104" t="str">
            <v/>
          </cell>
          <cell r="EI104" t="str">
            <v>4</v>
          </cell>
          <cell r="EJ104">
            <v>626</v>
          </cell>
          <cell r="EK104">
            <v>450</v>
          </cell>
          <cell r="EL104">
            <v>176</v>
          </cell>
          <cell r="EM104">
            <v>883</v>
          </cell>
          <cell r="EN104">
            <v>28</v>
          </cell>
          <cell r="EO104">
            <v>855</v>
          </cell>
          <cell r="EP104" t="str">
            <v/>
          </cell>
          <cell r="EQ104" t="str">
            <v>Housing Recovery and Reconstruction Platform</v>
          </cell>
          <cell r="ER104" t="str">
            <v>Reshma Shrestha</v>
          </cell>
          <cell r="ES104" t="str">
            <v>District Coordinator</v>
          </cell>
          <cell r="ET104">
            <v>9841264190</v>
          </cell>
          <cell r="EU104" t="str">
            <v>Housing Recovery and Reconstruction Platform</v>
          </cell>
          <cell r="EV104" t="str">
            <v>Ishor Neupane</v>
          </cell>
          <cell r="EW104" t="str">
            <v>DIstrict Information Management Officer</v>
          </cell>
          <cell r="EX104">
            <v>9801317265</v>
          </cell>
          <cell r="EY104" t="str">
            <v>Housing Recovery and Reconstruction Platform</v>
          </cell>
          <cell r="EZ104" t="str">
            <v/>
          </cell>
          <cell r="FA104" t="str">
            <v>District Technical Officer</v>
          </cell>
          <cell r="FB104" t="str">
            <v/>
          </cell>
        </row>
        <row r="105">
          <cell r="A105">
            <v>24012</v>
          </cell>
          <cell r="B105" t="str">
            <v>Kavrepalanchok</v>
          </cell>
          <cell r="C105" t="str">
            <v>Roshi Gaunpalika</v>
          </cell>
          <cell r="D105">
            <v>1539</v>
          </cell>
          <cell r="E105">
            <v>5862</v>
          </cell>
          <cell r="F105">
            <v>7401</v>
          </cell>
          <cell r="G105" t="str">
            <v>Stone and cement mortar masonry</v>
          </cell>
          <cell r="H105">
            <v>0.19</v>
          </cell>
          <cell r="I105">
            <v>0.28999999999999998</v>
          </cell>
          <cell r="J105" t="str">
            <v>Stone and Mud Mortar Masonary</v>
          </cell>
          <cell r="K105">
            <v>96.74</v>
          </cell>
          <cell r="L105">
            <v>69.19</v>
          </cell>
          <cell r="M105" t="str">
            <v>Brick and Cement Mortar Masonary</v>
          </cell>
          <cell r="N105">
            <v>0.28000000000000003</v>
          </cell>
          <cell r="O105">
            <v>5.98</v>
          </cell>
          <cell r="P105" t="str">
            <v>Brick and mud mortar Masonry</v>
          </cell>
          <cell r="Q105">
            <v>0.14000000000000001</v>
          </cell>
          <cell r="R105">
            <v>4.0199999999999996</v>
          </cell>
          <cell r="S105" t="str">
            <v>Reinforced cement concrete (RCC) frame</v>
          </cell>
          <cell r="T105">
            <v>0.27</v>
          </cell>
          <cell r="U105">
            <v>4.6500000000000004</v>
          </cell>
          <cell r="V105" t="str">
            <v>Hybrid structure</v>
          </cell>
          <cell r="W105">
            <v>0</v>
          </cell>
          <cell r="X105">
            <v>0</v>
          </cell>
          <cell r="Y105" t="str">
            <v>Timber frame structure</v>
          </cell>
          <cell r="Z105">
            <v>0.15</v>
          </cell>
          <cell r="AA105">
            <v>0.38</v>
          </cell>
          <cell r="AB105" t="str">
            <v>Hollow concrete block Masonry</v>
          </cell>
          <cell r="AC105">
            <v>0</v>
          </cell>
          <cell r="AD105">
            <v>0</v>
          </cell>
          <cell r="AE105" t="str">
            <v>Dry stone Masonry</v>
          </cell>
          <cell r="AF105">
            <v>0.11</v>
          </cell>
          <cell r="AG105">
            <v>0.06</v>
          </cell>
          <cell r="AH105" t="str">
            <v>Adobe structures</v>
          </cell>
          <cell r="AI105">
            <v>2.0299999999999998</v>
          </cell>
          <cell r="AJ105">
            <v>15.32</v>
          </cell>
          <cell r="AK105" t="str">
            <v>Bamboo</v>
          </cell>
          <cell r="AL105">
            <v>0.09</v>
          </cell>
          <cell r="AM105">
            <v>0.11</v>
          </cell>
          <cell r="AN105" t="str">
            <v>Compressed stabilized earth block (SCEB) Masonry</v>
          </cell>
          <cell r="AO105">
            <v>0</v>
          </cell>
          <cell r="AP105">
            <v>0</v>
          </cell>
          <cell r="AQ105" t="str">
            <v>Light steel frame structures</v>
          </cell>
          <cell r="AR105">
            <v>0</v>
          </cell>
          <cell r="AS105">
            <v>0</v>
          </cell>
          <cell r="AT105">
            <v>6262</v>
          </cell>
          <cell r="AU105">
            <v>5466</v>
          </cell>
          <cell r="AV105">
            <v>5425</v>
          </cell>
          <cell r="AW105">
            <v>3729</v>
          </cell>
          <cell r="AX105">
            <v>1711</v>
          </cell>
          <cell r="AY105">
            <v>0</v>
          </cell>
          <cell r="AZ105" t="str">
            <v/>
          </cell>
          <cell r="BA105">
            <v>662</v>
          </cell>
          <cell r="BB105" t="str">
            <v/>
          </cell>
          <cell r="BC105">
            <v>129</v>
          </cell>
          <cell r="BD105">
            <v>0</v>
          </cell>
          <cell r="BE105">
            <v>2257</v>
          </cell>
          <cell r="BF105">
            <v>2203</v>
          </cell>
          <cell r="BG105" t="str">
            <v/>
          </cell>
          <cell r="BH105" t="str">
            <v/>
          </cell>
          <cell r="BI105" t="str">
            <v>NRCS(Health)</v>
          </cell>
          <cell r="BJ105" t="str">
            <v>ADRA(Health),GON - DUDBC(Rural Housing and Community Infrastructure),HELVETAS(Rural Housing and Community Infrastructure),Maiti-N(Education),NN(Rural Housing and Community Infrastructure),NYF(Education,Rural Housing and Community Infrastructure),SABAL(Rural Housing and Community Infrastructure),SAGUN(Education),SCI(Education,Social Protection),Tdh(Health)</v>
          </cell>
          <cell r="BK105">
            <v>63377</v>
          </cell>
          <cell r="BL105" t="str">
            <v/>
          </cell>
          <cell r="BM105" t="str">
            <v/>
          </cell>
          <cell r="BN105">
            <v>63804</v>
          </cell>
          <cell r="BO105" t="str">
            <v/>
          </cell>
          <cell r="BP105" t="str">
            <v/>
          </cell>
          <cell r="BQ105">
            <v>6757</v>
          </cell>
          <cell r="BR105" t="str">
            <v/>
          </cell>
          <cell r="BS105" t="str">
            <v/>
          </cell>
          <cell r="BT105">
            <v>7760</v>
          </cell>
          <cell r="BU105" t="str">
            <v/>
          </cell>
          <cell r="BV105" t="str">
            <v/>
          </cell>
          <cell r="BW105" t="str">
            <v/>
          </cell>
          <cell r="BX105" t="str">
            <v/>
          </cell>
          <cell r="BY105" t="str">
            <v/>
          </cell>
          <cell r="BZ105">
            <v>212362</v>
          </cell>
          <cell r="CA105" t="str">
            <v/>
          </cell>
          <cell r="CB105" t="str">
            <v/>
          </cell>
          <cell r="CC105">
            <v>689846</v>
          </cell>
          <cell r="CD105" t="str">
            <v/>
          </cell>
          <cell r="CE105" t="str">
            <v/>
          </cell>
          <cell r="CF105">
            <v>8682</v>
          </cell>
          <cell r="CG105" t="str">
            <v/>
          </cell>
          <cell r="CH105" t="str">
            <v/>
          </cell>
          <cell r="CI105">
            <v>830653</v>
          </cell>
          <cell r="CJ105" t="str">
            <v/>
          </cell>
          <cell r="CK105" t="str">
            <v/>
          </cell>
          <cell r="CL105" t="str">
            <v>Skilled</v>
          </cell>
          <cell r="CM105" t="str">
            <v/>
          </cell>
          <cell r="CN105" t="str">
            <v>Labor</v>
          </cell>
          <cell r="CO105" t="str">
            <v/>
          </cell>
          <cell r="CP105" t="str">
            <v/>
          </cell>
          <cell r="CQ105" t="str">
            <v/>
          </cell>
          <cell r="CR105" t="str">
            <v/>
          </cell>
          <cell r="CS105" t="str">
            <v/>
          </cell>
          <cell r="CT105" t="str">
            <v/>
          </cell>
          <cell r="CU105" t="str">
            <v/>
          </cell>
          <cell r="CV105" t="str">
            <v>Municipal Office</v>
          </cell>
          <cell r="CW105" t="str">
            <v>Dal Bdr Tamang</v>
          </cell>
          <cell r="CX105" t="str">
            <v>Mayor</v>
          </cell>
          <cell r="CY105">
            <v>9851023673</v>
          </cell>
          <cell r="CZ105" t="str">
            <v>Municipal Office</v>
          </cell>
          <cell r="DA105" t="str">
            <v>Laxmi Bartaula</v>
          </cell>
          <cell r="DB105" t="str">
            <v>Deputy Mayor</v>
          </cell>
          <cell r="DC105">
            <v>9841005964</v>
          </cell>
          <cell r="DD105" t="str">
            <v>Municipal Office</v>
          </cell>
          <cell r="DE105" t="str">
            <v>Krishna Prasad Basyal</v>
          </cell>
          <cell r="DF105" t="str">
            <v>Adminstration Officer</v>
          </cell>
          <cell r="DG105">
            <v>9841344795</v>
          </cell>
          <cell r="DH105" t="str">
            <v>NRA/GMALI</v>
          </cell>
          <cell r="DI105" t="str">
            <v>Lok Nath Regmi</v>
          </cell>
          <cell r="DJ105" t="str">
            <v>NRA Chief-District</v>
          </cell>
          <cell r="DK105">
            <v>9851146403</v>
          </cell>
          <cell r="DL105" t="str">
            <v>DLPIU-Building</v>
          </cell>
          <cell r="DM105" t="str">
            <v>Mahalaxmi Joshi</v>
          </cell>
          <cell r="DN105" t="str">
            <v>DUDBC.DLPIU Chief</v>
          </cell>
          <cell r="DO105">
            <v>9841010222</v>
          </cell>
          <cell r="DP105" t="str">
            <v>Municipal Office</v>
          </cell>
          <cell r="DQ105" t="str">
            <v/>
          </cell>
          <cell r="DR105" t="str">
            <v>Focal Person</v>
          </cell>
          <cell r="DS105" t="str">
            <v/>
          </cell>
          <cell r="DT105" t="str">
            <v/>
          </cell>
          <cell r="DU105" t="str">
            <v/>
          </cell>
          <cell r="DV105" t="str">
            <v/>
          </cell>
          <cell r="DW105" t="str">
            <v/>
          </cell>
          <cell r="DX105" t="str">
            <v/>
          </cell>
          <cell r="DY105" t="str">
            <v/>
          </cell>
          <cell r="DZ105" t="str">
            <v/>
          </cell>
          <cell r="EA105" t="str">
            <v/>
          </cell>
          <cell r="EB105" t="str">
            <v/>
          </cell>
          <cell r="EC105" t="str">
            <v/>
          </cell>
          <cell r="ED105" t="str">
            <v/>
          </cell>
          <cell r="EE105" t="str">
            <v/>
          </cell>
          <cell r="EF105" t="str">
            <v/>
          </cell>
          <cell r="EG105" t="str">
            <v/>
          </cell>
          <cell r="EH105" t="str">
            <v/>
          </cell>
          <cell r="EI105" t="str">
            <v/>
          </cell>
          <cell r="EJ105">
            <v>396</v>
          </cell>
          <cell r="EK105">
            <v>518</v>
          </cell>
          <cell r="EL105">
            <v>-122</v>
          </cell>
          <cell r="EM105">
            <v>567</v>
          </cell>
          <cell r="EN105">
            <v>38</v>
          </cell>
          <cell r="EO105">
            <v>529</v>
          </cell>
          <cell r="EP105" t="str">
            <v/>
          </cell>
          <cell r="EQ105" t="str">
            <v>Housing Recovery and Reconstruction Platform</v>
          </cell>
          <cell r="ER105" t="str">
            <v>Reshma Shrestha</v>
          </cell>
          <cell r="ES105" t="str">
            <v>District Coordinator</v>
          </cell>
          <cell r="ET105">
            <v>9841264190</v>
          </cell>
          <cell r="EU105" t="str">
            <v>Housing Recovery and Reconstruction Platform</v>
          </cell>
          <cell r="EV105" t="str">
            <v>Ishor Neupane</v>
          </cell>
          <cell r="EW105" t="str">
            <v>DIstrict Information Management Officer</v>
          </cell>
          <cell r="EX105">
            <v>9801317265</v>
          </cell>
          <cell r="EY105" t="str">
            <v>Housing Recovery and Reconstruction Platform</v>
          </cell>
          <cell r="EZ105" t="str">
            <v/>
          </cell>
          <cell r="FA105" t="str">
            <v>District Technical Officer</v>
          </cell>
          <cell r="FB105" t="str">
            <v/>
          </cell>
        </row>
        <row r="106">
          <cell r="A106">
            <v>24013</v>
          </cell>
          <cell r="B106" t="str">
            <v>Kavrepalanchok</v>
          </cell>
          <cell r="C106" t="str">
            <v>Temal Gaunpalika</v>
          </cell>
          <cell r="D106">
            <v>1632</v>
          </cell>
          <cell r="E106">
            <v>4569</v>
          </cell>
          <cell r="F106">
            <v>6201</v>
          </cell>
          <cell r="G106" t="str">
            <v>Stone and cement mortar masonry</v>
          </cell>
          <cell r="H106">
            <v>0.16</v>
          </cell>
          <cell r="I106">
            <v>0.28999999999999998</v>
          </cell>
          <cell r="J106" t="str">
            <v>Stone and Mud Mortar Masonary</v>
          </cell>
          <cell r="K106">
            <v>99.21</v>
          </cell>
          <cell r="L106">
            <v>69.19</v>
          </cell>
          <cell r="M106" t="str">
            <v>Brick and Cement Mortar Masonary</v>
          </cell>
          <cell r="N106">
            <v>0.05</v>
          </cell>
          <cell r="O106">
            <v>5.98</v>
          </cell>
          <cell r="P106" t="str">
            <v>Brick and mud mortar Masonry</v>
          </cell>
          <cell r="Q106">
            <v>0.1</v>
          </cell>
          <cell r="R106">
            <v>4.0199999999999996</v>
          </cell>
          <cell r="S106" t="str">
            <v>Reinforced cement concrete (RCC) frame</v>
          </cell>
          <cell r="T106">
            <v>0.11</v>
          </cell>
          <cell r="U106">
            <v>4.6500000000000004</v>
          </cell>
          <cell r="V106" t="str">
            <v>Hybrid structure</v>
          </cell>
          <cell r="W106">
            <v>0</v>
          </cell>
          <cell r="X106">
            <v>0</v>
          </cell>
          <cell r="Y106" t="str">
            <v>Timber frame structure</v>
          </cell>
          <cell r="Z106">
            <v>0.02</v>
          </cell>
          <cell r="AA106">
            <v>0.38</v>
          </cell>
          <cell r="AB106" t="str">
            <v>Hollow concrete block Masonry</v>
          </cell>
          <cell r="AC106">
            <v>0</v>
          </cell>
          <cell r="AD106">
            <v>0</v>
          </cell>
          <cell r="AE106" t="str">
            <v>Dry stone Masonry</v>
          </cell>
          <cell r="AF106">
            <v>0.05</v>
          </cell>
          <cell r="AG106">
            <v>0.06</v>
          </cell>
          <cell r="AH106" t="str">
            <v>Adobe structures</v>
          </cell>
          <cell r="AI106">
            <v>0.27</v>
          </cell>
          <cell r="AJ106">
            <v>15.32</v>
          </cell>
          <cell r="AK106" t="str">
            <v>Bamboo</v>
          </cell>
          <cell r="AL106">
            <v>0.03</v>
          </cell>
          <cell r="AM106">
            <v>0.11</v>
          </cell>
          <cell r="AN106" t="str">
            <v>Compressed stabilized earth block (SCEB) Masonry</v>
          </cell>
          <cell r="AO106">
            <v>0</v>
          </cell>
          <cell r="AP106">
            <v>0</v>
          </cell>
          <cell r="AQ106" t="str">
            <v>Light steel frame structures</v>
          </cell>
          <cell r="AR106">
            <v>0</v>
          </cell>
          <cell r="AS106">
            <v>0</v>
          </cell>
          <cell r="AT106">
            <v>4847</v>
          </cell>
          <cell r="AU106">
            <v>4137</v>
          </cell>
          <cell r="AV106">
            <v>4055</v>
          </cell>
          <cell r="AW106">
            <v>2787</v>
          </cell>
          <cell r="AX106">
            <v>1571</v>
          </cell>
          <cell r="AY106">
            <v>0</v>
          </cell>
          <cell r="AZ106" t="str">
            <v/>
          </cell>
          <cell r="BA106">
            <v>597</v>
          </cell>
          <cell r="BB106" t="str">
            <v/>
          </cell>
          <cell r="BC106">
            <v>100</v>
          </cell>
          <cell r="BD106">
            <v>1</v>
          </cell>
          <cell r="BE106">
            <v>2101</v>
          </cell>
          <cell r="BF106">
            <v>2069</v>
          </cell>
          <cell r="BG106" t="str">
            <v/>
          </cell>
          <cell r="BH106" t="str">
            <v/>
          </cell>
          <cell r="BI106" t="str">
            <v>NRCS(Agriculture, Livestock Development and Irrigation,Employment and Livelihood,Rural Housing and Community Infrastructure,Water, Sanitation and Hygiene)</v>
          </cell>
          <cell r="BJ106" t="str">
            <v>ADRA(Health),GON - DUDBC(Rural Housing and Community Infrastructure),NYF(Education,Rural Housing and Community Infrastructure),SABAL(Rural Housing and Community Infrastructure)</v>
          </cell>
          <cell r="BK106">
            <v>55759</v>
          </cell>
          <cell r="BL106" t="str">
            <v/>
          </cell>
          <cell r="BM106" t="str">
            <v/>
          </cell>
          <cell r="BN106">
            <v>56245</v>
          </cell>
          <cell r="BO106" t="str">
            <v/>
          </cell>
          <cell r="BP106" t="str">
            <v/>
          </cell>
          <cell r="BQ106">
            <v>5948</v>
          </cell>
          <cell r="BR106" t="str">
            <v/>
          </cell>
          <cell r="BS106" t="str">
            <v/>
          </cell>
          <cell r="BT106">
            <v>6841</v>
          </cell>
          <cell r="BU106" t="str">
            <v/>
          </cell>
          <cell r="BV106" t="str">
            <v/>
          </cell>
          <cell r="BW106" t="str">
            <v/>
          </cell>
          <cell r="BX106" t="str">
            <v/>
          </cell>
          <cell r="BY106" t="str">
            <v/>
          </cell>
          <cell r="BZ106">
            <v>188638</v>
          </cell>
          <cell r="CA106" t="str">
            <v/>
          </cell>
          <cell r="CB106" t="str">
            <v/>
          </cell>
          <cell r="CC106">
            <v>608715</v>
          </cell>
          <cell r="CD106" t="str">
            <v/>
          </cell>
          <cell r="CE106" t="str">
            <v/>
          </cell>
          <cell r="CF106">
            <v>7721</v>
          </cell>
          <cell r="CG106" t="str">
            <v/>
          </cell>
          <cell r="CH106" t="str">
            <v/>
          </cell>
          <cell r="CI106">
            <v>945401</v>
          </cell>
          <cell r="CJ106" t="str">
            <v/>
          </cell>
          <cell r="CK106" t="str">
            <v/>
          </cell>
          <cell r="CL106" t="str">
            <v>Skilled</v>
          </cell>
          <cell r="CM106">
            <v>1500</v>
          </cell>
          <cell r="CN106" t="str">
            <v>Labor</v>
          </cell>
          <cell r="CO106">
            <v>1000</v>
          </cell>
          <cell r="CP106" t="str">
            <v/>
          </cell>
          <cell r="CQ106" t="str">
            <v/>
          </cell>
          <cell r="CR106" t="str">
            <v/>
          </cell>
          <cell r="CS106" t="str">
            <v/>
          </cell>
          <cell r="CT106" t="str">
            <v/>
          </cell>
          <cell r="CU106" t="str">
            <v/>
          </cell>
          <cell r="CV106" t="str">
            <v>Municipal Office</v>
          </cell>
          <cell r="CW106" t="str">
            <v>Salam Singh Tamang</v>
          </cell>
          <cell r="CX106" t="str">
            <v>Mayor</v>
          </cell>
          <cell r="CY106">
            <v>9851083953</v>
          </cell>
          <cell r="CZ106" t="str">
            <v>Municipal Office</v>
          </cell>
          <cell r="DA106" t="str">
            <v>Durga Maya Tamang</v>
          </cell>
          <cell r="DB106" t="str">
            <v>Deputy Mayor</v>
          </cell>
          <cell r="DC106">
            <v>9849482709</v>
          </cell>
          <cell r="DD106" t="str">
            <v>Municipal Office</v>
          </cell>
          <cell r="DE106" t="str">
            <v>Sharmila Lamichhane</v>
          </cell>
          <cell r="DF106" t="str">
            <v>Adminstration Officer</v>
          </cell>
          <cell r="DG106">
            <v>9841700755</v>
          </cell>
          <cell r="DH106" t="str">
            <v>NRA/GMALI</v>
          </cell>
          <cell r="DI106" t="str">
            <v>Lok Nath Regmi</v>
          </cell>
          <cell r="DJ106" t="str">
            <v>NRA Chief-District</v>
          </cell>
          <cell r="DK106">
            <v>9851146403</v>
          </cell>
          <cell r="DL106" t="str">
            <v>DLPIU-Building</v>
          </cell>
          <cell r="DM106" t="str">
            <v>Mahalaxmi Joshi</v>
          </cell>
          <cell r="DN106" t="str">
            <v>DUDBC.DLPIU Chief</v>
          </cell>
          <cell r="DO106">
            <v>9841010222</v>
          </cell>
          <cell r="DP106" t="str">
            <v>Municipal Office</v>
          </cell>
          <cell r="DQ106" t="str">
            <v/>
          </cell>
          <cell r="DR106" t="str">
            <v>Focal Person</v>
          </cell>
          <cell r="DS106" t="str">
            <v/>
          </cell>
          <cell r="DT106" t="str">
            <v/>
          </cell>
          <cell r="DU106" t="str">
            <v/>
          </cell>
          <cell r="DV106" t="str">
            <v/>
          </cell>
          <cell r="DW106" t="str">
            <v/>
          </cell>
          <cell r="DX106" t="str">
            <v/>
          </cell>
          <cell r="DY106" t="str">
            <v/>
          </cell>
          <cell r="DZ106">
            <v>7</v>
          </cell>
          <cell r="EA106" t="str">
            <v/>
          </cell>
          <cell r="EB106" t="str">
            <v/>
          </cell>
          <cell r="EC106" t="str">
            <v/>
          </cell>
          <cell r="ED106">
            <v>8</v>
          </cell>
          <cell r="EE106" t="str">
            <v/>
          </cell>
          <cell r="EF106" t="str">
            <v>160</v>
          </cell>
          <cell r="EG106" t="str">
            <v>150</v>
          </cell>
          <cell r="EH106" t="str">
            <v/>
          </cell>
          <cell r="EI106" t="str">
            <v/>
          </cell>
          <cell r="EJ106">
            <v>297</v>
          </cell>
          <cell r="EK106">
            <v>157</v>
          </cell>
          <cell r="EL106">
            <v>140</v>
          </cell>
          <cell r="EM106">
            <v>432</v>
          </cell>
          <cell r="EN106">
            <v>0</v>
          </cell>
          <cell r="EO106">
            <v>432</v>
          </cell>
          <cell r="EP106" t="str">
            <v/>
          </cell>
          <cell r="EQ106" t="str">
            <v>Housing Recovery and Reconstruction Platform</v>
          </cell>
          <cell r="ER106" t="str">
            <v>Reshma Shrestha</v>
          </cell>
          <cell r="ES106" t="str">
            <v>District Coordinator</v>
          </cell>
          <cell r="ET106">
            <v>9841264190</v>
          </cell>
          <cell r="EU106" t="str">
            <v>Housing Recovery and Reconstruction Platform</v>
          </cell>
          <cell r="EV106" t="str">
            <v>Ishor Neupane</v>
          </cell>
          <cell r="EW106" t="str">
            <v>DIstrict Information Management Officer</v>
          </cell>
          <cell r="EX106">
            <v>9801317265</v>
          </cell>
          <cell r="EY106" t="str">
            <v>Housing Recovery and Reconstruction Platform</v>
          </cell>
          <cell r="EZ106" t="str">
            <v/>
          </cell>
          <cell r="FA106" t="str">
            <v>District Technical Officer</v>
          </cell>
          <cell r="FB106" t="str">
            <v/>
          </cell>
        </row>
        <row r="107">
          <cell r="A107">
            <v>25001</v>
          </cell>
          <cell r="B107" t="str">
            <v>Lalitpur</v>
          </cell>
          <cell r="C107" t="str">
            <v>Bagmati Gaunpalika</v>
          </cell>
          <cell r="D107">
            <v>260</v>
          </cell>
          <cell r="E107">
            <v>3101</v>
          </cell>
          <cell r="F107">
            <v>3361</v>
          </cell>
          <cell r="G107" t="str">
            <v>Stone and cement mortar masonry</v>
          </cell>
          <cell r="H107">
            <v>0.09</v>
          </cell>
          <cell r="I107">
            <v>0.6</v>
          </cell>
          <cell r="J107" t="str">
            <v>Stone and Mud Mortar Masonary</v>
          </cell>
          <cell r="K107">
            <v>97.83</v>
          </cell>
          <cell r="L107">
            <v>39.28</v>
          </cell>
          <cell r="M107" t="str">
            <v>Brick and Cement Mortar Masonary</v>
          </cell>
          <cell r="N107">
            <v>0.06</v>
          </cell>
          <cell r="O107">
            <v>4.51</v>
          </cell>
          <cell r="P107" t="str">
            <v>Brick and mud mortar Masonry</v>
          </cell>
          <cell r="Q107">
            <v>0.03</v>
          </cell>
          <cell r="R107">
            <v>18.14</v>
          </cell>
          <cell r="S107" t="str">
            <v>Reinforced cement concrete (RCC) frame</v>
          </cell>
          <cell r="T107">
            <v>0.09</v>
          </cell>
          <cell r="U107">
            <v>2.15</v>
          </cell>
          <cell r="V107" t="str">
            <v>Hybrid structure</v>
          </cell>
          <cell r="W107">
            <v>0</v>
          </cell>
          <cell r="X107">
            <v>0</v>
          </cell>
          <cell r="Y107" t="str">
            <v>Timber frame structure</v>
          </cell>
          <cell r="Z107">
            <v>0.33</v>
          </cell>
          <cell r="AA107">
            <v>0.12</v>
          </cell>
          <cell r="AB107" t="str">
            <v>Hollow concrete block Masonry</v>
          </cell>
          <cell r="AC107">
            <v>0</v>
          </cell>
          <cell r="AD107">
            <v>0</v>
          </cell>
          <cell r="AE107" t="str">
            <v>Dry stone Masonry</v>
          </cell>
          <cell r="AF107">
            <v>0.48</v>
          </cell>
          <cell r="AG107">
            <v>0.31</v>
          </cell>
          <cell r="AH107" t="str">
            <v>Adobe structures</v>
          </cell>
          <cell r="AI107">
            <v>1.07</v>
          </cell>
          <cell r="AJ107">
            <v>34.86</v>
          </cell>
          <cell r="AK107" t="str">
            <v>Bamboo</v>
          </cell>
          <cell r="AL107">
            <v>0.03</v>
          </cell>
          <cell r="AM107">
            <v>0.04</v>
          </cell>
          <cell r="AN107" t="str">
            <v>Compressed stabilized earth block (SCEB) Masonry</v>
          </cell>
          <cell r="AO107">
            <v>0</v>
          </cell>
          <cell r="AP107">
            <v>0</v>
          </cell>
          <cell r="AQ107" t="str">
            <v>Light steel frame structures</v>
          </cell>
          <cell r="AR107">
            <v>0</v>
          </cell>
          <cell r="AS107">
            <v>0</v>
          </cell>
          <cell r="AT107">
            <v>3370</v>
          </cell>
          <cell r="AU107">
            <v>3051</v>
          </cell>
          <cell r="AV107">
            <v>3049</v>
          </cell>
          <cell r="AW107">
            <v>2403</v>
          </cell>
          <cell r="AX107">
            <v>1652</v>
          </cell>
          <cell r="AY107">
            <v>0</v>
          </cell>
          <cell r="AZ107" t="str">
            <v/>
          </cell>
          <cell r="BA107">
            <v>252</v>
          </cell>
          <cell r="BB107">
            <v>75</v>
          </cell>
          <cell r="BC107">
            <v>71</v>
          </cell>
          <cell r="BD107">
            <v>0</v>
          </cell>
          <cell r="BE107">
            <v>883</v>
          </cell>
          <cell r="BF107">
            <v>713</v>
          </cell>
          <cell r="BG107" t="str">
            <v/>
          </cell>
          <cell r="BH107" t="str">
            <v/>
          </cell>
          <cell r="BI107" t="str">
            <v/>
          </cell>
          <cell r="BJ107" t="str">
            <v/>
          </cell>
          <cell r="BK107">
            <v>48987</v>
          </cell>
          <cell r="BL107" t="str">
            <v/>
          </cell>
          <cell r="BM107" t="str">
            <v/>
          </cell>
          <cell r="BN107">
            <v>51777</v>
          </cell>
          <cell r="BO107" t="str">
            <v/>
          </cell>
          <cell r="BP107" t="str">
            <v/>
          </cell>
          <cell r="BQ107">
            <v>5243</v>
          </cell>
          <cell r="BR107" t="str">
            <v/>
          </cell>
          <cell r="BS107" t="str">
            <v/>
          </cell>
          <cell r="BT107">
            <v>6098</v>
          </cell>
          <cell r="BU107" t="str">
            <v/>
          </cell>
          <cell r="BV107" t="str">
            <v/>
          </cell>
          <cell r="BW107" t="str">
            <v/>
          </cell>
          <cell r="BX107" t="str">
            <v/>
          </cell>
          <cell r="BY107" t="str">
            <v/>
          </cell>
          <cell r="BZ107">
            <v>170214</v>
          </cell>
          <cell r="CA107" t="str">
            <v/>
          </cell>
          <cell r="CB107" t="str">
            <v/>
          </cell>
          <cell r="CC107">
            <v>527263</v>
          </cell>
          <cell r="CD107" t="str">
            <v/>
          </cell>
          <cell r="CE107" t="str">
            <v/>
          </cell>
          <cell r="CF107">
            <v>6952</v>
          </cell>
          <cell r="CG107" t="str">
            <v/>
          </cell>
          <cell r="CH107" t="str">
            <v/>
          </cell>
          <cell r="CI107">
            <v>204186</v>
          </cell>
          <cell r="CJ107" t="str">
            <v/>
          </cell>
          <cell r="CK107" t="str">
            <v/>
          </cell>
          <cell r="CL107" t="str">
            <v>Skilled</v>
          </cell>
          <cell r="CM107" t="str">
            <v/>
          </cell>
          <cell r="CN107" t="str">
            <v>Labor</v>
          </cell>
          <cell r="CO107" t="str">
            <v/>
          </cell>
          <cell r="CP107" t="str">
            <v/>
          </cell>
          <cell r="CQ107" t="str">
            <v/>
          </cell>
          <cell r="CR107" t="str">
            <v/>
          </cell>
          <cell r="CS107" t="str">
            <v/>
          </cell>
          <cell r="CT107" t="str">
            <v/>
          </cell>
          <cell r="CU107" t="str">
            <v/>
          </cell>
          <cell r="CV107" t="str">
            <v>Municipal Office</v>
          </cell>
          <cell r="CW107" t="str">
            <v>Bir Bahadur Lopchan</v>
          </cell>
          <cell r="CX107" t="str">
            <v>Mayor</v>
          </cell>
          <cell r="CY107">
            <v>9841335585</v>
          </cell>
          <cell r="CZ107" t="str">
            <v>Municipal Office</v>
          </cell>
          <cell r="DA107" t="str">
            <v>Ranjana Ghimire</v>
          </cell>
          <cell r="DB107" t="str">
            <v>Deputy Mayor</v>
          </cell>
          <cell r="DC107">
            <v>9862258749</v>
          </cell>
          <cell r="DD107" t="str">
            <v>Municipal Office</v>
          </cell>
          <cell r="DE107" t="str">
            <v>Yubaraj Acharya</v>
          </cell>
          <cell r="DF107" t="str">
            <v>Adminstration Officer</v>
          </cell>
          <cell r="DG107">
            <v>9852040721</v>
          </cell>
          <cell r="DH107" t="str">
            <v>NRA/GMALI</v>
          </cell>
          <cell r="DI107" t="str">
            <v>Bir Bahadur Rawal</v>
          </cell>
          <cell r="DJ107" t="str">
            <v>NRA Chief-District</v>
          </cell>
          <cell r="DK107">
            <v>9851201088</v>
          </cell>
          <cell r="DL107" t="str">
            <v>DLPIU-Building</v>
          </cell>
          <cell r="DM107" t="str">
            <v>Chandra Kaji Gurung</v>
          </cell>
          <cell r="DN107" t="str">
            <v>DUDBC.DLPIU Chief</v>
          </cell>
          <cell r="DO107">
            <v>9841576783</v>
          </cell>
          <cell r="DP107" t="str">
            <v>Municipal Office</v>
          </cell>
          <cell r="DQ107" t="str">
            <v>Milan Sharma</v>
          </cell>
          <cell r="DR107" t="str">
            <v>Focal Person</v>
          </cell>
          <cell r="DS107">
            <v>9851255900</v>
          </cell>
          <cell r="DT107" t="str">
            <v/>
          </cell>
          <cell r="DU107" t="str">
            <v/>
          </cell>
          <cell r="DV107" t="str">
            <v/>
          </cell>
          <cell r="DW107" t="str">
            <v/>
          </cell>
          <cell r="DX107" t="str">
            <v/>
          </cell>
          <cell r="DY107" t="str">
            <v/>
          </cell>
          <cell r="DZ107" t="str">
            <v/>
          </cell>
          <cell r="EA107" t="str">
            <v/>
          </cell>
          <cell r="EB107" t="str">
            <v/>
          </cell>
          <cell r="EC107" t="str">
            <v/>
          </cell>
          <cell r="ED107" t="str">
            <v/>
          </cell>
          <cell r="EE107" t="str">
            <v/>
          </cell>
          <cell r="EF107" t="str">
            <v/>
          </cell>
          <cell r="EG107" t="str">
            <v/>
          </cell>
          <cell r="EH107" t="str">
            <v>7</v>
          </cell>
          <cell r="EI107" t="str">
            <v/>
          </cell>
          <cell r="EJ107">
            <v>234</v>
          </cell>
          <cell r="EK107">
            <v>380</v>
          </cell>
          <cell r="EL107">
            <v>-146</v>
          </cell>
          <cell r="EM107">
            <v>135</v>
          </cell>
          <cell r="EN107">
            <v>7</v>
          </cell>
          <cell r="EO107">
            <v>128</v>
          </cell>
          <cell r="EP107" t="str">
            <v/>
          </cell>
          <cell r="EQ107" t="str">
            <v>Housing Recovery and Reconstruction Platform</v>
          </cell>
          <cell r="ER107" t="str">
            <v>Ambika Amatya</v>
          </cell>
          <cell r="ES107" t="str">
            <v>District Coordinator</v>
          </cell>
          <cell r="ET107">
            <v>9841356409</v>
          </cell>
          <cell r="EU107" t="str">
            <v>Housing Recovery and Reconstruction Platform</v>
          </cell>
          <cell r="EV107" t="str">
            <v>Manisha Rai</v>
          </cell>
          <cell r="EW107" t="str">
            <v>DIstrict Information Management Officer</v>
          </cell>
          <cell r="EX107">
            <v>9842062006</v>
          </cell>
          <cell r="EY107" t="str">
            <v>Housing Recovery and Reconstruction Platform</v>
          </cell>
          <cell r="EZ107" t="str">
            <v/>
          </cell>
          <cell r="FA107" t="str">
            <v>District Technical Officer</v>
          </cell>
          <cell r="FB107" t="str">
            <v/>
          </cell>
        </row>
        <row r="108">
          <cell r="A108">
            <v>25002</v>
          </cell>
          <cell r="B108" t="str">
            <v>Lalitpur</v>
          </cell>
          <cell r="C108" t="str">
            <v>Godawari Nagarpalika</v>
          </cell>
          <cell r="D108">
            <v>1140</v>
          </cell>
          <cell r="E108">
            <v>9810</v>
          </cell>
          <cell r="F108">
            <v>10950</v>
          </cell>
          <cell r="G108" t="str">
            <v>Stone and cement mortar masonry</v>
          </cell>
          <cell r="H108">
            <v>0.82</v>
          </cell>
          <cell r="I108">
            <v>0.6</v>
          </cell>
          <cell r="J108" t="str">
            <v>Stone and Mud Mortar Masonary</v>
          </cell>
          <cell r="K108">
            <v>24.76</v>
          </cell>
          <cell r="L108">
            <v>39.28</v>
          </cell>
          <cell r="M108" t="str">
            <v>Brick and Cement Mortar Masonary</v>
          </cell>
          <cell r="N108">
            <v>4.91</v>
          </cell>
          <cell r="O108">
            <v>4.51</v>
          </cell>
          <cell r="P108" t="str">
            <v>Brick and mud mortar Masonry</v>
          </cell>
          <cell r="Q108">
            <v>20.05</v>
          </cell>
          <cell r="R108">
            <v>18.14</v>
          </cell>
          <cell r="S108" t="str">
            <v>Reinforced cement concrete (RCC) frame</v>
          </cell>
          <cell r="T108">
            <v>2.92</v>
          </cell>
          <cell r="U108">
            <v>2.15</v>
          </cell>
          <cell r="V108" t="str">
            <v>Hybrid structure</v>
          </cell>
          <cell r="W108">
            <v>0</v>
          </cell>
          <cell r="X108">
            <v>0</v>
          </cell>
          <cell r="Y108" t="str">
            <v>Timber frame structure</v>
          </cell>
          <cell r="Z108">
            <v>0.03</v>
          </cell>
          <cell r="AA108">
            <v>0.12</v>
          </cell>
          <cell r="AB108" t="str">
            <v>Hollow concrete block Masonry</v>
          </cell>
          <cell r="AC108">
            <v>0</v>
          </cell>
          <cell r="AD108">
            <v>0</v>
          </cell>
          <cell r="AE108" t="str">
            <v>Dry stone Masonry</v>
          </cell>
          <cell r="AF108">
            <v>0.57999999999999996</v>
          </cell>
          <cell r="AG108">
            <v>0.31</v>
          </cell>
          <cell r="AH108" t="str">
            <v>Adobe structures</v>
          </cell>
          <cell r="AI108">
            <v>45.83</v>
          </cell>
          <cell r="AJ108">
            <v>34.86</v>
          </cell>
          <cell r="AK108" t="str">
            <v>Bamboo</v>
          </cell>
          <cell r="AL108">
            <v>0.08</v>
          </cell>
          <cell r="AM108">
            <v>0.04</v>
          </cell>
          <cell r="AN108" t="str">
            <v>Compressed stabilized earth block (SCEB) Masonry</v>
          </cell>
          <cell r="AO108">
            <v>0</v>
          </cell>
          <cell r="AP108">
            <v>0</v>
          </cell>
          <cell r="AQ108" t="str">
            <v>Light steel frame structures</v>
          </cell>
          <cell r="AR108">
            <v>0</v>
          </cell>
          <cell r="AS108">
            <v>0</v>
          </cell>
          <cell r="AT108">
            <v>9597</v>
          </cell>
          <cell r="AU108">
            <v>7918</v>
          </cell>
          <cell r="AV108">
            <v>7843</v>
          </cell>
          <cell r="AW108">
            <v>2328</v>
          </cell>
          <cell r="AX108">
            <v>1833</v>
          </cell>
          <cell r="AY108">
            <v>0</v>
          </cell>
          <cell r="AZ108" t="str">
            <v/>
          </cell>
          <cell r="BA108">
            <v>324</v>
          </cell>
          <cell r="BB108">
            <v>68</v>
          </cell>
          <cell r="BC108">
            <v>67</v>
          </cell>
          <cell r="BD108">
            <v>0</v>
          </cell>
          <cell r="BE108">
            <v>2405</v>
          </cell>
          <cell r="BF108">
            <v>1777</v>
          </cell>
          <cell r="BG108" t="str">
            <v/>
          </cell>
          <cell r="BH108" t="str">
            <v/>
          </cell>
          <cell r="BI108" t="str">
            <v/>
          </cell>
          <cell r="BJ108" t="str">
            <v/>
          </cell>
          <cell r="BK108">
            <v>84240</v>
          </cell>
          <cell r="BL108" t="str">
            <v/>
          </cell>
          <cell r="BM108" t="str">
            <v/>
          </cell>
          <cell r="BN108">
            <v>78160</v>
          </cell>
          <cell r="BO108" t="str">
            <v/>
          </cell>
          <cell r="BP108" t="str">
            <v/>
          </cell>
          <cell r="BQ108">
            <v>8920</v>
          </cell>
          <cell r="BR108" t="str">
            <v/>
          </cell>
          <cell r="BS108" t="str">
            <v/>
          </cell>
          <cell r="BT108">
            <v>10018</v>
          </cell>
          <cell r="BU108" t="str">
            <v/>
          </cell>
          <cell r="BV108" t="str">
            <v/>
          </cell>
          <cell r="BW108" t="str">
            <v/>
          </cell>
          <cell r="BX108" t="str">
            <v/>
          </cell>
          <cell r="BY108" t="str">
            <v/>
          </cell>
          <cell r="BZ108">
            <v>261810</v>
          </cell>
          <cell r="CA108" t="str">
            <v/>
          </cell>
          <cell r="CB108" t="str">
            <v/>
          </cell>
          <cell r="CC108">
            <v>927581</v>
          </cell>
          <cell r="CD108" t="str">
            <v/>
          </cell>
          <cell r="CE108" t="str">
            <v/>
          </cell>
          <cell r="CF108">
            <v>10696</v>
          </cell>
          <cell r="CG108" t="str">
            <v/>
          </cell>
          <cell r="CH108" t="str">
            <v/>
          </cell>
          <cell r="CI108">
            <v>1665441</v>
          </cell>
          <cell r="CJ108" t="str">
            <v/>
          </cell>
          <cell r="CK108" t="str">
            <v/>
          </cell>
          <cell r="CL108" t="str">
            <v>Skilled</v>
          </cell>
          <cell r="CM108" t="str">
            <v/>
          </cell>
          <cell r="CN108" t="str">
            <v>Labor</v>
          </cell>
          <cell r="CO108" t="str">
            <v/>
          </cell>
          <cell r="CP108" t="str">
            <v/>
          </cell>
          <cell r="CQ108" t="str">
            <v/>
          </cell>
          <cell r="CR108" t="str">
            <v/>
          </cell>
          <cell r="CS108" t="str">
            <v/>
          </cell>
          <cell r="CT108" t="str">
            <v/>
          </cell>
          <cell r="CU108" t="str">
            <v/>
          </cell>
          <cell r="CV108" t="str">
            <v>Municipal Office</v>
          </cell>
          <cell r="CW108" t="str">
            <v>Gajendra Maharjan</v>
          </cell>
          <cell r="CX108" t="str">
            <v>Mayor</v>
          </cell>
          <cell r="CY108">
            <v>9851260016</v>
          </cell>
          <cell r="CZ108" t="str">
            <v>Municipal Office</v>
          </cell>
          <cell r="DA108" t="str">
            <v>Muna Adhikari</v>
          </cell>
          <cell r="DB108" t="str">
            <v>Deputy Mayor</v>
          </cell>
          <cell r="DC108">
            <v>9851235400</v>
          </cell>
          <cell r="DD108" t="str">
            <v>Municipal Office</v>
          </cell>
          <cell r="DE108" t="str">
            <v>Krishna Prasad Jaisi</v>
          </cell>
          <cell r="DF108" t="str">
            <v>Adminstration Officer</v>
          </cell>
          <cell r="DG108">
            <v>9851250016</v>
          </cell>
          <cell r="DH108" t="str">
            <v>NRA/GMALI</v>
          </cell>
          <cell r="DI108" t="str">
            <v>Bir Bahadur Rawal</v>
          </cell>
          <cell r="DJ108" t="str">
            <v>NRA Chief-District</v>
          </cell>
          <cell r="DK108">
            <v>9851201088</v>
          </cell>
          <cell r="DL108" t="str">
            <v>DLPIU-Building</v>
          </cell>
          <cell r="DM108" t="str">
            <v>Chandra Kaji Gurung</v>
          </cell>
          <cell r="DN108" t="str">
            <v>DUDBC.DLPIU Chief</v>
          </cell>
          <cell r="DO108">
            <v>9841576783</v>
          </cell>
          <cell r="DP108" t="str">
            <v>Municipal Office</v>
          </cell>
          <cell r="DQ108" t="str">
            <v>Bimala Dangol</v>
          </cell>
          <cell r="DR108" t="str">
            <v>Focal Person</v>
          </cell>
          <cell r="DS108">
            <v>9841508890</v>
          </cell>
          <cell r="DT108" t="str">
            <v/>
          </cell>
          <cell r="DU108" t="str">
            <v/>
          </cell>
          <cell r="DV108" t="str">
            <v/>
          </cell>
          <cell r="DW108" t="str">
            <v/>
          </cell>
          <cell r="DX108" t="str">
            <v/>
          </cell>
          <cell r="DY108" t="str">
            <v/>
          </cell>
          <cell r="DZ108" t="str">
            <v/>
          </cell>
          <cell r="EA108" t="str">
            <v/>
          </cell>
          <cell r="EB108" t="str">
            <v/>
          </cell>
          <cell r="EC108" t="str">
            <v/>
          </cell>
          <cell r="ED108" t="str">
            <v/>
          </cell>
          <cell r="EE108" t="str">
            <v/>
          </cell>
          <cell r="EF108" t="str">
            <v/>
          </cell>
          <cell r="EG108" t="str">
            <v/>
          </cell>
          <cell r="EH108" t="str">
            <v/>
          </cell>
          <cell r="EI108" t="str">
            <v/>
          </cell>
          <cell r="EJ108">
            <v>574</v>
          </cell>
          <cell r="EK108">
            <v>390</v>
          </cell>
          <cell r="EL108">
            <v>184</v>
          </cell>
          <cell r="EM108">
            <v>331</v>
          </cell>
          <cell r="EN108">
            <v>0</v>
          </cell>
          <cell r="EO108">
            <v>331</v>
          </cell>
          <cell r="EP108" t="str">
            <v/>
          </cell>
          <cell r="EQ108" t="str">
            <v>Housing Recovery and Reconstruction Platform</v>
          </cell>
          <cell r="ER108" t="str">
            <v>Ambika Amatya</v>
          </cell>
          <cell r="ES108" t="str">
            <v>District Coordinator</v>
          </cell>
          <cell r="ET108">
            <v>9841356409</v>
          </cell>
          <cell r="EU108" t="str">
            <v>Housing Recovery and Reconstruction Platform</v>
          </cell>
          <cell r="EV108" t="str">
            <v>Manisha Rai</v>
          </cell>
          <cell r="EW108" t="str">
            <v>DIstrict Information Management Officer</v>
          </cell>
          <cell r="EX108">
            <v>9842062006</v>
          </cell>
          <cell r="EY108" t="str">
            <v>Housing Recovery and Reconstruction Platform</v>
          </cell>
          <cell r="EZ108" t="str">
            <v/>
          </cell>
          <cell r="FA108" t="str">
            <v>District Technical Officer</v>
          </cell>
          <cell r="FB108" t="str">
            <v/>
          </cell>
        </row>
        <row r="109">
          <cell r="A109">
            <v>25003</v>
          </cell>
          <cell r="B109" t="str">
            <v>Lalitpur</v>
          </cell>
          <cell r="C109" t="str">
            <v>Konjyosom Gaunpalika</v>
          </cell>
          <cell r="D109">
            <v>183</v>
          </cell>
          <cell r="E109">
            <v>2397</v>
          </cell>
          <cell r="F109">
            <v>2580</v>
          </cell>
          <cell r="G109" t="str">
            <v>Stone and cement mortar masonry</v>
          </cell>
          <cell r="H109">
            <v>0.16</v>
          </cell>
          <cell r="I109">
            <v>0.6</v>
          </cell>
          <cell r="J109" t="str">
            <v>Stone and Mud Mortar Masonary</v>
          </cell>
          <cell r="K109">
            <v>98.64</v>
          </cell>
          <cell r="L109">
            <v>39.28</v>
          </cell>
          <cell r="M109" t="str">
            <v>Brick and Cement Mortar Masonary</v>
          </cell>
          <cell r="N109">
            <v>0.23</v>
          </cell>
          <cell r="O109">
            <v>4.51</v>
          </cell>
          <cell r="P109" t="str">
            <v>Brick and mud mortar Masonry</v>
          </cell>
          <cell r="Q109">
            <v>0.04</v>
          </cell>
          <cell r="R109">
            <v>18.14</v>
          </cell>
          <cell r="S109" t="str">
            <v>Reinforced cement concrete (RCC) frame</v>
          </cell>
          <cell r="T109">
            <v>0.39</v>
          </cell>
          <cell r="U109">
            <v>2.15</v>
          </cell>
          <cell r="V109" t="str">
            <v>Hybrid structure</v>
          </cell>
          <cell r="W109">
            <v>0</v>
          </cell>
          <cell r="X109">
            <v>0</v>
          </cell>
          <cell r="Y109" t="str">
            <v>Timber frame structure</v>
          </cell>
          <cell r="Z109">
            <v>0</v>
          </cell>
          <cell r="AA109">
            <v>0.12</v>
          </cell>
          <cell r="AB109" t="str">
            <v>Hollow concrete block Masonry</v>
          </cell>
          <cell r="AC109">
            <v>0</v>
          </cell>
          <cell r="AD109">
            <v>0</v>
          </cell>
          <cell r="AE109" t="str">
            <v>Dry stone Masonry</v>
          </cell>
          <cell r="AF109">
            <v>0.08</v>
          </cell>
          <cell r="AG109">
            <v>0.31</v>
          </cell>
          <cell r="AH109" t="str">
            <v>Adobe structures</v>
          </cell>
          <cell r="AI109">
            <v>0.47</v>
          </cell>
          <cell r="AJ109">
            <v>34.86</v>
          </cell>
          <cell r="AK109" t="str">
            <v>Bamboo</v>
          </cell>
          <cell r="AL109">
            <v>0</v>
          </cell>
          <cell r="AM109">
            <v>0.04</v>
          </cell>
          <cell r="AN109" t="str">
            <v>Compressed stabilized earth block (SCEB) Masonry</v>
          </cell>
          <cell r="AO109">
            <v>0</v>
          </cell>
          <cell r="AP109">
            <v>0</v>
          </cell>
          <cell r="AQ109" t="str">
            <v>Light steel frame structures</v>
          </cell>
          <cell r="AR109">
            <v>0</v>
          </cell>
          <cell r="AS109">
            <v>0</v>
          </cell>
          <cell r="AT109">
            <v>2154</v>
          </cell>
          <cell r="AU109">
            <v>2050</v>
          </cell>
          <cell r="AV109">
            <v>2042</v>
          </cell>
          <cell r="AW109">
            <v>1700</v>
          </cell>
          <cell r="AX109">
            <v>1256</v>
          </cell>
          <cell r="AY109">
            <v>0</v>
          </cell>
          <cell r="AZ109" t="str">
            <v/>
          </cell>
          <cell r="BA109">
            <v>372</v>
          </cell>
          <cell r="BB109">
            <v>255</v>
          </cell>
          <cell r="BC109">
            <v>243</v>
          </cell>
          <cell r="BD109">
            <v>0</v>
          </cell>
          <cell r="BE109">
            <v>927</v>
          </cell>
          <cell r="BF109">
            <v>514</v>
          </cell>
          <cell r="BG109" t="str">
            <v/>
          </cell>
          <cell r="BH109" t="str">
            <v/>
          </cell>
          <cell r="BI109" t="str">
            <v/>
          </cell>
          <cell r="BJ109" t="str">
            <v/>
          </cell>
          <cell r="BK109">
            <v>39694</v>
          </cell>
          <cell r="BL109" t="str">
            <v/>
          </cell>
          <cell r="BM109" t="str">
            <v/>
          </cell>
          <cell r="BN109">
            <v>41032</v>
          </cell>
          <cell r="BO109" t="str">
            <v/>
          </cell>
          <cell r="BP109" t="str">
            <v/>
          </cell>
          <cell r="BQ109">
            <v>4242</v>
          </cell>
          <cell r="BR109" t="str">
            <v/>
          </cell>
          <cell r="BS109" t="str">
            <v/>
          </cell>
          <cell r="BT109">
            <v>4908</v>
          </cell>
          <cell r="BU109" t="str">
            <v/>
          </cell>
          <cell r="BV109" t="str">
            <v/>
          </cell>
          <cell r="BW109" t="str">
            <v/>
          </cell>
          <cell r="BX109" t="str">
            <v/>
          </cell>
          <cell r="BY109" t="str">
            <v/>
          </cell>
          <cell r="BZ109">
            <v>136308</v>
          </cell>
          <cell r="CA109" t="str">
            <v/>
          </cell>
          <cell r="CB109" t="str">
            <v/>
          </cell>
          <cell r="CC109">
            <v>430355</v>
          </cell>
          <cell r="CD109" t="str">
            <v/>
          </cell>
          <cell r="CE109" t="str">
            <v/>
          </cell>
          <cell r="CF109">
            <v>5574</v>
          </cell>
          <cell r="CG109" t="str">
            <v/>
          </cell>
          <cell r="CH109" t="str">
            <v/>
          </cell>
          <cell r="CI109">
            <v>430901</v>
          </cell>
          <cell r="CJ109" t="str">
            <v/>
          </cell>
          <cell r="CK109" t="str">
            <v/>
          </cell>
          <cell r="CL109" t="str">
            <v>Skilled</v>
          </cell>
          <cell r="CM109" t="str">
            <v/>
          </cell>
          <cell r="CN109" t="str">
            <v>Labor</v>
          </cell>
          <cell r="CO109" t="str">
            <v/>
          </cell>
          <cell r="CP109" t="str">
            <v/>
          </cell>
          <cell r="CQ109" t="str">
            <v/>
          </cell>
          <cell r="CR109" t="str">
            <v/>
          </cell>
          <cell r="CS109" t="str">
            <v/>
          </cell>
          <cell r="CT109" t="str">
            <v/>
          </cell>
          <cell r="CU109" t="str">
            <v/>
          </cell>
          <cell r="CV109" t="str">
            <v>Municipal Office</v>
          </cell>
          <cell r="CW109" t="str">
            <v>Gopilal Singtan</v>
          </cell>
          <cell r="CX109" t="str">
            <v>Mayor</v>
          </cell>
          <cell r="CY109">
            <v>9851168250</v>
          </cell>
          <cell r="CZ109" t="str">
            <v>Municipal Office</v>
          </cell>
          <cell r="DA109" t="str">
            <v>Mingma Tamang Lama</v>
          </cell>
          <cell r="DB109" t="str">
            <v>Deputy Mayor</v>
          </cell>
          <cell r="DC109">
            <v>9843835965</v>
          </cell>
          <cell r="DD109" t="str">
            <v>Municipal Office</v>
          </cell>
          <cell r="DE109" t="str">
            <v>Rom Bahadur Mahara</v>
          </cell>
          <cell r="DF109" t="str">
            <v>Adminstration Officer</v>
          </cell>
          <cell r="DG109">
            <v>9851164400</v>
          </cell>
          <cell r="DH109" t="str">
            <v>NRA/GMALI</v>
          </cell>
          <cell r="DI109" t="str">
            <v>Bir Bahadur Rawal</v>
          </cell>
          <cell r="DJ109" t="str">
            <v>NRA Chief-District</v>
          </cell>
          <cell r="DK109">
            <v>9851201088</v>
          </cell>
          <cell r="DL109" t="str">
            <v>DLPIU-Building</v>
          </cell>
          <cell r="DM109" t="str">
            <v>Chandra Kaji Gurung</v>
          </cell>
          <cell r="DN109" t="str">
            <v>DUDBC.DLPIU Chief</v>
          </cell>
          <cell r="DO109">
            <v>9841576783</v>
          </cell>
          <cell r="DP109" t="str">
            <v>Municipal Office</v>
          </cell>
          <cell r="DQ109" t="str">
            <v>Kabel Ghalan</v>
          </cell>
          <cell r="DR109" t="str">
            <v>Focal Person</v>
          </cell>
          <cell r="DS109">
            <v>9843003955</v>
          </cell>
          <cell r="DT109" t="str">
            <v/>
          </cell>
          <cell r="DU109" t="str">
            <v/>
          </cell>
          <cell r="DV109" t="str">
            <v/>
          </cell>
          <cell r="DW109" t="str">
            <v/>
          </cell>
          <cell r="DX109" t="str">
            <v/>
          </cell>
          <cell r="DY109" t="str">
            <v/>
          </cell>
          <cell r="DZ109" t="str">
            <v/>
          </cell>
          <cell r="EA109" t="str">
            <v/>
          </cell>
          <cell r="EB109" t="str">
            <v/>
          </cell>
          <cell r="EC109" t="str">
            <v/>
          </cell>
          <cell r="ED109" t="str">
            <v/>
          </cell>
          <cell r="EE109" t="str">
            <v/>
          </cell>
          <cell r="EF109" t="str">
            <v/>
          </cell>
          <cell r="EG109" t="str">
            <v/>
          </cell>
          <cell r="EH109" t="str">
            <v>7</v>
          </cell>
          <cell r="EI109" t="str">
            <v/>
          </cell>
          <cell r="EJ109">
            <v>171</v>
          </cell>
          <cell r="EK109">
            <v>226</v>
          </cell>
          <cell r="EL109">
            <v>-55</v>
          </cell>
          <cell r="EM109">
            <v>90</v>
          </cell>
          <cell r="EN109">
            <v>7</v>
          </cell>
          <cell r="EO109">
            <v>83</v>
          </cell>
          <cell r="EP109" t="str">
            <v/>
          </cell>
          <cell r="EQ109" t="str">
            <v>Housing Recovery and Reconstruction Platform</v>
          </cell>
          <cell r="ER109" t="str">
            <v>Ambika Amatya</v>
          </cell>
          <cell r="ES109" t="str">
            <v>District Coordinator</v>
          </cell>
          <cell r="ET109">
            <v>9841356409</v>
          </cell>
          <cell r="EU109" t="str">
            <v>Housing Recovery and Reconstruction Platform</v>
          </cell>
          <cell r="EV109" t="str">
            <v>Manisha Rai</v>
          </cell>
          <cell r="EW109" t="str">
            <v>DIstrict Information Management Officer</v>
          </cell>
          <cell r="EX109">
            <v>9842062006</v>
          </cell>
          <cell r="EY109" t="str">
            <v>Housing Recovery and Reconstruction Platform</v>
          </cell>
          <cell r="EZ109" t="str">
            <v/>
          </cell>
          <cell r="FA109" t="str">
            <v>District Technical Officer</v>
          </cell>
          <cell r="FB109" t="str">
            <v/>
          </cell>
        </row>
        <row r="110">
          <cell r="A110">
            <v>25004</v>
          </cell>
          <cell r="B110" t="str">
            <v>Lalitpur</v>
          </cell>
          <cell r="C110" t="str">
            <v>Lalitpur Mahanagarpalika</v>
          </cell>
          <cell r="D110">
            <v>689</v>
          </cell>
          <cell r="E110">
            <v>5905</v>
          </cell>
          <cell r="F110">
            <v>6594</v>
          </cell>
          <cell r="G110" t="str">
            <v>Stone and cement mortar masonry</v>
          </cell>
          <cell r="H110">
            <v>0.97</v>
          </cell>
          <cell r="I110">
            <v>0.6</v>
          </cell>
          <cell r="J110" t="str">
            <v>Stone and Mud Mortar Masonary</v>
          </cell>
          <cell r="K110">
            <v>3.22</v>
          </cell>
          <cell r="L110">
            <v>39.28</v>
          </cell>
          <cell r="M110" t="str">
            <v>Brick and Cement Mortar Masonary</v>
          </cell>
          <cell r="N110">
            <v>8.39</v>
          </cell>
          <cell r="O110">
            <v>4.51</v>
          </cell>
          <cell r="P110" t="str">
            <v>Brick and mud mortar Masonry</v>
          </cell>
          <cell r="Q110">
            <v>30.03</v>
          </cell>
          <cell r="R110">
            <v>18.14</v>
          </cell>
          <cell r="S110" t="str">
            <v>Reinforced cement concrete (RCC) frame</v>
          </cell>
          <cell r="T110">
            <v>2.34</v>
          </cell>
          <cell r="U110">
            <v>2.15</v>
          </cell>
          <cell r="V110" t="str">
            <v>Hybrid structure</v>
          </cell>
          <cell r="W110">
            <v>0</v>
          </cell>
          <cell r="X110">
            <v>0</v>
          </cell>
          <cell r="Y110" t="str">
            <v>Timber frame structure</v>
          </cell>
          <cell r="Z110">
            <v>0.02</v>
          </cell>
          <cell r="AA110">
            <v>0.12</v>
          </cell>
          <cell r="AB110" t="str">
            <v>Hollow concrete block Masonry</v>
          </cell>
          <cell r="AC110">
            <v>0</v>
          </cell>
          <cell r="AD110">
            <v>0</v>
          </cell>
          <cell r="AE110" t="str">
            <v>Dry stone Masonry</v>
          </cell>
          <cell r="AF110">
            <v>0.05</v>
          </cell>
          <cell r="AG110">
            <v>0.31</v>
          </cell>
          <cell r="AH110" t="str">
            <v>Adobe structures</v>
          </cell>
          <cell r="AI110">
            <v>55</v>
          </cell>
          <cell r="AJ110">
            <v>34.86</v>
          </cell>
          <cell r="AK110" t="str">
            <v>Bamboo</v>
          </cell>
          <cell r="AL110">
            <v>0</v>
          </cell>
          <cell r="AM110">
            <v>0.04</v>
          </cell>
          <cell r="AN110" t="str">
            <v>Compressed stabilized earth block (SCEB) Masonry</v>
          </cell>
          <cell r="AO110">
            <v>0</v>
          </cell>
          <cell r="AP110">
            <v>0</v>
          </cell>
          <cell r="AQ110" t="str">
            <v>Light steel frame structures</v>
          </cell>
          <cell r="AR110">
            <v>0</v>
          </cell>
          <cell r="AS110">
            <v>0</v>
          </cell>
          <cell r="AT110">
            <v>7373</v>
          </cell>
          <cell r="AU110">
            <v>6316</v>
          </cell>
          <cell r="AV110">
            <v>6290</v>
          </cell>
          <cell r="AW110">
            <v>1174</v>
          </cell>
          <cell r="AX110">
            <v>732</v>
          </cell>
          <cell r="AY110">
            <v>0</v>
          </cell>
          <cell r="AZ110" t="str">
            <v/>
          </cell>
          <cell r="BA110">
            <v>275</v>
          </cell>
          <cell r="BB110">
            <v>121</v>
          </cell>
          <cell r="BC110">
            <v>117</v>
          </cell>
          <cell r="BD110">
            <v>0</v>
          </cell>
          <cell r="BE110">
            <v>3229</v>
          </cell>
          <cell r="BF110">
            <v>2296</v>
          </cell>
          <cell r="BG110" t="str">
            <v/>
          </cell>
          <cell r="BH110" t="str">
            <v/>
          </cell>
          <cell r="BI110" t="str">
            <v>MCC(Health),NRCS(Agriculture, Livestock Development and Irrigation,Education,Employment and Livelihood,Health,Rural Housing and Community Infrastructure,Water, Sanitation and Hygiene),NSET(Rural Housing and Community Infrastructure)</v>
          </cell>
          <cell r="BJ110" t="str">
            <v>AA(Disaster Risk Management,Education,Employment and Livelihood,Gender Equality and Social Inclusion),DCA(Disaster Risk Management,Education,Employment and Livelihood,Health,Rural Housing and Community Infrastructure,Water, Sanitation and Hygiene),NYF(Rural Housing and Community Infrastructure),RoundT-N(Education),,WVIN(Education)</v>
          </cell>
          <cell r="BK110">
            <v>45288</v>
          </cell>
          <cell r="BL110" t="str">
            <v/>
          </cell>
          <cell r="BM110" t="str">
            <v/>
          </cell>
          <cell r="BN110">
            <v>38259</v>
          </cell>
          <cell r="BO110" t="str">
            <v/>
          </cell>
          <cell r="BP110" t="str">
            <v/>
          </cell>
          <cell r="BQ110">
            <v>4761</v>
          </cell>
          <cell r="BR110" t="str">
            <v/>
          </cell>
          <cell r="BS110" t="str">
            <v/>
          </cell>
          <cell r="BT110">
            <v>5221</v>
          </cell>
          <cell r="BU110" t="str">
            <v/>
          </cell>
          <cell r="BV110" t="str">
            <v/>
          </cell>
          <cell r="BW110" t="str">
            <v/>
          </cell>
          <cell r="BX110" t="str">
            <v/>
          </cell>
          <cell r="BY110" t="str">
            <v/>
          </cell>
          <cell r="BZ110">
            <v>129644</v>
          </cell>
          <cell r="CA110" t="str">
            <v/>
          </cell>
          <cell r="CB110" t="str">
            <v/>
          </cell>
          <cell r="CC110">
            <v>505323</v>
          </cell>
          <cell r="CD110" t="str">
            <v/>
          </cell>
          <cell r="CE110" t="str">
            <v/>
          </cell>
          <cell r="CF110">
            <v>5295</v>
          </cell>
          <cell r="CG110" t="str">
            <v/>
          </cell>
          <cell r="CH110" t="str">
            <v/>
          </cell>
          <cell r="CI110">
            <v>1284568</v>
          </cell>
          <cell r="CJ110" t="str">
            <v/>
          </cell>
          <cell r="CK110" t="str">
            <v/>
          </cell>
          <cell r="CL110" t="str">
            <v>Skilled</v>
          </cell>
          <cell r="CM110" t="str">
            <v/>
          </cell>
          <cell r="CN110" t="str">
            <v>Labor</v>
          </cell>
          <cell r="CO110" t="str">
            <v/>
          </cell>
          <cell r="CP110" t="str">
            <v/>
          </cell>
          <cell r="CQ110" t="str">
            <v/>
          </cell>
          <cell r="CR110" t="str">
            <v/>
          </cell>
          <cell r="CS110" t="str">
            <v/>
          </cell>
          <cell r="CT110" t="str">
            <v/>
          </cell>
          <cell r="CU110" t="str">
            <v/>
          </cell>
          <cell r="CV110" t="str">
            <v>Municipal Office</v>
          </cell>
          <cell r="CW110" t="str">
            <v>Chiribabu Maharjan</v>
          </cell>
          <cell r="CX110" t="str">
            <v>Mayor</v>
          </cell>
          <cell r="CY110">
            <v>9851022723</v>
          </cell>
          <cell r="CZ110" t="str">
            <v>Municipal Office</v>
          </cell>
          <cell r="DA110" t="str">
            <v>Geeta Satyal</v>
          </cell>
          <cell r="DB110" t="str">
            <v>Deputy Mayor</v>
          </cell>
          <cell r="DC110">
            <v>9851234440</v>
          </cell>
          <cell r="DD110" t="str">
            <v>Municipal Office</v>
          </cell>
          <cell r="DE110" t="str">
            <v>Prem Prasad Bhattarai</v>
          </cell>
          <cell r="DF110" t="str">
            <v>Adminstration Officer</v>
          </cell>
          <cell r="DG110">
            <v>9851250013</v>
          </cell>
          <cell r="DH110" t="str">
            <v>NRA/GMALI</v>
          </cell>
          <cell r="DI110" t="str">
            <v>Bir Bahadur Rawal</v>
          </cell>
          <cell r="DJ110" t="str">
            <v>NRA Chief-District</v>
          </cell>
          <cell r="DK110">
            <v>9851201088</v>
          </cell>
          <cell r="DL110" t="str">
            <v>DLPIU-Building</v>
          </cell>
          <cell r="DM110" t="str">
            <v>Chandra Kaji Gurung</v>
          </cell>
          <cell r="DN110" t="str">
            <v>DUDBC.DLPIU Chief</v>
          </cell>
          <cell r="DO110">
            <v>9841576783</v>
          </cell>
          <cell r="DP110" t="str">
            <v>Municipal Office</v>
          </cell>
          <cell r="DQ110" t="str">
            <v>Harishchandra Lamichanne</v>
          </cell>
          <cell r="DR110" t="str">
            <v>Focal Person</v>
          </cell>
          <cell r="DS110">
            <v>9851052073</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v>546</v>
          </cell>
          <cell r="EK110">
            <v>99</v>
          </cell>
          <cell r="EL110">
            <v>447</v>
          </cell>
          <cell r="EM110">
            <v>301</v>
          </cell>
          <cell r="EN110">
            <v>0</v>
          </cell>
          <cell r="EO110">
            <v>301</v>
          </cell>
          <cell r="EP110" t="str">
            <v/>
          </cell>
          <cell r="EQ110" t="str">
            <v>Housing Recovery and Reconstruction Platform</v>
          </cell>
          <cell r="ER110" t="str">
            <v>Ambika Amatya</v>
          </cell>
          <cell r="ES110" t="str">
            <v>District Coordinator</v>
          </cell>
          <cell r="ET110">
            <v>9841356409</v>
          </cell>
          <cell r="EU110" t="str">
            <v>Housing Recovery and Reconstruction Platform</v>
          </cell>
          <cell r="EV110" t="str">
            <v>Manisha Rai</v>
          </cell>
          <cell r="EW110" t="str">
            <v>DIstrict Information Management Officer</v>
          </cell>
          <cell r="EX110">
            <v>9842062006</v>
          </cell>
          <cell r="EY110" t="str">
            <v>Housing Recovery and Reconstruction Platform</v>
          </cell>
          <cell r="EZ110" t="str">
            <v/>
          </cell>
          <cell r="FA110" t="str">
            <v>District Technical Officer</v>
          </cell>
          <cell r="FB110" t="str">
            <v/>
          </cell>
        </row>
        <row r="111">
          <cell r="A111">
            <v>25005</v>
          </cell>
          <cell r="B111" t="str">
            <v>Lalitpur</v>
          </cell>
          <cell r="C111" t="str">
            <v>Mahalaxmi Nagarpalika</v>
          </cell>
          <cell r="D111">
            <v>463</v>
          </cell>
          <cell r="E111">
            <v>3946</v>
          </cell>
          <cell r="F111">
            <v>4409</v>
          </cell>
          <cell r="G111" t="str">
            <v>Stone and cement mortar masonry</v>
          </cell>
          <cell r="H111">
            <v>0.36</v>
          </cell>
          <cell r="I111">
            <v>0.6</v>
          </cell>
          <cell r="J111" t="str">
            <v>Stone and Mud Mortar Masonary</v>
          </cell>
          <cell r="K111">
            <v>16.97</v>
          </cell>
          <cell r="L111">
            <v>39.28</v>
          </cell>
          <cell r="M111" t="str">
            <v>Brick and Cement Mortar Masonary</v>
          </cell>
          <cell r="N111">
            <v>6.04</v>
          </cell>
          <cell r="O111">
            <v>4.51</v>
          </cell>
          <cell r="P111" t="str">
            <v>Brick and mud mortar Masonry</v>
          </cell>
          <cell r="Q111">
            <v>30.09</v>
          </cell>
          <cell r="R111">
            <v>18.14</v>
          </cell>
          <cell r="S111" t="str">
            <v>Reinforced cement concrete (RCC) frame</v>
          </cell>
          <cell r="T111">
            <v>3.77</v>
          </cell>
          <cell r="U111">
            <v>2.15</v>
          </cell>
          <cell r="V111" t="str">
            <v>Hybrid structure</v>
          </cell>
          <cell r="W111">
            <v>0</v>
          </cell>
          <cell r="X111">
            <v>0</v>
          </cell>
          <cell r="Y111" t="str">
            <v>Timber frame structure</v>
          </cell>
          <cell r="Z111">
            <v>7.0000000000000007E-2</v>
          </cell>
          <cell r="AA111">
            <v>0.12</v>
          </cell>
          <cell r="AB111" t="str">
            <v>Hollow concrete block Masonry</v>
          </cell>
          <cell r="AC111">
            <v>0</v>
          </cell>
          <cell r="AD111">
            <v>0</v>
          </cell>
          <cell r="AE111" t="str">
            <v>Dry stone Masonry</v>
          </cell>
          <cell r="AF111">
            <v>0.05</v>
          </cell>
          <cell r="AG111">
            <v>0.31</v>
          </cell>
          <cell r="AH111" t="str">
            <v>Adobe structures</v>
          </cell>
          <cell r="AI111">
            <v>42.64</v>
          </cell>
          <cell r="AJ111">
            <v>34.86</v>
          </cell>
          <cell r="AK111" t="str">
            <v>Bamboo</v>
          </cell>
          <cell r="AL111">
            <v>0.02</v>
          </cell>
          <cell r="AM111">
            <v>0.04</v>
          </cell>
          <cell r="AN111" t="str">
            <v>Compressed stabilized earth block (SCEB) Masonry</v>
          </cell>
          <cell r="AO111">
            <v>0</v>
          </cell>
          <cell r="AP111">
            <v>0</v>
          </cell>
          <cell r="AQ111" t="str">
            <v>Light steel frame structures</v>
          </cell>
          <cell r="AR111">
            <v>0</v>
          </cell>
          <cell r="AS111">
            <v>0</v>
          </cell>
          <cell r="AT111">
            <v>3662</v>
          </cell>
          <cell r="AU111">
            <v>3070</v>
          </cell>
          <cell r="AV111">
            <v>3047</v>
          </cell>
          <cell r="AW111">
            <v>789</v>
          </cell>
          <cell r="AX111">
            <v>660</v>
          </cell>
          <cell r="AY111">
            <v>0</v>
          </cell>
          <cell r="AZ111" t="str">
            <v/>
          </cell>
          <cell r="BA111">
            <v>90</v>
          </cell>
          <cell r="BB111">
            <v>21</v>
          </cell>
          <cell r="BC111">
            <v>19</v>
          </cell>
          <cell r="BD111">
            <v>0</v>
          </cell>
          <cell r="BE111">
            <v>927</v>
          </cell>
          <cell r="BF111">
            <v>822</v>
          </cell>
          <cell r="BG111" t="str">
            <v/>
          </cell>
          <cell r="BH111" t="str">
            <v/>
          </cell>
          <cell r="BI111" t="str">
            <v>NRCS(Agriculture, Livestock Development and Irrigation,Education,Employment and Livelihood,Health,Water, Sanitation and Hygiene)</v>
          </cell>
          <cell r="BJ111" t="str">
            <v>DCA(Disaster Risk Management,Education,Employment and Livelihood,Health,Rural Housing and Community Infrastructure,Water, Sanitation and Hygiene),LUMANTI(Rural Housing and Community Infrastructure,Water, Sanitation and Hygiene),OXFAM-GB(Rural Housing and Community Infrastructure),PLAN(Gender Equality and Social Inclusion)</v>
          </cell>
          <cell r="BK111">
            <v>19483</v>
          </cell>
          <cell r="BL111" t="str">
            <v/>
          </cell>
          <cell r="BM111" t="str">
            <v/>
          </cell>
          <cell r="BN111">
            <v>18875</v>
          </cell>
          <cell r="BO111" t="str">
            <v/>
          </cell>
          <cell r="BP111" t="str">
            <v/>
          </cell>
          <cell r="BQ111">
            <v>2070</v>
          </cell>
          <cell r="BR111" t="str">
            <v/>
          </cell>
          <cell r="BS111" t="str">
            <v/>
          </cell>
          <cell r="BT111">
            <v>2351</v>
          </cell>
          <cell r="BU111" t="str">
            <v/>
          </cell>
          <cell r="BV111" t="str">
            <v/>
          </cell>
          <cell r="BW111" t="str">
            <v/>
          </cell>
          <cell r="BX111" t="str">
            <v/>
          </cell>
          <cell r="BY111" t="str">
            <v/>
          </cell>
          <cell r="BZ111">
            <v>62796</v>
          </cell>
          <cell r="CA111" t="str">
            <v/>
          </cell>
          <cell r="CB111" t="str">
            <v/>
          </cell>
          <cell r="CC111">
            <v>212964</v>
          </cell>
          <cell r="CD111" t="str">
            <v/>
          </cell>
          <cell r="CE111" t="str">
            <v/>
          </cell>
          <cell r="CF111">
            <v>2565</v>
          </cell>
          <cell r="CG111" t="str">
            <v/>
          </cell>
          <cell r="CH111" t="str">
            <v/>
          </cell>
          <cell r="CI111">
            <v>285121</v>
          </cell>
          <cell r="CJ111" t="str">
            <v/>
          </cell>
          <cell r="CK111" t="str">
            <v/>
          </cell>
          <cell r="CL111" t="str">
            <v>Skilled</v>
          </cell>
          <cell r="CM111" t="str">
            <v/>
          </cell>
          <cell r="CN111" t="str">
            <v>Labor</v>
          </cell>
          <cell r="CO111" t="str">
            <v/>
          </cell>
          <cell r="CP111" t="str">
            <v/>
          </cell>
          <cell r="CQ111" t="str">
            <v/>
          </cell>
          <cell r="CR111" t="str">
            <v/>
          </cell>
          <cell r="CS111" t="str">
            <v/>
          </cell>
          <cell r="CT111" t="str">
            <v/>
          </cell>
          <cell r="CU111" t="str">
            <v/>
          </cell>
          <cell r="CV111" t="str">
            <v>Municipal Office</v>
          </cell>
          <cell r="CW111" t="str">
            <v>Rameshwor Shrestha</v>
          </cell>
          <cell r="CX111" t="str">
            <v>Mayor</v>
          </cell>
          <cell r="CY111">
            <v>9851201654</v>
          </cell>
          <cell r="CZ111" t="str">
            <v>Municipal Office</v>
          </cell>
          <cell r="DA111" t="str">
            <v>Nirmala Thapa</v>
          </cell>
          <cell r="DB111" t="str">
            <v>Deputy Mayor</v>
          </cell>
          <cell r="DC111">
            <v>9851202654</v>
          </cell>
          <cell r="DD111" t="str">
            <v>Municipal Office</v>
          </cell>
          <cell r="DE111" t="str">
            <v>Laxmi Prasad Regmi</v>
          </cell>
          <cell r="DF111" t="str">
            <v>Adminstration Officer</v>
          </cell>
          <cell r="DG111">
            <v>9851250015</v>
          </cell>
          <cell r="DH111" t="str">
            <v>NRA/GMALI</v>
          </cell>
          <cell r="DI111" t="str">
            <v>Bir Bahadur Rawal</v>
          </cell>
          <cell r="DJ111" t="str">
            <v>NRA Chief-District</v>
          </cell>
          <cell r="DK111">
            <v>9851201088</v>
          </cell>
          <cell r="DL111" t="str">
            <v>DLPIU-Building</v>
          </cell>
          <cell r="DM111" t="str">
            <v>Chandra Kaji Gurung</v>
          </cell>
          <cell r="DN111" t="str">
            <v>DUDBC.DLPIU Chief</v>
          </cell>
          <cell r="DO111">
            <v>9841576783</v>
          </cell>
          <cell r="DP111" t="str">
            <v>Municipal Office</v>
          </cell>
          <cell r="DQ111" t="str">
            <v>Angana Shrestha</v>
          </cell>
          <cell r="DR111" t="str">
            <v>Focal Person</v>
          </cell>
          <cell r="DS111">
            <v>9841100837</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18</v>
          </cell>
          <cell r="EI111" t="str">
            <v/>
          </cell>
          <cell r="EJ111">
            <v>247</v>
          </cell>
          <cell r="EK111">
            <v>159</v>
          </cell>
          <cell r="EL111">
            <v>88</v>
          </cell>
          <cell r="EM111">
            <v>133</v>
          </cell>
          <cell r="EN111">
            <v>18</v>
          </cell>
          <cell r="EO111">
            <v>115</v>
          </cell>
          <cell r="EP111" t="str">
            <v/>
          </cell>
          <cell r="EQ111" t="str">
            <v>Housing Recovery and Reconstruction Platform</v>
          </cell>
          <cell r="ER111" t="str">
            <v>Ambika Amatya</v>
          </cell>
          <cell r="ES111" t="str">
            <v>District Coordinator</v>
          </cell>
          <cell r="ET111">
            <v>9841356409</v>
          </cell>
          <cell r="EU111" t="str">
            <v>Housing Recovery and Reconstruction Platform</v>
          </cell>
          <cell r="EV111" t="str">
            <v>Manisha Rai</v>
          </cell>
          <cell r="EW111" t="str">
            <v>DIstrict Information Management Officer</v>
          </cell>
          <cell r="EX111">
            <v>9842062006</v>
          </cell>
          <cell r="EY111" t="str">
            <v>Housing Recovery and Reconstruction Platform</v>
          </cell>
          <cell r="EZ111" t="str">
            <v/>
          </cell>
          <cell r="FA111" t="str">
            <v>District Technical Officer</v>
          </cell>
          <cell r="FB111" t="str">
            <v/>
          </cell>
        </row>
        <row r="112">
          <cell r="A112">
            <v>25006</v>
          </cell>
          <cell r="B112" t="str">
            <v>Lalitpur</v>
          </cell>
          <cell r="C112" t="str">
            <v>Mahankal Gaunpalika</v>
          </cell>
          <cell r="D112">
            <v>161</v>
          </cell>
          <cell r="E112">
            <v>2290</v>
          </cell>
          <cell r="F112">
            <v>2451</v>
          </cell>
          <cell r="G112" t="str">
            <v>Stone and cement mortar masonry</v>
          </cell>
          <cell r="H112">
            <v>0.2</v>
          </cell>
          <cell r="I112">
            <v>0.6</v>
          </cell>
          <cell r="J112" t="str">
            <v>Stone and Mud Mortar Masonary</v>
          </cell>
          <cell r="K112">
            <v>98.57</v>
          </cell>
          <cell r="L112">
            <v>39.28</v>
          </cell>
          <cell r="M112" t="str">
            <v>Brick and Cement Mortar Masonary</v>
          </cell>
          <cell r="N112">
            <v>0.08</v>
          </cell>
          <cell r="O112">
            <v>4.51</v>
          </cell>
          <cell r="P112" t="str">
            <v>Brick and mud mortar Masonry</v>
          </cell>
          <cell r="Q112">
            <v>0.04</v>
          </cell>
          <cell r="R112">
            <v>18.14</v>
          </cell>
          <cell r="S112" t="str">
            <v>Reinforced cement concrete (RCC) frame</v>
          </cell>
          <cell r="T112">
            <v>0</v>
          </cell>
          <cell r="U112">
            <v>2.15</v>
          </cell>
          <cell r="V112" t="str">
            <v>Hybrid structure</v>
          </cell>
          <cell r="W112">
            <v>0</v>
          </cell>
          <cell r="X112">
            <v>0</v>
          </cell>
          <cell r="Y112" t="str">
            <v>Timber frame structure</v>
          </cell>
          <cell r="Z112">
            <v>0.69</v>
          </cell>
          <cell r="AA112">
            <v>0.12</v>
          </cell>
          <cell r="AB112" t="str">
            <v>Hollow concrete block Masonry</v>
          </cell>
          <cell r="AC112">
            <v>0</v>
          </cell>
          <cell r="AD112">
            <v>0</v>
          </cell>
          <cell r="AE112" t="str">
            <v>Dry stone Masonry</v>
          </cell>
          <cell r="AF112">
            <v>0.24</v>
          </cell>
          <cell r="AG112">
            <v>0.31</v>
          </cell>
          <cell r="AH112" t="str">
            <v>Adobe structures</v>
          </cell>
          <cell r="AI112">
            <v>0.16</v>
          </cell>
          <cell r="AJ112">
            <v>34.86</v>
          </cell>
          <cell r="AK112" t="str">
            <v>Bamboo</v>
          </cell>
          <cell r="AL112">
            <v>0</v>
          </cell>
          <cell r="AM112">
            <v>0.04</v>
          </cell>
          <cell r="AN112" t="str">
            <v>Compressed stabilized earth block (SCEB) Masonry</v>
          </cell>
          <cell r="AO112">
            <v>0</v>
          </cell>
          <cell r="AP112">
            <v>0</v>
          </cell>
          <cell r="AQ112" t="str">
            <v>Light steel frame structures</v>
          </cell>
          <cell r="AR112">
            <v>0</v>
          </cell>
          <cell r="AS112">
            <v>0</v>
          </cell>
          <cell r="AT112">
            <v>2271</v>
          </cell>
          <cell r="AU112">
            <v>2236</v>
          </cell>
          <cell r="AV112">
            <v>2234</v>
          </cell>
          <cell r="AW112">
            <v>1672</v>
          </cell>
          <cell r="AX112">
            <v>942</v>
          </cell>
          <cell r="AY112">
            <v>0</v>
          </cell>
          <cell r="AZ112" t="str">
            <v/>
          </cell>
          <cell r="BA112">
            <v>61</v>
          </cell>
          <cell r="BB112">
            <v>52</v>
          </cell>
          <cell r="BC112">
            <v>51</v>
          </cell>
          <cell r="BD112">
            <v>0</v>
          </cell>
          <cell r="BE112">
            <v>551</v>
          </cell>
          <cell r="BF112">
            <v>296</v>
          </cell>
          <cell r="BG112" t="str">
            <v/>
          </cell>
          <cell r="BH112" t="str">
            <v/>
          </cell>
          <cell r="BI112" t="str">
            <v/>
          </cell>
          <cell r="BJ112" t="str">
            <v>FCA(Education),GON(Rural Housing and Community Infrastructure)</v>
          </cell>
          <cell r="BK112">
            <v>37555</v>
          </cell>
          <cell r="BL112" t="str">
            <v/>
          </cell>
          <cell r="BM112" t="str">
            <v/>
          </cell>
          <cell r="BN112">
            <v>39137</v>
          </cell>
          <cell r="BO112" t="str">
            <v/>
          </cell>
          <cell r="BP112" t="str">
            <v/>
          </cell>
          <cell r="BQ112">
            <v>4016</v>
          </cell>
          <cell r="BR112" t="str">
            <v/>
          </cell>
          <cell r="BS112" t="str">
            <v/>
          </cell>
          <cell r="BT112">
            <v>4655</v>
          </cell>
          <cell r="BU112" t="str">
            <v/>
          </cell>
          <cell r="BV112" t="str">
            <v/>
          </cell>
          <cell r="BW112" t="str">
            <v/>
          </cell>
          <cell r="BX112" t="str">
            <v/>
          </cell>
          <cell r="BY112" t="str">
            <v/>
          </cell>
          <cell r="BZ112">
            <v>129516</v>
          </cell>
          <cell r="CA112" t="str">
            <v/>
          </cell>
          <cell r="CB112" t="str">
            <v/>
          </cell>
          <cell r="CC112">
            <v>406100</v>
          </cell>
          <cell r="CD112" t="str">
            <v/>
          </cell>
          <cell r="CE112" t="str">
            <v/>
          </cell>
          <cell r="CF112">
            <v>5294</v>
          </cell>
          <cell r="CG112" t="str">
            <v/>
          </cell>
          <cell r="CH112" t="str">
            <v/>
          </cell>
          <cell r="CI112">
            <v>316894</v>
          </cell>
          <cell r="CJ112" t="str">
            <v/>
          </cell>
          <cell r="CK112" t="str">
            <v/>
          </cell>
          <cell r="CL112" t="str">
            <v>Skilled</v>
          </cell>
          <cell r="CM112" t="str">
            <v/>
          </cell>
          <cell r="CN112" t="str">
            <v>Labor</v>
          </cell>
          <cell r="CO112" t="str">
            <v/>
          </cell>
          <cell r="CP112" t="str">
            <v/>
          </cell>
          <cell r="CQ112" t="str">
            <v/>
          </cell>
          <cell r="CR112" t="str">
            <v/>
          </cell>
          <cell r="CS112" t="str">
            <v/>
          </cell>
          <cell r="CT112" t="str">
            <v/>
          </cell>
          <cell r="CU112" t="str">
            <v/>
          </cell>
          <cell r="CV112" t="str">
            <v>Municipal Office</v>
          </cell>
          <cell r="CW112" t="str">
            <v>Ram Chandra Dahal</v>
          </cell>
          <cell r="CX112" t="str">
            <v>Mayor</v>
          </cell>
          <cell r="CY112">
            <v>9860013507</v>
          </cell>
          <cell r="CZ112" t="str">
            <v>Municipal Office</v>
          </cell>
          <cell r="DA112" t="str">
            <v>Kamala Lama Tamang</v>
          </cell>
          <cell r="DB112" t="str">
            <v>Deputy Mayor</v>
          </cell>
          <cell r="DC112">
            <v>9840143949</v>
          </cell>
          <cell r="DD112" t="str">
            <v>Municipal Office</v>
          </cell>
          <cell r="DE112" t="str">
            <v>Purna Bahadur Sakhakarmi</v>
          </cell>
          <cell r="DF112" t="str">
            <v>Adminstration Officer</v>
          </cell>
          <cell r="DG112">
            <v>9851227818</v>
          </cell>
          <cell r="DH112" t="str">
            <v>NRA/GMALI</v>
          </cell>
          <cell r="DI112" t="str">
            <v>Bir Bahadur Rawal</v>
          </cell>
          <cell r="DJ112" t="str">
            <v>NRA Chief-District</v>
          </cell>
          <cell r="DK112">
            <v>9851201088</v>
          </cell>
          <cell r="DL112" t="str">
            <v>DLPIU-Building</v>
          </cell>
          <cell r="DM112" t="str">
            <v>Chandra Kaji Gurung</v>
          </cell>
          <cell r="DN112" t="str">
            <v>DUDBC.DLPIU Chief</v>
          </cell>
          <cell r="DO112">
            <v>9841576783</v>
          </cell>
          <cell r="DP112" t="str">
            <v>Municipal Office</v>
          </cell>
          <cell r="DQ112" t="str">
            <v>Abhinash Amar</v>
          </cell>
          <cell r="DR112" t="str">
            <v>Focal Person</v>
          </cell>
          <cell r="DS112">
            <v>9842931839</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v>171</v>
          </cell>
          <cell r="EK112">
            <v>124</v>
          </cell>
          <cell r="EL112">
            <v>47</v>
          </cell>
          <cell r="EM112">
            <v>99</v>
          </cell>
          <cell r="EN112">
            <v>0</v>
          </cell>
          <cell r="EO112">
            <v>99</v>
          </cell>
          <cell r="EP112" t="str">
            <v/>
          </cell>
          <cell r="EQ112" t="str">
            <v>Housing Recovery and Reconstruction Platform</v>
          </cell>
          <cell r="ER112" t="str">
            <v>Ambika Amatya</v>
          </cell>
          <cell r="ES112" t="str">
            <v>District Coordinator</v>
          </cell>
          <cell r="ET112">
            <v>9841356409</v>
          </cell>
          <cell r="EU112" t="str">
            <v>Housing Recovery and Reconstruction Platform</v>
          </cell>
          <cell r="EV112" t="str">
            <v>Manisha Rai</v>
          </cell>
          <cell r="EW112" t="str">
            <v>DIstrict Information Management Officer</v>
          </cell>
          <cell r="EX112">
            <v>9842062006</v>
          </cell>
          <cell r="EY112" t="str">
            <v>Housing Recovery and Reconstruction Platform</v>
          </cell>
          <cell r="EZ112" t="str">
            <v/>
          </cell>
          <cell r="FA112" t="str">
            <v>District Technical Officer</v>
          </cell>
          <cell r="FB112" t="str">
            <v/>
          </cell>
        </row>
        <row r="113">
          <cell r="A113">
            <v>26001</v>
          </cell>
          <cell r="B113" t="str">
            <v>Bhaktapur</v>
          </cell>
          <cell r="C113" t="str">
            <v>Bhaktapur Nagarpalika</v>
          </cell>
          <cell r="D113">
            <v>747</v>
          </cell>
          <cell r="E113">
            <v>7428</v>
          </cell>
          <cell r="F113">
            <v>8175</v>
          </cell>
          <cell r="G113" t="str">
            <v>Stone and cement mortar masonry</v>
          </cell>
          <cell r="H113">
            <v>0.67</v>
          </cell>
          <cell r="I113">
            <v>0.46</v>
          </cell>
          <cell r="J113" t="str">
            <v>Stone and Mud Mortar Masonary</v>
          </cell>
          <cell r="K113">
            <v>1.52</v>
          </cell>
          <cell r="L113">
            <v>11.68</v>
          </cell>
          <cell r="M113" t="str">
            <v>Brick and Cement Mortar Masonary</v>
          </cell>
          <cell r="N113">
            <v>6.32</v>
          </cell>
          <cell r="O113">
            <v>4.96</v>
          </cell>
          <cell r="P113" t="str">
            <v>Brick and mud mortar Masonry</v>
          </cell>
          <cell r="Q113">
            <v>47.75</v>
          </cell>
          <cell r="R113">
            <v>21.7</v>
          </cell>
          <cell r="S113" t="str">
            <v>Reinforced cement concrete (RCC) frame</v>
          </cell>
          <cell r="T113">
            <v>4.58</v>
          </cell>
          <cell r="U113">
            <v>2.94</v>
          </cell>
          <cell r="V113" t="str">
            <v>Hybrid structure</v>
          </cell>
          <cell r="W113">
            <v>0</v>
          </cell>
          <cell r="X113">
            <v>0</v>
          </cell>
          <cell r="Y113" t="str">
            <v>Timber frame structure</v>
          </cell>
          <cell r="Z113">
            <v>0.01</v>
          </cell>
          <cell r="AA113">
            <v>0.01</v>
          </cell>
          <cell r="AB113" t="str">
            <v>Hollow concrete block Masonry</v>
          </cell>
          <cell r="AC113">
            <v>0</v>
          </cell>
          <cell r="AD113">
            <v>0</v>
          </cell>
          <cell r="AE113" t="str">
            <v>Dry stone Masonry</v>
          </cell>
          <cell r="AF113">
            <v>0.15</v>
          </cell>
          <cell r="AG113">
            <v>0.09</v>
          </cell>
          <cell r="AH113" t="str">
            <v>Adobe structures</v>
          </cell>
          <cell r="AI113">
            <v>39</v>
          </cell>
          <cell r="AJ113">
            <v>58.15</v>
          </cell>
          <cell r="AK113" t="str">
            <v>Bamboo</v>
          </cell>
          <cell r="AL113">
            <v>0</v>
          </cell>
          <cell r="AM113">
            <v>0.02</v>
          </cell>
          <cell r="AN113" t="str">
            <v>Compressed stabilized earth block (SCEB) Masonry</v>
          </cell>
          <cell r="AO113">
            <v>0</v>
          </cell>
          <cell r="AP113">
            <v>0</v>
          </cell>
          <cell r="AQ113" t="str">
            <v>Light steel frame structures</v>
          </cell>
          <cell r="AR113">
            <v>0</v>
          </cell>
          <cell r="AS113">
            <v>0</v>
          </cell>
          <cell r="AT113">
            <v>7622</v>
          </cell>
          <cell r="AU113">
            <v>5604</v>
          </cell>
          <cell r="AV113">
            <v>5604</v>
          </cell>
          <cell r="AW113">
            <v>1547</v>
          </cell>
          <cell r="AX113">
            <v>1384</v>
          </cell>
          <cell r="AY113">
            <v>0</v>
          </cell>
          <cell r="AZ113" t="str">
            <v/>
          </cell>
          <cell r="BA113">
            <v>148</v>
          </cell>
          <cell r="BB113">
            <v>40</v>
          </cell>
          <cell r="BC113">
            <v>40</v>
          </cell>
          <cell r="BD113">
            <v>0</v>
          </cell>
          <cell r="BE113">
            <v>1592</v>
          </cell>
          <cell r="BF113">
            <v>1542</v>
          </cell>
          <cell r="BG113" t="str">
            <v/>
          </cell>
          <cell r="BH113" t="str">
            <v/>
          </cell>
          <cell r="BI113" t="str">
            <v>NRCS(Health,Rural Housing and Community Infrastructure)</v>
          </cell>
          <cell r="BJ113" t="str">
            <v>SCI(Education)</v>
          </cell>
          <cell r="BK113">
            <v>53179</v>
          </cell>
          <cell r="BL113" t="str">
            <v/>
          </cell>
          <cell r="BM113" t="str">
            <v/>
          </cell>
          <cell r="BN113">
            <v>45780</v>
          </cell>
          <cell r="BO113" t="str">
            <v/>
          </cell>
          <cell r="BP113" t="str">
            <v/>
          </cell>
          <cell r="BQ113">
            <v>5598</v>
          </cell>
          <cell r="BR113" t="str">
            <v/>
          </cell>
          <cell r="BS113" t="str">
            <v/>
          </cell>
          <cell r="BT113">
            <v>6168</v>
          </cell>
          <cell r="BU113" t="str">
            <v/>
          </cell>
          <cell r="BV113" t="str">
            <v/>
          </cell>
          <cell r="BW113" t="str">
            <v/>
          </cell>
          <cell r="BX113" t="str">
            <v/>
          </cell>
          <cell r="BY113" t="str">
            <v/>
          </cell>
          <cell r="BZ113">
            <v>154585</v>
          </cell>
          <cell r="CA113" t="str">
            <v/>
          </cell>
          <cell r="CB113" t="str">
            <v/>
          </cell>
          <cell r="CC113">
            <v>591632</v>
          </cell>
          <cell r="CD113" t="str">
            <v/>
          </cell>
          <cell r="CE113" t="str">
            <v/>
          </cell>
          <cell r="CF113">
            <v>6313</v>
          </cell>
          <cell r="CG113" t="str">
            <v/>
          </cell>
          <cell r="CH113" t="str">
            <v/>
          </cell>
          <cell r="CI113">
            <v>1393478</v>
          </cell>
          <cell r="CJ113" t="str">
            <v/>
          </cell>
          <cell r="CK113" t="str">
            <v/>
          </cell>
          <cell r="CL113" t="str">
            <v>Skilled</v>
          </cell>
          <cell r="CM113" t="str">
            <v/>
          </cell>
          <cell r="CN113" t="str">
            <v>Labor</v>
          </cell>
          <cell r="CO113" t="str">
            <v/>
          </cell>
          <cell r="CP113" t="str">
            <v/>
          </cell>
          <cell r="CQ113" t="str">
            <v/>
          </cell>
          <cell r="CR113" t="str">
            <v/>
          </cell>
          <cell r="CS113" t="str">
            <v/>
          </cell>
          <cell r="CT113" t="str">
            <v/>
          </cell>
          <cell r="CU113" t="str">
            <v/>
          </cell>
          <cell r="CV113" t="str">
            <v>Municipal Office</v>
          </cell>
          <cell r="CW113" t="str">
            <v>Sunil Prajapati</v>
          </cell>
          <cell r="CX113" t="str">
            <v>Mayor</v>
          </cell>
          <cell r="CY113">
            <v>9851078885</v>
          </cell>
          <cell r="CZ113" t="str">
            <v>Municipal Office</v>
          </cell>
          <cell r="DA113" t="str">
            <v>Rajani Joshi</v>
          </cell>
          <cell r="DB113" t="str">
            <v>Deputy Mayor</v>
          </cell>
          <cell r="DC113">
            <v>9851177744</v>
          </cell>
          <cell r="DD113" t="str">
            <v>Municipal Office</v>
          </cell>
          <cell r="DE113" t="str">
            <v>Rohit Raj Pokharel</v>
          </cell>
          <cell r="DF113" t="str">
            <v>Adminstration Officer</v>
          </cell>
          <cell r="DG113">
            <v>9851275111</v>
          </cell>
          <cell r="DH113" t="str">
            <v>NRA/GMALI</v>
          </cell>
          <cell r="DI113" t="str">
            <v>Dhruba Gaida</v>
          </cell>
          <cell r="DJ113" t="str">
            <v>NRA Chief-District</v>
          </cell>
          <cell r="DK113">
            <v>9851221570</v>
          </cell>
          <cell r="DL113" t="str">
            <v>DLPIU-Building</v>
          </cell>
          <cell r="DM113" t="str">
            <v>Mahalaxmi Joshi</v>
          </cell>
          <cell r="DN113" t="str">
            <v>DUDBC.DLPIU Chief</v>
          </cell>
          <cell r="DO113">
            <v>9751090249</v>
          </cell>
          <cell r="DP113" t="str">
            <v>Municipal Office</v>
          </cell>
          <cell r="DQ113" t="str">
            <v>Samjhana Shrestha</v>
          </cell>
          <cell r="DR113" t="str">
            <v>Focal Person</v>
          </cell>
          <cell r="DS113">
            <v>9843011400</v>
          </cell>
          <cell r="DT113" t="str">
            <v/>
          </cell>
          <cell r="DU113" t="str">
            <v/>
          </cell>
          <cell r="DV113" t="str">
            <v/>
          </cell>
          <cell r="DW113" t="str">
            <v/>
          </cell>
          <cell r="DX113" t="str">
            <v/>
          </cell>
          <cell r="DY113" t="str">
            <v/>
          </cell>
          <cell r="DZ113" t="str">
            <v/>
          </cell>
          <cell r="EA113" t="str">
            <v/>
          </cell>
          <cell r="EB113" t="str">
            <v/>
          </cell>
          <cell r="EC113" t="str">
            <v/>
          </cell>
          <cell r="ED113" t="str">
            <v/>
          </cell>
          <cell r="EE113" t="str">
            <v/>
          </cell>
          <cell r="EF113" t="str">
            <v/>
          </cell>
          <cell r="EG113" t="str">
            <v/>
          </cell>
          <cell r="EH113" t="str">
            <v/>
          </cell>
          <cell r="EI113" t="str">
            <v/>
          </cell>
          <cell r="EJ113">
            <v>527</v>
          </cell>
          <cell r="EK113">
            <v>27</v>
          </cell>
          <cell r="EL113">
            <v>500</v>
          </cell>
          <cell r="EM113">
            <v>527</v>
          </cell>
          <cell r="EN113">
            <v>0</v>
          </cell>
          <cell r="EO113">
            <v>527</v>
          </cell>
          <cell r="EP113" t="str">
            <v/>
          </cell>
          <cell r="EQ113" t="str">
            <v>Housing Recovery and Reconstruction Platform</v>
          </cell>
          <cell r="ER113" t="str">
            <v>Ambika Amatya</v>
          </cell>
          <cell r="ES113" t="str">
            <v>District Coordinator</v>
          </cell>
          <cell r="ET113">
            <v>9841356409</v>
          </cell>
          <cell r="EU113" t="str">
            <v>Housing Recovery and Reconstruction Platform</v>
          </cell>
          <cell r="EV113" t="str">
            <v>Manisha Rai</v>
          </cell>
          <cell r="EW113" t="str">
            <v>DIstrict Information Management Officer</v>
          </cell>
          <cell r="EX113">
            <v>9842062006</v>
          </cell>
          <cell r="EY113" t="str">
            <v>Housing Recovery and Reconstruction Platform</v>
          </cell>
          <cell r="EZ113" t="str">
            <v/>
          </cell>
          <cell r="FA113" t="str">
            <v>District Technical Officer</v>
          </cell>
          <cell r="FB113" t="str">
            <v/>
          </cell>
        </row>
        <row r="114">
          <cell r="A114">
            <v>26002</v>
          </cell>
          <cell r="B114" t="str">
            <v>Bhaktapur</v>
          </cell>
          <cell r="C114" t="str">
            <v>Changunarayan Nagarpalika</v>
          </cell>
          <cell r="D114">
            <v>425</v>
          </cell>
          <cell r="E114">
            <v>10634</v>
          </cell>
          <cell r="F114">
            <v>11059</v>
          </cell>
          <cell r="G114" t="str">
            <v>Stone and cement mortar masonry</v>
          </cell>
          <cell r="H114">
            <v>0.21</v>
          </cell>
          <cell r="I114">
            <v>0.46</v>
          </cell>
          <cell r="J114" t="str">
            <v>Stone and Mud Mortar Masonary</v>
          </cell>
          <cell r="K114">
            <v>21.26</v>
          </cell>
          <cell r="L114">
            <v>11.68</v>
          </cell>
          <cell r="M114" t="str">
            <v>Brick and Cement Mortar Masonary</v>
          </cell>
          <cell r="N114">
            <v>2.74</v>
          </cell>
          <cell r="O114">
            <v>4.96</v>
          </cell>
          <cell r="P114" t="str">
            <v>Brick and mud mortar Masonry</v>
          </cell>
          <cell r="Q114">
            <v>5.69</v>
          </cell>
          <cell r="R114">
            <v>21.7</v>
          </cell>
          <cell r="S114" t="str">
            <v>Reinforced cement concrete (RCC) frame</v>
          </cell>
          <cell r="T114">
            <v>2.09</v>
          </cell>
          <cell r="U114">
            <v>2.94</v>
          </cell>
          <cell r="V114" t="str">
            <v>Hybrid structure</v>
          </cell>
          <cell r="W114">
            <v>0</v>
          </cell>
          <cell r="X114">
            <v>0</v>
          </cell>
          <cell r="Y114" t="str">
            <v>Timber frame structure</v>
          </cell>
          <cell r="Z114">
            <v>0.02</v>
          </cell>
          <cell r="AA114">
            <v>0.01</v>
          </cell>
          <cell r="AB114" t="str">
            <v>Hollow concrete block Masonry</v>
          </cell>
          <cell r="AC114">
            <v>0</v>
          </cell>
          <cell r="AD114">
            <v>0</v>
          </cell>
          <cell r="AE114" t="str">
            <v>Dry stone Masonry</v>
          </cell>
          <cell r="AF114">
            <v>0.09</v>
          </cell>
          <cell r="AG114">
            <v>0.09</v>
          </cell>
          <cell r="AH114" t="str">
            <v>Adobe structures</v>
          </cell>
          <cell r="AI114">
            <v>67.88</v>
          </cell>
          <cell r="AJ114">
            <v>58.15</v>
          </cell>
          <cell r="AK114" t="str">
            <v>Bamboo</v>
          </cell>
          <cell r="AL114">
            <v>0.03</v>
          </cell>
          <cell r="AM114">
            <v>0.02</v>
          </cell>
          <cell r="AN114" t="str">
            <v>Compressed stabilized earth block (SCEB) Masonry</v>
          </cell>
          <cell r="AO114">
            <v>0</v>
          </cell>
          <cell r="AP114">
            <v>0</v>
          </cell>
          <cell r="AQ114" t="str">
            <v>Light steel frame structures</v>
          </cell>
          <cell r="AR114">
            <v>0</v>
          </cell>
          <cell r="AS114">
            <v>0</v>
          </cell>
          <cell r="AT114">
            <v>10937</v>
          </cell>
          <cell r="AU114">
            <v>9694</v>
          </cell>
          <cell r="AV114">
            <v>9694</v>
          </cell>
          <cell r="AW114">
            <v>2799</v>
          </cell>
          <cell r="AX114">
            <v>2654</v>
          </cell>
          <cell r="AY114">
            <v>0</v>
          </cell>
          <cell r="AZ114" t="str">
            <v/>
          </cell>
          <cell r="BA114">
            <v>212</v>
          </cell>
          <cell r="BB114">
            <v>86</v>
          </cell>
          <cell r="BC114">
            <v>86</v>
          </cell>
          <cell r="BD114">
            <v>0</v>
          </cell>
          <cell r="BE114">
            <v>2096</v>
          </cell>
          <cell r="BF114">
            <v>1692</v>
          </cell>
          <cell r="BG114" t="str">
            <v/>
          </cell>
          <cell r="BH114" t="str">
            <v/>
          </cell>
          <cell r="BI114" t="str">
            <v>NRCS(Agriculture, Livestock Development and Irrigation,Education,Employment and Livelihood,Health,Water, Sanitation and Hygiene)</v>
          </cell>
          <cell r="BJ114" t="str">
            <v>DCA(Disaster Risk Management,Education,Employment and Livelihood,Rural Housing and Community Infrastructure,Water, Sanitation and Hygiene),GON(Rural Housing and Community Infrastructure),OXFAM-GB(Rural Housing and Community Infrastructure),SCI(Education)</v>
          </cell>
          <cell r="BK114">
            <v>72457</v>
          </cell>
          <cell r="BL114" t="str">
            <v/>
          </cell>
          <cell r="BM114" t="str">
            <v/>
          </cell>
          <cell r="BN114">
            <v>70394</v>
          </cell>
          <cell r="BO114" t="str">
            <v/>
          </cell>
          <cell r="BP114" t="str">
            <v/>
          </cell>
          <cell r="BQ114">
            <v>7701</v>
          </cell>
          <cell r="BR114" t="str">
            <v/>
          </cell>
          <cell r="BS114" t="str">
            <v/>
          </cell>
          <cell r="BT114">
            <v>8757</v>
          </cell>
          <cell r="BU114" t="str">
            <v/>
          </cell>
          <cell r="BV114" t="str">
            <v/>
          </cell>
          <cell r="BW114" t="str">
            <v/>
          </cell>
          <cell r="BX114" t="str">
            <v/>
          </cell>
          <cell r="BY114" t="str">
            <v/>
          </cell>
          <cell r="BZ114">
            <v>234826</v>
          </cell>
          <cell r="CA114" t="str">
            <v/>
          </cell>
          <cell r="CB114" t="str">
            <v/>
          </cell>
          <cell r="CC114">
            <v>792623</v>
          </cell>
          <cell r="CD114" t="str">
            <v/>
          </cell>
          <cell r="CE114" t="str">
            <v/>
          </cell>
          <cell r="CF114">
            <v>9597</v>
          </cell>
          <cell r="CG114" t="str">
            <v/>
          </cell>
          <cell r="CH114" t="str">
            <v/>
          </cell>
          <cell r="CI114">
            <v>1148492</v>
          </cell>
          <cell r="CJ114" t="str">
            <v/>
          </cell>
          <cell r="CK114" t="str">
            <v/>
          </cell>
          <cell r="CL114" t="str">
            <v>Skilled</v>
          </cell>
          <cell r="CM114" t="str">
            <v/>
          </cell>
          <cell r="CN114" t="str">
            <v>Labor</v>
          </cell>
          <cell r="CO114" t="str">
            <v/>
          </cell>
          <cell r="CP114" t="str">
            <v/>
          </cell>
          <cell r="CQ114" t="str">
            <v/>
          </cell>
          <cell r="CR114" t="str">
            <v/>
          </cell>
          <cell r="CS114" t="str">
            <v/>
          </cell>
          <cell r="CT114" t="str">
            <v/>
          </cell>
          <cell r="CU114" t="str">
            <v/>
          </cell>
          <cell r="CV114" t="str">
            <v>Municipal Office</v>
          </cell>
          <cell r="CW114" t="str">
            <v>Som Prasad Mishra</v>
          </cell>
          <cell r="CX114" t="str">
            <v>Mayor</v>
          </cell>
          <cell r="CY114">
            <v>9751001744</v>
          </cell>
          <cell r="CZ114" t="str">
            <v>Municipal Office</v>
          </cell>
          <cell r="DA114" t="str">
            <v>Bina Bastola</v>
          </cell>
          <cell r="DB114" t="str">
            <v>Deputy Mayor</v>
          </cell>
          <cell r="DC114">
            <v>9841590313</v>
          </cell>
          <cell r="DD114" t="str">
            <v>Municipal Office</v>
          </cell>
          <cell r="DE114" t="str">
            <v>Punya Prasad Luitel</v>
          </cell>
          <cell r="DF114" t="str">
            <v>Adminstration Officer</v>
          </cell>
          <cell r="DG114">
            <v>9851191068</v>
          </cell>
          <cell r="DH114" t="str">
            <v>NRA/GMALI</v>
          </cell>
          <cell r="DI114" t="str">
            <v>Dhruba Gaida</v>
          </cell>
          <cell r="DJ114" t="str">
            <v>NRA Chief-District</v>
          </cell>
          <cell r="DK114">
            <v>9851221570</v>
          </cell>
          <cell r="DL114" t="str">
            <v>DLPIU-Building</v>
          </cell>
          <cell r="DM114" t="str">
            <v>Mahalaxmi Joshi</v>
          </cell>
          <cell r="DN114" t="str">
            <v>DUDBC.DLPIU Chief</v>
          </cell>
          <cell r="DO114">
            <v>9751090249</v>
          </cell>
          <cell r="DP114" t="str">
            <v>Municipal Office</v>
          </cell>
          <cell r="DQ114" t="str">
            <v>Sangita Chikanbanjar</v>
          </cell>
          <cell r="DR114" t="str">
            <v>Focal Person</v>
          </cell>
          <cell r="DS114">
            <v>9841131172</v>
          </cell>
          <cell r="DT114" t="str">
            <v/>
          </cell>
          <cell r="DU114" t="str">
            <v/>
          </cell>
          <cell r="DV114" t="str">
            <v/>
          </cell>
          <cell r="DW114" t="str">
            <v/>
          </cell>
          <cell r="DX114" t="str">
            <v/>
          </cell>
          <cell r="DY114" t="str">
            <v/>
          </cell>
          <cell r="DZ114" t="str">
            <v/>
          </cell>
          <cell r="EA114" t="str">
            <v/>
          </cell>
          <cell r="EB114" t="str">
            <v/>
          </cell>
          <cell r="EC114" t="str">
            <v/>
          </cell>
          <cell r="ED114" t="str">
            <v/>
          </cell>
          <cell r="EE114" t="str">
            <v/>
          </cell>
          <cell r="EF114" t="str">
            <v/>
          </cell>
          <cell r="EG114" t="str">
            <v/>
          </cell>
          <cell r="EH114" t="str">
            <v/>
          </cell>
          <cell r="EI114" t="str">
            <v/>
          </cell>
          <cell r="EJ114">
            <v>785</v>
          </cell>
          <cell r="EK114">
            <v>779</v>
          </cell>
          <cell r="EL114">
            <v>6</v>
          </cell>
          <cell r="EM114">
            <v>785</v>
          </cell>
          <cell r="EN114">
            <v>0</v>
          </cell>
          <cell r="EO114">
            <v>785</v>
          </cell>
          <cell r="EP114" t="str">
            <v/>
          </cell>
          <cell r="EQ114" t="str">
            <v>Housing Recovery and Reconstruction Platform</v>
          </cell>
          <cell r="ER114" t="str">
            <v>Ambika Amatya</v>
          </cell>
          <cell r="ES114" t="str">
            <v>District Coordinator</v>
          </cell>
          <cell r="ET114">
            <v>9841356409</v>
          </cell>
          <cell r="EU114" t="str">
            <v>Housing Recovery and Reconstruction Platform</v>
          </cell>
          <cell r="EV114" t="str">
            <v>Manisha Rai</v>
          </cell>
          <cell r="EW114" t="str">
            <v>DIstrict Information Management Officer</v>
          </cell>
          <cell r="EX114">
            <v>9842062006</v>
          </cell>
          <cell r="EY114" t="str">
            <v>Housing Recovery and Reconstruction Platform</v>
          </cell>
          <cell r="EZ114" t="str">
            <v/>
          </cell>
          <cell r="FA114" t="str">
            <v>District Technical Officer</v>
          </cell>
          <cell r="FB114" t="str">
            <v/>
          </cell>
        </row>
        <row r="115">
          <cell r="A115">
            <v>26003</v>
          </cell>
          <cell r="B115" t="str">
            <v>Bhaktapur</v>
          </cell>
          <cell r="C115" t="str">
            <v>Madhyapur Thimi Nagarpalika</v>
          </cell>
          <cell r="D115">
            <v>347</v>
          </cell>
          <cell r="E115">
            <v>2668</v>
          </cell>
          <cell r="F115">
            <v>3015</v>
          </cell>
          <cell r="G115" t="str">
            <v>Stone and cement mortar masonry</v>
          </cell>
          <cell r="H115">
            <v>1.03</v>
          </cell>
          <cell r="I115">
            <v>0.46</v>
          </cell>
          <cell r="J115" t="str">
            <v>Stone and Mud Mortar Masonary</v>
          </cell>
          <cell r="K115">
            <v>2.59</v>
          </cell>
          <cell r="L115">
            <v>11.68</v>
          </cell>
          <cell r="M115" t="str">
            <v>Brick and Cement Mortar Masonary</v>
          </cell>
          <cell r="N115">
            <v>8.74</v>
          </cell>
          <cell r="O115">
            <v>4.96</v>
          </cell>
          <cell r="P115" t="str">
            <v>Brick and mud mortar Masonry</v>
          </cell>
          <cell r="Q115">
            <v>37.520000000000003</v>
          </cell>
          <cell r="R115">
            <v>21.7</v>
          </cell>
          <cell r="S115" t="str">
            <v>Reinforced cement concrete (RCC) frame</v>
          </cell>
          <cell r="T115">
            <v>3.16</v>
          </cell>
          <cell r="U115">
            <v>2.94</v>
          </cell>
          <cell r="V115" t="str">
            <v>Hybrid structure</v>
          </cell>
          <cell r="W115">
            <v>0</v>
          </cell>
          <cell r="X115">
            <v>0</v>
          </cell>
          <cell r="Y115" t="str">
            <v>Timber frame structure</v>
          </cell>
          <cell r="Z115">
            <v>0</v>
          </cell>
          <cell r="AA115">
            <v>0.01</v>
          </cell>
          <cell r="AB115" t="str">
            <v>Hollow concrete block Masonry</v>
          </cell>
          <cell r="AC115">
            <v>0</v>
          </cell>
          <cell r="AD115">
            <v>0</v>
          </cell>
          <cell r="AE115" t="str">
            <v>Dry stone Masonry</v>
          </cell>
          <cell r="AF115">
            <v>0.03</v>
          </cell>
          <cell r="AG115">
            <v>0.09</v>
          </cell>
          <cell r="AH115" t="str">
            <v>Adobe structures</v>
          </cell>
          <cell r="AI115">
            <v>46.93</v>
          </cell>
          <cell r="AJ115">
            <v>58.15</v>
          </cell>
          <cell r="AK115" t="str">
            <v>Bamboo</v>
          </cell>
          <cell r="AL115">
            <v>0</v>
          </cell>
          <cell r="AM115">
            <v>0.02</v>
          </cell>
          <cell r="AN115" t="str">
            <v>Compressed stabilized earth block (SCEB) Masonry</v>
          </cell>
          <cell r="AO115">
            <v>0</v>
          </cell>
          <cell r="AP115">
            <v>0</v>
          </cell>
          <cell r="AQ115" t="str">
            <v>Light steel frame structures</v>
          </cell>
          <cell r="AR115">
            <v>0</v>
          </cell>
          <cell r="AS115">
            <v>0</v>
          </cell>
          <cell r="AT115">
            <v>2333</v>
          </cell>
          <cell r="AU115">
            <v>2056</v>
          </cell>
          <cell r="AV115">
            <v>2056</v>
          </cell>
          <cell r="AW115">
            <v>621</v>
          </cell>
          <cell r="AX115">
            <v>585</v>
          </cell>
          <cell r="AY115">
            <v>0</v>
          </cell>
          <cell r="AZ115" t="str">
            <v/>
          </cell>
          <cell r="BA115">
            <v>101</v>
          </cell>
          <cell r="BB115">
            <v>56</v>
          </cell>
          <cell r="BC115">
            <v>56</v>
          </cell>
          <cell r="BD115">
            <v>0</v>
          </cell>
          <cell r="BE115">
            <v>2407</v>
          </cell>
          <cell r="BF115">
            <v>1431</v>
          </cell>
          <cell r="BG115" t="str">
            <v/>
          </cell>
          <cell r="BH115" t="str">
            <v/>
          </cell>
          <cell r="BI115" t="str">
            <v/>
          </cell>
          <cell r="BJ115" t="str">
            <v>ISAP(Rural Housing and Community Infrastructure)</v>
          </cell>
          <cell r="BK115">
            <v>40774</v>
          </cell>
          <cell r="BL115" t="str">
            <v/>
          </cell>
          <cell r="BM115" t="str">
            <v/>
          </cell>
          <cell r="BN115">
            <v>30870</v>
          </cell>
          <cell r="BO115" t="str">
            <v/>
          </cell>
          <cell r="BP115" t="str">
            <v/>
          </cell>
          <cell r="BQ115">
            <v>4251</v>
          </cell>
          <cell r="BR115" t="str">
            <v/>
          </cell>
          <cell r="BS115" t="str">
            <v/>
          </cell>
          <cell r="BT115">
            <v>4529</v>
          </cell>
          <cell r="BU115" t="str">
            <v/>
          </cell>
          <cell r="BV115" t="str">
            <v/>
          </cell>
          <cell r="BW115" t="str">
            <v/>
          </cell>
          <cell r="BX115" t="str">
            <v/>
          </cell>
          <cell r="BY115" t="str">
            <v/>
          </cell>
          <cell r="BZ115">
            <v>103667</v>
          </cell>
          <cell r="CA115" t="str">
            <v/>
          </cell>
          <cell r="CB115" t="str">
            <v/>
          </cell>
          <cell r="CC115">
            <v>457939</v>
          </cell>
          <cell r="CD115" t="str">
            <v/>
          </cell>
          <cell r="CE115" t="str">
            <v/>
          </cell>
          <cell r="CF115">
            <v>4218</v>
          </cell>
          <cell r="CG115" t="str">
            <v/>
          </cell>
          <cell r="CH115" t="str">
            <v/>
          </cell>
          <cell r="CI115">
            <v>1144788</v>
          </cell>
          <cell r="CJ115" t="str">
            <v/>
          </cell>
          <cell r="CK115" t="str">
            <v/>
          </cell>
          <cell r="CL115" t="str">
            <v>Skilled</v>
          </cell>
          <cell r="CM115" t="str">
            <v/>
          </cell>
          <cell r="CN115" t="str">
            <v>Labor</v>
          </cell>
          <cell r="CO115" t="str">
            <v/>
          </cell>
          <cell r="CP115" t="str">
            <v/>
          </cell>
          <cell r="CQ115" t="str">
            <v/>
          </cell>
          <cell r="CR115" t="str">
            <v/>
          </cell>
          <cell r="CS115" t="str">
            <v/>
          </cell>
          <cell r="CT115" t="str">
            <v/>
          </cell>
          <cell r="CU115" t="str">
            <v/>
          </cell>
          <cell r="CV115" t="str">
            <v>Municipal Office</v>
          </cell>
          <cell r="CW115" t="str">
            <v>Madan Sundar Shrestha</v>
          </cell>
          <cell r="CX115" t="str">
            <v>Mayor</v>
          </cell>
          <cell r="CY115">
            <v>9851201305</v>
          </cell>
          <cell r="CZ115" t="str">
            <v>Municipal Office</v>
          </cell>
          <cell r="DA115" t="str">
            <v>Anjana Devi Madhikarmi</v>
          </cell>
          <cell r="DB115" t="str">
            <v>Deputy Mayor</v>
          </cell>
          <cell r="DC115">
            <v>9851201304</v>
          </cell>
          <cell r="DD115" t="str">
            <v>Municipal Office</v>
          </cell>
          <cell r="DE115" t="str">
            <v>Kamal Gnawali</v>
          </cell>
          <cell r="DF115" t="str">
            <v>Adminstration Officer</v>
          </cell>
          <cell r="DG115">
            <v>9851027566</v>
          </cell>
          <cell r="DH115" t="str">
            <v>NRA/GMALI</v>
          </cell>
          <cell r="DI115" t="str">
            <v>Dhruba Gaida</v>
          </cell>
          <cell r="DJ115" t="str">
            <v>NRA Chief-District</v>
          </cell>
          <cell r="DK115">
            <v>9851221570</v>
          </cell>
          <cell r="DL115" t="str">
            <v>DLPIU-Building</v>
          </cell>
          <cell r="DM115" t="str">
            <v>Mahalaxmi Joshi</v>
          </cell>
          <cell r="DN115" t="str">
            <v>DUDBC.DLPIU Chief</v>
          </cell>
          <cell r="DO115">
            <v>9751090249</v>
          </cell>
          <cell r="DP115" t="str">
            <v>Municipal Office</v>
          </cell>
          <cell r="DQ115" t="str">
            <v>Anugya Pant</v>
          </cell>
          <cell r="DR115" t="str">
            <v>Focal Person</v>
          </cell>
          <cell r="DS115">
            <v>9841342353</v>
          </cell>
          <cell r="DT115" t="str">
            <v/>
          </cell>
          <cell r="DU115" t="str">
            <v/>
          </cell>
          <cell r="DV115" t="str">
            <v/>
          </cell>
          <cell r="DW115" t="str">
            <v/>
          </cell>
          <cell r="DX115" t="str">
            <v/>
          </cell>
          <cell r="DY115" t="str">
            <v/>
          </cell>
          <cell r="DZ115" t="str">
            <v/>
          </cell>
          <cell r="EA115" t="str">
            <v/>
          </cell>
          <cell r="EB115" t="str">
            <v/>
          </cell>
          <cell r="EC115" t="str">
            <v/>
          </cell>
          <cell r="ED115" t="str">
            <v/>
          </cell>
          <cell r="EE115" t="str">
            <v/>
          </cell>
          <cell r="EF115" t="str">
            <v/>
          </cell>
          <cell r="EG115" t="str">
            <v/>
          </cell>
          <cell r="EH115" t="str">
            <v/>
          </cell>
          <cell r="EI115" t="str">
            <v/>
          </cell>
          <cell r="EJ115">
            <v>170</v>
          </cell>
          <cell r="EK115">
            <v>156</v>
          </cell>
          <cell r="EL115">
            <v>14</v>
          </cell>
          <cell r="EM115">
            <v>170</v>
          </cell>
          <cell r="EN115">
            <v>0</v>
          </cell>
          <cell r="EO115">
            <v>170</v>
          </cell>
          <cell r="EP115" t="str">
            <v/>
          </cell>
          <cell r="EQ115" t="str">
            <v>Housing Recovery and Reconstruction Platform</v>
          </cell>
          <cell r="ER115" t="str">
            <v>Ambika Amatya</v>
          </cell>
          <cell r="ES115" t="str">
            <v>District Coordinator</v>
          </cell>
          <cell r="ET115">
            <v>9841356409</v>
          </cell>
          <cell r="EU115" t="str">
            <v>Housing Recovery and Reconstruction Platform</v>
          </cell>
          <cell r="EV115" t="str">
            <v>Manisha Rai</v>
          </cell>
          <cell r="EW115" t="str">
            <v>DIstrict Information Management Officer</v>
          </cell>
          <cell r="EX115">
            <v>9842062006</v>
          </cell>
          <cell r="EY115" t="str">
            <v>Housing Recovery and Reconstruction Platform</v>
          </cell>
          <cell r="EZ115" t="str">
            <v/>
          </cell>
          <cell r="FA115" t="str">
            <v>District Technical Officer</v>
          </cell>
          <cell r="FB115" t="str">
            <v/>
          </cell>
        </row>
        <row r="116">
          <cell r="A116">
            <v>26004</v>
          </cell>
          <cell r="B116" t="str">
            <v>Bhaktapur</v>
          </cell>
          <cell r="C116" t="str">
            <v>Suryabinayak Nagarpalika</v>
          </cell>
          <cell r="D116">
            <v>586</v>
          </cell>
          <cell r="E116">
            <v>7362</v>
          </cell>
          <cell r="F116">
            <v>7948</v>
          </cell>
          <cell r="G116" t="str">
            <v>Stone and cement mortar masonry</v>
          </cell>
          <cell r="H116">
            <v>0.39</v>
          </cell>
          <cell r="I116">
            <v>0.46</v>
          </cell>
          <cell r="J116" t="str">
            <v>Stone and Mud Mortar Masonary</v>
          </cell>
          <cell r="K116">
            <v>12.24</v>
          </cell>
          <cell r="L116">
            <v>11.68</v>
          </cell>
          <cell r="M116" t="str">
            <v>Brick and Cement Mortar Masonary</v>
          </cell>
          <cell r="N116">
            <v>5.21</v>
          </cell>
          <cell r="O116">
            <v>4.96</v>
          </cell>
          <cell r="P116" t="str">
            <v>Brick and mud mortar Masonry</v>
          </cell>
          <cell r="Q116">
            <v>11.17</v>
          </cell>
          <cell r="R116">
            <v>21.7</v>
          </cell>
          <cell r="S116" t="str">
            <v>Reinforced cement concrete (RCC) frame</v>
          </cell>
          <cell r="T116">
            <v>2.37</v>
          </cell>
          <cell r="U116">
            <v>2.94</v>
          </cell>
          <cell r="V116" t="str">
            <v>Hybrid structure</v>
          </cell>
          <cell r="W116">
            <v>0</v>
          </cell>
          <cell r="X116">
            <v>0</v>
          </cell>
          <cell r="Y116" t="str">
            <v>Timber frame structure</v>
          </cell>
          <cell r="Z116">
            <v>0.01</v>
          </cell>
          <cell r="AA116">
            <v>0.01</v>
          </cell>
          <cell r="AB116" t="str">
            <v>Hollow concrete block Masonry</v>
          </cell>
          <cell r="AC116">
            <v>0</v>
          </cell>
          <cell r="AD116">
            <v>0</v>
          </cell>
          <cell r="AE116" t="str">
            <v>Dry stone Masonry</v>
          </cell>
          <cell r="AF116">
            <v>0.04</v>
          </cell>
          <cell r="AG116">
            <v>0.09</v>
          </cell>
          <cell r="AH116" t="str">
            <v>Adobe structures</v>
          </cell>
          <cell r="AI116">
            <v>68.540000000000006</v>
          </cell>
          <cell r="AJ116">
            <v>58.15</v>
          </cell>
          <cell r="AK116" t="str">
            <v>Bamboo</v>
          </cell>
          <cell r="AL116">
            <v>0.03</v>
          </cell>
          <cell r="AM116">
            <v>0.02</v>
          </cell>
          <cell r="AN116" t="str">
            <v>Compressed stabilized earth block (SCEB) Masonry</v>
          </cell>
          <cell r="AO116">
            <v>0</v>
          </cell>
          <cell r="AP116">
            <v>0</v>
          </cell>
          <cell r="AQ116" t="str">
            <v>Light steel frame structures</v>
          </cell>
          <cell r="AR116">
            <v>0</v>
          </cell>
          <cell r="AS116">
            <v>0</v>
          </cell>
          <cell r="AT116">
            <v>7416</v>
          </cell>
          <cell r="AU116">
            <v>6959</v>
          </cell>
          <cell r="AV116">
            <v>6959</v>
          </cell>
          <cell r="AW116">
            <v>2310</v>
          </cell>
          <cell r="AX116">
            <v>2182</v>
          </cell>
          <cell r="AY116">
            <v>0</v>
          </cell>
          <cell r="AZ116" t="str">
            <v/>
          </cell>
          <cell r="BA116">
            <v>233</v>
          </cell>
          <cell r="BB116">
            <v>99</v>
          </cell>
          <cell r="BC116">
            <v>99</v>
          </cell>
          <cell r="BD116">
            <v>0</v>
          </cell>
          <cell r="BE116">
            <v>1926</v>
          </cell>
          <cell r="BF116">
            <v>1661</v>
          </cell>
          <cell r="BG116" t="str">
            <v/>
          </cell>
          <cell r="BH116" t="str">
            <v/>
          </cell>
          <cell r="BI116" t="str">
            <v>NRCS(Agriculture, Livestock Development and Irrigation,Education,Employment and Livelihood,Health,Rural Housing and Community Infrastructure,Water, Sanitation and Hygiene)</v>
          </cell>
          <cell r="BJ116" t="str">
            <v/>
          </cell>
          <cell r="BK116">
            <v>52442</v>
          </cell>
          <cell r="BL116" t="str">
            <v/>
          </cell>
          <cell r="BM116" t="str">
            <v/>
          </cell>
          <cell r="BN116">
            <v>50180</v>
          </cell>
          <cell r="BO116" t="str">
            <v/>
          </cell>
          <cell r="BP116" t="str">
            <v/>
          </cell>
          <cell r="BQ116">
            <v>5567</v>
          </cell>
          <cell r="BR116" t="str">
            <v/>
          </cell>
          <cell r="BS116" t="str">
            <v/>
          </cell>
          <cell r="BT116">
            <v>6305</v>
          </cell>
          <cell r="BU116" t="str">
            <v/>
          </cell>
          <cell r="BV116" t="str">
            <v/>
          </cell>
          <cell r="BW116" t="str">
            <v/>
          </cell>
          <cell r="BX116" t="str">
            <v/>
          </cell>
          <cell r="BY116" t="str">
            <v/>
          </cell>
          <cell r="BZ116">
            <v>167815</v>
          </cell>
          <cell r="CA116" t="str">
            <v/>
          </cell>
          <cell r="CB116" t="str">
            <v/>
          </cell>
          <cell r="CC116">
            <v>575206</v>
          </cell>
          <cell r="CD116" t="str">
            <v/>
          </cell>
          <cell r="CE116" t="str">
            <v/>
          </cell>
          <cell r="CF116">
            <v>6859</v>
          </cell>
          <cell r="CG116" t="str">
            <v/>
          </cell>
          <cell r="CH116" t="str">
            <v/>
          </cell>
          <cell r="CI116">
            <v>929949</v>
          </cell>
          <cell r="CJ116" t="str">
            <v/>
          </cell>
          <cell r="CK116" t="str">
            <v/>
          </cell>
          <cell r="CL116" t="str">
            <v>Skilled</v>
          </cell>
          <cell r="CM116" t="str">
            <v/>
          </cell>
          <cell r="CN116" t="str">
            <v>Labor</v>
          </cell>
          <cell r="CO116" t="str">
            <v/>
          </cell>
          <cell r="CP116" t="str">
            <v/>
          </cell>
          <cell r="CQ116" t="str">
            <v/>
          </cell>
          <cell r="CR116" t="str">
            <v/>
          </cell>
          <cell r="CS116" t="str">
            <v/>
          </cell>
          <cell r="CT116" t="str">
            <v/>
          </cell>
          <cell r="CU116" t="str">
            <v/>
          </cell>
          <cell r="CV116" t="str">
            <v>Municipal Office</v>
          </cell>
          <cell r="CW116" t="str">
            <v>Basudev Thapa</v>
          </cell>
          <cell r="CX116" t="str">
            <v>Mayor</v>
          </cell>
          <cell r="CY116">
            <v>9851095646</v>
          </cell>
          <cell r="CZ116" t="str">
            <v>Municipal Office</v>
          </cell>
          <cell r="DA116" t="str">
            <v>Juna Basnet</v>
          </cell>
          <cell r="DB116" t="str">
            <v>Deputy Mayor</v>
          </cell>
          <cell r="DC116">
            <v>9841553979</v>
          </cell>
          <cell r="DD116" t="str">
            <v>Municipal Office</v>
          </cell>
          <cell r="DE116" t="str">
            <v>Chiranjivi Timisina</v>
          </cell>
          <cell r="DF116" t="str">
            <v>Adminstration Officer</v>
          </cell>
          <cell r="DG116">
            <v>9851277111</v>
          </cell>
          <cell r="DH116" t="str">
            <v>NRA/GMALI</v>
          </cell>
          <cell r="DI116" t="str">
            <v>Dhruba Gaida</v>
          </cell>
          <cell r="DJ116" t="str">
            <v>NRA Chief-District</v>
          </cell>
          <cell r="DK116">
            <v>9851221570</v>
          </cell>
          <cell r="DL116" t="str">
            <v>DLPIU-Building</v>
          </cell>
          <cell r="DM116" t="str">
            <v>Mahalaxmi Joshi</v>
          </cell>
          <cell r="DN116" t="str">
            <v>DUDBC.DLPIU Chief</v>
          </cell>
          <cell r="DO116">
            <v>9751090249</v>
          </cell>
          <cell r="DP116" t="str">
            <v>Municipal Office</v>
          </cell>
          <cell r="DQ116" t="str">
            <v/>
          </cell>
          <cell r="DR116" t="str">
            <v>Focal Person</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v>520</v>
          </cell>
          <cell r="EK116">
            <v>186</v>
          </cell>
          <cell r="EL116">
            <v>334</v>
          </cell>
          <cell r="EM116">
            <v>520</v>
          </cell>
          <cell r="EN116">
            <v>0</v>
          </cell>
          <cell r="EO116">
            <v>520</v>
          </cell>
          <cell r="EP116" t="str">
            <v/>
          </cell>
          <cell r="EQ116" t="str">
            <v>Housing Recovery and Reconstruction Platform</v>
          </cell>
          <cell r="ER116" t="str">
            <v>Ambika Amatya</v>
          </cell>
          <cell r="ES116" t="str">
            <v>District Coordinator</v>
          </cell>
          <cell r="ET116">
            <v>9841356409</v>
          </cell>
          <cell r="EU116" t="str">
            <v>Housing Recovery and Reconstruction Platform</v>
          </cell>
          <cell r="EV116" t="str">
            <v>Manisha Rai</v>
          </cell>
          <cell r="EW116" t="str">
            <v>DIstrict Information Management Officer</v>
          </cell>
          <cell r="EX116">
            <v>9842062006</v>
          </cell>
          <cell r="EY116" t="str">
            <v>Housing Recovery and Reconstruction Platform</v>
          </cell>
          <cell r="EZ116" t="str">
            <v/>
          </cell>
          <cell r="FA116" t="str">
            <v>District Technical Officer</v>
          </cell>
          <cell r="FB116" t="str">
            <v/>
          </cell>
        </row>
        <row r="117">
          <cell r="A117">
            <v>27001</v>
          </cell>
          <cell r="B117" t="str">
            <v>Kathmandu</v>
          </cell>
          <cell r="C117" t="str">
            <v>Budhanilakantha Nagarpalika</v>
          </cell>
          <cell r="D117">
            <v>98</v>
          </cell>
          <cell r="E117">
            <v>2642</v>
          </cell>
          <cell r="F117">
            <v>2740</v>
          </cell>
          <cell r="G117" t="str">
            <v>Stone and cement mortar masonry</v>
          </cell>
          <cell r="H117">
            <v>0.37</v>
          </cell>
          <cell r="I117">
            <v>0.96</v>
          </cell>
          <cell r="J117" t="str">
            <v>Stone and Mud Mortar Masonary</v>
          </cell>
          <cell r="K117">
            <v>4.5599999999999996</v>
          </cell>
          <cell r="L117">
            <v>26.47</v>
          </cell>
          <cell r="M117" t="str">
            <v>Brick and Cement Mortar Masonary</v>
          </cell>
          <cell r="N117">
            <v>12.86</v>
          </cell>
          <cell r="O117">
            <v>7.99</v>
          </cell>
          <cell r="P117" t="str">
            <v>Brick and mud mortar Masonry</v>
          </cell>
          <cell r="Q117">
            <v>27.74</v>
          </cell>
          <cell r="R117">
            <v>15.92</v>
          </cell>
          <cell r="S117" t="str">
            <v>Reinforced cement concrete (RCC) frame</v>
          </cell>
          <cell r="T117">
            <v>1.25</v>
          </cell>
          <cell r="U117">
            <v>3.8</v>
          </cell>
          <cell r="V117" t="str">
            <v>Hybrid structure</v>
          </cell>
          <cell r="W117">
            <v>0</v>
          </cell>
          <cell r="X117">
            <v>0</v>
          </cell>
          <cell r="Y117" t="str">
            <v>Timber frame structure</v>
          </cell>
          <cell r="Z117">
            <v>0.15</v>
          </cell>
          <cell r="AA117">
            <v>0.03</v>
          </cell>
          <cell r="AB117" t="str">
            <v>Hollow concrete block Masonry</v>
          </cell>
          <cell r="AC117">
            <v>0</v>
          </cell>
          <cell r="AD117">
            <v>0</v>
          </cell>
          <cell r="AE117" t="str">
            <v>Dry stone Masonry</v>
          </cell>
          <cell r="AF117">
            <v>0</v>
          </cell>
          <cell r="AG117">
            <v>0.36</v>
          </cell>
          <cell r="AH117" t="str">
            <v>Adobe structures</v>
          </cell>
          <cell r="AI117">
            <v>52.98</v>
          </cell>
          <cell r="AJ117">
            <v>44.43</v>
          </cell>
          <cell r="AK117" t="str">
            <v>Bamboo</v>
          </cell>
          <cell r="AL117">
            <v>0.11</v>
          </cell>
          <cell r="AM117">
            <v>0.05</v>
          </cell>
          <cell r="AN117" t="str">
            <v>Compressed stabilized earth block (SCEB) Masonry</v>
          </cell>
          <cell r="AO117">
            <v>0</v>
          </cell>
          <cell r="AP117">
            <v>0</v>
          </cell>
          <cell r="AQ117" t="str">
            <v>Light steel frame structures</v>
          </cell>
          <cell r="AR117">
            <v>0</v>
          </cell>
          <cell r="AS117">
            <v>0</v>
          </cell>
          <cell r="AT117">
            <v>2693</v>
          </cell>
          <cell r="AU117">
            <v>2060</v>
          </cell>
          <cell r="AV117">
            <v>2060</v>
          </cell>
          <cell r="AW117">
            <v>986</v>
          </cell>
          <cell r="AX117">
            <v>726</v>
          </cell>
          <cell r="AY117" t="str">
            <v/>
          </cell>
          <cell r="AZ117" t="str">
            <v/>
          </cell>
          <cell r="BA117">
            <v>11</v>
          </cell>
          <cell r="BB117">
            <v>2</v>
          </cell>
          <cell r="BC117">
            <v>0</v>
          </cell>
          <cell r="BD117">
            <v>0</v>
          </cell>
          <cell r="BE117">
            <v>553</v>
          </cell>
          <cell r="BF117">
            <v>546</v>
          </cell>
          <cell r="BG117" t="str">
            <v/>
          </cell>
          <cell r="BH117" t="str">
            <v/>
          </cell>
          <cell r="BI117" t="str">
            <v/>
          </cell>
          <cell r="BJ117" t="str">
            <v/>
          </cell>
          <cell r="BK117">
            <v>23438</v>
          </cell>
          <cell r="BL117" t="str">
            <v/>
          </cell>
          <cell r="BM117" t="str">
            <v/>
          </cell>
          <cell r="BN117">
            <v>18866</v>
          </cell>
          <cell r="BO117" t="str">
            <v/>
          </cell>
          <cell r="BP117" t="str">
            <v/>
          </cell>
          <cell r="BQ117">
            <v>2457</v>
          </cell>
          <cell r="BR117" t="str">
            <v/>
          </cell>
          <cell r="BS117" t="str">
            <v/>
          </cell>
          <cell r="BT117">
            <v>2669</v>
          </cell>
          <cell r="BU117" t="str">
            <v/>
          </cell>
          <cell r="BV117" t="str">
            <v/>
          </cell>
          <cell r="BW117" t="str">
            <v/>
          </cell>
          <cell r="BX117" t="str">
            <v/>
          </cell>
          <cell r="BY117" t="str">
            <v/>
          </cell>
          <cell r="BZ117">
            <v>65447</v>
          </cell>
          <cell r="CA117" t="str">
            <v/>
          </cell>
          <cell r="CB117" t="str">
            <v/>
          </cell>
          <cell r="CC117">
            <v>264659</v>
          </cell>
          <cell r="CD117" t="str">
            <v/>
          </cell>
          <cell r="CE117" t="str">
            <v/>
          </cell>
          <cell r="CF117">
            <v>2679</v>
          </cell>
          <cell r="CG117" t="str">
            <v/>
          </cell>
          <cell r="CH117" t="str">
            <v/>
          </cell>
          <cell r="CI117">
            <v>931466</v>
          </cell>
          <cell r="CJ117" t="str">
            <v/>
          </cell>
          <cell r="CK117" t="str">
            <v/>
          </cell>
          <cell r="CL117" t="str">
            <v>Skilled</v>
          </cell>
          <cell r="CM117" t="str">
            <v/>
          </cell>
          <cell r="CN117" t="str">
            <v>Labor</v>
          </cell>
          <cell r="CO117" t="str">
            <v/>
          </cell>
          <cell r="CP117" t="str">
            <v/>
          </cell>
          <cell r="CQ117" t="str">
            <v/>
          </cell>
          <cell r="CR117" t="str">
            <v/>
          </cell>
          <cell r="CS117" t="str">
            <v/>
          </cell>
          <cell r="CT117" t="str">
            <v/>
          </cell>
          <cell r="CU117" t="str">
            <v/>
          </cell>
          <cell r="CV117" t="str">
            <v>Municipal Office</v>
          </cell>
          <cell r="CW117" t="str">
            <v>Uddhav Prasad Kharel</v>
          </cell>
          <cell r="CX117" t="str">
            <v>Mayor</v>
          </cell>
          <cell r="CY117">
            <v>9851269111</v>
          </cell>
          <cell r="CZ117" t="str">
            <v>Municipal Office</v>
          </cell>
          <cell r="DA117" t="str">
            <v>Rama Devi Rai</v>
          </cell>
          <cell r="DB117" t="str">
            <v>Deputy Mayor</v>
          </cell>
          <cell r="DC117">
            <v>9841355402</v>
          </cell>
          <cell r="DD117" t="str">
            <v>Municipal Office</v>
          </cell>
          <cell r="DE117" t="str">
            <v>Pradip Poudel</v>
          </cell>
          <cell r="DF117" t="str">
            <v>Adminstration Officer</v>
          </cell>
          <cell r="DG117" t="str">
            <v/>
          </cell>
          <cell r="DH117" t="str">
            <v>NRA/GMALI</v>
          </cell>
          <cell r="DI117" t="str">
            <v>Samar Bahadur Khanal</v>
          </cell>
          <cell r="DJ117" t="str">
            <v>NRA Chief-District</v>
          </cell>
          <cell r="DK117">
            <v>9851209362</v>
          </cell>
          <cell r="DL117" t="str">
            <v>DLPIU-Building</v>
          </cell>
          <cell r="DM117" t="str">
            <v>Chandra Kaji Gurung</v>
          </cell>
          <cell r="DN117" t="str">
            <v>DUDBC.DLPIU Chief</v>
          </cell>
          <cell r="DO117">
            <v>9841576783</v>
          </cell>
          <cell r="DP117" t="str">
            <v>Municipal Office</v>
          </cell>
          <cell r="DQ117" t="str">
            <v>Khagendra Shrestha</v>
          </cell>
          <cell r="DR117" t="str">
            <v>Focal Person</v>
          </cell>
          <cell r="DS117">
            <v>9841921866</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v>190</v>
          </cell>
          <cell r="EK117">
            <v>76</v>
          </cell>
          <cell r="EL117">
            <v>114</v>
          </cell>
          <cell r="EM117">
            <v>114</v>
          </cell>
          <cell r="EN117">
            <v>0</v>
          </cell>
          <cell r="EO117">
            <v>114</v>
          </cell>
          <cell r="EP117" t="str">
            <v/>
          </cell>
          <cell r="EQ117" t="str">
            <v>Housing Recovery and Reconstruction Platform</v>
          </cell>
          <cell r="ER117" t="str">
            <v>Ambika Amatya</v>
          </cell>
          <cell r="ES117" t="str">
            <v>District Coordinator</v>
          </cell>
          <cell r="ET117">
            <v>9841356409</v>
          </cell>
          <cell r="EU117" t="str">
            <v>Housing Recovery and Reconstruction Platform</v>
          </cell>
          <cell r="EV117" t="str">
            <v>Manisha Rai</v>
          </cell>
          <cell r="EW117" t="str">
            <v>DIstrict Information Management Officer</v>
          </cell>
          <cell r="EX117">
            <v>9842062006</v>
          </cell>
          <cell r="EY117" t="str">
            <v>Housing Recovery and Reconstruction Platform</v>
          </cell>
          <cell r="EZ117" t="str">
            <v/>
          </cell>
          <cell r="FA117" t="str">
            <v>District Technical Officer</v>
          </cell>
          <cell r="FB117" t="str">
            <v/>
          </cell>
        </row>
        <row r="118">
          <cell r="A118">
            <v>27002</v>
          </cell>
          <cell r="B118" t="str">
            <v>Kathmandu</v>
          </cell>
          <cell r="C118" t="str">
            <v>Chandragiri Nagarpalika</v>
          </cell>
          <cell r="D118">
            <v>720</v>
          </cell>
          <cell r="E118">
            <v>5694</v>
          </cell>
          <cell r="F118">
            <v>6414</v>
          </cell>
          <cell r="G118" t="str">
            <v>Stone and cement mortar masonry</v>
          </cell>
          <cell r="H118">
            <v>1.9</v>
          </cell>
          <cell r="I118">
            <v>0.96</v>
          </cell>
          <cell r="J118" t="str">
            <v>Stone and Mud Mortar Masonary</v>
          </cell>
          <cell r="K118">
            <v>39.659999999999997</v>
          </cell>
          <cell r="L118">
            <v>26.47</v>
          </cell>
          <cell r="M118" t="str">
            <v>Brick and Cement Mortar Masonary</v>
          </cell>
          <cell r="N118">
            <v>6.8</v>
          </cell>
          <cell r="O118">
            <v>7.99</v>
          </cell>
          <cell r="P118" t="str">
            <v>Brick and mud mortar Masonry</v>
          </cell>
          <cell r="Q118">
            <v>16.59</v>
          </cell>
          <cell r="R118">
            <v>15.92</v>
          </cell>
          <cell r="S118" t="str">
            <v>Reinforced cement concrete (RCC) frame</v>
          </cell>
          <cell r="T118">
            <v>4.7699999999999996</v>
          </cell>
          <cell r="U118">
            <v>3.8</v>
          </cell>
          <cell r="V118" t="str">
            <v>Hybrid structure</v>
          </cell>
          <cell r="W118">
            <v>0</v>
          </cell>
          <cell r="X118">
            <v>0</v>
          </cell>
          <cell r="Y118" t="str">
            <v>Timber frame structure</v>
          </cell>
          <cell r="Z118">
            <v>0</v>
          </cell>
          <cell r="AA118">
            <v>0.03</v>
          </cell>
          <cell r="AB118" t="str">
            <v>Hollow concrete block Masonry</v>
          </cell>
          <cell r="AC118">
            <v>0</v>
          </cell>
          <cell r="AD118">
            <v>0</v>
          </cell>
          <cell r="AE118" t="str">
            <v>Dry stone Masonry</v>
          </cell>
          <cell r="AF118">
            <v>0.11</v>
          </cell>
          <cell r="AG118">
            <v>0.36</v>
          </cell>
          <cell r="AH118" t="str">
            <v>Adobe structures</v>
          </cell>
          <cell r="AI118">
            <v>30.14</v>
          </cell>
          <cell r="AJ118">
            <v>44.43</v>
          </cell>
          <cell r="AK118" t="str">
            <v>Bamboo</v>
          </cell>
          <cell r="AL118">
            <v>0.03</v>
          </cell>
          <cell r="AM118">
            <v>0.05</v>
          </cell>
          <cell r="AN118" t="str">
            <v>Compressed stabilized earth block (SCEB) Masonry</v>
          </cell>
          <cell r="AO118">
            <v>0</v>
          </cell>
          <cell r="AP118">
            <v>0</v>
          </cell>
          <cell r="AQ118" t="str">
            <v>Light steel frame structures</v>
          </cell>
          <cell r="AR118">
            <v>0</v>
          </cell>
          <cell r="AS118">
            <v>0</v>
          </cell>
          <cell r="AT118">
            <v>5695</v>
          </cell>
          <cell r="AU118">
            <v>4739</v>
          </cell>
          <cell r="AV118">
            <v>5007</v>
          </cell>
          <cell r="AW118">
            <v>1434</v>
          </cell>
          <cell r="AX118">
            <v>1042</v>
          </cell>
          <cell r="AY118" t="str">
            <v/>
          </cell>
          <cell r="AZ118" t="str">
            <v/>
          </cell>
          <cell r="BA118">
            <v>128</v>
          </cell>
          <cell r="BB118">
            <v>46</v>
          </cell>
          <cell r="BC118">
            <v>46</v>
          </cell>
          <cell r="BD118">
            <v>0</v>
          </cell>
          <cell r="BE118">
            <v>1291</v>
          </cell>
          <cell r="BF118">
            <v>695</v>
          </cell>
          <cell r="BG118" t="str">
            <v/>
          </cell>
          <cell r="BH118" t="str">
            <v/>
          </cell>
          <cell r="BI118" t="str">
            <v/>
          </cell>
          <cell r="BJ118" t="str">
            <v>LUMANTI(Rural Housing and Community Infrastructure,Urban Housing and Settlements,Water, Sanitation and Hygiene),OXFAM-GB(Rural Housing and Community Infrastructure)</v>
          </cell>
          <cell r="BK118">
            <v>36579</v>
          </cell>
          <cell r="BL118" t="str">
            <v/>
          </cell>
          <cell r="BM118" t="str">
            <v/>
          </cell>
          <cell r="BN118">
            <v>33500</v>
          </cell>
          <cell r="BO118" t="str">
            <v/>
          </cell>
          <cell r="BP118" t="str">
            <v/>
          </cell>
          <cell r="BQ118">
            <v>3871</v>
          </cell>
          <cell r="BR118" t="str">
            <v/>
          </cell>
          <cell r="BS118" t="str">
            <v/>
          </cell>
          <cell r="BT118">
            <v>4339</v>
          </cell>
          <cell r="BU118" t="str">
            <v/>
          </cell>
          <cell r="BV118" t="str">
            <v/>
          </cell>
          <cell r="BW118" t="str">
            <v/>
          </cell>
          <cell r="BX118" t="str">
            <v/>
          </cell>
          <cell r="BY118" t="str">
            <v/>
          </cell>
          <cell r="BZ118">
            <v>113566</v>
          </cell>
          <cell r="CA118" t="str">
            <v/>
          </cell>
          <cell r="CB118" t="str">
            <v/>
          </cell>
          <cell r="CC118">
            <v>405142</v>
          </cell>
          <cell r="CD118" t="str">
            <v/>
          </cell>
          <cell r="CE118" t="str">
            <v/>
          </cell>
          <cell r="CF118">
            <v>4647</v>
          </cell>
          <cell r="CG118" t="str">
            <v/>
          </cell>
          <cell r="CH118" t="str">
            <v/>
          </cell>
          <cell r="CI118">
            <v>949332</v>
          </cell>
          <cell r="CJ118" t="str">
            <v/>
          </cell>
          <cell r="CK118" t="str">
            <v/>
          </cell>
          <cell r="CL118" t="str">
            <v>Skilled</v>
          </cell>
          <cell r="CM118" t="str">
            <v/>
          </cell>
          <cell r="CN118" t="str">
            <v>Labor</v>
          </cell>
          <cell r="CO118" t="str">
            <v/>
          </cell>
          <cell r="CP118" t="str">
            <v/>
          </cell>
          <cell r="CQ118" t="str">
            <v/>
          </cell>
          <cell r="CR118" t="str">
            <v/>
          </cell>
          <cell r="CS118" t="str">
            <v/>
          </cell>
          <cell r="CT118" t="str">
            <v/>
          </cell>
          <cell r="CU118" t="str">
            <v/>
          </cell>
          <cell r="CV118" t="str">
            <v>Municipal Office</v>
          </cell>
          <cell r="CW118" t="str">
            <v>Ghanshyam Giri</v>
          </cell>
          <cell r="CX118" t="str">
            <v>Mayor</v>
          </cell>
          <cell r="CY118">
            <v>9851254006</v>
          </cell>
          <cell r="CZ118" t="str">
            <v>Municipal Office</v>
          </cell>
          <cell r="DA118" t="str">
            <v>Lisa Nakarmi</v>
          </cell>
          <cell r="DB118" t="str">
            <v>Deputy Mayor</v>
          </cell>
          <cell r="DC118">
            <v>9851254005</v>
          </cell>
          <cell r="DD118" t="str">
            <v>Municipal Office</v>
          </cell>
          <cell r="DE118" t="str">
            <v>Yubraj Poudel</v>
          </cell>
          <cell r="DF118" t="str">
            <v>Adminstration Officer</v>
          </cell>
          <cell r="DG118">
            <v>9851265111</v>
          </cell>
          <cell r="DH118" t="str">
            <v>NRA/GMALI</v>
          </cell>
          <cell r="DI118" t="str">
            <v>Samar Bahadur Khanal</v>
          </cell>
          <cell r="DJ118" t="str">
            <v>NRA Chief-District</v>
          </cell>
          <cell r="DK118">
            <v>9851209362</v>
          </cell>
          <cell r="DL118" t="str">
            <v>DLPIU-Building</v>
          </cell>
          <cell r="DM118" t="str">
            <v>Chandra Kaji Gurung</v>
          </cell>
          <cell r="DN118" t="str">
            <v>DUDBC.DLPIU Chief</v>
          </cell>
          <cell r="DO118">
            <v>9841576783</v>
          </cell>
          <cell r="DP118" t="str">
            <v>Municipal Office</v>
          </cell>
          <cell r="DQ118" t="str">
            <v>Pramila Gelal</v>
          </cell>
          <cell r="DR118" t="str">
            <v>Focal Person</v>
          </cell>
          <cell r="DS118">
            <v>9841637311</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v>375</v>
          </cell>
          <cell r="EK118">
            <v>61</v>
          </cell>
          <cell r="EL118">
            <v>314</v>
          </cell>
          <cell r="EM118">
            <v>225</v>
          </cell>
          <cell r="EN118">
            <v>0</v>
          </cell>
          <cell r="EO118">
            <v>225</v>
          </cell>
          <cell r="EP118" t="str">
            <v/>
          </cell>
          <cell r="EQ118" t="str">
            <v>Housing Recovery and Reconstruction Platform</v>
          </cell>
          <cell r="ER118" t="str">
            <v>Ambika Amatya</v>
          </cell>
          <cell r="ES118" t="str">
            <v>District Coordinator</v>
          </cell>
          <cell r="ET118">
            <v>9841356409</v>
          </cell>
          <cell r="EU118" t="str">
            <v>Housing Recovery and Reconstruction Platform</v>
          </cell>
          <cell r="EV118" t="str">
            <v>Manisha Rai</v>
          </cell>
          <cell r="EW118" t="str">
            <v>DIstrict Information Management Officer</v>
          </cell>
          <cell r="EX118">
            <v>9842062006</v>
          </cell>
          <cell r="EY118" t="str">
            <v>Housing Recovery and Reconstruction Platform</v>
          </cell>
          <cell r="EZ118" t="str">
            <v/>
          </cell>
          <cell r="FA118" t="str">
            <v>District Technical Officer</v>
          </cell>
          <cell r="FB118" t="str">
            <v/>
          </cell>
        </row>
        <row r="119">
          <cell r="A119">
            <v>27003</v>
          </cell>
          <cell r="B119" t="str">
            <v>Kathmandu</v>
          </cell>
          <cell r="C119" t="str">
            <v>Dakshinkali Nagarpalika</v>
          </cell>
          <cell r="D119">
            <v>96</v>
          </cell>
          <cell r="E119">
            <v>3446</v>
          </cell>
          <cell r="F119">
            <v>3542</v>
          </cell>
          <cell r="G119" t="str">
            <v>Stone and cement mortar masonry</v>
          </cell>
          <cell r="H119">
            <v>0.88</v>
          </cell>
          <cell r="I119">
            <v>0.96</v>
          </cell>
          <cell r="J119" t="str">
            <v>Stone and Mud Mortar Masonary</v>
          </cell>
          <cell r="K119">
            <v>66.44</v>
          </cell>
          <cell r="L119">
            <v>26.47</v>
          </cell>
          <cell r="M119" t="str">
            <v>Brick and Cement Mortar Masonary</v>
          </cell>
          <cell r="N119">
            <v>1.5</v>
          </cell>
          <cell r="O119">
            <v>7.99</v>
          </cell>
          <cell r="P119" t="str">
            <v>Brick and mud mortar Masonry</v>
          </cell>
          <cell r="Q119">
            <v>9.58</v>
          </cell>
          <cell r="R119">
            <v>15.92</v>
          </cell>
          <cell r="S119" t="str">
            <v>Reinforced cement concrete (RCC) frame</v>
          </cell>
          <cell r="T119">
            <v>0.4</v>
          </cell>
          <cell r="U119">
            <v>3.8</v>
          </cell>
          <cell r="V119" t="str">
            <v>Hybrid structure</v>
          </cell>
          <cell r="W119">
            <v>0</v>
          </cell>
          <cell r="X119">
            <v>0</v>
          </cell>
          <cell r="Y119" t="str">
            <v>Timber frame structure</v>
          </cell>
          <cell r="Z119">
            <v>0.06</v>
          </cell>
          <cell r="AA119">
            <v>0.03</v>
          </cell>
          <cell r="AB119" t="str">
            <v>Hollow concrete block Masonry</v>
          </cell>
          <cell r="AC119">
            <v>0</v>
          </cell>
          <cell r="AD119">
            <v>0</v>
          </cell>
          <cell r="AE119" t="str">
            <v>Dry stone Masonry</v>
          </cell>
          <cell r="AF119">
            <v>0.23</v>
          </cell>
          <cell r="AG119">
            <v>0.36</v>
          </cell>
          <cell r="AH119" t="str">
            <v>Adobe structures</v>
          </cell>
          <cell r="AI119">
            <v>20.76</v>
          </cell>
          <cell r="AJ119">
            <v>44.43</v>
          </cell>
          <cell r="AK119" t="str">
            <v>Bamboo</v>
          </cell>
          <cell r="AL119">
            <v>0.17</v>
          </cell>
          <cell r="AM119">
            <v>0.05</v>
          </cell>
          <cell r="AN119" t="str">
            <v>Compressed stabilized earth block (SCEB) Masonry</v>
          </cell>
          <cell r="AO119">
            <v>0</v>
          </cell>
          <cell r="AP119">
            <v>0</v>
          </cell>
          <cell r="AQ119" t="str">
            <v>Light steel frame structures</v>
          </cell>
          <cell r="AR119">
            <v>0</v>
          </cell>
          <cell r="AS119">
            <v>0</v>
          </cell>
          <cell r="AT119">
            <v>4085</v>
          </cell>
          <cell r="AU119">
            <v>3784</v>
          </cell>
          <cell r="AV119">
            <v>3758</v>
          </cell>
          <cell r="AW119">
            <v>1377</v>
          </cell>
          <cell r="AX119">
            <v>874</v>
          </cell>
          <cell r="AY119" t="str">
            <v/>
          </cell>
          <cell r="AZ119" t="str">
            <v/>
          </cell>
          <cell r="BA119">
            <v>52</v>
          </cell>
          <cell r="BB119">
            <v>30</v>
          </cell>
          <cell r="BC119">
            <v>29</v>
          </cell>
          <cell r="BD119">
            <v>0</v>
          </cell>
          <cell r="BE119">
            <v>1096</v>
          </cell>
          <cell r="BF119">
            <v>753</v>
          </cell>
          <cell r="BG119" t="str">
            <v/>
          </cell>
          <cell r="BH119" t="str">
            <v/>
          </cell>
          <cell r="BI119" t="str">
            <v/>
          </cell>
          <cell r="BJ119" t="str">
            <v>OXFAM-GB(Rural Housing and Community Infrastructure)</v>
          </cell>
          <cell r="BK119">
            <v>30168</v>
          </cell>
          <cell r="BL119" t="str">
            <v/>
          </cell>
          <cell r="BM119" t="str">
            <v/>
          </cell>
          <cell r="BN119">
            <v>30142</v>
          </cell>
          <cell r="BO119" t="str">
            <v/>
          </cell>
          <cell r="BP119" t="str">
            <v/>
          </cell>
          <cell r="BQ119">
            <v>3215</v>
          </cell>
          <cell r="BR119" t="str">
            <v/>
          </cell>
          <cell r="BS119" t="str">
            <v/>
          </cell>
          <cell r="BT119">
            <v>3689</v>
          </cell>
          <cell r="BU119" t="str">
            <v/>
          </cell>
          <cell r="BV119" t="str">
            <v/>
          </cell>
          <cell r="BW119" t="str">
            <v/>
          </cell>
          <cell r="BX119" t="str">
            <v/>
          </cell>
          <cell r="BY119" t="str">
            <v/>
          </cell>
          <cell r="BZ119">
            <v>101201</v>
          </cell>
          <cell r="CA119" t="str">
            <v/>
          </cell>
          <cell r="CB119" t="str">
            <v/>
          </cell>
          <cell r="CC119">
            <v>329836</v>
          </cell>
          <cell r="CD119" t="str">
            <v/>
          </cell>
          <cell r="CE119" t="str">
            <v/>
          </cell>
          <cell r="CF119">
            <v>4142</v>
          </cell>
          <cell r="CG119" t="str">
            <v/>
          </cell>
          <cell r="CH119" t="str">
            <v/>
          </cell>
          <cell r="CI119">
            <v>540137</v>
          </cell>
          <cell r="CJ119" t="str">
            <v/>
          </cell>
          <cell r="CK119" t="str">
            <v/>
          </cell>
          <cell r="CL119" t="str">
            <v>Skilled</v>
          </cell>
          <cell r="CM119" t="str">
            <v/>
          </cell>
          <cell r="CN119" t="str">
            <v>Labor</v>
          </cell>
          <cell r="CO119" t="str">
            <v/>
          </cell>
          <cell r="CP119" t="str">
            <v/>
          </cell>
          <cell r="CQ119" t="str">
            <v/>
          </cell>
          <cell r="CR119" t="str">
            <v/>
          </cell>
          <cell r="CS119" t="str">
            <v/>
          </cell>
          <cell r="CT119" t="str">
            <v/>
          </cell>
          <cell r="CU119" t="str">
            <v/>
          </cell>
          <cell r="CV119" t="str">
            <v>Municipal Office</v>
          </cell>
          <cell r="CW119" t="str">
            <v>Mohan Basnet</v>
          </cell>
          <cell r="CX119" t="str">
            <v>Mayor</v>
          </cell>
          <cell r="CY119">
            <v>9841615262</v>
          </cell>
          <cell r="CZ119" t="str">
            <v>Municipal Office</v>
          </cell>
          <cell r="DA119" t="str">
            <v>Basanti Tamang Dangol</v>
          </cell>
          <cell r="DB119" t="str">
            <v>Deputy Mayor</v>
          </cell>
          <cell r="DC119">
            <v>9841079893</v>
          </cell>
          <cell r="DD119" t="str">
            <v>Municipal Office</v>
          </cell>
          <cell r="DE119" t="str">
            <v>Tikaram Gnawali</v>
          </cell>
          <cell r="DF119" t="str">
            <v>Adminstration Officer</v>
          </cell>
          <cell r="DG119">
            <v>9851262111</v>
          </cell>
          <cell r="DH119" t="str">
            <v>NRA/GMALI</v>
          </cell>
          <cell r="DI119" t="str">
            <v>Samar Bahadur Khanal</v>
          </cell>
          <cell r="DJ119" t="str">
            <v>NRA Chief-District</v>
          </cell>
          <cell r="DK119">
            <v>9851209362</v>
          </cell>
          <cell r="DL119" t="str">
            <v>DLPIU-Building</v>
          </cell>
          <cell r="DM119" t="str">
            <v>Chandra Kaji Gurung</v>
          </cell>
          <cell r="DN119" t="str">
            <v>DUDBC.DLPIU Chief</v>
          </cell>
          <cell r="DO119">
            <v>9841576783</v>
          </cell>
          <cell r="DP119" t="str">
            <v>Municipal Office</v>
          </cell>
          <cell r="DQ119" t="str">
            <v>Manoj Budhathoki</v>
          </cell>
          <cell r="DR119" t="str">
            <v>Focal Person</v>
          </cell>
          <cell r="DS119">
            <v>9860205133</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v>255</v>
          </cell>
          <cell r="EK119">
            <v>70</v>
          </cell>
          <cell r="EL119">
            <v>185</v>
          </cell>
          <cell r="EM119">
            <v>150</v>
          </cell>
          <cell r="EN119">
            <v>0</v>
          </cell>
          <cell r="EO119">
            <v>150</v>
          </cell>
          <cell r="EP119" t="str">
            <v/>
          </cell>
          <cell r="EQ119" t="str">
            <v>Housing Recovery and Reconstruction Platform</v>
          </cell>
          <cell r="ER119" t="str">
            <v>Ambika Amatya</v>
          </cell>
          <cell r="ES119" t="str">
            <v>District Coordinator</v>
          </cell>
          <cell r="ET119">
            <v>9841356409</v>
          </cell>
          <cell r="EU119" t="str">
            <v>Housing Recovery and Reconstruction Platform</v>
          </cell>
          <cell r="EV119" t="str">
            <v>Manisha Rai</v>
          </cell>
          <cell r="EW119" t="str">
            <v>DIstrict Information Management Officer</v>
          </cell>
          <cell r="EX119">
            <v>9842062006</v>
          </cell>
          <cell r="EY119" t="str">
            <v>Housing Recovery and Reconstruction Platform</v>
          </cell>
          <cell r="EZ119" t="str">
            <v/>
          </cell>
          <cell r="FA119" t="str">
            <v>District Technical Officer</v>
          </cell>
          <cell r="FB119" t="str">
            <v/>
          </cell>
        </row>
        <row r="120">
          <cell r="A120">
            <v>27004</v>
          </cell>
          <cell r="B120" t="str">
            <v>Kathmandu</v>
          </cell>
          <cell r="C120" t="str">
            <v>Gokarneshwor Nagarpalika</v>
          </cell>
          <cell r="D120">
            <v>136</v>
          </cell>
          <cell r="E120">
            <v>2734</v>
          </cell>
          <cell r="F120">
            <v>2870</v>
          </cell>
          <cell r="G120" t="str">
            <v>Stone and cement mortar masonry</v>
          </cell>
          <cell r="H120">
            <v>0.42</v>
          </cell>
          <cell r="I120">
            <v>0.96</v>
          </cell>
          <cell r="J120" t="str">
            <v>Stone and Mud Mortar Masonary</v>
          </cell>
          <cell r="K120">
            <v>23.58</v>
          </cell>
          <cell r="L120">
            <v>26.47</v>
          </cell>
          <cell r="M120" t="str">
            <v>Brick and Cement Mortar Masonary</v>
          </cell>
          <cell r="N120">
            <v>6.46</v>
          </cell>
          <cell r="O120">
            <v>7.99</v>
          </cell>
          <cell r="P120" t="str">
            <v>Brick and mud mortar Masonry</v>
          </cell>
          <cell r="Q120">
            <v>7.16</v>
          </cell>
          <cell r="R120">
            <v>15.92</v>
          </cell>
          <cell r="S120" t="str">
            <v>Reinforced cement concrete (RCC) frame</v>
          </cell>
          <cell r="T120">
            <v>1.78</v>
          </cell>
          <cell r="U120">
            <v>3.8</v>
          </cell>
          <cell r="V120" t="str">
            <v>Hybrid structure</v>
          </cell>
          <cell r="W120">
            <v>0</v>
          </cell>
          <cell r="X120">
            <v>0</v>
          </cell>
          <cell r="Y120" t="str">
            <v>Timber frame structure</v>
          </cell>
          <cell r="Z120">
            <v>0</v>
          </cell>
          <cell r="AA120">
            <v>0.03</v>
          </cell>
          <cell r="AB120" t="str">
            <v>Hollow concrete block Masonry</v>
          </cell>
          <cell r="AC120">
            <v>0</v>
          </cell>
          <cell r="AD120">
            <v>0</v>
          </cell>
          <cell r="AE120" t="str">
            <v>Dry stone Masonry</v>
          </cell>
          <cell r="AF120">
            <v>0.24</v>
          </cell>
          <cell r="AG120">
            <v>0.36</v>
          </cell>
          <cell r="AH120" t="str">
            <v>Adobe structures</v>
          </cell>
          <cell r="AI120">
            <v>60.32</v>
          </cell>
          <cell r="AJ120">
            <v>44.43</v>
          </cell>
          <cell r="AK120" t="str">
            <v>Bamboo</v>
          </cell>
          <cell r="AL120">
            <v>0.03</v>
          </cell>
          <cell r="AM120">
            <v>0.05</v>
          </cell>
          <cell r="AN120" t="str">
            <v>Compressed stabilized earth block (SCEB) Masonry</v>
          </cell>
          <cell r="AO120">
            <v>0</v>
          </cell>
          <cell r="AP120">
            <v>0</v>
          </cell>
          <cell r="AQ120" t="str">
            <v>Light steel frame structures</v>
          </cell>
          <cell r="AR120">
            <v>0</v>
          </cell>
          <cell r="AS120">
            <v>0</v>
          </cell>
          <cell r="AT120">
            <v>2935</v>
          </cell>
          <cell r="AU120">
            <v>2523</v>
          </cell>
          <cell r="AV120">
            <v>2516</v>
          </cell>
          <cell r="AW120">
            <v>1332</v>
          </cell>
          <cell r="AX120">
            <v>1044</v>
          </cell>
          <cell r="AY120" t="str">
            <v/>
          </cell>
          <cell r="AZ120" t="str">
            <v/>
          </cell>
          <cell r="BA120">
            <v>20</v>
          </cell>
          <cell r="BB120">
            <v>7</v>
          </cell>
          <cell r="BC120">
            <v>7</v>
          </cell>
          <cell r="BD120">
            <v>0</v>
          </cell>
          <cell r="BE120">
            <v>1962</v>
          </cell>
          <cell r="BF120">
            <v>1158</v>
          </cell>
          <cell r="BG120" t="str">
            <v/>
          </cell>
          <cell r="BH120" t="str">
            <v/>
          </cell>
          <cell r="BI120" t="str">
            <v/>
          </cell>
          <cell r="BJ120" t="str">
            <v>PLAN(Education)</v>
          </cell>
          <cell r="BK120">
            <v>29650</v>
          </cell>
          <cell r="BL120" t="str">
            <v/>
          </cell>
          <cell r="BM120" t="str">
            <v/>
          </cell>
          <cell r="BN120">
            <v>23941</v>
          </cell>
          <cell r="BO120" t="str">
            <v/>
          </cell>
          <cell r="BP120" t="str">
            <v/>
          </cell>
          <cell r="BQ120">
            <v>3108</v>
          </cell>
          <cell r="BR120" t="str">
            <v/>
          </cell>
          <cell r="BS120" t="str">
            <v/>
          </cell>
          <cell r="BT120">
            <v>3375</v>
          </cell>
          <cell r="BU120" t="str">
            <v/>
          </cell>
          <cell r="BV120" t="str">
            <v/>
          </cell>
          <cell r="BW120" t="str">
            <v/>
          </cell>
          <cell r="BX120" t="str">
            <v/>
          </cell>
          <cell r="BY120" t="str">
            <v/>
          </cell>
          <cell r="BZ120">
            <v>82441</v>
          </cell>
          <cell r="CA120" t="str">
            <v/>
          </cell>
          <cell r="CB120" t="str">
            <v/>
          </cell>
          <cell r="CC120">
            <v>333912</v>
          </cell>
          <cell r="CD120" t="str">
            <v/>
          </cell>
          <cell r="CE120" t="str">
            <v/>
          </cell>
          <cell r="CF120">
            <v>3372</v>
          </cell>
          <cell r="CG120" t="str">
            <v/>
          </cell>
          <cell r="CH120" t="str">
            <v/>
          </cell>
          <cell r="CI120">
            <v>1083140</v>
          </cell>
          <cell r="CJ120" t="str">
            <v/>
          </cell>
          <cell r="CK120" t="str">
            <v/>
          </cell>
          <cell r="CL120" t="str">
            <v>Skilled</v>
          </cell>
          <cell r="CM120" t="str">
            <v/>
          </cell>
          <cell r="CN120" t="str">
            <v>Labor</v>
          </cell>
          <cell r="CO120" t="str">
            <v/>
          </cell>
          <cell r="CP120" t="str">
            <v/>
          </cell>
          <cell r="CQ120" t="str">
            <v/>
          </cell>
          <cell r="CR120" t="str">
            <v/>
          </cell>
          <cell r="CS120" t="str">
            <v/>
          </cell>
          <cell r="CT120" t="str">
            <v/>
          </cell>
          <cell r="CU120" t="str">
            <v/>
          </cell>
          <cell r="CV120" t="str">
            <v>Municipal Office</v>
          </cell>
          <cell r="CW120" t="str">
            <v>Santosh Chalise</v>
          </cell>
          <cell r="CX120" t="str">
            <v>Mayor</v>
          </cell>
          <cell r="CY120">
            <v>9841211933</v>
          </cell>
          <cell r="CZ120" t="str">
            <v>Municipal Office</v>
          </cell>
          <cell r="DA120" t="str">
            <v>Shanti Nepali</v>
          </cell>
          <cell r="DB120" t="str">
            <v>Deputy Mayor</v>
          </cell>
          <cell r="DC120">
            <v>9849236414</v>
          </cell>
          <cell r="DD120" t="str">
            <v>Municipal Office</v>
          </cell>
          <cell r="DE120" t="str">
            <v>Shishir Koirala</v>
          </cell>
          <cell r="DF120" t="str">
            <v>Adminstration Officer</v>
          </cell>
          <cell r="DG120">
            <v>9851078288</v>
          </cell>
          <cell r="DH120" t="str">
            <v>NRA/GMALI</v>
          </cell>
          <cell r="DI120" t="str">
            <v>Samar Bahadur Khanal</v>
          </cell>
          <cell r="DJ120" t="str">
            <v>NRA Chief-District</v>
          </cell>
          <cell r="DK120">
            <v>9851209362</v>
          </cell>
          <cell r="DL120" t="str">
            <v>DLPIU-Building</v>
          </cell>
          <cell r="DM120" t="str">
            <v>Chandra Kaji Gurung</v>
          </cell>
          <cell r="DN120" t="str">
            <v>DUDBC.DLPIU Chief</v>
          </cell>
          <cell r="DO120">
            <v>9841576783</v>
          </cell>
          <cell r="DP120" t="str">
            <v>Municipal Office</v>
          </cell>
          <cell r="DQ120" t="str">
            <v>Kusum Deo</v>
          </cell>
          <cell r="DR120" t="str">
            <v>Focal Person</v>
          </cell>
          <cell r="DS120">
            <v>9860292093</v>
          </cell>
          <cell r="DT120" t="str">
            <v/>
          </cell>
          <cell r="DU120" t="str">
            <v/>
          </cell>
          <cell r="DV120" t="str">
            <v/>
          </cell>
          <cell r="DW120" t="str">
            <v/>
          </cell>
          <cell r="DX120" t="str">
            <v/>
          </cell>
          <cell r="DY120" t="str">
            <v/>
          </cell>
          <cell r="DZ120" t="str">
            <v/>
          </cell>
          <cell r="EA120" t="str">
            <v/>
          </cell>
          <cell r="EB120" t="str">
            <v/>
          </cell>
          <cell r="EC120" t="str">
            <v/>
          </cell>
          <cell r="ED120" t="str">
            <v/>
          </cell>
          <cell r="EE120" t="str">
            <v/>
          </cell>
          <cell r="EF120" t="str">
            <v/>
          </cell>
          <cell r="EG120" t="str">
            <v/>
          </cell>
          <cell r="EH120" t="str">
            <v/>
          </cell>
          <cell r="EI120" t="str">
            <v/>
          </cell>
          <cell r="EJ120">
            <v>208</v>
          </cell>
          <cell r="EK120">
            <v>112</v>
          </cell>
          <cell r="EL120">
            <v>96</v>
          </cell>
          <cell r="EM120">
            <v>128</v>
          </cell>
          <cell r="EN120">
            <v>0</v>
          </cell>
          <cell r="EO120">
            <v>128</v>
          </cell>
          <cell r="EP120" t="str">
            <v/>
          </cell>
          <cell r="EQ120" t="str">
            <v>Housing Recovery and Reconstruction Platform</v>
          </cell>
          <cell r="ER120" t="str">
            <v>Ambika Amatya</v>
          </cell>
          <cell r="ES120" t="str">
            <v>District Coordinator</v>
          </cell>
          <cell r="ET120">
            <v>9841356409</v>
          </cell>
          <cell r="EU120" t="str">
            <v>Housing Recovery and Reconstruction Platform</v>
          </cell>
          <cell r="EV120" t="str">
            <v>Manisha Rai</v>
          </cell>
          <cell r="EW120" t="str">
            <v>DIstrict Information Management Officer</v>
          </cell>
          <cell r="EX120">
            <v>9842062006</v>
          </cell>
          <cell r="EY120" t="str">
            <v>Housing Recovery and Reconstruction Platform</v>
          </cell>
          <cell r="EZ120" t="str">
            <v/>
          </cell>
          <cell r="FA120" t="str">
            <v>District Technical Officer</v>
          </cell>
          <cell r="FB120" t="str">
            <v/>
          </cell>
        </row>
        <row r="121">
          <cell r="A121">
            <v>27005</v>
          </cell>
          <cell r="B121" t="str">
            <v>Kathmandu</v>
          </cell>
          <cell r="C121" t="str">
            <v>Kageshwori Manahora Nagarpalika</v>
          </cell>
          <cell r="D121">
            <v>257</v>
          </cell>
          <cell r="E121">
            <v>3484</v>
          </cell>
          <cell r="F121">
            <v>3741</v>
          </cell>
          <cell r="G121" t="str">
            <v>Stone and cement mortar masonry</v>
          </cell>
          <cell r="H121">
            <v>0.4</v>
          </cell>
          <cell r="I121">
            <v>0.96</v>
          </cell>
          <cell r="J121" t="str">
            <v>Stone and Mud Mortar Masonary</v>
          </cell>
          <cell r="K121">
            <v>4.68</v>
          </cell>
          <cell r="L121">
            <v>26.47</v>
          </cell>
          <cell r="M121" t="str">
            <v>Brick and Cement Mortar Masonary</v>
          </cell>
          <cell r="N121">
            <v>6.93</v>
          </cell>
          <cell r="O121">
            <v>7.99</v>
          </cell>
          <cell r="P121" t="str">
            <v>Brick and mud mortar Masonry</v>
          </cell>
          <cell r="Q121">
            <v>5.75</v>
          </cell>
          <cell r="R121">
            <v>15.92</v>
          </cell>
          <cell r="S121" t="str">
            <v>Reinforced cement concrete (RCC) frame</v>
          </cell>
          <cell r="T121">
            <v>2.78</v>
          </cell>
          <cell r="U121">
            <v>3.8</v>
          </cell>
          <cell r="V121" t="str">
            <v>Hybrid structure</v>
          </cell>
          <cell r="W121">
            <v>0</v>
          </cell>
          <cell r="X121">
            <v>0</v>
          </cell>
          <cell r="Y121" t="str">
            <v>Timber frame structure</v>
          </cell>
          <cell r="Z121">
            <v>0</v>
          </cell>
          <cell r="AA121">
            <v>0.03</v>
          </cell>
          <cell r="AB121" t="str">
            <v>Hollow concrete block Masonry</v>
          </cell>
          <cell r="AC121">
            <v>0</v>
          </cell>
          <cell r="AD121">
            <v>0</v>
          </cell>
          <cell r="AE121" t="str">
            <v>Dry stone Masonry</v>
          </cell>
          <cell r="AF121">
            <v>0</v>
          </cell>
          <cell r="AG121">
            <v>0.36</v>
          </cell>
          <cell r="AH121" t="str">
            <v>Adobe structures</v>
          </cell>
          <cell r="AI121">
            <v>79.459999999999994</v>
          </cell>
          <cell r="AJ121">
            <v>44.43</v>
          </cell>
          <cell r="AK121" t="str">
            <v>Bamboo</v>
          </cell>
          <cell r="AL121">
            <v>0</v>
          </cell>
          <cell r="AM121">
            <v>0.05</v>
          </cell>
          <cell r="AN121" t="str">
            <v>Compressed stabilized earth block (SCEB) Masonry</v>
          </cell>
          <cell r="AO121">
            <v>0</v>
          </cell>
          <cell r="AP121">
            <v>0</v>
          </cell>
          <cell r="AQ121" t="str">
            <v>Light steel frame structures</v>
          </cell>
          <cell r="AR121">
            <v>0</v>
          </cell>
          <cell r="AS121">
            <v>0</v>
          </cell>
          <cell r="AT121">
            <v>3667</v>
          </cell>
          <cell r="AU121">
            <v>3279</v>
          </cell>
          <cell r="AV121">
            <v>3257</v>
          </cell>
          <cell r="AW121">
            <v>1651</v>
          </cell>
          <cell r="AX121">
            <v>967</v>
          </cell>
          <cell r="AY121" t="str">
            <v/>
          </cell>
          <cell r="AZ121" t="str">
            <v/>
          </cell>
          <cell r="BA121">
            <v>75</v>
          </cell>
          <cell r="BB121">
            <v>23</v>
          </cell>
          <cell r="BC121">
            <v>23</v>
          </cell>
          <cell r="BD121">
            <v>0</v>
          </cell>
          <cell r="BE121">
            <v>813</v>
          </cell>
          <cell r="BF121">
            <v>775</v>
          </cell>
          <cell r="BG121" t="str">
            <v/>
          </cell>
          <cell r="BH121" t="str">
            <v/>
          </cell>
          <cell r="BI121" t="str">
            <v>NRCS(Health),NSET(Rural Housing and Community Infrastructure)</v>
          </cell>
          <cell r="BJ121" t="str">
            <v/>
          </cell>
          <cell r="BK121">
            <v>32322</v>
          </cell>
          <cell r="BL121" t="str">
            <v/>
          </cell>
          <cell r="BM121" t="str">
            <v/>
          </cell>
          <cell r="BN121">
            <v>29687</v>
          </cell>
          <cell r="BO121" t="str">
            <v/>
          </cell>
          <cell r="BP121" t="str">
            <v/>
          </cell>
          <cell r="BQ121">
            <v>3420</v>
          </cell>
          <cell r="BR121" t="str">
            <v/>
          </cell>
          <cell r="BS121" t="str">
            <v/>
          </cell>
          <cell r="BT121">
            <v>3833</v>
          </cell>
          <cell r="BU121" t="str">
            <v/>
          </cell>
          <cell r="BV121" t="str">
            <v/>
          </cell>
          <cell r="BW121" t="str">
            <v/>
          </cell>
          <cell r="BX121" t="str">
            <v/>
          </cell>
          <cell r="BY121" t="str">
            <v/>
          </cell>
          <cell r="BZ121">
            <v>99985</v>
          </cell>
          <cell r="CA121" t="str">
            <v/>
          </cell>
          <cell r="CB121" t="str">
            <v/>
          </cell>
          <cell r="CC121">
            <v>357003</v>
          </cell>
          <cell r="CD121" t="str">
            <v/>
          </cell>
          <cell r="CE121" t="str">
            <v/>
          </cell>
          <cell r="CF121">
            <v>4087</v>
          </cell>
          <cell r="CG121" t="str">
            <v/>
          </cell>
          <cell r="CH121" t="str">
            <v/>
          </cell>
          <cell r="CI121">
            <v>735058</v>
          </cell>
          <cell r="CJ121" t="str">
            <v/>
          </cell>
          <cell r="CK121" t="str">
            <v/>
          </cell>
          <cell r="CL121" t="str">
            <v>Skilled</v>
          </cell>
          <cell r="CM121" t="str">
            <v/>
          </cell>
          <cell r="CN121" t="str">
            <v>Labor</v>
          </cell>
          <cell r="CO121" t="str">
            <v/>
          </cell>
          <cell r="CP121" t="str">
            <v/>
          </cell>
          <cell r="CQ121" t="str">
            <v/>
          </cell>
          <cell r="CR121" t="str">
            <v/>
          </cell>
          <cell r="CS121" t="str">
            <v/>
          </cell>
          <cell r="CT121" t="str">
            <v/>
          </cell>
          <cell r="CU121" t="str">
            <v/>
          </cell>
          <cell r="CV121" t="str">
            <v>Municipal Office</v>
          </cell>
          <cell r="CW121" t="str">
            <v>Krishnahari Thapa</v>
          </cell>
          <cell r="CX121" t="str">
            <v>Mayor</v>
          </cell>
          <cell r="CY121">
            <v>9851027121</v>
          </cell>
          <cell r="CZ121" t="str">
            <v>Municipal Office</v>
          </cell>
          <cell r="DA121" t="str">
            <v>Bindu Pudasaini (Simkhada)</v>
          </cell>
          <cell r="DB121" t="str">
            <v>Deputy Mayor</v>
          </cell>
          <cell r="DC121">
            <v>9843015799</v>
          </cell>
          <cell r="DD121" t="str">
            <v>Municipal Office</v>
          </cell>
          <cell r="DE121" t="str">
            <v>Indra Gautam</v>
          </cell>
          <cell r="DF121" t="str">
            <v>Adminstration Officer</v>
          </cell>
          <cell r="DG121">
            <v>9851250014</v>
          </cell>
          <cell r="DH121" t="str">
            <v>NRA/GMALI</v>
          </cell>
          <cell r="DI121" t="str">
            <v>Samar Bahadur Khanal</v>
          </cell>
          <cell r="DJ121" t="str">
            <v>NRA Chief-District</v>
          </cell>
          <cell r="DK121">
            <v>9851209362</v>
          </cell>
          <cell r="DL121" t="str">
            <v>DLPIU-Building</v>
          </cell>
          <cell r="DM121" t="str">
            <v>Chandra Kaji Gurung</v>
          </cell>
          <cell r="DN121" t="str">
            <v>DUDBC.DLPIU Chief</v>
          </cell>
          <cell r="DO121">
            <v>9841576783</v>
          </cell>
          <cell r="DP121" t="str">
            <v>Municipal Office</v>
          </cell>
          <cell r="DQ121" t="str">
            <v>Deepa Karki</v>
          </cell>
          <cell r="DR121" t="str">
            <v>Focal Person</v>
          </cell>
          <cell r="DS121">
            <v>9860478843</v>
          </cell>
          <cell r="DT121" t="str">
            <v/>
          </cell>
          <cell r="DU121" t="str">
            <v/>
          </cell>
          <cell r="DV121" t="str">
            <v/>
          </cell>
          <cell r="DW121" t="str">
            <v/>
          </cell>
          <cell r="DX121" t="str">
            <v/>
          </cell>
          <cell r="DY121" t="str">
            <v/>
          </cell>
          <cell r="DZ121" t="str">
            <v/>
          </cell>
          <cell r="EA121" t="str">
            <v/>
          </cell>
          <cell r="EB121" t="str">
            <v/>
          </cell>
          <cell r="EC121" t="str">
            <v/>
          </cell>
          <cell r="ED121" t="str">
            <v/>
          </cell>
          <cell r="EE121" t="str">
            <v/>
          </cell>
          <cell r="EF121" t="str">
            <v/>
          </cell>
          <cell r="EG121" t="str">
            <v/>
          </cell>
          <cell r="EH121" t="str">
            <v/>
          </cell>
          <cell r="EI121" t="str">
            <v/>
          </cell>
          <cell r="EJ121">
            <v>240</v>
          </cell>
          <cell r="EK121">
            <v>262</v>
          </cell>
          <cell r="EL121">
            <v>-22</v>
          </cell>
          <cell r="EM121">
            <v>144</v>
          </cell>
          <cell r="EN121">
            <v>0</v>
          </cell>
          <cell r="EO121">
            <v>144</v>
          </cell>
          <cell r="EP121" t="str">
            <v/>
          </cell>
          <cell r="EQ121" t="str">
            <v>Housing Recovery and Reconstruction Platform</v>
          </cell>
          <cell r="ER121" t="str">
            <v>Ambika Amatya</v>
          </cell>
          <cell r="ES121" t="str">
            <v>District Coordinator</v>
          </cell>
          <cell r="ET121">
            <v>9841356409</v>
          </cell>
          <cell r="EU121" t="str">
            <v>Housing Recovery and Reconstruction Platform</v>
          </cell>
          <cell r="EV121" t="str">
            <v>Manisha Rai</v>
          </cell>
          <cell r="EW121" t="str">
            <v>DIstrict Information Management Officer</v>
          </cell>
          <cell r="EX121">
            <v>9842062006</v>
          </cell>
          <cell r="EY121" t="str">
            <v>Housing Recovery and Reconstruction Platform</v>
          </cell>
          <cell r="EZ121" t="str">
            <v/>
          </cell>
          <cell r="FA121" t="str">
            <v>District Technical Officer</v>
          </cell>
          <cell r="FB121" t="str">
            <v/>
          </cell>
        </row>
        <row r="122">
          <cell r="A122">
            <v>27006</v>
          </cell>
          <cell r="B122" t="str">
            <v>Kathmandu</v>
          </cell>
          <cell r="C122" t="str">
            <v>Kathmandu Mahanagarpalika</v>
          </cell>
          <cell r="D122">
            <v>917</v>
          </cell>
          <cell r="E122">
            <v>7821</v>
          </cell>
          <cell r="F122">
            <v>8738</v>
          </cell>
          <cell r="G122" t="str">
            <v>Stone and cement mortar masonry</v>
          </cell>
          <cell r="H122">
            <v>1.52</v>
          </cell>
          <cell r="I122">
            <v>0.96</v>
          </cell>
          <cell r="J122" t="str">
            <v>Stone and Mud Mortar Masonary</v>
          </cell>
          <cell r="K122">
            <v>4.3499999999999996</v>
          </cell>
          <cell r="L122">
            <v>26.47</v>
          </cell>
          <cell r="M122" t="str">
            <v>Brick and Cement Mortar Masonary</v>
          </cell>
          <cell r="N122">
            <v>12.83</v>
          </cell>
          <cell r="O122">
            <v>7.99</v>
          </cell>
          <cell r="P122" t="str">
            <v>Brick and mud mortar Masonry</v>
          </cell>
          <cell r="Q122">
            <v>34.69</v>
          </cell>
          <cell r="R122">
            <v>15.92</v>
          </cell>
          <cell r="S122" t="str">
            <v>Reinforced cement concrete (RCC) frame</v>
          </cell>
          <cell r="T122">
            <v>5.2</v>
          </cell>
          <cell r="U122">
            <v>3.8</v>
          </cell>
          <cell r="V122" t="str">
            <v>Hybrid structure</v>
          </cell>
          <cell r="W122">
            <v>0</v>
          </cell>
          <cell r="X122">
            <v>0</v>
          </cell>
          <cell r="Y122" t="str">
            <v>Timber frame structure</v>
          </cell>
          <cell r="Z122">
            <v>0.03</v>
          </cell>
          <cell r="AA122">
            <v>0.03</v>
          </cell>
          <cell r="AB122" t="str">
            <v>Hollow concrete block Masonry</v>
          </cell>
          <cell r="AC122">
            <v>0</v>
          </cell>
          <cell r="AD122">
            <v>0</v>
          </cell>
          <cell r="AE122" t="str">
            <v>Dry stone Masonry</v>
          </cell>
          <cell r="AF122">
            <v>0.09</v>
          </cell>
          <cell r="AG122">
            <v>0.36</v>
          </cell>
          <cell r="AH122" t="str">
            <v>Adobe structures</v>
          </cell>
          <cell r="AI122">
            <v>41.27</v>
          </cell>
          <cell r="AJ122">
            <v>44.43</v>
          </cell>
          <cell r="AK122" t="str">
            <v>Bamboo</v>
          </cell>
          <cell r="AL122">
            <v>0.02</v>
          </cell>
          <cell r="AM122">
            <v>0.05</v>
          </cell>
          <cell r="AN122" t="str">
            <v>Compressed stabilized earth block (SCEB) Masonry</v>
          </cell>
          <cell r="AO122">
            <v>0</v>
          </cell>
          <cell r="AP122">
            <v>0</v>
          </cell>
          <cell r="AQ122" t="str">
            <v>Light steel frame structures</v>
          </cell>
          <cell r="AR122">
            <v>0</v>
          </cell>
          <cell r="AS122">
            <v>0</v>
          </cell>
          <cell r="AT122">
            <v>7496</v>
          </cell>
          <cell r="AU122">
            <v>5973</v>
          </cell>
          <cell r="AV122">
            <v>5944</v>
          </cell>
          <cell r="AW122">
            <v>1378</v>
          </cell>
          <cell r="AX122">
            <v>1095</v>
          </cell>
          <cell r="AY122" t="str">
            <v/>
          </cell>
          <cell r="AZ122" t="str">
            <v/>
          </cell>
          <cell r="BA122">
            <v>173</v>
          </cell>
          <cell r="BB122">
            <v>30</v>
          </cell>
          <cell r="BC122">
            <v>30</v>
          </cell>
          <cell r="BD122">
            <v>0</v>
          </cell>
          <cell r="BE122" t="str">
            <v/>
          </cell>
          <cell r="BF122" t="str">
            <v/>
          </cell>
          <cell r="BG122" t="str">
            <v/>
          </cell>
          <cell r="BH122" t="str">
            <v/>
          </cell>
          <cell r="BI122" t="str">
            <v>NRCS(Agriculture, Livestock Development and Irrigation,Education,Employment and Livelihood,Health,Rural Housing and Community Infrastructure,Water, Sanitation and Hygiene),NSET(Rural Housing and Community Infrastructure)</v>
          </cell>
          <cell r="BJ122" t="str">
            <v>AATWIN(Social Protection),MIDSON(Health),Miyamoto(Cultural Heritage),</v>
          </cell>
          <cell r="BK122">
            <v>48450</v>
          </cell>
          <cell r="BL122" t="str">
            <v/>
          </cell>
          <cell r="BM122" t="str">
            <v/>
          </cell>
          <cell r="BN122">
            <v>33118</v>
          </cell>
          <cell r="BO122" t="str">
            <v/>
          </cell>
          <cell r="BP122" t="str">
            <v/>
          </cell>
          <cell r="BQ122">
            <v>5024</v>
          </cell>
          <cell r="BR122" t="str">
            <v/>
          </cell>
          <cell r="BS122" t="str">
            <v/>
          </cell>
          <cell r="BT122">
            <v>5247</v>
          </cell>
          <cell r="BU122" t="str">
            <v/>
          </cell>
          <cell r="BV122" t="str">
            <v/>
          </cell>
          <cell r="BW122" t="str">
            <v/>
          </cell>
          <cell r="BX122" t="str">
            <v/>
          </cell>
          <cell r="BY122" t="str">
            <v/>
          </cell>
          <cell r="BZ122">
            <v>116057</v>
          </cell>
          <cell r="CA122" t="str">
            <v/>
          </cell>
          <cell r="CB122" t="str">
            <v/>
          </cell>
          <cell r="CC122">
            <v>555007</v>
          </cell>
          <cell r="CD122" t="str">
            <v/>
          </cell>
          <cell r="CE122" t="str">
            <v/>
          </cell>
          <cell r="CF122">
            <v>4740</v>
          </cell>
          <cell r="CG122" t="str">
            <v/>
          </cell>
          <cell r="CH122" t="str">
            <v/>
          </cell>
          <cell r="CI122">
            <v>2249336</v>
          </cell>
          <cell r="CJ122" t="str">
            <v/>
          </cell>
          <cell r="CK122" t="str">
            <v/>
          </cell>
          <cell r="CL122" t="str">
            <v>Skilled</v>
          </cell>
          <cell r="CM122" t="str">
            <v/>
          </cell>
          <cell r="CN122" t="str">
            <v>Labor</v>
          </cell>
          <cell r="CO122" t="str">
            <v/>
          </cell>
          <cell r="CP122" t="str">
            <v/>
          </cell>
          <cell r="CQ122" t="str">
            <v/>
          </cell>
          <cell r="CR122" t="str">
            <v/>
          </cell>
          <cell r="CS122" t="str">
            <v/>
          </cell>
          <cell r="CT122" t="str">
            <v/>
          </cell>
          <cell r="CU122" t="str">
            <v/>
          </cell>
          <cell r="CV122" t="str">
            <v>Municipal Office</v>
          </cell>
          <cell r="CW122" t="str">
            <v>Bidhya Sundar Shakya</v>
          </cell>
          <cell r="CX122" t="str">
            <v>Mayor</v>
          </cell>
          <cell r="CY122" t="str">
            <v/>
          </cell>
          <cell r="CZ122" t="str">
            <v>Municipal Office</v>
          </cell>
          <cell r="DA122" t="str">
            <v>Hari Prabha Khagdi Shrestha</v>
          </cell>
          <cell r="DB122" t="str">
            <v>Deputy Mayor</v>
          </cell>
          <cell r="DC122" t="str">
            <v/>
          </cell>
          <cell r="DD122" t="str">
            <v>Municipal Office</v>
          </cell>
          <cell r="DE122" t="str">
            <v>Yadab Prasad Koirala</v>
          </cell>
          <cell r="DF122" t="str">
            <v>Adminstration Officer</v>
          </cell>
          <cell r="DG122" t="str">
            <v/>
          </cell>
          <cell r="DH122" t="str">
            <v>NRA/GMALI</v>
          </cell>
          <cell r="DI122" t="str">
            <v>Samar Bahadur Khanal</v>
          </cell>
          <cell r="DJ122" t="str">
            <v>NRA Chief-District</v>
          </cell>
          <cell r="DK122">
            <v>9851209362</v>
          </cell>
          <cell r="DL122" t="str">
            <v>DLPIU-Building</v>
          </cell>
          <cell r="DM122" t="str">
            <v>Chandra Kaji Gurung</v>
          </cell>
          <cell r="DN122" t="str">
            <v>DUDBC.DLPIU Chief</v>
          </cell>
          <cell r="DO122">
            <v>9841576783</v>
          </cell>
          <cell r="DP122" t="str">
            <v>Municipal Office</v>
          </cell>
          <cell r="DQ122" t="str">
            <v>Kanta Majgaiya</v>
          </cell>
          <cell r="DR122" t="str">
            <v>Focal Person</v>
          </cell>
          <cell r="DS122">
            <v>9841623825</v>
          </cell>
          <cell r="DT122" t="str">
            <v/>
          </cell>
          <cell r="DU122" t="str">
            <v/>
          </cell>
          <cell r="DV122" t="str">
            <v/>
          </cell>
          <cell r="DW122" t="str">
            <v/>
          </cell>
          <cell r="DX122" t="str">
            <v/>
          </cell>
          <cell r="DY122" t="str">
            <v/>
          </cell>
          <cell r="DZ122" t="str">
            <v/>
          </cell>
          <cell r="EA122" t="str">
            <v/>
          </cell>
          <cell r="EB122" t="str">
            <v/>
          </cell>
          <cell r="EC122" t="str">
            <v/>
          </cell>
          <cell r="ED122" t="str">
            <v/>
          </cell>
          <cell r="EE122" t="str">
            <v/>
          </cell>
          <cell r="EF122" t="str">
            <v/>
          </cell>
          <cell r="EG122" t="str">
            <v/>
          </cell>
          <cell r="EH122" t="str">
            <v/>
          </cell>
          <cell r="EI122" t="str">
            <v/>
          </cell>
          <cell r="EJ122">
            <v>525</v>
          </cell>
          <cell r="EK122">
            <v>713</v>
          </cell>
          <cell r="EL122">
            <v>-188</v>
          </cell>
          <cell r="EM122">
            <v>315</v>
          </cell>
          <cell r="EN122">
            <v>0</v>
          </cell>
          <cell r="EO122">
            <v>315</v>
          </cell>
          <cell r="EP122" t="str">
            <v/>
          </cell>
          <cell r="EQ122" t="str">
            <v>Housing Recovery and Reconstruction Platform</v>
          </cell>
          <cell r="ER122" t="str">
            <v>Ambika Amatya</v>
          </cell>
          <cell r="ES122" t="str">
            <v>District Coordinator</v>
          </cell>
          <cell r="ET122">
            <v>9841356409</v>
          </cell>
          <cell r="EU122" t="str">
            <v>Housing Recovery and Reconstruction Platform</v>
          </cell>
          <cell r="EV122" t="str">
            <v>Manisha Rai</v>
          </cell>
          <cell r="EW122" t="str">
            <v>DIstrict Information Management Officer</v>
          </cell>
          <cell r="EX122">
            <v>9842062006</v>
          </cell>
          <cell r="EY122" t="str">
            <v>Housing Recovery and Reconstruction Platform</v>
          </cell>
          <cell r="EZ122" t="str">
            <v/>
          </cell>
          <cell r="FA122" t="str">
            <v>District Technical Officer</v>
          </cell>
          <cell r="FB122" t="str">
            <v/>
          </cell>
        </row>
        <row r="123">
          <cell r="A123">
            <v>27007</v>
          </cell>
          <cell r="B123" t="str">
            <v>Kathmandu</v>
          </cell>
          <cell r="C123" t="str">
            <v>Kirtipur Nagarpalika</v>
          </cell>
          <cell r="D123">
            <v>433</v>
          </cell>
          <cell r="E123">
            <v>3325</v>
          </cell>
          <cell r="F123">
            <v>3758</v>
          </cell>
          <cell r="G123" t="str">
            <v>Stone and cement mortar masonry</v>
          </cell>
          <cell r="H123">
            <v>0.67</v>
          </cell>
          <cell r="I123">
            <v>0.96</v>
          </cell>
          <cell r="J123" t="str">
            <v>Stone and Mud Mortar Masonary</v>
          </cell>
          <cell r="K123">
            <v>19.72</v>
          </cell>
          <cell r="L123">
            <v>26.47</v>
          </cell>
          <cell r="M123" t="str">
            <v>Brick and Cement Mortar Masonary</v>
          </cell>
          <cell r="N123">
            <v>8.59</v>
          </cell>
          <cell r="O123">
            <v>7.99</v>
          </cell>
          <cell r="P123" t="str">
            <v>Brick and mud mortar Masonry</v>
          </cell>
          <cell r="Q123">
            <v>20.38</v>
          </cell>
          <cell r="R123">
            <v>15.92</v>
          </cell>
          <cell r="S123" t="str">
            <v>Reinforced cement concrete (RCC) frame</v>
          </cell>
          <cell r="T123">
            <v>3.86</v>
          </cell>
          <cell r="U123">
            <v>3.8</v>
          </cell>
          <cell r="V123" t="str">
            <v>Hybrid structure</v>
          </cell>
          <cell r="W123">
            <v>0</v>
          </cell>
          <cell r="X123">
            <v>0</v>
          </cell>
          <cell r="Y123" t="str">
            <v>Timber frame structure</v>
          </cell>
          <cell r="Z123">
            <v>0</v>
          </cell>
          <cell r="AA123">
            <v>0.03</v>
          </cell>
          <cell r="AB123" t="str">
            <v>Hollow concrete block Masonry</v>
          </cell>
          <cell r="AC123">
            <v>0</v>
          </cell>
          <cell r="AD123">
            <v>0</v>
          </cell>
          <cell r="AE123" t="str">
            <v>Dry stone Masonry</v>
          </cell>
          <cell r="AF123">
            <v>0.05</v>
          </cell>
          <cell r="AG123">
            <v>0.36</v>
          </cell>
          <cell r="AH123" t="str">
            <v>Adobe structures</v>
          </cell>
          <cell r="AI123">
            <v>46.67</v>
          </cell>
          <cell r="AJ123">
            <v>44.43</v>
          </cell>
          <cell r="AK123" t="str">
            <v>Bamboo</v>
          </cell>
          <cell r="AL123">
            <v>0.05</v>
          </cell>
          <cell r="AM123">
            <v>0.05</v>
          </cell>
          <cell r="AN123" t="str">
            <v>Compressed stabilized earth block (SCEB) Masonry</v>
          </cell>
          <cell r="AO123">
            <v>0</v>
          </cell>
          <cell r="AP123">
            <v>0</v>
          </cell>
          <cell r="AQ123" t="str">
            <v>Light steel frame structures</v>
          </cell>
          <cell r="AR123">
            <v>0</v>
          </cell>
          <cell r="AS123">
            <v>0</v>
          </cell>
          <cell r="AT123">
            <v>2935</v>
          </cell>
          <cell r="AU123">
            <v>2475</v>
          </cell>
          <cell r="AV123">
            <v>2460</v>
          </cell>
          <cell r="AW123">
            <v>912</v>
          </cell>
          <cell r="AX123">
            <v>722</v>
          </cell>
          <cell r="AY123" t="str">
            <v/>
          </cell>
          <cell r="AZ123" t="str">
            <v/>
          </cell>
          <cell r="BA123">
            <v>44</v>
          </cell>
          <cell r="BB123">
            <v>16</v>
          </cell>
          <cell r="BC123">
            <v>16</v>
          </cell>
          <cell r="BD123">
            <v>0</v>
          </cell>
          <cell r="BE123">
            <v>1275</v>
          </cell>
          <cell r="BF123">
            <v>208</v>
          </cell>
          <cell r="BG123" t="str">
            <v/>
          </cell>
          <cell r="BH123" t="str">
            <v/>
          </cell>
          <cell r="BI123" t="str">
            <v/>
          </cell>
          <cell r="BJ123" t="str">
            <v>AA(Disaster Risk Management,Education,Employment and Livelihood,Gender Equality and Social Inclusion),OXFAM-GB(Rural Housing and Community Infrastructure),PLAN(Gender Equality and Social Inclusion)</v>
          </cell>
          <cell r="BK123">
            <v>31533</v>
          </cell>
          <cell r="BL123" t="str">
            <v/>
          </cell>
          <cell r="BM123" t="str">
            <v/>
          </cell>
          <cell r="BN123">
            <v>28910</v>
          </cell>
          <cell r="BO123" t="str">
            <v/>
          </cell>
          <cell r="BP123" t="str">
            <v/>
          </cell>
          <cell r="BQ123">
            <v>3336</v>
          </cell>
          <cell r="BR123" t="str">
            <v/>
          </cell>
          <cell r="BS123" t="str">
            <v/>
          </cell>
          <cell r="BT123">
            <v>3738</v>
          </cell>
          <cell r="BU123" t="str">
            <v/>
          </cell>
          <cell r="BV123" t="str">
            <v/>
          </cell>
          <cell r="BW123" t="str">
            <v/>
          </cell>
          <cell r="BX123" t="str">
            <v/>
          </cell>
          <cell r="BY123" t="str">
            <v/>
          </cell>
          <cell r="BZ123">
            <v>97399</v>
          </cell>
          <cell r="CA123" t="str">
            <v/>
          </cell>
          <cell r="CB123" t="str">
            <v/>
          </cell>
          <cell r="CC123">
            <v>348394</v>
          </cell>
          <cell r="CD123" t="str">
            <v/>
          </cell>
          <cell r="CE123" t="str">
            <v/>
          </cell>
          <cell r="CF123">
            <v>3982</v>
          </cell>
          <cell r="CG123" t="str">
            <v/>
          </cell>
          <cell r="CH123" t="str">
            <v/>
          </cell>
          <cell r="CI123">
            <v>723951</v>
          </cell>
          <cell r="CJ123" t="str">
            <v/>
          </cell>
          <cell r="CK123" t="str">
            <v/>
          </cell>
          <cell r="CL123" t="str">
            <v>Skilled</v>
          </cell>
          <cell r="CM123" t="str">
            <v/>
          </cell>
          <cell r="CN123" t="str">
            <v>Labor</v>
          </cell>
          <cell r="CO123" t="str">
            <v/>
          </cell>
          <cell r="CP123" t="str">
            <v/>
          </cell>
          <cell r="CQ123" t="str">
            <v/>
          </cell>
          <cell r="CR123" t="str">
            <v/>
          </cell>
          <cell r="CS123" t="str">
            <v/>
          </cell>
          <cell r="CT123" t="str">
            <v/>
          </cell>
          <cell r="CU123" t="str">
            <v/>
          </cell>
          <cell r="CV123" t="str">
            <v>Municipal Office</v>
          </cell>
          <cell r="CW123" t="str">
            <v>Ramesh Maharjan</v>
          </cell>
          <cell r="CX123" t="str">
            <v>Mayor</v>
          </cell>
          <cell r="CY123">
            <v>9851025125</v>
          </cell>
          <cell r="CZ123" t="str">
            <v>Municipal Office</v>
          </cell>
          <cell r="DA123" t="str">
            <v>Saraswoti Khadka</v>
          </cell>
          <cell r="DB123" t="str">
            <v>Deputy Mayor</v>
          </cell>
          <cell r="DC123">
            <v>9843222716</v>
          </cell>
          <cell r="DD123" t="str">
            <v>Municipal Office</v>
          </cell>
          <cell r="DE123" t="str">
            <v>Niranjan Shrestha</v>
          </cell>
          <cell r="DF123" t="str">
            <v>Adminstration Officer</v>
          </cell>
          <cell r="DG123">
            <v>9851250034</v>
          </cell>
          <cell r="DH123" t="str">
            <v>NRA/GMALI</v>
          </cell>
          <cell r="DI123" t="str">
            <v>Samar Bahadur Khanal</v>
          </cell>
          <cell r="DJ123" t="str">
            <v>NRA Chief-District</v>
          </cell>
          <cell r="DK123">
            <v>9851209362</v>
          </cell>
          <cell r="DL123" t="str">
            <v>DLPIU-Building</v>
          </cell>
          <cell r="DM123" t="str">
            <v>Chandra Kaji Gurung</v>
          </cell>
          <cell r="DN123" t="str">
            <v>DUDBC.DLPIU Chief</v>
          </cell>
          <cell r="DO123">
            <v>9841576783</v>
          </cell>
          <cell r="DP123" t="str">
            <v>Municipal Office</v>
          </cell>
          <cell r="DQ123" t="str">
            <v>Ramesh Bhola Maharjan</v>
          </cell>
          <cell r="DR123" t="str">
            <v>Focal Person</v>
          </cell>
          <cell r="DS123">
            <v>9851234423</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v>209</v>
          </cell>
          <cell r="EK123">
            <v>60</v>
          </cell>
          <cell r="EL123">
            <v>149</v>
          </cell>
          <cell r="EM123">
            <v>133</v>
          </cell>
          <cell r="EN123">
            <v>0</v>
          </cell>
          <cell r="EO123">
            <v>133</v>
          </cell>
          <cell r="EP123" t="str">
            <v/>
          </cell>
          <cell r="EQ123" t="str">
            <v>Housing Recovery and Reconstruction Platform</v>
          </cell>
          <cell r="ER123" t="str">
            <v>Ambika Amatya</v>
          </cell>
          <cell r="ES123" t="str">
            <v>District Coordinator</v>
          </cell>
          <cell r="ET123">
            <v>9841356409</v>
          </cell>
          <cell r="EU123" t="str">
            <v>Housing Recovery and Reconstruction Platform</v>
          </cell>
          <cell r="EV123" t="str">
            <v>Manisha Rai</v>
          </cell>
          <cell r="EW123" t="str">
            <v>DIstrict Information Management Officer</v>
          </cell>
          <cell r="EX123">
            <v>9842062006</v>
          </cell>
          <cell r="EY123" t="str">
            <v>Housing Recovery and Reconstruction Platform</v>
          </cell>
          <cell r="EZ123" t="str">
            <v/>
          </cell>
          <cell r="FA123" t="str">
            <v>District Technical Officer</v>
          </cell>
          <cell r="FB123" t="str">
            <v/>
          </cell>
        </row>
        <row r="124">
          <cell r="A124">
            <v>27008</v>
          </cell>
          <cell r="B124" t="str">
            <v>Kathmandu</v>
          </cell>
          <cell r="C124" t="str">
            <v>Nagarjun Nagarpalika</v>
          </cell>
          <cell r="D124">
            <v>210</v>
          </cell>
          <cell r="E124">
            <v>4105</v>
          </cell>
          <cell r="F124">
            <v>4315</v>
          </cell>
          <cell r="G124" t="str">
            <v>Stone and cement mortar masonry</v>
          </cell>
          <cell r="H124">
            <v>0.79</v>
          </cell>
          <cell r="I124">
            <v>0.96</v>
          </cell>
          <cell r="J124" t="str">
            <v>Stone and Mud Mortar Masonary</v>
          </cell>
          <cell r="K124">
            <v>45.12</v>
          </cell>
          <cell r="L124">
            <v>26.47</v>
          </cell>
          <cell r="M124" t="str">
            <v>Brick and Cement Mortar Masonary</v>
          </cell>
          <cell r="N124">
            <v>9.67</v>
          </cell>
          <cell r="O124">
            <v>7.99</v>
          </cell>
          <cell r="P124" t="str">
            <v>Brick and mud mortar Masonry</v>
          </cell>
          <cell r="Q124">
            <v>10.36</v>
          </cell>
          <cell r="R124">
            <v>15.92</v>
          </cell>
          <cell r="S124" t="str">
            <v>Reinforced cement concrete (RCC) frame</v>
          </cell>
          <cell r="T124">
            <v>3.64</v>
          </cell>
          <cell r="U124">
            <v>3.8</v>
          </cell>
          <cell r="V124" t="str">
            <v>Hybrid structure</v>
          </cell>
          <cell r="W124">
            <v>0</v>
          </cell>
          <cell r="X124">
            <v>0</v>
          </cell>
          <cell r="Y124" t="str">
            <v>Timber frame structure</v>
          </cell>
          <cell r="Z124">
            <v>0</v>
          </cell>
          <cell r="AA124">
            <v>0.03</v>
          </cell>
          <cell r="AB124" t="str">
            <v>Hollow concrete block Masonry</v>
          </cell>
          <cell r="AC124">
            <v>0</v>
          </cell>
          <cell r="AD124">
            <v>0</v>
          </cell>
          <cell r="AE124" t="str">
            <v>Dry stone Masonry</v>
          </cell>
          <cell r="AF124">
            <v>3.18</v>
          </cell>
          <cell r="AG124">
            <v>0.36</v>
          </cell>
          <cell r="AH124" t="str">
            <v>Adobe structures</v>
          </cell>
          <cell r="AI124">
            <v>27.22</v>
          </cell>
          <cell r="AJ124">
            <v>44.43</v>
          </cell>
          <cell r="AK124" t="str">
            <v>Bamboo</v>
          </cell>
          <cell r="AL124">
            <v>0.02</v>
          </cell>
          <cell r="AM124">
            <v>0.05</v>
          </cell>
          <cell r="AN124" t="str">
            <v>Compressed stabilized earth block (SCEB) Masonry</v>
          </cell>
          <cell r="AO124">
            <v>0</v>
          </cell>
          <cell r="AP124">
            <v>0</v>
          </cell>
          <cell r="AQ124" t="str">
            <v>Light steel frame structures</v>
          </cell>
          <cell r="AR124">
            <v>0</v>
          </cell>
          <cell r="AS124">
            <v>0</v>
          </cell>
          <cell r="AT124">
            <v>4338</v>
          </cell>
          <cell r="AU124">
            <v>4106</v>
          </cell>
          <cell r="AV124">
            <v>4102</v>
          </cell>
          <cell r="AW124">
            <v>1362</v>
          </cell>
          <cell r="AX124">
            <v>1071</v>
          </cell>
          <cell r="AY124" t="str">
            <v/>
          </cell>
          <cell r="AZ124" t="str">
            <v/>
          </cell>
          <cell r="BA124">
            <v>38</v>
          </cell>
          <cell r="BB124">
            <v>5</v>
          </cell>
          <cell r="BC124">
            <v>5</v>
          </cell>
          <cell r="BD124">
            <v>0</v>
          </cell>
          <cell r="BE124">
            <v>851</v>
          </cell>
          <cell r="BF124">
            <v>545</v>
          </cell>
          <cell r="BG124" t="str">
            <v/>
          </cell>
          <cell r="BH124" t="str">
            <v/>
          </cell>
          <cell r="BI124" t="str">
            <v/>
          </cell>
          <cell r="BJ124" t="str">
            <v>OXFAM-GB(Rural Housing and Community Infrastructure),SS-N(Education),WVIN(Education)</v>
          </cell>
          <cell r="BK124">
            <v>57688</v>
          </cell>
          <cell r="BL124" t="str">
            <v/>
          </cell>
          <cell r="BM124" t="str">
            <v/>
          </cell>
          <cell r="BN124">
            <v>41726</v>
          </cell>
          <cell r="BO124" t="str">
            <v/>
          </cell>
          <cell r="BP124" t="str">
            <v/>
          </cell>
          <cell r="BQ124">
            <v>6004</v>
          </cell>
          <cell r="BR124" t="str">
            <v/>
          </cell>
          <cell r="BS124" t="str">
            <v/>
          </cell>
          <cell r="BT124">
            <v>6356</v>
          </cell>
          <cell r="BU124" t="str">
            <v/>
          </cell>
          <cell r="BV124" t="str">
            <v/>
          </cell>
          <cell r="BW124" t="str">
            <v/>
          </cell>
          <cell r="BX124" t="str">
            <v/>
          </cell>
          <cell r="BY124" t="str">
            <v/>
          </cell>
          <cell r="BZ124">
            <v>146174</v>
          </cell>
          <cell r="CA124" t="str">
            <v/>
          </cell>
          <cell r="CB124" t="str">
            <v/>
          </cell>
          <cell r="CC124">
            <v>658407</v>
          </cell>
          <cell r="CD124" t="str">
            <v/>
          </cell>
          <cell r="CE124" t="str">
            <v/>
          </cell>
          <cell r="CF124">
            <v>5978</v>
          </cell>
          <cell r="CG124" t="str">
            <v/>
          </cell>
          <cell r="CH124" t="str">
            <v/>
          </cell>
          <cell r="CI124">
            <v>2627109</v>
          </cell>
          <cell r="CJ124" t="str">
            <v/>
          </cell>
          <cell r="CK124" t="str">
            <v/>
          </cell>
          <cell r="CL124" t="str">
            <v>Skilled</v>
          </cell>
          <cell r="CM124" t="str">
            <v/>
          </cell>
          <cell r="CN124" t="str">
            <v>Labor</v>
          </cell>
          <cell r="CO124" t="str">
            <v/>
          </cell>
          <cell r="CP124" t="str">
            <v/>
          </cell>
          <cell r="CQ124" t="str">
            <v/>
          </cell>
          <cell r="CR124" t="str">
            <v/>
          </cell>
          <cell r="CS124" t="str">
            <v/>
          </cell>
          <cell r="CT124" t="str">
            <v/>
          </cell>
          <cell r="CU124" t="str">
            <v/>
          </cell>
          <cell r="CV124" t="str">
            <v>Municipal Office</v>
          </cell>
          <cell r="CW124" t="str">
            <v>Mohan Bahadur Basnet</v>
          </cell>
          <cell r="CX124" t="str">
            <v>Mayor</v>
          </cell>
          <cell r="CY124">
            <v>9851044357</v>
          </cell>
          <cell r="CZ124" t="str">
            <v>Municipal Office</v>
          </cell>
          <cell r="DA124" t="str">
            <v>Sushila Adhikari</v>
          </cell>
          <cell r="DB124" t="str">
            <v>Deputy Mayor</v>
          </cell>
          <cell r="DC124">
            <v>9851225717</v>
          </cell>
          <cell r="DD124" t="str">
            <v>Municipal Office</v>
          </cell>
          <cell r="DE124" t="str">
            <v>Krishna Prasad Sapkota</v>
          </cell>
          <cell r="DF124" t="str">
            <v>Adminstration Officer</v>
          </cell>
          <cell r="DG124">
            <v>9851268111</v>
          </cell>
          <cell r="DH124" t="str">
            <v>NRA/GMALI</v>
          </cell>
          <cell r="DI124" t="str">
            <v>Samar Bahadur Khanal</v>
          </cell>
          <cell r="DJ124" t="str">
            <v>NRA Chief-District</v>
          </cell>
          <cell r="DK124">
            <v>9851209362</v>
          </cell>
          <cell r="DL124" t="str">
            <v>DLPIU-Building</v>
          </cell>
          <cell r="DM124" t="str">
            <v>Chandra Kaji Gurung</v>
          </cell>
          <cell r="DN124" t="str">
            <v>DUDBC.DLPIU Chief</v>
          </cell>
          <cell r="DO124">
            <v>9841576783</v>
          </cell>
          <cell r="DP124" t="str">
            <v>Municipal Office</v>
          </cell>
          <cell r="DQ124" t="str">
            <v>Nagendra Shrestha</v>
          </cell>
          <cell r="DR124" t="str">
            <v>Focal Person</v>
          </cell>
          <cell r="DS124">
            <v>9851158670</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v>294</v>
          </cell>
          <cell r="EK124">
            <v>66</v>
          </cell>
          <cell r="EL124">
            <v>228</v>
          </cell>
          <cell r="EM124">
            <v>182</v>
          </cell>
          <cell r="EN124">
            <v>0</v>
          </cell>
          <cell r="EO124">
            <v>182</v>
          </cell>
          <cell r="EP124" t="str">
            <v/>
          </cell>
          <cell r="EQ124" t="str">
            <v>Housing Recovery and Reconstruction Platform</v>
          </cell>
          <cell r="ER124" t="str">
            <v>Ambika Amatya</v>
          </cell>
          <cell r="ES124" t="str">
            <v>District Coordinator</v>
          </cell>
          <cell r="ET124">
            <v>9841356409</v>
          </cell>
          <cell r="EU124" t="str">
            <v>Housing Recovery and Reconstruction Platform</v>
          </cell>
          <cell r="EV124" t="str">
            <v>Manisha Rai</v>
          </cell>
          <cell r="EW124" t="str">
            <v>DIstrict Information Management Officer</v>
          </cell>
          <cell r="EX124">
            <v>9842062006</v>
          </cell>
          <cell r="EY124" t="str">
            <v>Housing Recovery and Reconstruction Platform</v>
          </cell>
          <cell r="EZ124" t="str">
            <v/>
          </cell>
          <cell r="FA124" t="str">
            <v>District Technical Officer</v>
          </cell>
          <cell r="FB124" t="str">
            <v/>
          </cell>
        </row>
        <row r="125">
          <cell r="A125">
            <v>27009</v>
          </cell>
          <cell r="B125" t="str">
            <v>Kathmandu</v>
          </cell>
          <cell r="C125" t="str">
            <v>Shankharapur Nagarpalika</v>
          </cell>
          <cell r="D125">
            <v>278</v>
          </cell>
          <cell r="E125">
            <v>5754</v>
          </cell>
          <cell r="F125">
            <v>6032</v>
          </cell>
          <cell r="G125" t="str">
            <v>Stone and cement mortar masonry</v>
          </cell>
          <cell r="H125">
            <v>0.57999999999999996</v>
          </cell>
          <cell r="I125">
            <v>0.96</v>
          </cell>
          <cell r="J125" t="str">
            <v>Stone and Mud Mortar Masonary</v>
          </cell>
          <cell r="K125">
            <v>48.55</v>
          </cell>
          <cell r="L125">
            <v>26.47</v>
          </cell>
          <cell r="M125" t="str">
            <v>Brick and Cement Mortar Masonary</v>
          </cell>
          <cell r="N125">
            <v>3.28</v>
          </cell>
          <cell r="O125">
            <v>7.99</v>
          </cell>
          <cell r="P125" t="str">
            <v>Brick and mud mortar Masonry</v>
          </cell>
          <cell r="Q125">
            <v>8.2200000000000006</v>
          </cell>
          <cell r="R125">
            <v>15.92</v>
          </cell>
          <cell r="S125" t="str">
            <v>Reinforced cement concrete (RCC) frame</v>
          </cell>
          <cell r="T125">
            <v>1.01</v>
          </cell>
          <cell r="U125">
            <v>3.8</v>
          </cell>
          <cell r="V125" t="str">
            <v>Hybrid structure</v>
          </cell>
          <cell r="W125">
            <v>0</v>
          </cell>
          <cell r="X125">
            <v>0</v>
          </cell>
          <cell r="Y125" t="str">
            <v>Timber frame structure</v>
          </cell>
          <cell r="Z125">
            <v>0.02</v>
          </cell>
          <cell r="AA125">
            <v>0.03</v>
          </cell>
          <cell r="AB125" t="str">
            <v>Hollow concrete block Masonry</v>
          </cell>
          <cell r="AC125">
            <v>0</v>
          </cell>
          <cell r="AD125">
            <v>0</v>
          </cell>
          <cell r="AE125" t="str">
            <v>Dry stone Masonry</v>
          </cell>
          <cell r="AF125">
            <v>0.12</v>
          </cell>
          <cell r="AG125">
            <v>0.36</v>
          </cell>
          <cell r="AH125" t="str">
            <v>Adobe structures</v>
          </cell>
          <cell r="AI125">
            <v>38.19</v>
          </cell>
          <cell r="AJ125">
            <v>44.43</v>
          </cell>
          <cell r="AK125" t="str">
            <v>Bamboo</v>
          </cell>
          <cell r="AL125">
            <v>0.03</v>
          </cell>
          <cell r="AM125">
            <v>0.05</v>
          </cell>
          <cell r="AN125" t="str">
            <v>Compressed stabilized earth block (SCEB) Masonry</v>
          </cell>
          <cell r="AO125">
            <v>0</v>
          </cell>
          <cell r="AP125">
            <v>0</v>
          </cell>
          <cell r="AQ125" t="str">
            <v>Light steel frame structures</v>
          </cell>
          <cell r="AR125">
            <v>0</v>
          </cell>
          <cell r="AS125">
            <v>0</v>
          </cell>
          <cell r="AT125">
            <v>6058</v>
          </cell>
          <cell r="AU125">
            <v>5545</v>
          </cell>
          <cell r="AV125">
            <v>5508</v>
          </cell>
          <cell r="AW125">
            <v>2472</v>
          </cell>
          <cell r="AX125">
            <v>1578</v>
          </cell>
          <cell r="AY125" t="str">
            <v/>
          </cell>
          <cell r="AZ125" t="str">
            <v/>
          </cell>
          <cell r="BA125">
            <v>110</v>
          </cell>
          <cell r="BB125">
            <v>40</v>
          </cell>
          <cell r="BC125">
            <v>40</v>
          </cell>
          <cell r="BD125">
            <v>0</v>
          </cell>
          <cell r="BE125">
            <v>1665</v>
          </cell>
          <cell r="BF125">
            <v>340</v>
          </cell>
          <cell r="BG125" t="str">
            <v/>
          </cell>
          <cell r="BH125" t="str">
            <v/>
          </cell>
          <cell r="BI125" t="str">
            <v>NRCS(Agriculture, Livestock Development and Irrigation,Education,Employment and Livelihood,Health,Water, Sanitation and Hygiene)</v>
          </cell>
          <cell r="BJ125" t="str">
            <v>HCG(Education),OXFAM-GB(Rural Housing and Community Infrastructure)</v>
          </cell>
          <cell r="BK125">
            <v>39299</v>
          </cell>
          <cell r="BL125" t="str">
            <v/>
          </cell>
          <cell r="BM125" t="str">
            <v/>
          </cell>
          <cell r="BN125">
            <v>37662</v>
          </cell>
          <cell r="BO125" t="str">
            <v/>
          </cell>
          <cell r="BP125" t="str">
            <v/>
          </cell>
          <cell r="BQ125">
            <v>4173</v>
          </cell>
          <cell r="BR125" t="str">
            <v/>
          </cell>
          <cell r="BS125" t="str">
            <v/>
          </cell>
          <cell r="BT125">
            <v>4731</v>
          </cell>
          <cell r="BU125" t="str">
            <v/>
          </cell>
          <cell r="BV125" t="str">
            <v/>
          </cell>
          <cell r="BW125" t="str">
            <v/>
          </cell>
          <cell r="BX125" t="str">
            <v/>
          </cell>
          <cell r="BY125" t="str">
            <v/>
          </cell>
          <cell r="BZ125">
            <v>126455</v>
          </cell>
          <cell r="CA125" t="str">
            <v/>
          </cell>
          <cell r="CB125" t="str">
            <v/>
          </cell>
          <cell r="CC125">
            <v>431654</v>
          </cell>
          <cell r="CD125" t="str">
            <v/>
          </cell>
          <cell r="CE125" t="str">
            <v/>
          </cell>
          <cell r="CF125">
            <v>5171</v>
          </cell>
          <cell r="CG125" t="str">
            <v/>
          </cell>
          <cell r="CH125" t="str">
            <v/>
          </cell>
          <cell r="CI125">
            <v>771764</v>
          </cell>
          <cell r="CJ125" t="str">
            <v/>
          </cell>
          <cell r="CK125" t="str">
            <v/>
          </cell>
          <cell r="CL125" t="str">
            <v>Skilled</v>
          </cell>
          <cell r="CM125" t="str">
            <v/>
          </cell>
          <cell r="CN125" t="str">
            <v>Labor</v>
          </cell>
          <cell r="CO125" t="str">
            <v/>
          </cell>
          <cell r="CP125" t="str">
            <v/>
          </cell>
          <cell r="CQ125" t="str">
            <v/>
          </cell>
          <cell r="CR125" t="str">
            <v/>
          </cell>
          <cell r="CS125" t="str">
            <v/>
          </cell>
          <cell r="CT125" t="str">
            <v/>
          </cell>
          <cell r="CU125" t="str">
            <v/>
          </cell>
          <cell r="CV125" t="str">
            <v>Municipal Office</v>
          </cell>
          <cell r="CW125" t="str">
            <v>Subarna Shrestha</v>
          </cell>
          <cell r="CX125" t="str">
            <v>Mayor</v>
          </cell>
          <cell r="CY125">
            <v>9851031618</v>
          </cell>
          <cell r="CZ125" t="str">
            <v>Municipal Office</v>
          </cell>
          <cell r="DA125" t="str">
            <v>Shukralaxmi Shrestha</v>
          </cell>
          <cell r="DB125" t="str">
            <v>Deputy Mayor</v>
          </cell>
          <cell r="DC125">
            <v>9843787863</v>
          </cell>
          <cell r="DD125" t="str">
            <v>Municipal Office</v>
          </cell>
          <cell r="DE125" t="str">
            <v>Pramod Simkhada</v>
          </cell>
          <cell r="DF125" t="str">
            <v>Adminstration Officer</v>
          </cell>
          <cell r="DG125">
            <v>9851264111</v>
          </cell>
          <cell r="DH125" t="str">
            <v>NRA/GMALI</v>
          </cell>
          <cell r="DI125" t="str">
            <v>Samar Bahadur Khanal</v>
          </cell>
          <cell r="DJ125" t="str">
            <v>NRA Chief-District</v>
          </cell>
          <cell r="DK125">
            <v>9851209362</v>
          </cell>
          <cell r="DL125" t="str">
            <v>DLPIU-Building</v>
          </cell>
          <cell r="DM125" t="str">
            <v>Chandra Kaji Gurung</v>
          </cell>
          <cell r="DN125" t="str">
            <v>DUDBC.DLPIU Chief</v>
          </cell>
          <cell r="DO125">
            <v>9841576783</v>
          </cell>
          <cell r="DP125" t="str">
            <v>Municipal Office</v>
          </cell>
          <cell r="DQ125" t="str">
            <v>Milan Phuyal</v>
          </cell>
          <cell r="DR125" t="str">
            <v>Focal Person</v>
          </cell>
          <cell r="DS125">
            <v>9841436577</v>
          </cell>
          <cell r="DT125" t="str">
            <v/>
          </cell>
          <cell r="DU125" t="str">
            <v/>
          </cell>
          <cell r="DV125" t="str">
            <v/>
          </cell>
          <cell r="DW125" t="str">
            <v/>
          </cell>
          <cell r="DX125" t="str">
            <v/>
          </cell>
          <cell r="DY125" t="str">
            <v/>
          </cell>
          <cell r="DZ125" t="str">
            <v/>
          </cell>
          <cell r="EA125" t="str">
            <v/>
          </cell>
          <cell r="EB125" t="str">
            <v/>
          </cell>
          <cell r="EC125" t="str">
            <v/>
          </cell>
          <cell r="ED125" t="str">
            <v/>
          </cell>
          <cell r="EE125" t="str">
            <v/>
          </cell>
          <cell r="EF125" t="str">
            <v/>
          </cell>
          <cell r="EG125" t="str">
            <v/>
          </cell>
          <cell r="EH125" t="str">
            <v/>
          </cell>
          <cell r="EI125" t="str">
            <v/>
          </cell>
          <cell r="EJ125">
            <v>420</v>
          </cell>
          <cell r="EK125">
            <v>192</v>
          </cell>
          <cell r="EL125">
            <v>228</v>
          </cell>
          <cell r="EM125">
            <v>255</v>
          </cell>
          <cell r="EN125">
            <v>0</v>
          </cell>
          <cell r="EO125">
            <v>255</v>
          </cell>
          <cell r="EP125" t="str">
            <v/>
          </cell>
          <cell r="EQ125" t="str">
            <v>Housing Recovery and Reconstruction Platform</v>
          </cell>
          <cell r="ER125" t="str">
            <v>Ambika Amatya</v>
          </cell>
          <cell r="ES125" t="str">
            <v>District Coordinator</v>
          </cell>
          <cell r="ET125">
            <v>9841356409</v>
          </cell>
          <cell r="EU125" t="str">
            <v>Housing Recovery and Reconstruction Platform</v>
          </cell>
          <cell r="EV125" t="str">
            <v>Manisha Rai</v>
          </cell>
          <cell r="EW125" t="str">
            <v>DIstrict Information Management Officer</v>
          </cell>
          <cell r="EX125">
            <v>9842062006</v>
          </cell>
          <cell r="EY125" t="str">
            <v>Housing Recovery and Reconstruction Platform</v>
          </cell>
          <cell r="EZ125" t="str">
            <v/>
          </cell>
          <cell r="FA125" t="str">
            <v>District Technical Officer</v>
          </cell>
          <cell r="FB125" t="str">
            <v/>
          </cell>
        </row>
        <row r="126">
          <cell r="A126">
            <v>27010</v>
          </cell>
          <cell r="B126" t="str">
            <v>Kathmandu</v>
          </cell>
          <cell r="C126" t="str">
            <v>Tarakeshwor Nagarpalika</v>
          </cell>
          <cell r="D126">
            <v>728</v>
          </cell>
          <cell r="E126">
            <v>6009</v>
          </cell>
          <cell r="F126">
            <v>6737</v>
          </cell>
          <cell r="G126" t="str">
            <v>Stone and cement mortar masonry</v>
          </cell>
          <cell r="H126">
            <v>0.76</v>
          </cell>
          <cell r="I126">
            <v>0.96</v>
          </cell>
          <cell r="J126" t="str">
            <v>Stone and Mud Mortar Masonary</v>
          </cell>
          <cell r="K126">
            <v>18.16</v>
          </cell>
          <cell r="L126">
            <v>26.47</v>
          </cell>
          <cell r="M126" t="str">
            <v>Brick and Cement Mortar Masonary</v>
          </cell>
          <cell r="N126">
            <v>8.7899999999999991</v>
          </cell>
          <cell r="O126">
            <v>7.99</v>
          </cell>
          <cell r="P126" t="str">
            <v>Brick and mud mortar Masonry</v>
          </cell>
          <cell r="Q126">
            <v>10.02</v>
          </cell>
          <cell r="R126">
            <v>15.92</v>
          </cell>
          <cell r="S126" t="str">
            <v>Reinforced cement concrete (RCC) frame</v>
          </cell>
          <cell r="T126">
            <v>5.17</v>
          </cell>
          <cell r="U126">
            <v>3.8</v>
          </cell>
          <cell r="V126" t="str">
            <v>Hybrid structure</v>
          </cell>
          <cell r="W126">
            <v>0</v>
          </cell>
          <cell r="X126">
            <v>0</v>
          </cell>
          <cell r="Y126" t="str">
            <v>Timber frame structure</v>
          </cell>
          <cell r="Z126">
            <v>0.04</v>
          </cell>
          <cell r="AA126">
            <v>0.03</v>
          </cell>
          <cell r="AB126" t="str">
            <v>Hollow concrete block Masonry</v>
          </cell>
          <cell r="AC126">
            <v>0</v>
          </cell>
          <cell r="AD126">
            <v>0</v>
          </cell>
          <cell r="AE126" t="str">
            <v>Dry stone Masonry</v>
          </cell>
          <cell r="AF126">
            <v>0.13</v>
          </cell>
          <cell r="AG126">
            <v>0.36</v>
          </cell>
          <cell r="AH126" t="str">
            <v>Adobe structures</v>
          </cell>
          <cell r="AI126">
            <v>56.82</v>
          </cell>
          <cell r="AJ126">
            <v>44.43</v>
          </cell>
          <cell r="AK126" t="str">
            <v>Bamboo</v>
          </cell>
          <cell r="AL126">
            <v>0.1</v>
          </cell>
          <cell r="AM126">
            <v>0.05</v>
          </cell>
          <cell r="AN126" t="str">
            <v>Compressed stabilized earth block (SCEB) Masonry</v>
          </cell>
          <cell r="AO126">
            <v>0</v>
          </cell>
          <cell r="AP126">
            <v>0</v>
          </cell>
          <cell r="AQ126" t="str">
            <v>Light steel frame structures</v>
          </cell>
          <cell r="AR126">
            <v>0</v>
          </cell>
          <cell r="AS126">
            <v>0</v>
          </cell>
          <cell r="AT126">
            <v>6151</v>
          </cell>
          <cell r="AU126">
            <v>5191</v>
          </cell>
          <cell r="AV126">
            <v>5169</v>
          </cell>
          <cell r="AW126">
            <v>1792</v>
          </cell>
          <cell r="AX126">
            <v>1457</v>
          </cell>
          <cell r="AY126" t="str">
            <v/>
          </cell>
          <cell r="AZ126" t="str">
            <v/>
          </cell>
          <cell r="BA126">
            <v>107</v>
          </cell>
          <cell r="BB126">
            <v>32</v>
          </cell>
          <cell r="BC126">
            <v>31</v>
          </cell>
          <cell r="BD126">
            <v>0</v>
          </cell>
          <cell r="BE126">
            <v>2493</v>
          </cell>
          <cell r="BF126">
            <v>2186</v>
          </cell>
          <cell r="BG126" t="str">
            <v/>
          </cell>
          <cell r="BH126" t="str">
            <v/>
          </cell>
          <cell r="BI126" t="str">
            <v>NRCS(Agriculture, Livestock Development and Irrigation,Education,Employment and Livelihood,Health,Rural Housing and Community Infrastructure,Water, Sanitation and Hygiene)</v>
          </cell>
          <cell r="BJ126" t="str">
            <v/>
          </cell>
          <cell r="BK126">
            <v>52432</v>
          </cell>
          <cell r="BL126" t="str">
            <v/>
          </cell>
          <cell r="BM126" t="str">
            <v/>
          </cell>
          <cell r="BN126">
            <v>43188</v>
          </cell>
          <cell r="BO126" t="str">
            <v/>
          </cell>
          <cell r="BP126" t="str">
            <v/>
          </cell>
          <cell r="BQ126">
            <v>5502</v>
          </cell>
          <cell r="BR126" t="str">
            <v/>
          </cell>
          <cell r="BS126" t="str">
            <v/>
          </cell>
          <cell r="BT126">
            <v>5995</v>
          </cell>
          <cell r="BU126" t="str">
            <v/>
          </cell>
          <cell r="BV126" t="str">
            <v/>
          </cell>
          <cell r="BW126" t="str">
            <v/>
          </cell>
          <cell r="BX126" t="str">
            <v/>
          </cell>
          <cell r="BY126" t="str">
            <v/>
          </cell>
          <cell r="BZ126">
            <v>146465</v>
          </cell>
          <cell r="CA126" t="str">
            <v/>
          </cell>
          <cell r="CB126" t="str">
            <v/>
          </cell>
          <cell r="CC126">
            <v>586511</v>
          </cell>
          <cell r="CD126" t="str">
            <v/>
          </cell>
          <cell r="CE126" t="str">
            <v/>
          </cell>
          <cell r="CF126">
            <v>5980</v>
          </cell>
          <cell r="CG126" t="str">
            <v/>
          </cell>
          <cell r="CH126" t="str">
            <v/>
          </cell>
          <cell r="CI126">
            <v>1545990</v>
          </cell>
          <cell r="CJ126" t="str">
            <v/>
          </cell>
          <cell r="CK126" t="str">
            <v/>
          </cell>
          <cell r="CL126" t="str">
            <v>Skilled</v>
          </cell>
          <cell r="CM126" t="str">
            <v/>
          </cell>
          <cell r="CN126" t="str">
            <v>Labor</v>
          </cell>
          <cell r="CO126" t="str">
            <v/>
          </cell>
          <cell r="CP126" t="str">
            <v/>
          </cell>
          <cell r="CQ126" t="str">
            <v/>
          </cell>
          <cell r="CR126" t="str">
            <v/>
          </cell>
          <cell r="CS126" t="str">
            <v/>
          </cell>
          <cell r="CT126" t="str">
            <v/>
          </cell>
          <cell r="CU126" t="str">
            <v/>
          </cell>
          <cell r="CV126" t="str">
            <v>Municipal Office</v>
          </cell>
          <cell r="CW126" t="str">
            <v>Rameshwor Bohora</v>
          </cell>
          <cell r="CX126" t="str">
            <v>Mayor</v>
          </cell>
          <cell r="CY126">
            <v>9851258234</v>
          </cell>
          <cell r="CZ126" t="str">
            <v>Municipal Office</v>
          </cell>
          <cell r="DA126" t="str">
            <v>Bhawani Dotel Dhital</v>
          </cell>
          <cell r="DB126" t="str">
            <v>Deputy Mayor</v>
          </cell>
          <cell r="DC126">
            <v>9851226678</v>
          </cell>
          <cell r="DD126" t="str">
            <v>Municipal Office</v>
          </cell>
          <cell r="DE126" t="str">
            <v>Hiramani Subedi</v>
          </cell>
          <cell r="DF126" t="str">
            <v>Adminstration Officer</v>
          </cell>
          <cell r="DG126">
            <v>9851189903</v>
          </cell>
          <cell r="DH126" t="str">
            <v>NRA/GMALI</v>
          </cell>
          <cell r="DI126" t="str">
            <v>Samar Bahadur Khanal</v>
          </cell>
          <cell r="DJ126" t="str">
            <v>NRA Chief-District</v>
          </cell>
          <cell r="DK126">
            <v>9851209362</v>
          </cell>
          <cell r="DL126" t="str">
            <v>DLPIU-Building</v>
          </cell>
          <cell r="DM126" t="str">
            <v>Chandra Kaji Gurung</v>
          </cell>
          <cell r="DN126" t="str">
            <v>DUDBC.DLPIU Chief</v>
          </cell>
          <cell r="DO126">
            <v>9841576783</v>
          </cell>
          <cell r="DP126" t="str">
            <v>Municipal Office</v>
          </cell>
          <cell r="DQ126" t="str">
            <v>Shashi Gurung</v>
          </cell>
          <cell r="DR126" t="str">
            <v>Focal Person</v>
          </cell>
          <cell r="DS126">
            <v>9851238998</v>
          </cell>
          <cell r="DT126" t="str">
            <v/>
          </cell>
          <cell r="DU126" t="str">
            <v/>
          </cell>
          <cell r="DV126" t="str">
            <v/>
          </cell>
          <cell r="DW126" t="str">
            <v/>
          </cell>
          <cell r="DX126" t="str">
            <v/>
          </cell>
          <cell r="DY126" t="str">
            <v/>
          </cell>
          <cell r="DZ126" t="str">
            <v/>
          </cell>
          <cell r="EA126" t="str">
            <v/>
          </cell>
          <cell r="EB126" t="str">
            <v/>
          </cell>
          <cell r="EC126" t="str">
            <v/>
          </cell>
          <cell r="ED126" t="str">
            <v/>
          </cell>
          <cell r="EE126" t="str">
            <v/>
          </cell>
          <cell r="EF126" t="str">
            <v/>
          </cell>
          <cell r="EG126" t="str">
            <v/>
          </cell>
          <cell r="EH126" t="str">
            <v/>
          </cell>
          <cell r="EI126" t="str">
            <v/>
          </cell>
          <cell r="EJ126">
            <v>420</v>
          </cell>
          <cell r="EK126">
            <v>254</v>
          </cell>
          <cell r="EL126">
            <v>166</v>
          </cell>
          <cell r="EM126">
            <v>252</v>
          </cell>
          <cell r="EN126">
            <v>0</v>
          </cell>
          <cell r="EO126">
            <v>252</v>
          </cell>
          <cell r="EP126" t="str">
            <v/>
          </cell>
          <cell r="EQ126" t="str">
            <v>Housing Recovery and Reconstruction Platform</v>
          </cell>
          <cell r="ER126" t="str">
            <v>Ambika Amatya</v>
          </cell>
          <cell r="ES126" t="str">
            <v>District Coordinator</v>
          </cell>
          <cell r="ET126">
            <v>9841356409</v>
          </cell>
          <cell r="EU126" t="str">
            <v>Housing Recovery and Reconstruction Platform</v>
          </cell>
          <cell r="EV126" t="str">
            <v>Manisha Rai</v>
          </cell>
          <cell r="EW126" t="str">
            <v>DIstrict Information Management Officer</v>
          </cell>
          <cell r="EX126">
            <v>9842062006</v>
          </cell>
          <cell r="EY126" t="str">
            <v>Housing Recovery and Reconstruction Platform</v>
          </cell>
          <cell r="EZ126" t="str">
            <v/>
          </cell>
          <cell r="FA126" t="str">
            <v>District Technical Officer</v>
          </cell>
          <cell r="FB126" t="str">
            <v/>
          </cell>
        </row>
        <row r="127">
          <cell r="A127">
            <v>27011</v>
          </cell>
          <cell r="B127" t="str">
            <v>Kathmandu</v>
          </cell>
          <cell r="C127" t="str">
            <v>Tokha Nagarpalika</v>
          </cell>
          <cell r="D127">
            <v>230</v>
          </cell>
          <cell r="E127">
            <v>2007</v>
          </cell>
          <cell r="F127">
            <v>2237</v>
          </cell>
          <cell r="G127" t="str">
            <v>Stone and cement mortar masonry</v>
          </cell>
          <cell r="H127">
            <v>0.98</v>
          </cell>
          <cell r="I127">
            <v>0.96</v>
          </cell>
          <cell r="J127" t="str">
            <v>Stone and Mud Mortar Masonary</v>
          </cell>
          <cell r="K127">
            <v>19.36</v>
          </cell>
          <cell r="L127">
            <v>26.47</v>
          </cell>
          <cell r="M127" t="str">
            <v>Brick and Cement Mortar Masonary</v>
          </cell>
          <cell r="N127">
            <v>6.53</v>
          </cell>
          <cell r="O127">
            <v>7.99</v>
          </cell>
          <cell r="P127" t="str">
            <v>Brick and mud mortar Masonry</v>
          </cell>
          <cell r="Q127">
            <v>6.3</v>
          </cell>
          <cell r="R127">
            <v>15.92</v>
          </cell>
          <cell r="S127" t="str">
            <v>Reinforced cement concrete (RCC) frame</v>
          </cell>
          <cell r="T127">
            <v>11.89</v>
          </cell>
          <cell r="U127">
            <v>3.8</v>
          </cell>
          <cell r="V127" t="str">
            <v>Hybrid structure</v>
          </cell>
          <cell r="W127">
            <v>0</v>
          </cell>
          <cell r="X127">
            <v>0</v>
          </cell>
          <cell r="Y127" t="str">
            <v>Timber frame structure</v>
          </cell>
          <cell r="Z127">
            <v>0</v>
          </cell>
          <cell r="AA127">
            <v>0.03</v>
          </cell>
          <cell r="AB127" t="str">
            <v>Hollow concrete block Masonry</v>
          </cell>
          <cell r="AC127">
            <v>0</v>
          </cell>
          <cell r="AD127">
            <v>0</v>
          </cell>
          <cell r="AE127" t="str">
            <v>Dry stone Masonry</v>
          </cell>
          <cell r="AF127">
            <v>0</v>
          </cell>
          <cell r="AG127">
            <v>0.36</v>
          </cell>
          <cell r="AH127" t="str">
            <v>Adobe structures</v>
          </cell>
          <cell r="AI127">
            <v>54.94</v>
          </cell>
          <cell r="AJ127">
            <v>44.43</v>
          </cell>
          <cell r="AK127" t="str">
            <v>Bamboo</v>
          </cell>
          <cell r="AL127">
            <v>0</v>
          </cell>
          <cell r="AM127">
            <v>0.05</v>
          </cell>
          <cell r="AN127" t="str">
            <v>Compressed stabilized earth block (SCEB) Masonry</v>
          </cell>
          <cell r="AO127">
            <v>0</v>
          </cell>
          <cell r="AP127">
            <v>0</v>
          </cell>
          <cell r="AQ127" t="str">
            <v>Light steel frame structures</v>
          </cell>
          <cell r="AR127">
            <v>0</v>
          </cell>
          <cell r="AS127">
            <v>0</v>
          </cell>
          <cell r="AT127">
            <v>1746</v>
          </cell>
          <cell r="AU127">
            <v>1579</v>
          </cell>
          <cell r="AV127">
            <v>1557</v>
          </cell>
          <cell r="AW127">
            <v>636</v>
          </cell>
          <cell r="AX127">
            <v>489</v>
          </cell>
          <cell r="AY127" t="str">
            <v/>
          </cell>
          <cell r="AZ127" t="str">
            <v/>
          </cell>
          <cell r="BA127">
            <v>48</v>
          </cell>
          <cell r="BB127">
            <v>25</v>
          </cell>
          <cell r="BC127">
            <v>25</v>
          </cell>
          <cell r="BD127">
            <v>0</v>
          </cell>
          <cell r="BE127">
            <v>369</v>
          </cell>
          <cell r="BF127">
            <v>335</v>
          </cell>
          <cell r="BG127" t="str">
            <v/>
          </cell>
          <cell r="BH127" t="str">
            <v/>
          </cell>
          <cell r="BI127" t="str">
            <v/>
          </cell>
          <cell r="BJ127" t="str">
            <v/>
          </cell>
          <cell r="BK127">
            <v>20845</v>
          </cell>
          <cell r="BL127" t="str">
            <v/>
          </cell>
          <cell r="BM127" t="str">
            <v/>
          </cell>
          <cell r="BN127">
            <v>13039</v>
          </cell>
          <cell r="BO127" t="str">
            <v/>
          </cell>
          <cell r="BP127" t="str">
            <v/>
          </cell>
          <cell r="BQ127">
            <v>2147</v>
          </cell>
          <cell r="BR127" t="str">
            <v/>
          </cell>
          <cell r="BS127" t="str">
            <v/>
          </cell>
          <cell r="BT127">
            <v>2190</v>
          </cell>
          <cell r="BU127" t="str">
            <v/>
          </cell>
          <cell r="BV127" t="str">
            <v/>
          </cell>
          <cell r="BW127" t="str">
            <v/>
          </cell>
          <cell r="BX127" t="str">
            <v/>
          </cell>
          <cell r="BY127" t="str">
            <v/>
          </cell>
          <cell r="BZ127">
            <v>43987</v>
          </cell>
          <cell r="CA127" t="str">
            <v/>
          </cell>
          <cell r="CB127" t="str">
            <v/>
          </cell>
          <cell r="CC127">
            <v>237749</v>
          </cell>
          <cell r="CD127" t="str">
            <v/>
          </cell>
          <cell r="CE127" t="str">
            <v/>
          </cell>
          <cell r="CF127">
            <v>1782</v>
          </cell>
          <cell r="CG127" t="str">
            <v/>
          </cell>
          <cell r="CH127" t="str">
            <v/>
          </cell>
          <cell r="CI127">
            <v>730045</v>
          </cell>
          <cell r="CJ127" t="str">
            <v/>
          </cell>
          <cell r="CK127" t="str">
            <v/>
          </cell>
          <cell r="CL127" t="str">
            <v>Skilled</v>
          </cell>
          <cell r="CM127" t="str">
            <v/>
          </cell>
          <cell r="CN127" t="str">
            <v>Labor</v>
          </cell>
          <cell r="CO127" t="str">
            <v/>
          </cell>
          <cell r="CP127" t="str">
            <v/>
          </cell>
          <cell r="CQ127" t="str">
            <v/>
          </cell>
          <cell r="CR127" t="str">
            <v/>
          </cell>
          <cell r="CS127" t="str">
            <v/>
          </cell>
          <cell r="CT127" t="str">
            <v/>
          </cell>
          <cell r="CU127" t="str">
            <v/>
          </cell>
          <cell r="CV127" t="str">
            <v>Municipal Office</v>
          </cell>
          <cell r="CW127" t="str">
            <v>Prakash Adhikari</v>
          </cell>
          <cell r="CX127" t="str">
            <v>Mayor</v>
          </cell>
          <cell r="CY127">
            <v>9851234789</v>
          </cell>
          <cell r="CZ127" t="str">
            <v>Municipal Office</v>
          </cell>
          <cell r="DA127" t="str">
            <v>Gyan Maya Dangol</v>
          </cell>
          <cell r="DB127" t="str">
            <v>Deputy Mayor</v>
          </cell>
          <cell r="DC127">
            <v>9851254789</v>
          </cell>
          <cell r="DD127" t="str">
            <v>Municipal Office</v>
          </cell>
          <cell r="DE127" t="str">
            <v>Rajendra Karki</v>
          </cell>
          <cell r="DF127" t="str">
            <v>Adminstration Officer</v>
          </cell>
          <cell r="DG127" t="str">
            <v/>
          </cell>
          <cell r="DH127" t="str">
            <v>NRA/GMALI</v>
          </cell>
          <cell r="DI127" t="str">
            <v>Samar Bahadur Khanal</v>
          </cell>
          <cell r="DJ127" t="str">
            <v>NRA Chief-District</v>
          </cell>
          <cell r="DK127">
            <v>9851209362</v>
          </cell>
          <cell r="DL127" t="str">
            <v>DLPIU-Building</v>
          </cell>
          <cell r="DM127" t="str">
            <v>Chandra Kaji Gurung</v>
          </cell>
          <cell r="DN127" t="str">
            <v>DUDBC.DLPIU Chief</v>
          </cell>
          <cell r="DO127">
            <v>9841576783</v>
          </cell>
          <cell r="DP127" t="str">
            <v>Municipal Office</v>
          </cell>
          <cell r="DQ127" t="str">
            <v>Pratiksha Tripathi</v>
          </cell>
          <cell r="DR127" t="str">
            <v>Focal Person</v>
          </cell>
          <cell r="DS127">
            <v>9860993087</v>
          </cell>
          <cell r="DT127" t="str">
            <v/>
          </cell>
          <cell r="DU127" t="str">
            <v/>
          </cell>
          <cell r="DV127" t="str">
            <v/>
          </cell>
          <cell r="DW127" t="str">
            <v/>
          </cell>
          <cell r="DX127" t="str">
            <v/>
          </cell>
          <cell r="DY127" t="str">
            <v/>
          </cell>
          <cell r="DZ127" t="str">
            <v/>
          </cell>
          <cell r="EA127" t="str">
            <v/>
          </cell>
          <cell r="EB127" t="str">
            <v/>
          </cell>
          <cell r="EC127" t="str">
            <v/>
          </cell>
          <cell r="ED127" t="str">
            <v/>
          </cell>
          <cell r="EE127" t="str">
            <v/>
          </cell>
          <cell r="EF127" t="str">
            <v/>
          </cell>
          <cell r="EG127" t="str">
            <v/>
          </cell>
          <cell r="EH127" t="str">
            <v/>
          </cell>
          <cell r="EI127" t="str">
            <v/>
          </cell>
          <cell r="EJ127">
            <v>120</v>
          </cell>
          <cell r="EK127">
            <v>86</v>
          </cell>
          <cell r="EL127">
            <v>34</v>
          </cell>
          <cell r="EM127">
            <v>75</v>
          </cell>
          <cell r="EN127">
            <v>0</v>
          </cell>
          <cell r="EO127">
            <v>75</v>
          </cell>
          <cell r="EP127" t="str">
            <v/>
          </cell>
          <cell r="EQ127" t="str">
            <v>Housing Recovery and Reconstruction Platform</v>
          </cell>
          <cell r="ER127" t="str">
            <v>Ambika Amatya</v>
          </cell>
          <cell r="ES127" t="str">
            <v>District Coordinator</v>
          </cell>
          <cell r="ET127">
            <v>9841356409</v>
          </cell>
          <cell r="EU127" t="str">
            <v>Housing Recovery and Reconstruction Platform</v>
          </cell>
          <cell r="EV127" t="str">
            <v>Manisha Rai</v>
          </cell>
          <cell r="EW127" t="str">
            <v>DIstrict Information Management Officer</v>
          </cell>
          <cell r="EX127">
            <v>9842062006</v>
          </cell>
          <cell r="EY127" t="str">
            <v>Housing Recovery and Reconstruction Platform</v>
          </cell>
          <cell r="EZ127" t="str">
            <v/>
          </cell>
          <cell r="FA127" t="str">
            <v>District Technical Officer</v>
          </cell>
          <cell r="FB127" t="str">
            <v/>
          </cell>
        </row>
        <row r="128">
          <cell r="A128">
            <v>28001</v>
          </cell>
          <cell r="B128" t="str">
            <v>Nuwakot</v>
          </cell>
          <cell r="C128" t="str">
            <v>Belkotgadhi Nagarpalika</v>
          </cell>
          <cell r="D128">
            <v>692</v>
          </cell>
          <cell r="E128">
            <v>10027</v>
          </cell>
          <cell r="F128">
            <v>10719</v>
          </cell>
          <cell r="G128" t="str">
            <v>Stone and cement mortar masonry</v>
          </cell>
          <cell r="H128">
            <v>0.77</v>
          </cell>
          <cell r="I128">
            <v>0.64</v>
          </cell>
          <cell r="J128" t="str">
            <v>Stone and Mud Mortar Masonary</v>
          </cell>
          <cell r="K128">
            <v>94.61</v>
          </cell>
          <cell r="L128">
            <v>89.07</v>
          </cell>
          <cell r="M128" t="str">
            <v>Brick and Cement Mortar Masonary</v>
          </cell>
          <cell r="N128">
            <v>2.0099999999999998</v>
          </cell>
          <cell r="O128">
            <v>2.11</v>
          </cell>
          <cell r="P128" t="str">
            <v>Brick and mud mortar Masonry</v>
          </cell>
          <cell r="Q128">
            <v>0.46</v>
          </cell>
          <cell r="R128">
            <v>0.51</v>
          </cell>
          <cell r="S128" t="str">
            <v>Reinforced cement concrete (RCC) frame</v>
          </cell>
          <cell r="T128">
            <v>0.68</v>
          </cell>
          <cell r="U128">
            <v>3.05</v>
          </cell>
          <cell r="V128" t="str">
            <v>Hybrid structure</v>
          </cell>
          <cell r="W128">
            <v>0</v>
          </cell>
          <cell r="X128">
            <v>0</v>
          </cell>
          <cell r="Y128" t="str">
            <v>Timber frame structure</v>
          </cell>
          <cell r="Z128">
            <v>0.12</v>
          </cell>
          <cell r="AA128">
            <v>0.15</v>
          </cell>
          <cell r="AB128" t="str">
            <v>Hollow concrete block Masonry</v>
          </cell>
          <cell r="AC128">
            <v>0</v>
          </cell>
          <cell r="AD128">
            <v>0</v>
          </cell>
          <cell r="AE128" t="str">
            <v>Dry stone Masonry</v>
          </cell>
          <cell r="AF128">
            <v>0.21</v>
          </cell>
          <cell r="AG128">
            <v>0.17</v>
          </cell>
          <cell r="AH128" t="str">
            <v>Adobe structures</v>
          </cell>
          <cell r="AI128">
            <v>1.1000000000000001</v>
          </cell>
          <cell r="AJ128">
            <v>4.25</v>
          </cell>
          <cell r="AK128" t="str">
            <v>Bamboo</v>
          </cell>
          <cell r="AL128">
            <v>0.04</v>
          </cell>
          <cell r="AM128">
            <v>0.05</v>
          </cell>
          <cell r="AN128" t="str">
            <v>Compressed stabilized earth block (SCEB) Masonry</v>
          </cell>
          <cell r="AO128">
            <v>0</v>
          </cell>
          <cell r="AP128">
            <v>0</v>
          </cell>
          <cell r="AQ128" t="str">
            <v>Light steel frame structures</v>
          </cell>
          <cell r="AR128">
            <v>0</v>
          </cell>
          <cell r="AS128">
            <v>0</v>
          </cell>
          <cell r="AT128">
            <v>11037</v>
          </cell>
          <cell r="AU128">
            <v>9651</v>
          </cell>
          <cell r="AV128">
            <v>10025</v>
          </cell>
          <cell r="AW128">
            <v>8595</v>
          </cell>
          <cell r="AX128">
            <v>1494</v>
          </cell>
          <cell r="AY128">
            <v>8560</v>
          </cell>
          <cell r="AZ128" t="str">
            <v/>
          </cell>
          <cell r="BA128">
            <v>154</v>
          </cell>
          <cell r="BB128">
            <v>0</v>
          </cell>
          <cell r="BC128">
            <v>0</v>
          </cell>
          <cell r="BD128">
            <v>0</v>
          </cell>
          <cell r="BE128">
            <v>2271</v>
          </cell>
          <cell r="BF128">
            <v>1627</v>
          </cell>
          <cell r="BG128" t="str">
            <v/>
          </cell>
          <cell r="BH128" t="str">
            <v/>
          </cell>
          <cell r="BI128" t="str">
            <v>NRCS(Health),NSET(Rural Housing and Community Infrastructure)</v>
          </cell>
          <cell r="BJ128" t="str">
            <v>ACF(Health,Rural Housing and Community Infrastructure),ANMF-N(Health),GIZ(Health),GON-PAF(Rural Housing and Community Infrastructure),OXFAM-GB(Rural Housing and Community Infrastructure),Paribartan-N(Education),RoomTR(Education),RoundT-N(Education),SCI(Education,Rural Housing and Community Infrastructure,Social Protection,Water, Sanitation and Hygiene)</v>
          </cell>
          <cell r="BK128">
            <v>264834</v>
          </cell>
          <cell r="BL128" t="str">
            <v/>
          </cell>
          <cell r="BM128" t="str">
            <v/>
          </cell>
          <cell r="BN128">
            <v>223002</v>
          </cell>
          <cell r="BO128" t="str">
            <v/>
          </cell>
          <cell r="BP128" t="str">
            <v/>
          </cell>
          <cell r="BQ128">
            <v>27835</v>
          </cell>
          <cell r="BR128" t="str">
            <v/>
          </cell>
          <cell r="BS128" t="str">
            <v/>
          </cell>
          <cell r="BT128">
            <v>30494</v>
          </cell>
          <cell r="BU128" t="str">
            <v/>
          </cell>
          <cell r="BV128" t="str">
            <v/>
          </cell>
          <cell r="BW128" t="str">
            <v/>
          </cell>
          <cell r="BX128" t="str">
            <v/>
          </cell>
          <cell r="BY128" t="str">
            <v/>
          </cell>
          <cell r="BZ128">
            <v>754729</v>
          </cell>
          <cell r="CA128" t="str">
            <v/>
          </cell>
          <cell r="CB128" t="str">
            <v/>
          </cell>
          <cell r="CC128">
            <v>2954667</v>
          </cell>
          <cell r="CD128" t="str">
            <v/>
          </cell>
          <cell r="CE128" t="str">
            <v/>
          </cell>
          <cell r="CF128">
            <v>30819</v>
          </cell>
          <cell r="CG128" t="str">
            <v/>
          </cell>
          <cell r="CH128" t="str">
            <v/>
          </cell>
          <cell r="CI128">
            <v>7396321</v>
          </cell>
          <cell r="CJ128" t="str">
            <v/>
          </cell>
          <cell r="CK128" t="str">
            <v/>
          </cell>
          <cell r="CL128" t="str">
            <v>Skilled</v>
          </cell>
          <cell r="CM128">
            <v>1500</v>
          </cell>
          <cell r="CN128" t="str">
            <v>Labor</v>
          </cell>
          <cell r="CO128">
            <v>1000</v>
          </cell>
          <cell r="CP128" t="str">
            <v/>
          </cell>
          <cell r="CQ128" t="str">
            <v/>
          </cell>
          <cell r="CR128" t="str">
            <v/>
          </cell>
          <cell r="CS128" t="str">
            <v/>
          </cell>
          <cell r="CT128" t="str">
            <v/>
          </cell>
          <cell r="CU128" t="str">
            <v/>
          </cell>
          <cell r="CV128" t="str">
            <v>Municipal Office</v>
          </cell>
          <cell r="CW128" t="str">
            <v>Rajendra Raman Khanal</v>
          </cell>
          <cell r="CX128" t="str">
            <v>Mayor</v>
          </cell>
          <cell r="CY128">
            <v>9851099583</v>
          </cell>
          <cell r="CZ128" t="str">
            <v>Municipal Office</v>
          </cell>
          <cell r="DA128" t="str">
            <v>Kabita Dhungana</v>
          </cell>
          <cell r="DB128" t="str">
            <v>Deputy Mayor</v>
          </cell>
          <cell r="DC128">
            <v>9851253009</v>
          </cell>
          <cell r="DD128" t="str">
            <v>Municipal Office</v>
          </cell>
          <cell r="DE128" t="str">
            <v/>
          </cell>
          <cell r="DF128" t="str">
            <v>Adminstration Officer</v>
          </cell>
          <cell r="DG128" t="str">
            <v/>
          </cell>
          <cell r="DH128" t="str">
            <v>NRA/GMALI</v>
          </cell>
          <cell r="DI128" t="str">
            <v/>
          </cell>
          <cell r="DJ128" t="str">
            <v>NRA Chief-District</v>
          </cell>
          <cell r="DK128" t="str">
            <v/>
          </cell>
          <cell r="DL128" t="str">
            <v>DLPIU-Building</v>
          </cell>
          <cell r="DM128" t="str">
            <v/>
          </cell>
          <cell r="DN128" t="str">
            <v>DUDBC.DLPIU Chief</v>
          </cell>
          <cell r="DO128" t="str">
            <v/>
          </cell>
          <cell r="DP128" t="str">
            <v>Municipal Office</v>
          </cell>
          <cell r="DQ128" t="str">
            <v/>
          </cell>
          <cell r="DR128" t="str">
            <v>Focal Person</v>
          </cell>
          <cell r="DS128" t="str">
            <v/>
          </cell>
          <cell r="DT128" t="str">
            <v/>
          </cell>
          <cell r="DU128" t="str">
            <v/>
          </cell>
          <cell r="DV128" t="str">
            <v/>
          </cell>
          <cell r="DW128" t="str">
            <v/>
          </cell>
          <cell r="DX128" t="str">
            <v/>
          </cell>
          <cell r="DY128" t="str">
            <v/>
          </cell>
          <cell r="DZ128" t="str">
            <v/>
          </cell>
          <cell r="EA128" t="str">
            <v/>
          </cell>
          <cell r="EB128" t="str">
            <v/>
          </cell>
          <cell r="EC128" t="str">
            <v/>
          </cell>
          <cell r="ED128" t="str">
            <v/>
          </cell>
          <cell r="EE128" t="str">
            <v/>
          </cell>
          <cell r="EF128" t="str">
            <v/>
          </cell>
          <cell r="EG128" t="str">
            <v/>
          </cell>
          <cell r="EH128" t="str">
            <v/>
          </cell>
          <cell r="EI128" t="str">
            <v/>
          </cell>
          <cell r="EJ128">
            <v>720</v>
          </cell>
          <cell r="EK128">
            <v>94</v>
          </cell>
          <cell r="EL128">
            <v>626</v>
          </cell>
          <cell r="EM128">
            <v>1062</v>
          </cell>
          <cell r="EN128">
            <v>14</v>
          </cell>
          <cell r="EO128">
            <v>1048</v>
          </cell>
          <cell r="EP128" t="str">
            <v/>
          </cell>
          <cell r="EQ128" t="str">
            <v>Housing Recovery and Reconstruction Platform</v>
          </cell>
          <cell r="ER128" t="str">
            <v>Badri Pyakurel</v>
          </cell>
          <cell r="ES128" t="str">
            <v>District Coordinator</v>
          </cell>
          <cell r="ET128">
            <v>9851154201</v>
          </cell>
          <cell r="EU128" t="str">
            <v>Housing Recovery and Reconstruction Platform</v>
          </cell>
          <cell r="EV128" t="str">
            <v>Budhha Singh Thakuri</v>
          </cell>
          <cell r="EW128" t="str">
            <v>District Information Management Officer</v>
          </cell>
          <cell r="EX128">
            <v>9841961829</v>
          </cell>
          <cell r="EY128" t="str">
            <v>Housing Recovery and Reconstruction Platform</v>
          </cell>
          <cell r="EZ128" t="str">
            <v/>
          </cell>
          <cell r="FA128" t="str">
            <v>District Technical Officer</v>
          </cell>
          <cell r="FB128" t="str">
            <v/>
          </cell>
        </row>
        <row r="129">
          <cell r="A129">
            <v>28002</v>
          </cell>
          <cell r="B129" t="str">
            <v>Nuwakot</v>
          </cell>
          <cell r="C129" t="str">
            <v>Bidur Nagarpalika</v>
          </cell>
          <cell r="D129">
            <v>2455</v>
          </cell>
          <cell r="E129">
            <v>12749</v>
          </cell>
          <cell r="F129">
            <v>15204</v>
          </cell>
          <cell r="G129" t="str">
            <v>Stone and cement mortar masonry</v>
          </cell>
          <cell r="H129">
            <v>1.1599999999999999</v>
          </cell>
          <cell r="I129">
            <v>0.64</v>
          </cell>
          <cell r="J129" t="str">
            <v>Stone and Mud Mortar Masonary</v>
          </cell>
          <cell r="K129">
            <v>65.62</v>
          </cell>
          <cell r="L129">
            <v>89.07</v>
          </cell>
          <cell r="M129" t="str">
            <v>Brick and Cement Mortar Masonary</v>
          </cell>
          <cell r="N129">
            <v>5.01</v>
          </cell>
          <cell r="O129">
            <v>2.11</v>
          </cell>
          <cell r="P129" t="str">
            <v>Brick and mud mortar Masonry</v>
          </cell>
          <cell r="Q129">
            <v>1.6</v>
          </cell>
          <cell r="R129">
            <v>0.51</v>
          </cell>
          <cell r="S129" t="str">
            <v>Reinforced cement concrete (RCC) frame</v>
          </cell>
          <cell r="T129">
            <v>11.47</v>
          </cell>
          <cell r="U129">
            <v>3.05</v>
          </cell>
          <cell r="V129" t="str">
            <v>Hybrid structure</v>
          </cell>
          <cell r="W129">
            <v>0</v>
          </cell>
          <cell r="X129">
            <v>0</v>
          </cell>
          <cell r="Y129" t="str">
            <v>Timber frame structure</v>
          </cell>
          <cell r="Z129">
            <v>0.15</v>
          </cell>
          <cell r="AA129">
            <v>0.15</v>
          </cell>
          <cell r="AB129" t="str">
            <v>Hollow concrete block Masonry</v>
          </cell>
          <cell r="AC129">
            <v>0</v>
          </cell>
          <cell r="AD129">
            <v>0</v>
          </cell>
          <cell r="AE129" t="str">
            <v>Dry stone Masonry</v>
          </cell>
          <cell r="AF129">
            <v>0.32</v>
          </cell>
          <cell r="AG129">
            <v>0.17</v>
          </cell>
          <cell r="AH129" t="str">
            <v>Adobe structures</v>
          </cell>
          <cell r="AI129">
            <v>14.64</v>
          </cell>
          <cell r="AJ129">
            <v>4.25</v>
          </cell>
          <cell r="AK129" t="str">
            <v>Bamboo</v>
          </cell>
          <cell r="AL129">
            <v>0.03</v>
          </cell>
          <cell r="AM129">
            <v>0.05</v>
          </cell>
          <cell r="AN129" t="str">
            <v>Compressed stabilized earth block (SCEB) Masonry</v>
          </cell>
          <cell r="AO129">
            <v>0</v>
          </cell>
          <cell r="AP129">
            <v>0</v>
          </cell>
          <cell r="AQ129" t="str">
            <v>Light steel frame structures</v>
          </cell>
          <cell r="AR129">
            <v>0</v>
          </cell>
          <cell r="AS129">
            <v>0</v>
          </cell>
          <cell r="AT129">
            <v>12893</v>
          </cell>
          <cell r="AU129">
            <v>11080</v>
          </cell>
          <cell r="AV129">
            <v>11745</v>
          </cell>
          <cell r="AW129">
            <v>10198</v>
          </cell>
          <cell r="AX129">
            <v>5453</v>
          </cell>
          <cell r="AY129">
            <v>10329</v>
          </cell>
          <cell r="AZ129" t="str">
            <v/>
          </cell>
          <cell r="BA129">
            <v>174</v>
          </cell>
          <cell r="BB129">
            <v>18</v>
          </cell>
          <cell r="BC129">
            <v>18</v>
          </cell>
          <cell r="BD129">
            <v>0</v>
          </cell>
          <cell r="BE129">
            <v>1693</v>
          </cell>
          <cell r="BF129">
            <v>1464</v>
          </cell>
          <cell r="BG129" t="str">
            <v/>
          </cell>
          <cell r="BH129" t="str">
            <v/>
          </cell>
          <cell r="BI129" t="str">
            <v/>
          </cell>
          <cell r="BJ129" t="str">
            <v>WVIN(Agriculture, Livestock Development and Irrigation,Disaster Risk Management,Employment and Livelihood,(blank))</v>
          </cell>
          <cell r="BK129">
            <v>242747</v>
          </cell>
          <cell r="BL129" t="str">
            <v>Y</v>
          </cell>
          <cell r="BM129">
            <v>1465</v>
          </cell>
          <cell r="BN129">
            <v>253082</v>
          </cell>
          <cell r="BO129" t="str">
            <v>Y</v>
          </cell>
          <cell r="BP129">
            <v>1845</v>
          </cell>
          <cell r="BQ129">
            <v>25954</v>
          </cell>
          <cell r="BR129" t="str">
            <v>Y</v>
          </cell>
          <cell r="BS129">
            <v>1845</v>
          </cell>
          <cell r="BT129">
            <v>30078</v>
          </cell>
          <cell r="BU129" t="str">
            <v/>
          </cell>
          <cell r="BV129" t="str">
            <v/>
          </cell>
          <cell r="BW129" t="str">
            <v/>
          </cell>
          <cell r="BX129" t="str">
            <v>Y</v>
          </cell>
          <cell r="BY129">
            <v>841</v>
          </cell>
          <cell r="BZ129">
            <v>835260</v>
          </cell>
          <cell r="CA129" t="str">
            <v>Y</v>
          </cell>
          <cell r="CB129">
            <v>761</v>
          </cell>
          <cell r="CC129">
            <v>2621748</v>
          </cell>
          <cell r="CD129" t="str">
            <v>Y</v>
          </cell>
          <cell r="CE129">
            <v>94</v>
          </cell>
          <cell r="CF129">
            <v>34127</v>
          </cell>
          <cell r="CG129" t="str">
            <v>Y</v>
          </cell>
          <cell r="CH129" t="str">
            <v/>
          </cell>
          <cell r="CI129">
            <v>1695063</v>
          </cell>
          <cell r="CJ129" t="str">
            <v>Y</v>
          </cell>
          <cell r="CK129" t="str">
            <v/>
          </cell>
          <cell r="CL129" t="str">
            <v>Skilled</v>
          </cell>
          <cell r="CM129">
            <v>900</v>
          </cell>
          <cell r="CN129" t="str">
            <v>Labor</v>
          </cell>
          <cell r="CO129">
            <v>600</v>
          </cell>
          <cell r="CP129" t="str">
            <v/>
          </cell>
          <cell r="CQ129" t="str">
            <v/>
          </cell>
          <cell r="CR129" t="str">
            <v/>
          </cell>
          <cell r="CS129" t="str">
            <v/>
          </cell>
          <cell r="CT129" t="str">
            <v/>
          </cell>
          <cell r="CU129" t="str">
            <v/>
          </cell>
          <cell r="CV129" t="str">
            <v>Municipal Office</v>
          </cell>
          <cell r="CW129" t="str">
            <v>Sanju Pandit</v>
          </cell>
          <cell r="CX129" t="str">
            <v>Mayor</v>
          </cell>
          <cell r="CY129">
            <v>9851049721</v>
          </cell>
          <cell r="CZ129" t="str">
            <v>Municipal Office</v>
          </cell>
          <cell r="DA129" t="str">
            <v>Gita Kumari Dahal</v>
          </cell>
          <cell r="DB129" t="str">
            <v>Deputy Mayor</v>
          </cell>
          <cell r="DC129">
            <v>9841087449</v>
          </cell>
          <cell r="DD129" t="str">
            <v>Municipal Office</v>
          </cell>
          <cell r="DE129" t="str">
            <v>Sudev Kumar Pokhrel</v>
          </cell>
          <cell r="DF129" t="str">
            <v>Adminstration Officer</v>
          </cell>
          <cell r="DG129">
            <v>9851250111</v>
          </cell>
          <cell r="DH129" t="str">
            <v>NRA/GMALI</v>
          </cell>
          <cell r="DI129" t="str">
            <v/>
          </cell>
          <cell r="DJ129" t="str">
            <v>NRA Chief-District</v>
          </cell>
          <cell r="DK129" t="str">
            <v/>
          </cell>
          <cell r="DL129" t="str">
            <v>DLPIU-Building</v>
          </cell>
          <cell r="DM129" t="str">
            <v/>
          </cell>
          <cell r="DN129" t="str">
            <v>DUDBC.DLPIU Chief</v>
          </cell>
          <cell r="DO129" t="str">
            <v/>
          </cell>
          <cell r="DP129" t="str">
            <v>Municipal Office</v>
          </cell>
          <cell r="DQ129" t="str">
            <v/>
          </cell>
          <cell r="DR129" t="str">
            <v>Focal Person</v>
          </cell>
          <cell r="DS129" t="str">
            <v/>
          </cell>
          <cell r="DT129" t="str">
            <v/>
          </cell>
          <cell r="DU129" t="str">
            <v/>
          </cell>
          <cell r="DV129" t="str">
            <v/>
          </cell>
          <cell r="DW129" t="str">
            <v/>
          </cell>
          <cell r="DX129" t="str">
            <v/>
          </cell>
          <cell r="DY129" t="str">
            <v/>
          </cell>
          <cell r="DZ129" t="str">
            <v/>
          </cell>
          <cell r="EA129" t="str">
            <v/>
          </cell>
          <cell r="EB129" t="str">
            <v/>
          </cell>
          <cell r="EC129" t="str">
            <v/>
          </cell>
          <cell r="ED129" t="str">
            <v/>
          </cell>
          <cell r="EE129" t="str">
            <v/>
          </cell>
          <cell r="EF129" t="str">
            <v/>
          </cell>
          <cell r="EG129" t="str">
            <v/>
          </cell>
          <cell r="EH129" t="str">
            <v/>
          </cell>
          <cell r="EI129" t="str">
            <v/>
          </cell>
          <cell r="EJ129">
            <v>876</v>
          </cell>
          <cell r="EK129">
            <v>295</v>
          </cell>
          <cell r="EL129">
            <v>581</v>
          </cell>
          <cell r="EM129">
            <v>1302</v>
          </cell>
          <cell r="EN129">
            <v>79</v>
          </cell>
          <cell r="EO129">
            <v>1223</v>
          </cell>
          <cell r="EP129" t="str">
            <v/>
          </cell>
          <cell r="EQ129" t="str">
            <v>Housing Recovery and Reconstruction Platform</v>
          </cell>
          <cell r="ER129" t="str">
            <v>Badri Pyakurel</v>
          </cell>
          <cell r="ES129" t="str">
            <v>District Coordinator</v>
          </cell>
          <cell r="ET129">
            <v>9851154201</v>
          </cell>
          <cell r="EU129" t="str">
            <v>Housing Recovery and Reconstruction Platform</v>
          </cell>
          <cell r="EV129" t="str">
            <v>Budhha Singh Thakuri</v>
          </cell>
          <cell r="EW129" t="str">
            <v>District Information Management Officer</v>
          </cell>
          <cell r="EX129">
            <v>9841961829</v>
          </cell>
          <cell r="EY129" t="str">
            <v>Housing Recovery and Reconstruction Platform</v>
          </cell>
          <cell r="EZ129" t="str">
            <v/>
          </cell>
          <cell r="FA129" t="str">
            <v>District Technical Officer</v>
          </cell>
          <cell r="FB129" t="str">
            <v/>
          </cell>
        </row>
        <row r="130">
          <cell r="A130">
            <v>28003</v>
          </cell>
          <cell r="B130" t="str">
            <v>Nuwakot</v>
          </cell>
          <cell r="C130" t="str">
            <v>Dupcheshwar Gaunpalika</v>
          </cell>
          <cell r="D130">
            <v>47</v>
          </cell>
          <cell r="E130">
            <v>5780</v>
          </cell>
          <cell r="F130">
            <v>5827</v>
          </cell>
          <cell r="G130" t="str">
            <v>Stone and cement mortar masonry</v>
          </cell>
          <cell r="H130">
            <v>0.17</v>
          </cell>
          <cell r="I130">
            <v>0.64</v>
          </cell>
          <cell r="J130" t="str">
            <v>Stone and Mud Mortar Masonary</v>
          </cell>
          <cell r="K130">
            <v>98.92</v>
          </cell>
          <cell r="L130">
            <v>89.07</v>
          </cell>
          <cell r="M130" t="str">
            <v>Brick and Cement Mortar Masonary</v>
          </cell>
          <cell r="N130">
            <v>0.12</v>
          </cell>
          <cell r="O130">
            <v>2.11</v>
          </cell>
          <cell r="P130" t="str">
            <v>Brick and mud mortar Masonry</v>
          </cell>
          <cell r="Q130">
            <v>0</v>
          </cell>
          <cell r="R130">
            <v>0.51</v>
          </cell>
          <cell r="S130" t="str">
            <v>Reinforced cement concrete (RCC) frame</v>
          </cell>
          <cell r="T130">
            <v>0.1</v>
          </cell>
          <cell r="U130">
            <v>3.05</v>
          </cell>
          <cell r="V130" t="str">
            <v>Hybrid structure</v>
          </cell>
          <cell r="W130">
            <v>0</v>
          </cell>
          <cell r="X130">
            <v>0</v>
          </cell>
          <cell r="Y130" t="str">
            <v>Timber frame structure</v>
          </cell>
          <cell r="Z130">
            <v>7.0000000000000007E-2</v>
          </cell>
          <cell r="AA130">
            <v>0.15</v>
          </cell>
          <cell r="AB130" t="str">
            <v>Hollow concrete block Masonry</v>
          </cell>
          <cell r="AC130">
            <v>0</v>
          </cell>
          <cell r="AD130">
            <v>0</v>
          </cell>
          <cell r="AE130" t="str">
            <v>Dry stone Masonry</v>
          </cell>
          <cell r="AF130">
            <v>0.09</v>
          </cell>
          <cell r="AG130">
            <v>0.17</v>
          </cell>
          <cell r="AH130" t="str">
            <v>Adobe structures</v>
          </cell>
          <cell r="AI130">
            <v>0.5</v>
          </cell>
          <cell r="AJ130">
            <v>4.25</v>
          </cell>
          <cell r="AK130" t="str">
            <v>Bamboo</v>
          </cell>
          <cell r="AL130">
            <v>0.03</v>
          </cell>
          <cell r="AM130">
            <v>0.05</v>
          </cell>
          <cell r="AN130" t="str">
            <v>Compressed stabilized earth block (SCEB) Masonry</v>
          </cell>
          <cell r="AO130">
            <v>0</v>
          </cell>
          <cell r="AP130">
            <v>0</v>
          </cell>
          <cell r="AQ130" t="str">
            <v>Light steel frame structures</v>
          </cell>
          <cell r="AR130">
            <v>0</v>
          </cell>
          <cell r="AS130">
            <v>0</v>
          </cell>
          <cell r="AT130">
            <v>5873</v>
          </cell>
          <cell r="AU130">
            <v>5486</v>
          </cell>
          <cell r="AV130">
            <v>5591</v>
          </cell>
          <cell r="AW130">
            <v>5211</v>
          </cell>
          <cell r="AX130">
            <v>3397</v>
          </cell>
          <cell r="AY130">
            <v>5206</v>
          </cell>
          <cell r="AZ130" t="str">
            <v/>
          </cell>
          <cell r="BA130">
            <v>23</v>
          </cell>
          <cell r="BB130">
            <v>1</v>
          </cell>
          <cell r="BC130">
            <v>1</v>
          </cell>
          <cell r="BD130">
            <v>0</v>
          </cell>
          <cell r="BE130">
            <v>425</v>
          </cell>
          <cell r="BF130">
            <v>425</v>
          </cell>
          <cell r="BG130" t="str">
            <v/>
          </cell>
          <cell r="BH130" t="str">
            <v/>
          </cell>
          <cell r="BI130" t="str">
            <v>NRCS(Health),NSET(Rural Housing and Community Infrastructure),OXFAM-GB(Rural Housing and Community Infrastructure)</v>
          </cell>
          <cell r="BJ130" t="str">
            <v>ACF(Health),BO(Education),GIZ(Health,Rural Housing and Community Infrastructure),GON-PAF(Rural Housing and Community Infrastructure),IMC(Health),SP-N(Education,Water, Sanitation and Hygiene),WFP(Employment and Livelihood)</v>
          </cell>
          <cell r="BK130">
            <v>158047</v>
          </cell>
          <cell r="BL130" t="str">
            <v/>
          </cell>
          <cell r="BM130" t="str">
            <v/>
          </cell>
          <cell r="BN130">
            <v>135969</v>
          </cell>
          <cell r="BO130" t="str">
            <v/>
          </cell>
          <cell r="BP130" t="str">
            <v/>
          </cell>
          <cell r="BQ130">
            <v>16638</v>
          </cell>
          <cell r="BR130" t="str">
            <v/>
          </cell>
          <cell r="BS130" t="str">
            <v/>
          </cell>
          <cell r="BT130">
            <v>18326</v>
          </cell>
          <cell r="BU130" t="str">
            <v/>
          </cell>
          <cell r="BV130" t="str">
            <v/>
          </cell>
          <cell r="BW130" t="str">
            <v/>
          </cell>
          <cell r="BX130" t="str">
            <v/>
          </cell>
          <cell r="BY130" t="str">
            <v/>
          </cell>
          <cell r="BZ130">
            <v>459180</v>
          </cell>
          <cell r="CA130" t="str">
            <v/>
          </cell>
          <cell r="CB130" t="str">
            <v/>
          </cell>
          <cell r="CC130">
            <v>1758504</v>
          </cell>
          <cell r="CD130" t="str">
            <v/>
          </cell>
          <cell r="CE130" t="str">
            <v/>
          </cell>
          <cell r="CF130">
            <v>18753</v>
          </cell>
          <cell r="CG130" t="str">
            <v/>
          </cell>
          <cell r="CH130" t="str">
            <v/>
          </cell>
          <cell r="CI130">
            <v>4153403</v>
          </cell>
          <cell r="CJ130" t="str">
            <v/>
          </cell>
          <cell r="CK130" t="str">
            <v/>
          </cell>
          <cell r="CL130" t="str">
            <v>Skilled</v>
          </cell>
          <cell r="CM130">
            <v>1200</v>
          </cell>
          <cell r="CN130" t="str">
            <v>Labor</v>
          </cell>
          <cell r="CO130">
            <v>1000</v>
          </cell>
          <cell r="CP130" t="str">
            <v/>
          </cell>
          <cell r="CQ130" t="str">
            <v/>
          </cell>
          <cell r="CR130" t="str">
            <v/>
          </cell>
          <cell r="CS130" t="str">
            <v/>
          </cell>
          <cell r="CT130" t="str">
            <v/>
          </cell>
          <cell r="CU130" t="str">
            <v/>
          </cell>
          <cell r="CV130" t="str">
            <v>Municipal Office</v>
          </cell>
          <cell r="CW130" t="str">
            <v>Yogindra Sing Tamang</v>
          </cell>
          <cell r="CX130" t="str">
            <v>Mayor</v>
          </cell>
          <cell r="CY130">
            <v>9851071953</v>
          </cell>
          <cell r="CZ130" t="str">
            <v>Municipal Office</v>
          </cell>
          <cell r="DA130" t="str">
            <v>Anju Acharya</v>
          </cell>
          <cell r="DB130" t="str">
            <v>Deputy Mayor</v>
          </cell>
          <cell r="DC130">
            <v>9849457675</v>
          </cell>
          <cell r="DD130" t="str">
            <v>Municipal Office</v>
          </cell>
          <cell r="DE130" t="str">
            <v>Ram Hari Gajurel</v>
          </cell>
          <cell r="DF130" t="str">
            <v>Adminstration Officer</v>
          </cell>
          <cell r="DG130">
            <v>9851126899</v>
          </cell>
          <cell r="DH130" t="str">
            <v>NRA/GMALI</v>
          </cell>
          <cell r="DI130" t="str">
            <v/>
          </cell>
          <cell r="DJ130" t="str">
            <v>NRA Chief-District</v>
          </cell>
          <cell r="DK130" t="str">
            <v/>
          </cell>
          <cell r="DL130" t="str">
            <v>DLPIU-Building</v>
          </cell>
          <cell r="DM130" t="str">
            <v/>
          </cell>
          <cell r="DN130" t="str">
            <v>DUDBC.DLPIU Chief</v>
          </cell>
          <cell r="DO130" t="str">
            <v/>
          </cell>
          <cell r="DP130" t="str">
            <v>Municipal Office</v>
          </cell>
          <cell r="DQ130" t="str">
            <v/>
          </cell>
          <cell r="DR130" t="str">
            <v>Focal Person</v>
          </cell>
          <cell r="DS130" t="str">
            <v/>
          </cell>
          <cell r="DT130" t="str">
            <v/>
          </cell>
          <cell r="DU130" t="str">
            <v/>
          </cell>
          <cell r="DV130" t="str">
            <v/>
          </cell>
          <cell r="DW130" t="str">
            <v/>
          </cell>
          <cell r="DX130" t="str">
            <v/>
          </cell>
          <cell r="DY130" t="str">
            <v/>
          </cell>
          <cell r="DZ130" t="str">
            <v/>
          </cell>
          <cell r="EA130" t="str">
            <v/>
          </cell>
          <cell r="EB130" t="str">
            <v/>
          </cell>
          <cell r="EC130" t="str">
            <v/>
          </cell>
          <cell r="ED130" t="str">
            <v/>
          </cell>
          <cell r="EE130" t="str">
            <v/>
          </cell>
          <cell r="EF130" t="str">
            <v/>
          </cell>
          <cell r="EG130" t="str">
            <v/>
          </cell>
          <cell r="EH130" t="str">
            <v/>
          </cell>
          <cell r="EI130" t="str">
            <v/>
          </cell>
          <cell r="EJ130">
            <v>414</v>
          </cell>
          <cell r="EK130">
            <v>419</v>
          </cell>
          <cell r="EL130">
            <v>-5</v>
          </cell>
          <cell r="EM130">
            <v>612</v>
          </cell>
          <cell r="EN130">
            <v>172</v>
          </cell>
          <cell r="EO130">
            <v>440</v>
          </cell>
          <cell r="EP130" t="str">
            <v/>
          </cell>
          <cell r="EQ130" t="str">
            <v>Housing Recovery and Reconstruction Platform</v>
          </cell>
          <cell r="ER130" t="str">
            <v>Badri Pyakurel</v>
          </cell>
          <cell r="ES130" t="str">
            <v>District Coordinator</v>
          </cell>
          <cell r="ET130">
            <v>9851154201</v>
          </cell>
          <cell r="EU130" t="str">
            <v>Housing Recovery and Reconstruction Platform</v>
          </cell>
          <cell r="EV130" t="str">
            <v>Budhha Singh Thakuri</v>
          </cell>
          <cell r="EW130" t="str">
            <v>District Information Management Officer</v>
          </cell>
          <cell r="EX130">
            <v>9841961829</v>
          </cell>
          <cell r="EY130" t="str">
            <v>Housing Recovery and Reconstruction Platform</v>
          </cell>
          <cell r="EZ130" t="str">
            <v/>
          </cell>
          <cell r="FA130" t="str">
            <v>District Technical Officer</v>
          </cell>
          <cell r="FB130" t="str">
            <v/>
          </cell>
        </row>
        <row r="131">
          <cell r="A131">
            <v>28004</v>
          </cell>
          <cell r="B131" t="str">
            <v>Nuwakot</v>
          </cell>
          <cell r="C131" t="str">
            <v>Kakani Gaunpalika</v>
          </cell>
          <cell r="D131">
            <v>374</v>
          </cell>
          <cell r="E131">
            <v>6531</v>
          </cell>
          <cell r="F131">
            <v>6905</v>
          </cell>
          <cell r="G131" t="str">
            <v>Stone and cement mortar masonry</v>
          </cell>
          <cell r="H131">
            <v>1.03</v>
          </cell>
          <cell r="I131">
            <v>0.64</v>
          </cell>
          <cell r="J131" t="str">
            <v>Stone and Mud Mortar Masonary</v>
          </cell>
          <cell r="K131">
            <v>89.26</v>
          </cell>
          <cell r="L131">
            <v>89.07</v>
          </cell>
          <cell r="M131" t="str">
            <v>Brick and Cement Mortar Masonary</v>
          </cell>
          <cell r="N131">
            <v>1.87</v>
          </cell>
          <cell r="O131">
            <v>2.11</v>
          </cell>
          <cell r="P131" t="str">
            <v>Brick and mud mortar Masonry</v>
          </cell>
          <cell r="Q131">
            <v>0.19</v>
          </cell>
          <cell r="R131">
            <v>0.51</v>
          </cell>
          <cell r="S131" t="str">
            <v>Reinforced cement concrete (RCC) frame</v>
          </cell>
          <cell r="T131">
            <v>1.51</v>
          </cell>
          <cell r="U131">
            <v>3.05</v>
          </cell>
          <cell r="V131" t="str">
            <v>Hybrid structure</v>
          </cell>
          <cell r="W131">
            <v>0</v>
          </cell>
          <cell r="X131">
            <v>0</v>
          </cell>
          <cell r="Y131" t="str">
            <v>Timber frame structure</v>
          </cell>
          <cell r="Z131">
            <v>0.36</v>
          </cell>
          <cell r="AA131">
            <v>0.15</v>
          </cell>
          <cell r="AB131" t="str">
            <v>Hollow concrete block Masonry</v>
          </cell>
          <cell r="AC131">
            <v>0</v>
          </cell>
          <cell r="AD131">
            <v>0</v>
          </cell>
          <cell r="AE131" t="str">
            <v>Dry stone Masonry</v>
          </cell>
          <cell r="AF131">
            <v>0.1</v>
          </cell>
          <cell r="AG131">
            <v>0.17</v>
          </cell>
          <cell r="AH131" t="str">
            <v>Adobe structures</v>
          </cell>
          <cell r="AI131">
            <v>5.63</v>
          </cell>
          <cell r="AJ131">
            <v>4.25</v>
          </cell>
          <cell r="AK131" t="str">
            <v>Bamboo</v>
          </cell>
          <cell r="AL131">
            <v>0.04</v>
          </cell>
          <cell r="AM131">
            <v>0.05</v>
          </cell>
          <cell r="AN131" t="str">
            <v>Compressed stabilized earth block (SCEB) Masonry</v>
          </cell>
          <cell r="AO131">
            <v>0</v>
          </cell>
          <cell r="AP131">
            <v>0</v>
          </cell>
          <cell r="AQ131" t="str">
            <v>Light steel frame structures</v>
          </cell>
          <cell r="AR131">
            <v>0</v>
          </cell>
          <cell r="AS131">
            <v>0</v>
          </cell>
          <cell r="AT131">
            <v>6916</v>
          </cell>
          <cell r="AU131">
            <v>6159</v>
          </cell>
          <cell r="AV131">
            <v>6202</v>
          </cell>
          <cell r="AW131">
            <v>5411</v>
          </cell>
          <cell r="AX131">
            <v>2940</v>
          </cell>
          <cell r="AY131">
            <v>5397</v>
          </cell>
          <cell r="AZ131" t="str">
            <v/>
          </cell>
          <cell r="BA131">
            <v>119</v>
          </cell>
          <cell r="BB131">
            <v>44</v>
          </cell>
          <cell r="BC131">
            <v>44</v>
          </cell>
          <cell r="BD131">
            <v>0</v>
          </cell>
          <cell r="BE131">
            <v>1389</v>
          </cell>
          <cell r="BF131">
            <v>759</v>
          </cell>
          <cell r="BG131" t="str">
            <v/>
          </cell>
          <cell r="BH131" t="str">
            <v/>
          </cell>
          <cell r="BI131" t="str">
            <v>NRCS(Agriculture, Livestock Development and Irrigation,Education,Employment and Livelihood,Health,Water, Sanitation and Hygiene),NSET(Rural Housing and Community Infrastructure)</v>
          </cell>
          <cell r="BJ131" t="str">
            <v>ACF(Rural Housing and Community Infrastructure),GON-PAF(Rural Housing and Community Infrastructure),MI(Health),NR(Education),OXFAM-GB(Rural Housing and Community Infrastructure),RoomTR(Education),RoundT-N(Education),SCI(Education,Rural Housing and Community Infrastructure,Social Protection,Water, Sanitation and Hygiene)</v>
          </cell>
          <cell r="BK131">
            <v>148589</v>
          </cell>
          <cell r="BL131" t="str">
            <v/>
          </cell>
          <cell r="BM131" t="str">
            <v/>
          </cell>
          <cell r="BN131">
            <v>141675</v>
          </cell>
          <cell r="BO131" t="str">
            <v/>
          </cell>
          <cell r="BP131" t="str">
            <v/>
          </cell>
          <cell r="BQ131">
            <v>15765</v>
          </cell>
          <cell r="BR131" t="str">
            <v/>
          </cell>
          <cell r="BS131" t="str">
            <v/>
          </cell>
          <cell r="BT131">
            <v>17824</v>
          </cell>
          <cell r="BU131" t="str">
            <v/>
          </cell>
          <cell r="BV131" t="str">
            <v/>
          </cell>
          <cell r="BW131" t="str">
            <v/>
          </cell>
          <cell r="BX131" t="str">
            <v/>
          </cell>
          <cell r="BY131" t="str">
            <v/>
          </cell>
          <cell r="BZ131">
            <v>470922</v>
          </cell>
          <cell r="CA131" t="str">
            <v/>
          </cell>
          <cell r="CB131" t="str">
            <v/>
          </cell>
          <cell r="CC131">
            <v>1626558</v>
          </cell>
          <cell r="CD131" t="str">
            <v/>
          </cell>
          <cell r="CE131" t="str">
            <v/>
          </cell>
          <cell r="CF131">
            <v>19228</v>
          </cell>
          <cell r="CG131" t="str">
            <v/>
          </cell>
          <cell r="CH131" t="str">
            <v/>
          </cell>
          <cell r="CI131">
            <v>2217096</v>
          </cell>
          <cell r="CJ131" t="str">
            <v/>
          </cell>
          <cell r="CK131" t="str">
            <v/>
          </cell>
          <cell r="CL131" t="str">
            <v>Skilled</v>
          </cell>
          <cell r="CM131">
            <v>1200</v>
          </cell>
          <cell r="CN131" t="str">
            <v>Labor</v>
          </cell>
          <cell r="CO131">
            <v>1000</v>
          </cell>
          <cell r="CP131" t="str">
            <v/>
          </cell>
          <cell r="CQ131" t="str">
            <v/>
          </cell>
          <cell r="CR131" t="str">
            <v/>
          </cell>
          <cell r="CS131" t="str">
            <v/>
          </cell>
          <cell r="CT131" t="str">
            <v/>
          </cell>
          <cell r="CU131" t="str">
            <v/>
          </cell>
          <cell r="CV131" t="str">
            <v>Municipal Office</v>
          </cell>
          <cell r="CW131" t="str">
            <v>Man bahadur lama</v>
          </cell>
          <cell r="CX131" t="str">
            <v>Mayor</v>
          </cell>
          <cell r="CY131">
            <v>9851082727</v>
          </cell>
          <cell r="CZ131" t="str">
            <v>Municipal Office</v>
          </cell>
          <cell r="DA131" t="str">
            <v>Sita Lama</v>
          </cell>
          <cell r="DB131" t="str">
            <v>Deputy Mayor</v>
          </cell>
          <cell r="DC131" t="str">
            <v/>
          </cell>
          <cell r="DD131" t="str">
            <v>Municipal Office</v>
          </cell>
          <cell r="DE131" t="str">
            <v>Santosh Kumar Dahal</v>
          </cell>
          <cell r="DF131" t="str">
            <v>Adminstration Officer</v>
          </cell>
          <cell r="DG131">
            <v>9841364307</v>
          </cell>
          <cell r="DH131" t="str">
            <v>NRA/GMALI</v>
          </cell>
          <cell r="DI131" t="str">
            <v/>
          </cell>
          <cell r="DJ131" t="str">
            <v>NRA Chief-District</v>
          </cell>
          <cell r="DK131" t="str">
            <v/>
          </cell>
          <cell r="DL131" t="str">
            <v>DLPIU-Building</v>
          </cell>
          <cell r="DM131" t="str">
            <v/>
          </cell>
          <cell r="DN131" t="str">
            <v>DUDBC.DLPIU Chief</v>
          </cell>
          <cell r="DO131" t="str">
            <v/>
          </cell>
          <cell r="DP131" t="str">
            <v>Municipal Office</v>
          </cell>
          <cell r="DQ131" t="str">
            <v/>
          </cell>
          <cell r="DR131" t="str">
            <v>Focal Person</v>
          </cell>
          <cell r="DS131" t="str">
            <v/>
          </cell>
          <cell r="DT131" t="str">
            <v>4</v>
          </cell>
          <cell r="DU131" t="str">
            <v>15</v>
          </cell>
          <cell r="DV131" t="str">
            <v>2</v>
          </cell>
          <cell r="DW131" t="str">
            <v/>
          </cell>
          <cell r="DX131" t="str">
            <v>3</v>
          </cell>
          <cell r="DY131" t="str">
            <v>19</v>
          </cell>
          <cell r="DZ131">
            <v>1</v>
          </cell>
          <cell r="EA131" t="str">
            <v>1</v>
          </cell>
          <cell r="EB131" t="str">
            <v/>
          </cell>
          <cell r="EC131" t="str">
            <v/>
          </cell>
          <cell r="ED131" t="str">
            <v/>
          </cell>
          <cell r="EE131" t="str">
            <v/>
          </cell>
          <cell r="EF131" t="str">
            <v/>
          </cell>
          <cell r="EG131" t="str">
            <v/>
          </cell>
          <cell r="EH131" t="str">
            <v/>
          </cell>
          <cell r="EI131" t="str">
            <v/>
          </cell>
          <cell r="EJ131">
            <v>479</v>
          </cell>
          <cell r="EK131">
            <v>414</v>
          </cell>
          <cell r="EL131">
            <v>65</v>
          </cell>
          <cell r="EM131">
            <v>661</v>
          </cell>
          <cell r="EN131">
            <v>57</v>
          </cell>
          <cell r="EO131">
            <v>604</v>
          </cell>
          <cell r="EP131" t="str">
            <v/>
          </cell>
          <cell r="EQ131" t="str">
            <v>Housing Recovery and Reconstruction Platform</v>
          </cell>
          <cell r="ER131" t="str">
            <v>Badri Pyakurel</v>
          </cell>
          <cell r="ES131" t="str">
            <v>District Coordinator</v>
          </cell>
          <cell r="ET131">
            <v>9851154201</v>
          </cell>
          <cell r="EU131" t="str">
            <v>Housing Recovery and Reconstruction Platform</v>
          </cell>
          <cell r="EV131" t="str">
            <v>Budhha Singh Thakuri</v>
          </cell>
          <cell r="EW131" t="str">
            <v>District Information Management Officer</v>
          </cell>
          <cell r="EX131">
            <v>9841961829</v>
          </cell>
          <cell r="EY131" t="str">
            <v>Housing Recovery and Reconstruction Platform</v>
          </cell>
          <cell r="EZ131" t="str">
            <v/>
          </cell>
          <cell r="FA131" t="str">
            <v>District Technical Officer</v>
          </cell>
          <cell r="FB131" t="str">
            <v/>
          </cell>
        </row>
        <row r="132">
          <cell r="A132">
            <v>28005</v>
          </cell>
          <cell r="B132" t="str">
            <v>Nuwakot</v>
          </cell>
          <cell r="C132" t="str">
            <v>Kispang Gaunpalika</v>
          </cell>
          <cell r="D132">
            <v>160</v>
          </cell>
          <cell r="E132">
            <v>4477</v>
          </cell>
          <cell r="F132">
            <v>4637</v>
          </cell>
          <cell r="G132" t="str">
            <v>Stone and cement mortar masonry</v>
          </cell>
          <cell r="H132">
            <v>1.01</v>
          </cell>
          <cell r="I132">
            <v>0.64</v>
          </cell>
          <cell r="J132" t="str">
            <v>Stone and Mud Mortar Masonary</v>
          </cell>
          <cell r="K132">
            <v>95.44</v>
          </cell>
          <cell r="L132">
            <v>89.07</v>
          </cell>
          <cell r="M132" t="str">
            <v>Brick and Cement Mortar Masonary</v>
          </cell>
          <cell r="N132">
            <v>0.63</v>
          </cell>
          <cell r="O132">
            <v>2.11</v>
          </cell>
          <cell r="P132" t="str">
            <v>Brick and mud mortar Masonry</v>
          </cell>
          <cell r="Q132">
            <v>0.02</v>
          </cell>
          <cell r="R132">
            <v>0.51</v>
          </cell>
          <cell r="S132" t="str">
            <v>Reinforced cement concrete (RCC) frame</v>
          </cell>
          <cell r="T132">
            <v>2.0099999999999998</v>
          </cell>
          <cell r="U132">
            <v>3.05</v>
          </cell>
          <cell r="V132" t="str">
            <v>Hybrid structure</v>
          </cell>
          <cell r="W132">
            <v>0</v>
          </cell>
          <cell r="X132">
            <v>0</v>
          </cell>
          <cell r="Y132" t="str">
            <v>Timber frame structure</v>
          </cell>
          <cell r="Z132">
            <v>0.19</v>
          </cell>
          <cell r="AA132">
            <v>0.15</v>
          </cell>
          <cell r="AB132" t="str">
            <v>Hollow concrete block Masonry</v>
          </cell>
          <cell r="AC132">
            <v>0</v>
          </cell>
          <cell r="AD132">
            <v>0</v>
          </cell>
          <cell r="AE132" t="str">
            <v>Dry stone Masonry</v>
          </cell>
          <cell r="AF132">
            <v>0.35</v>
          </cell>
          <cell r="AG132">
            <v>0.17</v>
          </cell>
          <cell r="AH132" t="str">
            <v>Adobe structures</v>
          </cell>
          <cell r="AI132">
            <v>0.3</v>
          </cell>
          <cell r="AJ132">
            <v>4.25</v>
          </cell>
          <cell r="AK132" t="str">
            <v>Bamboo</v>
          </cell>
          <cell r="AL132">
            <v>0.04</v>
          </cell>
          <cell r="AM132">
            <v>0.05</v>
          </cell>
          <cell r="AN132" t="str">
            <v>Compressed stabilized earth block (SCEB) Masonry</v>
          </cell>
          <cell r="AO132">
            <v>0</v>
          </cell>
          <cell r="AP132">
            <v>0</v>
          </cell>
          <cell r="AQ132" t="str">
            <v>Light steel frame structures</v>
          </cell>
          <cell r="AR132">
            <v>0</v>
          </cell>
          <cell r="AS132">
            <v>0</v>
          </cell>
          <cell r="AT132">
            <v>4788</v>
          </cell>
          <cell r="AU132">
            <v>1822</v>
          </cell>
          <cell r="AV132">
            <v>4153</v>
          </cell>
          <cell r="AW132">
            <v>3814</v>
          </cell>
          <cell r="AX132">
            <v>2519</v>
          </cell>
          <cell r="AY132">
            <v>3900</v>
          </cell>
          <cell r="AZ132" t="str">
            <v/>
          </cell>
          <cell r="BA132">
            <v>38</v>
          </cell>
          <cell r="BB132">
            <v>0</v>
          </cell>
          <cell r="BC132">
            <v>0</v>
          </cell>
          <cell r="BD132">
            <v>0</v>
          </cell>
          <cell r="BE132">
            <v>809</v>
          </cell>
          <cell r="BF132">
            <v>553</v>
          </cell>
          <cell r="BG132" t="str">
            <v/>
          </cell>
          <cell r="BH132" t="str">
            <v/>
          </cell>
          <cell r="BI132" t="str">
            <v>NRCS(Agriculture, Livestock Development and Irrigation,Education,Employment and Livelihood,Health,Rural Housing and Community Infrastructure,Water, Sanitation and Hygiene),NSET(Rural Housing and Community Infrastructure),WR(Agriculture, Livestock Development and Irrigation,Education,Electricity and Renewable Energy,Employment and Livelihood,Health,Rural Housing and Community Infrastructure,Water, Sanitation and Hygiene)</v>
          </cell>
          <cell r="BJ132" t="str">
            <v>ACF(Agriculture, Livestock Development and Irrigation,Disaster Risk Management,Health,Water, Sanitation and Hygiene),BC(Education,Rural Housing and Community Infrastructure),GIZ(Health),GON-PAF(Rural Housing and Community Infrastructure),HFH(Disaster Risk Management,Rural Housing and Community Infrastructure),IMC(Health),MI(Health),NF(Education)</v>
          </cell>
          <cell r="BK132">
            <v>42164</v>
          </cell>
          <cell r="BL132" t="str">
            <v>N</v>
          </cell>
          <cell r="BM132">
            <v>10000</v>
          </cell>
          <cell r="BN132">
            <v>41123</v>
          </cell>
          <cell r="BO132" t="str">
            <v>N</v>
          </cell>
          <cell r="BP132">
            <v>16000</v>
          </cell>
          <cell r="BQ132">
            <v>4483</v>
          </cell>
          <cell r="BR132" t="str">
            <v>N</v>
          </cell>
          <cell r="BS132">
            <v>20000</v>
          </cell>
          <cell r="BT132">
            <v>5102</v>
          </cell>
          <cell r="BU132" t="str">
            <v/>
          </cell>
          <cell r="BV132" t="str">
            <v/>
          </cell>
          <cell r="BW132" t="str">
            <v/>
          </cell>
          <cell r="BX132" t="str">
            <v>N</v>
          </cell>
          <cell r="BY132">
            <v>950</v>
          </cell>
          <cell r="BZ132">
            <v>136996</v>
          </cell>
          <cell r="CA132" t="str">
            <v>N</v>
          </cell>
          <cell r="CB132">
            <v>1050</v>
          </cell>
          <cell r="CC132">
            <v>460783</v>
          </cell>
          <cell r="CD132" t="str">
            <v>Y</v>
          </cell>
          <cell r="CE132">
            <v>95</v>
          </cell>
          <cell r="CF132">
            <v>5598</v>
          </cell>
          <cell r="CG132" t="str">
            <v/>
          </cell>
          <cell r="CH132" t="str">
            <v/>
          </cell>
          <cell r="CI132">
            <v>632375</v>
          </cell>
          <cell r="CJ132" t="str">
            <v/>
          </cell>
          <cell r="CK132" t="str">
            <v/>
          </cell>
          <cell r="CL132" t="str">
            <v>Skilled</v>
          </cell>
          <cell r="CM132">
            <v>1500</v>
          </cell>
          <cell r="CN132" t="str">
            <v>Labor</v>
          </cell>
          <cell r="CO132">
            <v>1000</v>
          </cell>
          <cell r="CP132" t="str">
            <v/>
          </cell>
          <cell r="CQ132" t="str">
            <v/>
          </cell>
          <cell r="CR132" t="str">
            <v/>
          </cell>
          <cell r="CS132" t="str">
            <v/>
          </cell>
          <cell r="CT132" t="str">
            <v/>
          </cell>
          <cell r="CU132" t="str">
            <v/>
          </cell>
          <cell r="CV132" t="str">
            <v>Municipal Office</v>
          </cell>
          <cell r="CW132" t="str">
            <v>Chhatra Bahadur Lama</v>
          </cell>
          <cell r="CX132" t="str">
            <v>Mayor</v>
          </cell>
          <cell r="CY132">
            <v>9851173433</v>
          </cell>
          <cell r="CZ132" t="str">
            <v>Municipal Office</v>
          </cell>
          <cell r="DA132" t="str">
            <v>Maya Devi Neupane</v>
          </cell>
          <cell r="DB132" t="str">
            <v>Deputy Mayor</v>
          </cell>
          <cell r="DC132">
            <v>9851132976</v>
          </cell>
          <cell r="DD132" t="str">
            <v>Municipal Office</v>
          </cell>
          <cell r="DE132" t="str">
            <v>Krishna Raj Joshi</v>
          </cell>
          <cell r="DF132" t="str">
            <v>Adminstration Officer</v>
          </cell>
          <cell r="DG132" t="str">
            <v/>
          </cell>
          <cell r="DH132" t="str">
            <v>NRA/GMALI</v>
          </cell>
          <cell r="DI132" t="str">
            <v/>
          </cell>
          <cell r="DJ132" t="str">
            <v>NRA Chief-District</v>
          </cell>
          <cell r="DK132" t="str">
            <v/>
          </cell>
          <cell r="DL132" t="str">
            <v>DLPIU-Building</v>
          </cell>
          <cell r="DM132" t="str">
            <v/>
          </cell>
          <cell r="DN132" t="str">
            <v>DUDBC.DLPIU Chief</v>
          </cell>
          <cell r="DO132" t="str">
            <v/>
          </cell>
          <cell r="DP132" t="str">
            <v>Municipal Office</v>
          </cell>
          <cell r="DQ132" t="str">
            <v/>
          </cell>
          <cell r="DR132" t="str">
            <v>Focal Person</v>
          </cell>
          <cell r="DS132" t="str">
            <v/>
          </cell>
          <cell r="DT132" t="str">
            <v>20</v>
          </cell>
          <cell r="DU132" t="str">
            <v>15</v>
          </cell>
          <cell r="DV132" t="str">
            <v/>
          </cell>
          <cell r="DW132" t="str">
            <v/>
          </cell>
          <cell r="DX132" t="str">
            <v/>
          </cell>
          <cell r="DY132" t="str">
            <v/>
          </cell>
          <cell r="DZ132" t="str">
            <v/>
          </cell>
          <cell r="EA132" t="str">
            <v/>
          </cell>
          <cell r="EB132" t="str">
            <v/>
          </cell>
          <cell r="EC132" t="str">
            <v/>
          </cell>
          <cell r="ED132" t="str">
            <v/>
          </cell>
          <cell r="EE132" t="str">
            <v/>
          </cell>
          <cell r="EF132" t="str">
            <v/>
          </cell>
          <cell r="EG132" t="str">
            <v/>
          </cell>
          <cell r="EH132" t="str">
            <v/>
          </cell>
          <cell r="EI132" t="str">
            <v/>
          </cell>
          <cell r="EJ132">
            <v>324</v>
          </cell>
          <cell r="EK132">
            <v>398</v>
          </cell>
          <cell r="EL132">
            <v>-74</v>
          </cell>
          <cell r="EM132">
            <v>477</v>
          </cell>
          <cell r="EN132">
            <v>58</v>
          </cell>
          <cell r="EO132">
            <v>419</v>
          </cell>
          <cell r="EP132" t="str">
            <v/>
          </cell>
          <cell r="EQ132" t="str">
            <v>Housing Recovery and Reconstruction Platform</v>
          </cell>
          <cell r="ER132" t="str">
            <v>Badri Pyakurel</v>
          </cell>
          <cell r="ES132" t="str">
            <v>District Coordinator</v>
          </cell>
          <cell r="ET132">
            <v>9851154201</v>
          </cell>
          <cell r="EU132" t="str">
            <v>Housing Recovery and Reconstruction Platform</v>
          </cell>
          <cell r="EV132" t="str">
            <v>Budhha Singh Thakuri</v>
          </cell>
          <cell r="EW132" t="str">
            <v>District Information Management Officer</v>
          </cell>
          <cell r="EX132">
            <v>9841961829</v>
          </cell>
          <cell r="EY132" t="str">
            <v>Housing Recovery and Reconstruction Platform</v>
          </cell>
          <cell r="EZ132" t="str">
            <v/>
          </cell>
          <cell r="FA132" t="str">
            <v>District Technical Officer</v>
          </cell>
          <cell r="FB132" t="str">
            <v/>
          </cell>
        </row>
        <row r="133">
          <cell r="A133">
            <v>28006</v>
          </cell>
          <cell r="B133" t="str">
            <v>Nuwakot</v>
          </cell>
          <cell r="C133" t="str">
            <v>Likhu Gaunpalika</v>
          </cell>
          <cell r="D133">
            <v>568</v>
          </cell>
          <cell r="E133">
            <v>4405</v>
          </cell>
          <cell r="F133">
            <v>4973</v>
          </cell>
          <cell r="G133" t="str">
            <v>Stone and cement mortar masonry</v>
          </cell>
          <cell r="H133">
            <v>0.36</v>
          </cell>
          <cell r="I133">
            <v>0.64</v>
          </cell>
          <cell r="J133" t="str">
            <v>Stone and Mud Mortar Masonary</v>
          </cell>
          <cell r="K133">
            <v>86.16</v>
          </cell>
          <cell r="L133">
            <v>89.07</v>
          </cell>
          <cell r="M133" t="str">
            <v>Brick and Cement Mortar Masonary</v>
          </cell>
          <cell r="N133">
            <v>6.28</v>
          </cell>
          <cell r="O133">
            <v>2.11</v>
          </cell>
          <cell r="P133" t="str">
            <v>Brick and mud mortar Masonry</v>
          </cell>
          <cell r="Q133">
            <v>0.69</v>
          </cell>
          <cell r="R133">
            <v>0.51</v>
          </cell>
          <cell r="S133" t="str">
            <v>Reinforced cement concrete (RCC) frame</v>
          </cell>
          <cell r="T133">
            <v>2.48</v>
          </cell>
          <cell r="U133">
            <v>3.05</v>
          </cell>
          <cell r="V133" t="str">
            <v>Hybrid structure</v>
          </cell>
          <cell r="W133">
            <v>0</v>
          </cell>
          <cell r="X133">
            <v>0</v>
          </cell>
          <cell r="Y133" t="str">
            <v>Timber frame structure</v>
          </cell>
          <cell r="Z133">
            <v>0.24</v>
          </cell>
          <cell r="AA133">
            <v>0.15</v>
          </cell>
          <cell r="AB133" t="str">
            <v>Hollow concrete block Masonry</v>
          </cell>
          <cell r="AC133">
            <v>0</v>
          </cell>
          <cell r="AD133">
            <v>0</v>
          </cell>
          <cell r="AE133" t="str">
            <v>Dry stone Masonry</v>
          </cell>
          <cell r="AF133">
            <v>0.18</v>
          </cell>
          <cell r="AG133">
            <v>0.17</v>
          </cell>
          <cell r="AH133" t="str">
            <v>Adobe structures</v>
          </cell>
          <cell r="AI133">
            <v>3.41</v>
          </cell>
          <cell r="AJ133">
            <v>4.25</v>
          </cell>
          <cell r="AK133" t="str">
            <v>Bamboo</v>
          </cell>
          <cell r="AL133">
            <v>0.18</v>
          </cell>
          <cell r="AM133">
            <v>0.05</v>
          </cell>
          <cell r="AN133" t="str">
            <v>Compressed stabilized earth block (SCEB) Masonry</v>
          </cell>
          <cell r="AO133">
            <v>0</v>
          </cell>
          <cell r="AP133">
            <v>0</v>
          </cell>
          <cell r="AQ133" t="str">
            <v>Light steel frame structures</v>
          </cell>
          <cell r="AR133">
            <v>0</v>
          </cell>
          <cell r="AS133">
            <v>0</v>
          </cell>
          <cell r="AT133">
            <v>5109</v>
          </cell>
          <cell r="AU133">
            <v>4060</v>
          </cell>
          <cell r="AV133">
            <v>4463</v>
          </cell>
          <cell r="AW133">
            <v>3674</v>
          </cell>
          <cell r="AX133">
            <v>2200</v>
          </cell>
          <cell r="AY133">
            <v>3652</v>
          </cell>
          <cell r="AZ133" t="str">
            <v/>
          </cell>
          <cell r="BA133">
            <v>64</v>
          </cell>
          <cell r="BB133">
            <v>9</v>
          </cell>
          <cell r="BC133">
            <v>9</v>
          </cell>
          <cell r="BD133">
            <v>0</v>
          </cell>
          <cell r="BE133">
            <v>1329</v>
          </cell>
          <cell r="BF133">
            <v>1104</v>
          </cell>
          <cell r="BG133" t="str">
            <v/>
          </cell>
          <cell r="BH133" t="str">
            <v/>
          </cell>
          <cell r="BI133" t="str">
            <v/>
          </cell>
          <cell r="BJ133" t="str">
            <v>MI(Disaster Risk Management,Water, Sanitation and Hygiene)</v>
          </cell>
          <cell r="BK133">
            <v>90948</v>
          </cell>
          <cell r="BL133" t="str">
            <v>N</v>
          </cell>
          <cell r="BM133">
            <v>6000</v>
          </cell>
          <cell r="BN133">
            <v>91585</v>
          </cell>
          <cell r="BO133" t="str">
            <v>N</v>
          </cell>
          <cell r="BP133">
            <v>4500</v>
          </cell>
          <cell r="BQ133">
            <v>9696</v>
          </cell>
          <cell r="BR133" t="str">
            <v>N</v>
          </cell>
          <cell r="BS133">
            <v>3000</v>
          </cell>
          <cell r="BT133">
            <v>11132</v>
          </cell>
          <cell r="BU133" t="str">
            <v/>
          </cell>
          <cell r="BV133" t="str">
            <v/>
          </cell>
          <cell r="BW133" t="str">
            <v/>
          </cell>
          <cell r="BX133" t="str">
            <v>N</v>
          </cell>
          <cell r="BY133">
            <v>850</v>
          </cell>
          <cell r="BZ133">
            <v>304019</v>
          </cell>
          <cell r="CA133" t="str">
            <v>N</v>
          </cell>
          <cell r="CB133">
            <v>95</v>
          </cell>
          <cell r="CC133">
            <v>988836</v>
          </cell>
          <cell r="CD133" t="str">
            <v>N</v>
          </cell>
          <cell r="CE133">
            <v>72</v>
          </cell>
          <cell r="CF133">
            <v>12424</v>
          </cell>
          <cell r="CG133" t="str">
            <v/>
          </cell>
          <cell r="CH133" t="str">
            <v/>
          </cell>
          <cell r="CI133">
            <v>1066977</v>
          </cell>
          <cell r="CJ133" t="str">
            <v/>
          </cell>
          <cell r="CK133" t="str">
            <v/>
          </cell>
          <cell r="CL133" t="str">
            <v>Skilled</v>
          </cell>
          <cell r="CM133">
            <v>1200</v>
          </cell>
          <cell r="CN133" t="str">
            <v>Labor</v>
          </cell>
          <cell r="CO133">
            <v>800</v>
          </cell>
          <cell r="CP133" t="str">
            <v/>
          </cell>
          <cell r="CQ133" t="str">
            <v/>
          </cell>
          <cell r="CR133" t="str">
            <v/>
          </cell>
          <cell r="CS133" t="str">
            <v/>
          </cell>
          <cell r="CT133" t="str">
            <v/>
          </cell>
          <cell r="CU133" t="str">
            <v/>
          </cell>
          <cell r="CV133" t="str">
            <v>Municipal Office</v>
          </cell>
          <cell r="CW133" t="str">
            <v>Dhurba Shrestha</v>
          </cell>
          <cell r="CX133" t="str">
            <v>Mayor</v>
          </cell>
          <cell r="CY133" t="str">
            <v/>
          </cell>
          <cell r="CZ133" t="str">
            <v>Municipal Office</v>
          </cell>
          <cell r="DA133" t="str">
            <v>Rojina Rai</v>
          </cell>
          <cell r="DB133" t="str">
            <v>Deputy Mayor</v>
          </cell>
          <cell r="DC133">
            <v>9849647824</v>
          </cell>
          <cell r="DD133" t="str">
            <v>Municipal Office</v>
          </cell>
          <cell r="DE133" t="str">
            <v>Suraj Aryal</v>
          </cell>
          <cell r="DF133" t="str">
            <v>Adminstration Officer</v>
          </cell>
          <cell r="DG133">
            <v>9851253099</v>
          </cell>
          <cell r="DH133" t="str">
            <v>NRA/GMALI</v>
          </cell>
          <cell r="DI133" t="str">
            <v/>
          </cell>
          <cell r="DJ133" t="str">
            <v>NRA Chief-District</v>
          </cell>
          <cell r="DK133" t="str">
            <v/>
          </cell>
          <cell r="DL133" t="str">
            <v>DLPIU-Building</v>
          </cell>
          <cell r="DM133" t="str">
            <v/>
          </cell>
          <cell r="DN133" t="str">
            <v>DUDBC.DLPIU Chief</v>
          </cell>
          <cell r="DO133" t="str">
            <v/>
          </cell>
          <cell r="DP133" t="str">
            <v>Municipal Office</v>
          </cell>
          <cell r="DQ133" t="str">
            <v/>
          </cell>
          <cell r="DR133" t="str">
            <v>Focal Person</v>
          </cell>
          <cell r="DS133" t="str">
            <v/>
          </cell>
          <cell r="DT133" t="str">
            <v/>
          </cell>
          <cell r="DU133" t="str">
            <v/>
          </cell>
          <cell r="DV133" t="str">
            <v/>
          </cell>
          <cell r="DW133" t="str">
            <v/>
          </cell>
          <cell r="DX133" t="str">
            <v/>
          </cell>
          <cell r="DY133" t="str">
            <v/>
          </cell>
          <cell r="DZ133" t="str">
            <v/>
          </cell>
          <cell r="EA133" t="str">
            <v/>
          </cell>
          <cell r="EB133" t="str">
            <v/>
          </cell>
          <cell r="EC133" t="str">
            <v/>
          </cell>
          <cell r="ED133" t="str">
            <v/>
          </cell>
          <cell r="EE133" t="str">
            <v/>
          </cell>
          <cell r="EF133" t="str">
            <v/>
          </cell>
          <cell r="EG133" t="str">
            <v/>
          </cell>
          <cell r="EH133" t="str">
            <v/>
          </cell>
          <cell r="EI133" t="str">
            <v/>
          </cell>
          <cell r="EJ133">
            <v>332</v>
          </cell>
          <cell r="EK133">
            <v>190</v>
          </cell>
          <cell r="EL133">
            <v>142</v>
          </cell>
          <cell r="EM133">
            <v>478</v>
          </cell>
          <cell r="EN133">
            <v>14</v>
          </cell>
          <cell r="EO133">
            <v>464</v>
          </cell>
          <cell r="EP133" t="str">
            <v/>
          </cell>
          <cell r="EQ133" t="str">
            <v>Housing Recovery and Reconstruction Platform</v>
          </cell>
          <cell r="ER133" t="str">
            <v>Badri Pyakurel</v>
          </cell>
          <cell r="ES133" t="str">
            <v>District Coordinator</v>
          </cell>
          <cell r="ET133">
            <v>9851154201</v>
          </cell>
          <cell r="EU133" t="str">
            <v>Housing Recovery and Reconstruction Platform</v>
          </cell>
          <cell r="EV133" t="str">
            <v>Budhha Singh Thakuri</v>
          </cell>
          <cell r="EW133" t="str">
            <v>District Information Management Officer</v>
          </cell>
          <cell r="EX133">
            <v>9841961829</v>
          </cell>
          <cell r="EY133" t="str">
            <v>Housing Recovery and Reconstruction Platform</v>
          </cell>
          <cell r="EZ133" t="str">
            <v/>
          </cell>
          <cell r="FA133" t="str">
            <v>District Technical Officer</v>
          </cell>
          <cell r="FB133" t="str">
            <v/>
          </cell>
        </row>
        <row r="134">
          <cell r="A134">
            <v>28007</v>
          </cell>
          <cell r="B134" t="str">
            <v>Nuwakot</v>
          </cell>
          <cell r="C134" t="str">
            <v>Meghang Gaunpalika</v>
          </cell>
          <cell r="D134">
            <v>368</v>
          </cell>
          <cell r="E134">
            <v>4371</v>
          </cell>
          <cell r="F134">
            <v>4739</v>
          </cell>
          <cell r="G134" t="str">
            <v>Stone and cement mortar masonry</v>
          </cell>
          <cell r="H134">
            <v>0.46</v>
          </cell>
          <cell r="I134">
            <v>0.64</v>
          </cell>
          <cell r="J134" t="str">
            <v>Stone and Mud Mortar Masonary</v>
          </cell>
          <cell r="K134">
            <v>96.07</v>
          </cell>
          <cell r="L134">
            <v>89.07</v>
          </cell>
          <cell r="M134" t="str">
            <v>Brick and Cement Mortar Masonary</v>
          </cell>
          <cell r="N134">
            <v>0.82</v>
          </cell>
          <cell r="O134">
            <v>2.11</v>
          </cell>
          <cell r="P134" t="str">
            <v>Brick and mud mortar Masonry</v>
          </cell>
          <cell r="Q134">
            <v>0.06</v>
          </cell>
          <cell r="R134">
            <v>0.51</v>
          </cell>
          <cell r="S134" t="str">
            <v>Reinforced cement concrete (RCC) frame</v>
          </cell>
          <cell r="T134">
            <v>2.0499999999999998</v>
          </cell>
          <cell r="U134">
            <v>3.05</v>
          </cell>
          <cell r="V134" t="str">
            <v>Hybrid structure</v>
          </cell>
          <cell r="W134">
            <v>0</v>
          </cell>
          <cell r="X134">
            <v>0</v>
          </cell>
          <cell r="Y134" t="str">
            <v>Timber frame structure</v>
          </cell>
          <cell r="Z134">
            <v>0.21</v>
          </cell>
          <cell r="AA134">
            <v>0.15</v>
          </cell>
          <cell r="AB134" t="str">
            <v>Hollow concrete block Masonry</v>
          </cell>
          <cell r="AC134">
            <v>0</v>
          </cell>
          <cell r="AD134">
            <v>0</v>
          </cell>
          <cell r="AE134" t="str">
            <v>Dry stone Masonry</v>
          </cell>
          <cell r="AF134">
            <v>0.08</v>
          </cell>
          <cell r="AG134">
            <v>0.17</v>
          </cell>
          <cell r="AH134" t="str">
            <v>Adobe structures</v>
          </cell>
          <cell r="AI134">
            <v>0.21</v>
          </cell>
          <cell r="AJ134">
            <v>4.25</v>
          </cell>
          <cell r="AK134" t="str">
            <v>Bamboo</v>
          </cell>
          <cell r="AL134">
            <v>0.02</v>
          </cell>
          <cell r="AM134">
            <v>0.05</v>
          </cell>
          <cell r="AN134" t="str">
            <v>Compressed stabilized earth block (SCEB) Masonry</v>
          </cell>
          <cell r="AO134">
            <v>0</v>
          </cell>
          <cell r="AP134">
            <v>0</v>
          </cell>
          <cell r="AQ134" t="str">
            <v>Light steel frame structures</v>
          </cell>
          <cell r="AR134">
            <v>0</v>
          </cell>
          <cell r="AS134">
            <v>0</v>
          </cell>
          <cell r="AT134">
            <v>4510</v>
          </cell>
          <cell r="AU134">
            <v>4023</v>
          </cell>
          <cell r="AV134">
            <v>4239</v>
          </cell>
          <cell r="AW134">
            <v>3851</v>
          </cell>
          <cell r="AX134">
            <v>3040</v>
          </cell>
          <cell r="AY134">
            <v>3844</v>
          </cell>
          <cell r="AZ134" t="str">
            <v/>
          </cell>
          <cell r="BA134">
            <v>80</v>
          </cell>
          <cell r="BB134">
            <v>0</v>
          </cell>
          <cell r="BC134">
            <v>0</v>
          </cell>
          <cell r="BD134">
            <v>0</v>
          </cell>
          <cell r="BE134">
            <v>511</v>
          </cell>
          <cell r="BF134">
            <v>448</v>
          </cell>
          <cell r="BG134" t="str">
            <v/>
          </cell>
          <cell r="BH134" t="str">
            <v/>
          </cell>
          <cell r="BI134" t="str">
            <v/>
          </cell>
          <cell r="BJ134" t="str">
            <v>ACF(Agriculture, Livestock Development and Irrigation,Disaster Risk Management,Health,Water, Sanitation and Hygiene),GIZ(Health),OXFAM-GB(Rural Housing and Community Infrastructure)</v>
          </cell>
          <cell r="BK134">
            <v>97915</v>
          </cell>
          <cell r="BL134" t="str">
            <v>N</v>
          </cell>
          <cell r="BM134">
            <v>5000</v>
          </cell>
          <cell r="BN134">
            <v>99205</v>
          </cell>
          <cell r="BO134" t="str">
            <v>N</v>
          </cell>
          <cell r="BP134">
            <v>9000</v>
          </cell>
          <cell r="BQ134">
            <v>10447</v>
          </cell>
          <cell r="BR134" t="str">
            <v>N</v>
          </cell>
          <cell r="BS134">
            <v>3000</v>
          </cell>
          <cell r="BT134">
            <v>12026</v>
          </cell>
          <cell r="BU134" t="str">
            <v/>
          </cell>
          <cell r="BV134" t="str">
            <v/>
          </cell>
          <cell r="BW134" t="str">
            <v/>
          </cell>
          <cell r="BX134" t="str">
            <v>N</v>
          </cell>
          <cell r="BY134">
            <v>850</v>
          </cell>
          <cell r="BZ134">
            <v>331544</v>
          </cell>
          <cell r="CA134" t="str">
            <v>N</v>
          </cell>
          <cell r="CB134">
            <v>990</v>
          </cell>
          <cell r="CC134">
            <v>1066797</v>
          </cell>
          <cell r="CD134" t="str">
            <v>N</v>
          </cell>
          <cell r="CE134">
            <v>95</v>
          </cell>
          <cell r="CF134">
            <v>13564</v>
          </cell>
          <cell r="CG134" t="str">
            <v/>
          </cell>
          <cell r="CH134" t="str">
            <v/>
          </cell>
          <cell r="CI134">
            <v>1461293</v>
          </cell>
          <cell r="CJ134" t="str">
            <v/>
          </cell>
          <cell r="CK134" t="str">
            <v/>
          </cell>
          <cell r="CL134" t="str">
            <v>Skilled</v>
          </cell>
          <cell r="CM134">
            <v>1500</v>
          </cell>
          <cell r="CN134" t="str">
            <v>Labor</v>
          </cell>
          <cell r="CO134">
            <v>1000</v>
          </cell>
          <cell r="CP134" t="str">
            <v/>
          </cell>
          <cell r="CQ134" t="str">
            <v/>
          </cell>
          <cell r="CR134" t="str">
            <v/>
          </cell>
          <cell r="CS134" t="str">
            <v/>
          </cell>
          <cell r="CT134" t="str">
            <v/>
          </cell>
          <cell r="CU134" t="str">
            <v/>
          </cell>
          <cell r="CV134" t="str">
            <v>Municipal Office</v>
          </cell>
          <cell r="CW134" t="str">
            <v>Asha Tamang</v>
          </cell>
          <cell r="CX134" t="str">
            <v>Mayor</v>
          </cell>
          <cell r="CY134">
            <v>9841759108</v>
          </cell>
          <cell r="CZ134" t="str">
            <v>Municipal Office</v>
          </cell>
          <cell r="DA134" t="str">
            <v>Shanti Lama Tamang</v>
          </cell>
          <cell r="DB134" t="str">
            <v>Deputy Mayor</v>
          </cell>
          <cell r="DC134" t="str">
            <v/>
          </cell>
          <cell r="DD134" t="str">
            <v>Municipal Office</v>
          </cell>
          <cell r="DE134" t="str">
            <v>Pramod Timilsina</v>
          </cell>
          <cell r="DF134" t="str">
            <v>Adminstration Officer</v>
          </cell>
          <cell r="DG134">
            <v>9851254032</v>
          </cell>
          <cell r="DH134" t="str">
            <v>NRA/GMALI</v>
          </cell>
          <cell r="DI134" t="str">
            <v/>
          </cell>
          <cell r="DJ134" t="str">
            <v>NRA Chief-District</v>
          </cell>
          <cell r="DK134" t="str">
            <v/>
          </cell>
          <cell r="DL134" t="str">
            <v>DLPIU-Building</v>
          </cell>
          <cell r="DM134" t="str">
            <v/>
          </cell>
          <cell r="DN134" t="str">
            <v>DUDBC.DLPIU Chief</v>
          </cell>
          <cell r="DO134" t="str">
            <v/>
          </cell>
          <cell r="DP134" t="str">
            <v>Municipal Office</v>
          </cell>
          <cell r="DQ134" t="str">
            <v/>
          </cell>
          <cell r="DR134" t="str">
            <v>Focal Person</v>
          </cell>
          <cell r="DS134" t="str">
            <v/>
          </cell>
          <cell r="DT134" t="str">
            <v>100</v>
          </cell>
          <cell r="DU134" t="str">
            <v/>
          </cell>
          <cell r="DV134" t="str">
            <v/>
          </cell>
          <cell r="DW134" t="str">
            <v/>
          </cell>
          <cell r="DX134" t="str">
            <v/>
          </cell>
          <cell r="DY134" t="str">
            <v/>
          </cell>
          <cell r="DZ134" t="str">
            <v/>
          </cell>
          <cell r="EA134" t="str">
            <v/>
          </cell>
          <cell r="EB134" t="str">
            <v/>
          </cell>
          <cell r="EC134" t="str">
            <v/>
          </cell>
          <cell r="ED134" t="str">
            <v/>
          </cell>
          <cell r="EE134" t="str">
            <v/>
          </cell>
          <cell r="EF134" t="str">
            <v/>
          </cell>
          <cell r="EG134" t="str">
            <v/>
          </cell>
          <cell r="EH134" t="str">
            <v/>
          </cell>
          <cell r="EI134" t="str">
            <v/>
          </cell>
          <cell r="EJ134">
            <v>306</v>
          </cell>
          <cell r="EK134">
            <v>87</v>
          </cell>
          <cell r="EL134">
            <v>219</v>
          </cell>
          <cell r="EM134">
            <v>459</v>
          </cell>
          <cell r="EN134">
            <v>14</v>
          </cell>
          <cell r="EO134">
            <v>445</v>
          </cell>
          <cell r="EP134" t="str">
            <v/>
          </cell>
          <cell r="EQ134" t="str">
            <v>Housing Recovery and Reconstruction Platform</v>
          </cell>
          <cell r="ER134" t="str">
            <v>Badri Pyakurel</v>
          </cell>
          <cell r="ES134" t="str">
            <v>District Coordinator</v>
          </cell>
          <cell r="ET134">
            <v>9851154201</v>
          </cell>
          <cell r="EU134" t="str">
            <v>Housing Recovery and Reconstruction Platform</v>
          </cell>
          <cell r="EV134" t="str">
            <v>Budhha Singh Thakuri</v>
          </cell>
          <cell r="EW134" t="str">
            <v>District Information Management Officer</v>
          </cell>
          <cell r="EX134">
            <v>9841961829</v>
          </cell>
          <cell r="EY134" t="str">
            <v>Housing Recovery and Reconstruction Platform</v>
          </cell>
          <cell r="EZ134" t="str">
            <v/>
          </cell>
          <cell r="FA134" t="str">
            <v>District Technical Officer</v>
          </cell>
          <cell r="FB134" t="str">
            <v/>
          </cell>
        </row>
        <row r="135">
          <cell r="A135">
            <v>28008</v>
          </cell>
          <cell r="B135" t="str">
            <v>Nuwakot</v>
          </cell>
          <cell r="C135" t="str">
            <v>Panchakanya Gaunpalika</v>
          </cell>
          <cell r="D135">
            <v>132</v>
          </cell>
          <cell r="E135">
            <v>4111</v>
          </cell>
          <cell r="F135">
            <v>4243</v>
          </cell>
          <cell r="G135" t="str">
            <v>Stone and cement mortar masonry</v>
          </cell>
          <cell r="H135">
            <v>0.61</v>
          </cell>
          <cell r="I135">
            <v>0.64</v>
          </cell>
          <cell r="J135" t="str">
            <v>Stone and Mud Mortar Masonary</v>
          </cell>
          <cell r="K135">
            <v>96.89</v>
          </cell>
          <cell r="L135">
            <v>89.07</v>
          </cell>
          <cell r="M135" t="str">
            <v>Brick and Cement Mortar Masonary</v>
          </cell>
          <cell r="N135">
            <v>0.68</v>
          </cell>
          <cell r="O135">
            <v>2.11</v>
          </cell>
          <cell r="P135" t="str">
            <v>Brick and mud mortar Masonry</v>
          </cell>
          <cell r="Q135">
            <v>0.14000000000000001</v>
          </cell>
          <cell r="R135">
            <v>0.51</v>
          </cell>
          <cell r="S135" t="str">
            <v>Reinforced cement concrete (RCC) frame</v>
          </cell>
          <cell r="T135">
            <v>0.45</v>
          </cell>
          <cell r="U135">
            <v>3.05</v>
          </cell>
          <cell r="V135" t="str">
            <v>Hybrid structure</v>
          </cell>
          <cell r="W135">
            <v>0</v>
          </cell>
          <cell r="X135">
            <v>0</v>
          </cell>
          <cell r="Y135" t="str">
            <v>Timber frame structure</v>
          </cell>
          <cell r="Z135">
            <v>0.09</v>
          </cell>
          <cell r="AA135">
            <v>0.15</v>
          </cell>
          <cell r="AB135" t="str">
            <v>Hollow concrete block Masonry</v>
          </cell>
          <cell r="AC135">
            <v>0</v>
          </cell>
          <cell r="AD135">
            <v>0</v>
          </cell>
          <cell r="AE135" t="str">
            <v>Dry stone Masonry</v>
          </cell>
          <cell r="AF135">
            <v>7.0000000000000007E-2</v>
          </cell>
          <cell r="AG135">
            <v>0.17</v>
          </cell>
          <cell r="AH135" t="str">
            <v>Adobe structures</v>
          </cell>
          <cell r="AI135">
            <v>1.01</v>
          </cell>
          <cell r="AJ135">
            <v>4.25</v>
          </cell>
          <cell r="AK135" t="str">
            <v>Bamboo</v>
          </cell>
          <cell r="AL135">
            <v>0.05</v>
          </cell>
          <cell r="AM135">
            <v>0.05</v>
          </cell>
          <cell r="AN135" t="str">
            <v>Compressed stabilized earth block (SCEB) Masonry</v>
          </cell>
          <cell r="AO135">
            <v>0</v>
          </cell>
          <cell r="AP135">
            <v>0</v>
          </cell>
          <cell r="AQ135" t="str">
            <v>Light steel frame structures</v>
          </cell>
          <cell r="AR135">
            <v>0</v>
          </cell>
          <cell r="AS135">
            <v>0</v>
          </cell>
          <cell r="AT135">
            <v>4460</v>
          </cell>
          <cell r="AU135">
            <v>3644</v>
          </cell>
          <cell r="AV135">
            <v>4033</v>
          </cell>
          <cell r="AW135">
            <v>3632</v>
          </cell>
          <cell r="AX135">
            <v>2105</v>
          </cell>
          <cell r="AY135">
            <v>3622</v>
          </cell>
          <cell r="AZ135" t="str">
            <v/>
          </cell>
          <cell r="BA135">
            <v>75</v>
          </cell>
          <cell r="BB135">
            <v>0</v>
          </cell>
          <cell r="BC135">
            <v>0</v>
          </cell>
          <cell r="BD135">
            <v>0</v>
          </cell>
          <cell r="BE135">
            <v>910</v>
          </cell>
          <cell r="BF135">
            <v>534</v>
          </cell>
          <cell r="BG135" t="str">
            <v/>
          </cell>
          <cell r="BH135" t="str">
            <v/>
          </cell>
          <cell r="BI135" t="str">
            <v>NSET(Rural Housing and Community Infrastructure)</v>
          </cell>
          <cell r="BJ135" t="str">
            <v>ACF(Health,Rural Housing and Community Infrastructure),CNF(Education),GIZ(Health),MI(Rural Housing and Community Infrastructure,Water, Sanitation and Hygiene),OXFAM-GB(Rural Housing and Community Infrastructure),RoomTR(Education)</v>
          </cell>
          <cell r="BK135">
            <v>78562</v>
          </cell>
          <cell r="BL135" t="str">
            <v/>
          </cell>
          <cell r="BM135" t="str">
            <v/>
          </cell>
          <cell r="BN135">
            <v>79529</v>
          </cell>
          <cell r="BO135" t="str">
            <v/>
          </cell>
          <cell r="BP135" t="str">
            <v/>
          </cell>
          <cell r="BQ135">
            <v>8380</v>
          </cell>
          <cell r="BR135" t="str">
            <v/>
          </cell>
          <cell r="BS135" t="str">
            <v/>
          </cell>
          <cell r="BT135">
            <v>9640</v>
          </cell>
          <cell r="BU135" t="str">
            <v/>
          </cell>
          <cell r="BV135" t="str">
            <v/>
          </cell>
          <cell r="BW135" t="str">
            <v/>
          </cell>
          <cell r="BX135" t="str">
            <v/>
          </cell>
          <cell r="BY135" t="str">
            <v/>
          </cell>
          <cell r="BZ135">
            <v>264744</v>
          </cell>
          <cell r="CA135" t="str">
            <v/>
          </cell>
          <cell r="CB135" t="str">
            <v/>
          </cell>
          <cell r="CC135">
            <v>854640</v>
          </cell>
          <cell r="CD135" t="str">
            <v/>
          </cell>
          <cell r="CE135" t="str">
            <v/>
          </cell>
          <cell r="CF135">
            <v>10825</v>
          </cell>
          <cell r="CG135" t="str">
            <v/>
          </cell>
          <cell r="CH135" t="str">
            <v/>
          </cell>
          <cell r="CI135">
            <v>1016100</v>
          </cell>
          <cell r="CJ135" t="str">
            <v/>
          </cell>
          <cell r="CK135" t="str">
            <v/>
          </cell>
          <cell r="CL135" t="str">
            <v>Skilled</v>
          </cell>
          <cell r="CM135">
            <v>1500</v>
          </cell>
          <cell r="CN135" t="str">
            <v>Labor</v>
          </cell>
          <cell r="CO135">
            <v>1000</v>
          </cell>
          <cell r="CP135" t="str">
            <v/>
          </cell>
          <cell r="CQ135" t="str">
            <v/>
          </cell>
          <cell r="CR135" t="str">
            <v/>
          </cell>
          <cell r="CS135" t="str">
            <v/>
          </cell>
          <cell r="CT135" t="str">
            <v/>
          </cell>
          <cell r="CU135" t="str">
            <v/>
          </cell>
          <cell r="CV135" t="str">
            <v>Municipal Office</v>
          </cell>
          <cell r="CW135" t="str">
            <v>Tej Bahadur Tamang</v>
          </cell>
          <cell r="CX135" t="str">
            <v>Mayor</v>
          </cell>
          <cell r="CY135">
            <v>9841867429</v>
          </cell>
          <cell r="CZ135" t="str">
            <v>Municipal Office</v>
          </cell>
          <cell r="DA135" t="str">
            <v/>
          </cell>
          <cell r="DB135" t="str">
            <v>Deputy Mayor</v>
          </cell>
          <cell r="DC135" t="str">
            <v/>
          </cell>
          <cell r="DD135" t="str">
            <v>Municipal Office</v>
          </cell>
          <cell r="DE135" t="str">
            <v>Narersh Pudasaini</v>
          </cell>
          <cell r="DF135" t="str">
            <v>Adminstration Officer</v>
          </cell>
          <cell r="DG135">
            <v>9851230141</v>
          </cell>
          <cell r="DH135" t="str">
            <v>NRA/GMALI</v>
          </cell>
          <cell r="DI135" t="str">
            <v/>
          </cell>
          <cell r="DJ135" t="str">
            <v>NRA Chief-District</v>
          </cell>
          <cell r="DK135" t="str">
            <v/>
          </cell>
          <cell r="DL135" t="str">
            <v>DLPIU-Building</v>
          </cell>
          <cell r="DM135" t="str">
            <v/>
          </cell>
          <cell r="DN135" t="str">
            <v>DUDBC.DLPIU Chief</v>
          </cell>
          <cell r="DO135" t="str">
            <v/>
          </cell>
          <cell r="DP135" t="str">
            <v>Municipal Office</v>
          </cell>
          <cell r="DQ135" t="str">
            <v/>
          </cell>
          <cell r="DR135" t="str">
            <v>Focal Person</v>
          </cell>
          <cell r="DS135" t="str">
            <v/>
          </cell>
          <cell r="DT135" t="str">
            <v>20</v>
          </cell>
          <cell r="DU135" t="str">
            <v>1500</v>
          </cell>
          <cell r="DV135" t="str">
            <v>500</v>
          </cell>
          <cell r="DW135" t="str">
            <v/>
          </cell>
          <cell r="DX135" t="str">
            <v/>
          </cell>
          <cell r="DY135" t="str">
            <v>50</v>
          </cell>
          <cell r="DZ135" t="str">
            <v/>
          </cell>
          <cell r="EA135" t="str">
            <v/>
          </cell>
          <cell r="EB135" t="str">
            <v/>
          </cell>
          <cell r="EC135" t="str">
            <v/>
          </cell>
          <cell r="ED135" t="str">
            <v/>
          </cell>
          <cell r="EE135" t="str">
            <v/>
          </cell>
          <cell r="EF135" t="str">
            <v/>
          </cell>
          <cell r="EG135" t="str">
            <v/>
          </cell>
          <cell r="EH135" t="str">
            <v/>
          </cell>
          <cell r="EI135" t="str">
            <v/>
          </cell>
          <cell r="EJ135">
            <v>294</v>
          </cell>
          <cell r="EK135">
            <v>93</v>
          </cell>
          <cell r="EL135">
            <v>201</v>
          </cell>
          <cell r="EM135">
            <v>426</v>
          </cell>
          <cell r="EN135">
            <v>16</v>
          </cell>
          <cell r="EO135">
            <v>410</v>
          </cell>
          <cell r="EP135" t="str">
            <v/>
          </cell>
          <cell r="EQ135" t="str">
            <v>Housing Recovery and Reconstruction Platform</v>
          </cell>
          <cell r="ER135" t="str">
            <v>Badri Pyakurel</v>
          </cell>
          <cell r="ES135" t="str">
            <v>District Coordinator</v>
          </cell>
          <cell r="ET135">
            <v>9851154201</v>
          </cell>
          <cell r="EU135" t="str">
            <v>Housing Recovery and Reconstruction Platform</v>
          </cell>
          <cell r="EV135" t="str">
            <v>Budhha Singh Thakuri</v>
          </cell>
          <cell r="EW135" t="str">
            <v>District Information Management Officer</v>
          </cell>
          <cell r="EX135">
            <v>9841961829</v>
          </cell>
          <cell r="EY135" t="str">
            <v>Housing Recovery and Reconstruction Platform</v>
          </cell>
          <cell r="EZ135" t="str">
            <v/>
          </cell>
          <cell r="FA135" t="str">
            <v>District Technical Officer</v>
          </cell>
          <cell r="FB135" t="str">
            <v/>
          </cell>
        </row>
        <row r="136">
          <cell r="A136">
            <v>28009</v>
          </cell>
          <cell r="B136" t="str">
            <v>Nuwakot</v>
          </cell>
          <cell r="C136" t="str">
            <v>Shivapuri Gaunpalika</v>
          </cell>
          <cell r="D136">
            <v>164</v>
          </cell>
          <cell r="E136">
            <v>6128</v>
          </cell>
          <cell r="F136">
            <v>6292</v>
          </cell>
          <cell r="G136" t="str">
            <v>Stone and cement mortar masonry</v>
          </cell>
          <cell r="H136">
            <v>0.38</v>
          </cell>
          <cell r="I136">
            <v>0.64</v>
          </cell>
          <cell r="J136" t="str">
            <v>Stone and Mud Mortar Masonary</v>
          </cell>
          <cell r="K136">
            <v>97.49</v>
          </cell>
          <cell r="L136">
            <v>89.07</v>
          </cell>
          <cell r="M136" t="str">
            <v>Brick and Cement Mortar Masonary</v>
          </cell>
          <cell r="N136">
            <v>0.33</v>
          </cell>
          <cell r="O136">
            <v>2.11</v>
          </cell>
          <cell r="P136" t="str">
            <v>Brick and mud mortar Masonry</v>
          </cell>
          <cell r="Q136">
            <v>0.24</v>
          </cell>
          <cell r="R136">
            <v>0.51</v>
          </cell>
          <cell r="S136" t="str">
            <v>Reinforced cement concrete (RCC) frame</v>
          </cell>
          <cell r="T136">
            <v>0.08</v>
          </cell>
          <cell r="U136">
            <v>3.05</v>
          </cell>
          <cell r="V136" t="str">
            <v>Hybrid structure</v>
          </cell>
          <cell r="W136">
            <v>0</v>
          </cell>
          <cell r="X136">
            <v>0</v>
          </cell>
          <cell r="Y136" t="str">
            <v>Timber frame structure</v>
          </cell>
          <cell r="Z136">
            <v>0.1</v>
          </cell>
          <cell r="AA136">
            <v>0.15</v>
          </cell>
          <cell r="AB136" t="str">
            <v>Hollow concrete block Masonry</v>
          </cell>
          <cell r="AC136">
            <v>0</v>
          </cell>
          <cell r="AD136">
            <v>0</v>
          </cell>
          <cell r="AE136" t="str">
            <v>Dry stone Masonry</v>
          </cell>
          <cell r="AF136">
            <v>0.06</v>
          </cell>
          <cell r="AG136">
            <v>0.17</v>
          </cell>
          <cell r="AH136" t="str">
            <v>Adobe structures</v>
          </cell>
          <cell r="AI136">
            <v>1.21</v>
          </cell>
          <cell r="AJ136">
            <v>4.25</v>
          </cell>
          <cell r="AK136" t="str">
            <v>Bamboo</v>
          </cell>
          <cell r="AL136">
            <v>0.11</v>
          </cell>
          <cell r="AM136">
            <v>0.05</v>
          </cell>
          <cell r="AN136" t="str">
            <v>Compressed stabilized earth block (SCEB) Masonry</v>
          </cell>
          <cell r="AO136">
            <v>0</v>
          </cell>
          <cell r="AP136">
            <v>0</v>
          </cell>
          <cell r="AQ136" t="str">
            <v>Light steel frame structures</v>
          </cell>
          <cell r="AR136">
            <v>0</v>
          </cell>
          <cell r="AS136">
            <v>0</v>
          </cell>
          <cell r="AT136">
            <v>6514</v>
          </cell>
          <cell r="AU136">
            <v>5707</v>
          </cell>
          <cell r="AV136">
            <v>5931</v>
          </cell>
          <cell r="AW136">
            <v>5006</v>
          </cell>
          <cell r="AX136">
            <v>2989</v>
          </cell>
          <cell r="AY136">
            <v>4988</v>
          </cell>
          <cell r="AZ136" t="str">
            <v/>
          </cell>
          <cell r="BA136">
            <v>16</v>
          </cell>
          <cell r="BB136">
            <v>0</v>
          </cell>
          <cell r="BC136">
            <v>0</v>
          </cell>
          <cell r="BD136">
            <v>0</v>
          </cell>
          <cell r="BE136">
            <v>995</v>
          </cell>
          <cell r="BF136">
            <v>897</v>
          </cell>
          <cell r="BG136" t="str">
            <v/>
          </cell>
          <cell r="BH136" t="str">
            <v/>
          </cell>
          <cell r="BI136" t="str">
            <v/>
          </cell>
          <cell r="BJ136" t="str">
            <v>MI(Disaster Risk Management,Water, Sanitation and Hygiene)</v>
          </cell>
          <cell r="BK136">
            <v>114021</v>
          </cell>
          <cell r="BL136" t="str">
            <v>N</v>
          </cell>
          <cell r="BM136">
            <v>12000</v>
          </cell>
          <cell r="BN136">
            <v>113028</v>
          </cell>
          <cell r="BO136" t="str">
            <v>N</v>
          </cell>
          <cell r="BP136">
            <v>12000</v>
          </cell>
          <cell r="BQ136">
            <v>12139</v>
          </cell>
          <cell r="BR136" t="str">
            <v>N</v>
          </cell>
          <cell r="BS136">
            <v>12000</v>
          </cell>
          <cell r="BT136">
            <v>13876</v>
          </cell>
          <cell r="BU136" t="str">
            <v/>
          </cell>
          <cell r="BV136" t="str">
            <v/>
          </cell>
          <cell r="BW136" t="str">
            <v/>
          </cell>
          <cell r="BX136" t="str">
            <v>N</v>
          </cell>
          <cell r="BY136">
            <v>800</v>
          </cell>
          <cell r="BZ136">
            <v>375681</v>
          </cell>
          <cell r="CA136" t="str">
            <v>N</v>
          </cell>
          <cell r="CB136">
            <v>850</v>
          </cell>
          <cell r="CC136">
            <v>1242634</v>
          </cell>
          <cell r="CD136" t="str">
            <v>N</v>
          </cell>
          <cell r="CE136">
            <v>95</v>
          </cell>
          <cell r="CF136">
            <v>15351</v>
          </cell>
          <cell r="CG136" t="str">
            <v/>
          </cell>
          <cell r="CH136" t="str">
            <v/>
          </cell>
          <cell r="CI136">
            <v>1496498</v>
          </cell>
          <cell r="CJ136" t="str">
            <v/>
          </cell>
          <cell r="CK136" t="str">
            <v/>
          </cell>
          <cell r="CL136" t="str">
            <v>Skilled</v>
          </cell>
          <cell r="CM136">
            <v>1200</v>
          </cell>
          <cell r="CN136" t="str">
            <v>Labor</v>
          </cell>
          <cell r="CO136">
            <v>1000</v>
          </cell>
          <cell r="CP136" t="str">
            <v/>
          </cell>
          <cell r="CQ136" t="str">
            <v/>
          </cell>
          <cell r="CR136" t="str">
            <v/>
          </cell>
          <cell r="CS136" t="str">
            <v/>
          </cell>
          <cell r="CT136" t="str">
            <v/>
          </cell>
          <cell r="CU136" t="str">
            <v/>
          </cell>
          <cell r="CV136" t="str">
            <v>Municipal Office</v>
          </cell>
          <cell r="CW136" t="str">
            <v>Ram Krishna Thapa</v>
          </cell>
          <cell r="CX136" t="str">
            <v>Mayor</v>
          </cell>
          <cell r="CY136">
            <v>9851215063</v>
          </cell>
          <cell r="CZ136" t="str">
            <v>Municipal Office</v>
          </cell>
          <cell r="DA136" t="str">
            <v/>
          </cell>
          <cell r="DB136" t="str">
            <v>Deputy Mayor</v>
          </cell>
          <cell r="DC136" t="str">
            <v/>
          </cell>
          <cell r="DD136" t="str">
            <v>Municipal Office</v>
          </cell>
          <cell r="DE136" t="str">
            <v>Kishan Neupane</v>
          </cell>
          <cell r="DF136" t="str">
            <v>Adminstration Officer</v>
          </cell>
          <cell r="DG136">
            <v>9851353063</v>
          </cell>
          <cell r="DH136" t="str">
            <v>NRA/GMALI</v>
          </cell>
          <cell r="DI136" t="str">
            <v/>
          </cell>
          <cell r="DJ136" t="str">
            <v>NRA Chief-District</v>
          </cell>
          <cell r="DK136" t="str">
            <v/>
          </cell>
          <cell r="DL136" t="str">
            <v>DLPIU-Building</v>
          </cell>
          <cell r="DM136" t="str">
            <v/>
          </cell>
          <cell r="DN136" t="str">
            <v>DUDBC.DLPIU Chief</v>
          </cell>
          <cell r="DO136" t="str">
            <v/>
          </cell>
          <cell r="DP136" t="str">
            <v>Municipal Office</v>
          </cell>
          <cell r="DQ136" t="str">
            <v/>
          </cell>
          <cell r="DR136" t="str">
            <v>Focal Person</v>
          </cell>
          <cell r="DS136" t="str">
            <v/>
          </cell>
          <cell r="DT136" t="str">
            <v>50</v>
          </cell>
          <cell r="DU136" t="str">
            <v/>
          </cell>
          <cell r="DV136" t="str">
            <v>130</v>
          </cell>
          <cell r="DW136" t="str">
            <v/>
          </cell>
          <cell r="DX136" t="str">
            <v/>
          </cell>
          <cell r="DY136" t="str">
            <v/>
          </cell>
          <cell r="DZ136" t="str">
            <v/>
          </cell>
          <cell r="EA136" t="str">
            <v/>
          </cell>
          <cell r="EB136" t="str">
            <v/>
          </cell>
          <cell r="EC136" t="str">
            <v/>
          </cell>
          <cell r="ED136" t="str">
            <v/>
          </cell>
          <cell r="EE136" t="str">
            <v/>
          </cell>
          <cell r="EF136" t="str">
            <v/>
          </cell>
          <cell r="EG136" t="str">
            <v/>
          </cell>
          <cell r="EH136" t="str">
            <v/>
          </cell>
          <cell r="EI136" t="str">
            <v/>
          </cell>
          <cell r="EJ136">
            <v>426</v>
          </cell>
          <cell r="EK136">
            <v>704</v>
          </cell>
          <cell r="EL136">
            <v>-278</v>
          </cell>
          <cell r="EM136">
            <v>631</v>
          </cell>
          <cell r="EN136">
            <v>205</v>
          </cell>
          <cell r="EO136">
            <v>426</v>
          </cell>
          <cell r="EP136" t="str">
            <v/>
          </cell>
          <cell r="EQ136" t="str">
            <v>Housing Recovery and Reconstruction Platform</v>
          </cell>
          <cell r="ER136" t="str">
            <v>Badri Pyakurel</v>
          </cell>
          <cell r="ES136" t="str">
            <v>District Coordinator</v>
          </cell>
          <cell r="ET136">
            <v>9851154201</v>
          </cell>
          <cell r="EU136" t="str">
            <v>Housing Recovery and Reconstruction Platform</v>
          </cell>
          <cell r="EV136" t="str">
            <v>Budhha Singh Thakuri</v>
          </cell>
          <cell r="EW136" t="str">
            <v>District Information Management Officer</v>
          </cell>
          <cell r="EX136">
            <v>9841961829</v>
          </cell>
          <cell r="EY136" t="str">
            <v>Housing Recovery and Reconstruction Platform</v>
          </cell>
          <cell r="EZ136" t="str">
            <v/>
          </cell>
          <cell r="FA136" t="str">
            <v>District Technical Officer</v>
          </cell>
          <cell r="FB136" t="str">
            <v/>
          </cell>
        </row>
        <row r="137">
          <cell r="A137">
            <v>28010</v>
          </cell>
          <cell r="B137" t="str">
            <v>Nuwakot</v>
          </cell>
          <cell r="C137" t="str">
            <v>Suryagadhi Gaunpalika</v>
          </cell>
          <cell r="D137">
            <v>126</v>
          </cell>
          <cell r="E137">
            <v>4434</v>
          </cell>
          <cell r="F137">
            <v>4560</v>
          </cell>
          <cell r="G137" t="str">
            <v>Stone and cement mortar masonry</v>
          </cell>
          <cell r="H137">
            <v>0.15</v>
          </cell>
          <cell r="I137">
            <v>0.64</v>
          </cell>
          <cell r="J137" t="str">
            <v>Stone and Mud Mortar Masonary</v>
          </cell>
          <cell r="K137">
            <v>94.26</v>
          </cell>
          <cell r="L137">
            <v>89.07</v>
          </cell>
          <cell r="M137" t="str">
            <v>Brick and Cement Mortar Masonary</v>
          </cell>
          <cell r="N137">
            <v>1.19</v>
          </cell>
          <cell r="O137">
            <v>2.11</v>
          </cell>
          <cell r="P137" t="str">
            <v>Brick and mud mortar Masonry</v>
          </cell>
          <cell r="Q137">
            <v>0.53</v>
          </cell>
          <cell r="R137">
            <v>0.51</v>
          </cell>
          <cell r="S137" t="str">
            <v>Reinforced cement concrete (RCC) frame</v>
          </cell>
          <cell r="T137">
            <v>0.48</v>
          </cell>
          <cell r="U137">
            <v>3.05</v>
          </cell>
          <cell r="V137" t="str">
            <v>Hybrid structure</v>
          </cell>
          <cell r="W137">
            <v>0</v>
          </cell>
          <cell r="X137">
            <v>0</v>
          </cell>
          <cell r="Y137" t="str">
            <v>Timber frame structure</v>
          </cell>
          <cell r="Z137">
            <v>0.04</v>
          </cell>
          <cell r="AA137">
            <v>0.15</v>
          </cell>
          <cell r="AB137" t="str">
            <v>Hollow concrete block Masonry</v>
          </cell>
          <cell r="AC137">
            <v>0</v>
          </cell>
          <cell r="AD137">
            <v>0</v>
          </cell>
          <cell r="AE137" t="str">
            <v>Dry stone Masonry</v>
          </cell>
          <cell r="AF137">
            <v>0.18</v>
          </cell>
          <cell r="AG137">
            <v>0.17</v>
          </cell>
          <cell r="AH137" t="str">
            <v>Adobe structures</v>
          </cell>
          <cell r="AI137">
            <v>3.12</v>
          </cell>
          <cell r="AJ137">
            <v>4.25</v>
          </cell>
          <cell r="AK137" t="str">
            <v>Bamboo</v>
          </cell>
          <cell r="AL137">
            <v>0.04</v>
          </cell>
          <cell r="AM137">
            <v>0.05</v>
          </cell>
          <cell r="AN137" t="str">
            <v>Compressed stabilized earth block (SCEB) Masonry</v>
          </cell>
          <cell r="AO137">
            <v>0</v>
          </cell>
          <cell r="AP137">
            <v>0</v>
          </cell>
          <cell r="AQ137" t="str">
            <v>Light steel frame structures</v>
          </cell>
          <cell r="AR137">
            <v>0</v>
          </cell>
          <cell r="AS137">
            <v>0</v>
          </cell>
          <cell r="AT137">
            <v>5019</v>
          </cell>
          <cell r="AU137">
            <v>4364</v>
          </cell>
          <cell r="AV137">
            <v>4434</v>
          </cell>
          <cell r="AW137">
            <v>4027</v>
          </cell>
          <cell r="AX137">
            <v>1917</v>
          </cell>
          <cell r="AY137">
            <v>4008</v>
          </cell>
          <cell r="AZ137" t="str">
            <v/>
          </cell>
          <cell r="BA137">
            <v>5</v>
          </cell>
          <cell r="BB137">
            <v>0</v>
          </cell>
          <cell r="BC137">
            <v>0</v>
          </cell>
          <cell r="BD137">
            <v>0</v>
          </cell>
          <cell r="BE137">
            <v>923</v>
          </cell>
          <cell r="BF137">
            <v>822</v>
          </cell>
          <cell r="BG137" t="str">
            <v/>
          </cell>
          <cell r="BH137" t="str">
            <v/>
          </cell>
          <cell r="BI137" t="str">
            <v>NRCS(Agriculture, Livestock Development and Irrigation,Education,Employment and Livelihood,Health,Rural Housing and Community Infrastructure,Water, Sanitation and Hygiene),NSET(Rural Housing and Community Infrastructure)</v>
          </cell>
          <cell r="BJ137" t="str">
            <v>GIZ(Health),GON-PAF(Rural Housing and Community Infrastructure),NJSI(Education),SP-N(Education,Water, Sanitation and Hygiene),Tearfund(Education),WFP(Employment and Livelihood),WVIN(Agriculture, Livestock Development and Irrigation,Disaster Risk Management,Employment and Livelihood,Water, Sanitation and Hygiene)</v>
          </cell>
          <cell r="BK137">
            <v>106182</v>
          </cell>
          <cell r="BL137" t="str">
            <v>N</v>
          </cell>
          <cell r="BM137">
            <v>2000</v>
          </cell>
          <cell r="BN137">
            <v>107908</v>
          </cell>
          <cell r="BO137" t="str">
            <v>N</v>
          </cell>
          <cell r="BP137">
            <v>5000</v>
          </cell>
          <cell r="BQ137">
            <v>11326</v>
          </cell>
          <cell r="BR137" t="str">
            <v>N</v>
          </cell>
          <cell r="BS137">
            <v>5000</v>
          </cell>
          <cell r="BT137">
            <v>13027</v>
          </cell>
          <cell r="BU137" t="str">
            <v/>
          </cell>
          <cell r="BV137" t="str">
            <v/>
          </cell>
          <cell r="BW137" t="str">
            <v/>
          </cell>
          <cell r="BX137" t="str">
            <v>N</v>
          </cell>
          <cell r="BY137">
            <v>900</v>
          </cell>
          <cell r="BZ137">
            <v>355900</v>
          </cell>
          <cell r="CA137" t="str">
            <v>N</v>
          </cell>
          <cell r="CB137">
            <v>1000</v>
          </cell>
          <cell r="CC137">
            <v>1150131</v>
          </cell>
          <cell r="CD137" t="str">
            <v>N</v>
          </cell>
          <cell r="CE137">
            <v>94</v>
          </cell>
          <cell r="CF137">
            <v>14533</v>
          </cell>
          <cell r="CG137" t="str">
            <v/>
          </cell>
          <cell r="CH137" t="str">
            <v/>
          </cell>
          <cell r="CI137">
            <v>846407</v>
          </cell>
          <cell r="CJ137" t="str">
            <v/>
          </cell>
          <cell r="CK137" t="str">
            <v/>
          </cell>
          <cell r="CL137" t="str">
            <v>Skilled</v>
          </cell>
          <cell r="CM137">
            <v>1500</v>
          </cell>
          <cell r="CN137" t="str">
            <v>Labor</v>
          </cell>
          <cell r="CO137">
            <v>1000</v>
          </cell>
          <cell r="CP137" t="str">
            <v/>
          </cell>
          <cell r="CQ137" t="str">
            <v/>
          </cell>
          <cell r="CR137" t="str">
            <v/>
          </cell>
          <cell r="CS137" t="str">
            <v/>
          </cell>
          <cell r="CT137" t="str">
            <v/>
          </cell>
          <cell r="CU137" t="str">
            <v/>
          </cell>
          <cell r="CV137" t="str">
            <v>Municipal Office</v>
          </cell>
          <cell r="CW137" t="str">
            <v>Santa Bahadur Ghale</v>
          </cell>
          <cell r="CX137" t="str">
            <v>Mayor</v>
          </cell>
          <cell r="CY137">
            <v>9851147432</v>
          </cell>
          <cell r="CZ137" t="str">
            <v>Municipal Office</v>
          </cell>
          <cell r="DA137" t="str">
            <v>Manju Budathoki</v>
          </cell>
          <cell r="DB137" t="str">
            <v>Deputy Mayor</v>
          </cell>
          <cell r="DC137">
            <v>9851062078</v>
          </cell>
          <cell r="DD137" t="str">
            <v>Municipal Office</v>
          </cell>
          <cell r="DE137" t="str">
            <v>Uttam Khatiwoda</v>
          </cell>
          <cell r="DF137" t="str">
            <v>Adminstration Officer</v>
          </cell>
          <cell r="DG137">
            <v>9751023326</v>
          </cell>
          <cell r="DH137" t="str">
            <v>NRA/GMALI</v>
          </cell>
          <cell r="DI137" t="str">
            <v/>
          </cell>
          <cell r="DJ137" t="str">
            <v>NRA Chief-District</v>
          </cell>
          <cell r="DK137" t="str">
            <v/>
          </cell>
          <cell r="DL137" t="str">
            <v>DLPIU-Building</v>
          </cell>
          <cell r="DM137" t="str">
            <v/>
          </cell>
          <cell r="DN137" t="str">
            <v>DUDBC.DLPIU Chief</v>
          </cell>
          <cell r="DO137" t="str">
            <v/>
          </cell>
          <cell r="DP137" t="str">
            <v>Municipal Office</v>
          </cell>
          <cell r="DQ137" t="str">
            <v/>
          </cell>
          <cell r="DR137" t="str">
            <v>Focal Person</v>
          </cell>
          <cell r="DS137" t="str">
            <v/>
          </cell>
          <cell r="DT137" t="str">
            <v>35</v>
          </cell>
          <cell r="DU137" t="str">
            <v/>
          </cell>
          <cell r="DV137" t="str">
            <v>20</v>
          </cell>
          <cell r="DW137" t="str">
            <v>15</v>
          </cell>
          <cell r="DX137" t="str">
            <v>100</v>
          </cell>
          <cell r="DY137" t="str">
            <v>700</v>
          </cell>
          <cell r="DZ137" t="str">
            <v/>
          </cell>
          <cell r="EA137" t="str">
            <v/>
          </cell>
          <cell r="EB137" t="str">
            <v/>
          </cell>
          <cell r="EC137" t="str">
            <v/>
          </cell>
          <cell r="ED137" t="str">
            <v/>
          </cell>
          <cell r="EE137" t="str">
            <v/>
          </cell>
          <cell r="EF137" t="str">
            <v/>
          </cell>
          <cell r="EG137" t="str">
            <v/>
          </cell>
          <cell r="EH137" t="str">
            <v/>
          </cell>
          <cell r="EI137" t="str">
            <v/>
          </cell>
          <cell r="EJ137">
            <v>324</v>
          </cell>
          <cell r="EK137">
            <v>121</v>
          </cell>
          <cell r="EL137">
            <v>203</v>
          </cell>
          <cell r="EM137">
            <v>477</v>
          </cell>
          <cell r="EN137">
            <v>0</v>
          </cell>
          <cell r="EO137">
            <v>477</v>
          </cell>
          <cell r="EP137" t="str">
            <v/>
          </cell>
          <cell r="EQ137" t="str">
            <v>Housing Recovery and Reconstruction Platform</v>
          </cell>
          <cell r="ER137" t="str">
            <v>Badri Pyakurel</v>
          </cell>
          <cell r="ES137" t="str">
            <v>District Coordinator</v>
          </cell>
          <cell r="ET137">
            <v>9851154201</v>
          </cell>
          <cell r="EU137" t="str">
            <v>Housing Recovery and Reconstruction Platform</v>
          </cell>
          <cell r="EV137" t="str">
            <v>Budhha Singh Thakuri</v>
          </cell>
          <cell r="EW137" t="str">
            <v>District Information Management Officer</v>
          </cell>
          <cell r="EX137">
            <v>9841961829</v>
          </cell>
          <cell r="EY137" t="str">
            <v>Housing Recovery and Reconstruction Platform</v>
          </cell>
          <cell r="EZ137" t="str">
            <v/>
          </cell>
          <cell r="FA137" t="str">
            <v>District Technical Officer</v>
          </cell>
          <cell r="FB137" t="str">
            <v/>
          </cell>
        </row>
        <row r="138">
          <cell r="A138">
            <v>28011</v>
          </cell>
          <cell r="B138" t="str">
            <v>Nuwakot</v>
          </cell>
          <cell r="C138" t="str">
            <v>Tadi Gaunpalika</v>
          </cell>
          <cell r="D138">
            <v>72</v>
          </cell>
          <cell r="E138">
            <v>4404</v>
          </cell>
          <cell r="F138">
            <v>4476</v>
          </cell>
          <cell r="G138" t="str">
            <v>Stone and cement mortar masonry</v>
          </cell>
          <cell r="H138">
            <v>0.11</v>
          </cell>
          <cell r="I138">
            <v>0.64</v>
          </cell>
          <cell r="J138" t="str">
            <v>Stone and Mud Mortar Masonary</v>
          </cell>
          <cell r="K138">
            <v>97.23</v>
          </cell>
          <cell r="L138">
            <v>89.07</v>
          </cell>
          <cell r="M138" t="str">
            <v>Brick and Cement Mortar Masonary</v>
          </cell>
          <cell r="N138">
            <v>0.34</v>
          </cell>
          <cell r="O138">
            <v>2.11</v>
          </cell>
          <cell r="P138" t="str">
            <v>Brick and mud mortar Masonry</v>
          </cell>
          <cell r="Q138">
            <v>7.0000000000000007E-2</v>
          </cell>
          <cell r="R138">
            <v>0.51</v>
          </cell>
          <cell r="S138" t="str">
            <v>Reinforced cement concrete (RCC) frame</v>
          </cell>
          <cell r="T138">
            <v>0.94</v>
          </cell>
          <cell r="U138">
            <v>3.05</v>
          </cell>
          <cell r="V138" t="str">
            <v>Hybrid structure</v>
          </cell>
          <cell r="W138">
            <v>0</v>
          </cell>
          <cell r="X138">
            <v>0</v>
          </cell>
          <cell r="Y138" t="str">
            <v>Timber frame structure</v>
          </cell>
          <cell r="Z138">
            <v>0.16</v>
          </cell>
          <cell r="AA138">
            <v>0.15</v>
          </cell>
          <cell r="AB138" t="str">
            <v>Hollow concrete block Masonry</v>
          </cell>
          <cell r="AC138">
            <v>0</v>
          </cell>
          <cell r="AD138">
            <v>0</v>
          </cell>
          <cell r="AE138" t="str">
            <v>Dry stone Masonry</v>
          </cell>
          <cell r="AF138">
            <v>7.0000000000000007E-2</v>
          </cell>
          <cell r="AG138">
            <v>0.17</v>
          </cell>
          <cell r="AH138" t="str">
            <v>Adobe structures</v>
          </cell>
          <cell r="AI138">
            <v>1.03</v>
          </cell>
          <cell r="AJ138">
            <v>4.25</v>
          </cell>
          <cell r="AK138" t="str">
            <v>Bamboo</v>
          </cell>
          <cell r="AL138">
            <v>7.0000000000000007E-2</v>
          </cell>
          <cell r="AM138">
            <v>0.05</v>
          </cell>
          <cell r="AN138" t="str">
            <v>Compressed stabilized earth block (SCEB) Masonry</v>
          </cell>
          <cell r="AO138">
            <v>0</v>
          </cell>
          <cell r="AP138">
            <v>0</v>
          </cell>
          <cell r="AQ138" t="str">
            <v>Light steel frame structures</v>
          </cell>
          <cell r="AR138">
            <v>0</v>
          </cell>
          <cell r="AS138">
            <v>0</v>
          </cell>
          <cell r="AT138">
            <v>4590</v>
          </cell>
          <cell r="AU138">
            <v>4273</v>
          </cell>
          <cell r="AV138">
            <v>4408</v>
          </cell>
          <cell r="AW138">
            <v>4006</v>
          </cell>
          <cell r="AX138">
            <v>2489</v>
          </cell>
          <cell r="AY138">
            <v>4136</v>
          </cell>
          <cell r="AZ138" t="str">
            <v/>
          </cell>
          <cell r="BA138">
            <v>18</v>
          </cell>
          <cell r="BB138">
            <v>0</v>
          </cell>
          <cell r="BC138">
            <v>0</v>
          </cell>
          <cell r="BD138">
            <v>0</v>
          </cell>
          <cell r="BE138">
            <v>701</v>
          </cell>
          <cell r="BF138">
            <v>373</v>
          </cell>
          <cell r="BG138" t="str">
            <v/>
          </cell>
          <cell r="BH138" t="str">
            <v/>
          </cell>
          <cell r="BI138" t="str">
            <v>NRCS(Agriculture, Livestock Development and Irrigation,Education,Employment and Livelihood,Health,Rural Housing and Community Infrastructure,Water, Sanitation and Hygiene),NSET(Rural Housing and Community Infrastructure),OXFAM-GB(Rural Housing and Community Infrastructure),WVIN(Agriculture, Livestock Development and Irrigation,Disaster Risk Management,Employment and Livelihood,Water, Sanitation and Hygiene)</v>
          </cell>
          <cell r="BJ138" t="str">
            <v>GIZ(Health),IMC(Health),MIDSON(Health),RoomTR(Education),SP-N(Education,Water, Sanitation and Hygiene),WFP(Employment and Livelihood)</v>
          </cell>
          <cell r="BK138">
            <v>97852</v>
          </cell>
          <cell r="BL138" t="str">
            <v>Y</v>
          </cell>
          <cell r="BM138">
            <v>7000</v>
          </cell>
          <cell r="BN138">
            <v>99454</v>
          </cell>
          <cell r="BO138" t="str">
            <v>Y</v>
          </cell>
          <cell r="BP138">
            <v>7000</v>
          </cell>
          <cell r="BQ138">
            <v>10441</v>
          </cell>
          <cell r="BR138" t="str">
            <v>Y</v>
          </cell>
          <cell r="BS138">
            <v>11000</v>
          </cell>
          <cell r="BT138">
            <v>12021</v>
          </cell>
          <cell r="BU138" t="str">
            <v/>
          </cell>
          <cell r="BV138" t="str">
            <v/>
          </cell>
          <cell r="BW138" t="str">
            <v/>
          </cell>
          <cell r="BX138" t="str">
            <v>Y</v>
          </cell>
          <cell r="BY138">
            <v>1000</v>
          </cell>
          <cell r="BZ138">
            <v>330492</v>
          </cell>
          <cell r="CA138" t="str">
            <v>Y</v>
          </cell>
          <cell r="CB138">
            <v>1100</v>
          </cell>
          <cell r="CC138">
            <v>1063195</v>
          </cell>
          <cell r="CD138" t="str">
            <v>Y</v>
          </cell>
          <cell r="CE138">
            <v>100</v>
          </cell>
          <cell r="CF138">
            <v>13510</v>
          </cell>
          <cell r="CG138" t="str">
            <v/>
          </cell>
          <cell r="CH138" t="str">
            <v/>
          </cell>
          <cell r="CI138">
            <v>1158128</v>
          </cell>
          <cell r="CJ138" t="str">
            <v/>
          </cell>
          <cell r="CK138" t="str">
            <v/>
          </cell>
          <cell r="CL138" t="str">
            <v>Skilled</v>
          </cell>
          <cell r="CM138">
            <v>1300</v>
          </cell>
          <cell r="CN138" t="str">
            <v>Labor</v>
          </cell>
          <cell r="CO138">
            <v>1000</v>
          </cell>
          <cell r="CP138" t="str">
            <v/>
          </cell>
          <cell r="CQ138" t="str">
            <v/>
          </cell>
          <cell r="CR138" t="str">
            <v/>
          </cell>
          <cell r="CS138" t="str">
            <v/>
          </cell>
          <cell r="CT138" t="str">
            <v/>
          </cell>
          <cell r="CU138" t="str">
            <v/>
          </cell>
          <cell r="CV138" t="str">
            <v>Municipal Office</v>
          </cell>
          <cell r="CW138" t="str">
            <v>Narayan Prasad Pandey</v>
          </cell>
          <cell r="CX138" t="str">
            <v>Mayor</v>
          </cell>
          <cell r="CY138" t="str">
            <v/>
          </cell>
          <cell r="CZ138" t="str">
            <v>Municipal Office</v>
          </cell>
          <cell r="DA138" t="str">
            <v>Ishwori Neupane</v>
          </cell>
          <cell r="DB138" t="str">
            <v>Deputy Mayor</v>
          </cell>
          <cell r="DC138">
            <v>9841167206</v>
          </cell>
          <cell r="DD138" t="str">
            <v>Municipal Office</v>
          </cell>
          <cell r="DE138" t="str">
            <v>Ashok Bista</v>
          </cell>
          <cell r="DF138" t="str">
            <v>Adminstration Officer</v>
          </cell>
          <cell r="DG138">
            <v>9841284598</v>
          </cell>
          <cell r="DH138" t="str">
            <v>NRA/GMALI</v>
          </cell>
          <cell r="DI138" t="str">
            <v/>
          </cell>
          <cell r="DJ138" t="str">
            <v>NRA Chief-District</v>
          </cell>
          <cell r="DK138" t="str">
            <v/>
          </cell>
          <cell r="DL138" t="str">
            <v>DLPIU-Building</v>
          </cell>
          <cell r="DM138" t="str">
            <v/>
          </cell>
          <cell r="DN138" t="str">
            <v>DUDBC.DLPIU Chief</v>
          </cell>
          <cell r="DO138" t="str">
            <v/>
          </cell>
          <cell r="DP138" t="str">
            <v>Municipal Office</v>
          </cell>
          <cell r="DQ138" t="str">
            <v/>
          </cell>
          <cell r="DR138" t="str">
            <v>Focal Person</v>
          </cell>
          <cell r="DS138" t="str">
            <v/>
          </cell>
          <cell r="DT138" t="str">
            <v>110</v>
          </cell>
          <cell r="DU138" t="str">
            <v>48</v>
          </cell>
          <cell r="DV138" t="str">
            <v>100</v>
          </cell>
          <cell r="DW138" t="str">
            <v>15</v>
          </cell>
          <cell r="DX138" t="str">
            <v>40</v>
          </cell>
          <cell r="DY138" t="str">
            <v>18</v>
          </cell>
          <cell r="DZ138" t="str">
            <v/>
          </cell>
          <cell r="EA138" t="str">
            <v/>
          </cell>
          <cell r="EB138" t="str">
            <v/>
          </cell>
          <cell r="EC138" t="str">
            <v/>
          </cell>
          <cell r="ED138" t="str">
            <v/>
          </cell>
          <cell r="EE138" t="str">
            <v/>
          </cell>
          <cell r="EF138" t="str">
            <v/>
          </cell>
          <cell r="EG138" t="str">
            <v/>
          </cell>
          <cell r="EH138" t="str">
            <v/>
          </cell>
          <cell r="EI138" t="str">
            <v/>
          </cell>
          <cell r="EJ138">
            <v>315</v>
          </cell>
          <cell r="EK138">
            <v>116</v>
          </cell>
          <cell r="EL138">
            <v>199</v>
          </cell>
          <cell r="EM138">
            <v>486</v>
          </cell>
          <cell r="EN138">
            <v>30</v>
          </cell>
          <cell r="EO138">
            <v>456</v>
          </cell>
          <cell r="EP138" t="str">
            <v/>
          </cell>
          <cell r="EQ138" t="str">
            <v>Housing Recovery and Reconstruction Platform</v>
          </cell>
          <cell r="ER138" t="str">
            <v>Badri Pyakurel</v>
          </cell>
          <cell r="ES138" t="str">
            <v>District Coordinator</v>
          </cell>
          <cell r="ET138">
            <v>9851154201</v>
          </cell>
          <cell r="EU138" t="str">
            <v>Housing Recovery and Reconstruction Platform</v>
          </cell>
          <cell r="EV138" t="str">
            <v>Budhha Singh Thakuri</v>
          </cell>
          <cell r="EW138" t="str">
            <v>District Information Management Officer</v>
          </cell>
          <cell r="EX138">
            <v>9841961829</v>
          </cell>
          <cell r="EY138" t="str">
            <v>Housing Recovery and Reconstruction Platform</v>
          </cell>
          <cell r="EZ138" t="str">
            <v/>
          </cell>
          <cell r="FA138" t="str">
            <v>District Technical Officer</v>
          </cell>
          <cell r="FB138" t="str">
            <v/>
          </cell>
        </row>
        <row r="139">
          <cell r="A139">
            <v>28012</v>
          </cell>
          <cell r="B139" t="str">
            <v>Nuwakot</v>
          </cell>
          <cell r="C139" t="str">
            <v>Tarkeshwar Gaunpalika</v>
          </cell>
          <cell r="D139">
            <v>202</v>
          </cell>
          <cell r="E139">
            <v>4371</v>
          </cell>
          <cell r="F139">
            <v>4573</v>
          </cell>
          <cell r="G139" t="str">
            <v>Stone and cement mortar masonry</v>
          </cell>
          <cell r="H139">
            <v>0.18</v>
          </cell>
          <cell r="I139">
            <v>0.64</v>
          </cell>
          <cell r="J139" t="str">
            <v>Stone and Mud Mortar Masonary</v>
          </cell>
          <cell r="K139">
            <v>98.42</v>
          </cell>
          <cell r="L139">
            <v>89.07</v>
          </cell>
          <cell r="M139" t="str">
            <v>Brick and Cement Mortar Masonary</v>
          </cell>
          <cell r="N139">
            <v>0.33</v>
          </cell>
          <cell r="O139">
            <v>2.11</v>
          </cell>
          <cell r="P139" t="str">
            <v>Brick and mud mortar Masonry</v>
          </cell>
          <cell r="Q139">
            <v>0.02</v>
          </cell>
          <cell r="R139">
            <v>0.51</v>
          </cell>
          <cell r="S139" t="str">
            <v>Reinforced cement concrete (RCC) frame</v>
          </cell>
          <cell r="T139">
            <v>0.56999999999999995</v>
          </cell>
          <cell r="U139">
            <v>3.05</v>
          </cell>
          <cell r="V139" t="str">
            <v>Hybrid structure</v>
          </cell>
          <cell r="W139">
            <v>0</v>
          </cell>
          <cell r="X139">
            <v>0</v>
          </cell>
          <cell r="Y139" t="str">
            <v>Timber frame structure</v>
          </cell>
          <cell r="Z139">
            <v>7.0000000000000007E-2</v>
          </cell>
          <cell r="AA139">
            <v>0.15</v>
          </cell>
          <cell r="AB139" t="str">
            <v>Hollow concrete block Masonry</v>
          </cell>
          <cell r="AC139">
            <v>0</v>
          </cell>
          <cell r="AD139">
            <v>0</v>
          </cell>
          <cell r="AE139" t="str">
            <v>Dry stone Masonry</v>
          </cell>
          <cell r="AF139">
            <v>0.09</v>
          </cell>
          <cell r="AG139">
            <v>0.17</v>
          </cell>
          <cell r="AH139" t="str">
            <v>Adobe structures</v>
          </cell>
          <cell r="AI139">
            <v>0.33</v>
          </cell>
          <cell r="AJ139">
            <v>4.25</v>
          </cell>
          <cell r="AK139" t="str">
            <v>Bamboo</v>
          </cell>
          <cell r="AL139">
            <v>0</v>
          </cell>
          <cell r="AM139">
            <v>0.05</v>
          </cell>
          <cell r="AN139" t="str">
            <v>Compressed stabilized earth block (SCEB) Masonry</v>
          </cell>
          <cell r="AO139">
            <v>0</v>
          </cell>
          <cell r="AP139">
            <v>0</v>
          </cell>
          <cell r="AQ139" t="str">
            <v>Light steel frame structures</v>
          </cell>
          <cell r="AR139">
            <v>0</v>
          </cell>
          <cell r="AS139">
            <v>0</v>
          </cell>
          <cell r="AT139">
            <v>4707</v>
          </cell>
          <cell r="AU139">
            <v>3563</v>
          </cell>
          <cell r="AV139">
            <v>4156</v>
          </cell>
          <cell r="AW139">
            <v>3685</v>
          </cell>
          <cell r="AX139">
            <v>2686</v>
          </cell>
          <cell r="AY139">
            <v>3531</v>
          </cell>
          <cell r="AZ139" t="str">
            <v/>
          </cell>
          <cell r="BA139">
            <v>170</v>
          </cell>
          <cell r="BB139">
            <v>0</v>
          </cell>
          <cell r="BC139">
            <v>0</v>
          </cell>
          <cell r="BD139">
            <v>0</v>
          </cell>
          <cell r="BE139">
            <v>672</v>
          </cell>
          <cell r="BF139">
            <v>593</v>
          </cell>
          <cell r="BG139" t="str">
            <v/>
          </cell>
          <cell r="BH139" t="str">
            <v/>
          </cell>
          <cell r="BI139" t="str">
            <v>NRCS(Health),NSET(Rural Housing and Community Infrastructure)</v>
          </cell>
          <cell r="BJ139" t="str">
            <v>ACF(Rural Housing and Community Infrastructure),GIZ(Health),OXFAM-GB(Rural Housing and Community Infrastructure),SCI(Disaster Risk Management,Education,Employment and Livelihood,Rural Housing and Community Infrastructure,Social Protection,Water, Sanitation and Hygiene)</v>
          </cell>
          <cell r="BK139">
            <v>76162</v>
          </cell>
          <cell r="BL139" t="str">
            <v/>
          </cell>
          <cell r="BM139" t="str">
            <v/>
          </cell>
          <cell r="BN139">
            <v>79252</v>
          </cell>
          <cell r="BO139" t="str">
            <v/>
          </cell>
          <cell r="BP139" t="str">
            <v/>
          </cell>
          <cell r="BQ139">
            <v>8142</v>
          </cell>
          <cell r="BR139" t="str">
            <v/>
          </cell>
          <cell r="BS139" t="str">
            <v/>
          </cell>
          <cell r="BT139">
            <v>9433</v>
          </cell>
          <cell r="BU139" t="str">
            <v/>
          </cell>
          <cell r="BV139" t="str">
            <v/>
          </cell>
          <cell r="BW139" t="str">
            <v/>
          </cell>
          <cell r="BX139" t="str">
            <v/>
          </cell>
          <cell r="BY139" t="str">
            <v/>
          </cell>
          <cell r="BZ139">
            <v>262074</v>
          </cell>
          <cell r="CA139" t="str">
            <v/>
          </cell>
          <cell r="CB139" t="str">
            <v/>
          </cell>
          <cell r="CC139">
            <v>823462</v>
          </cell>
          <cell r="CD139" t="str">
            <v/>
          </cell>
          <cell r="CE139" t="str">
            <v/>
          </cell>
          <cell r="CF139">
            <v>10710</v>
          </cell>
          <cell r="CG139" t="str">
            <v/>
          </cell>
          <cell r="CH139" t="str">
            <v/>
          </cell>
          <cell r="CI139">
            <v>618317</v>
          </cell>
          <cell r="CJ139" t="str">
            <v/>
          </cell>
          <cell r="CK139" t="str">
            <v/>
          </cell>
          <cell r="CL139" t="str">
            <v>Skilled</v>
          </cell>
          <cell r="CM139">
            <v>1200</v>
          </cell>
          <cell r="CN139" t="str">
            <v>Labor</v>
          </cell>
          <cell r="CO139">
            <v>1000</v>
          </cell>
          <cell r="CP139" t="str">
            <v/>
          </cell>
          <cell r="CQ139" t="str">
            <v/>
          </cell>
          <cell r="CR139" t="str">
            <v/>
          </cell>
          <cell r="CS139" t="str">
            <v/>
          </cell>
          <cell r="CT139" t="str">
            <v/>
          </cell>
          <cell r="CU139" t="str">
            <v/>
          </cell>
          <cell r="CV139" t="str">
            <v>Municipal Office</v>
          </cell>
          <cell r="CW139" t="str">
            <v>Ramesh Wosthi</v>
          </cell>
          <cell r="CX139" t="str">
            <v>Mayor</v>
          </cell>
          <cell r="CY139">
            <v>9841291082</v>
          </cell>
          <cell r="CZ139" t="str">
            <v>Municipal Office</v>
          </cell>
          <cell r="DA139" t="str">
            <v>Taradevi Rimal</v>
          </cell>
          <cell r="DB139" t="str">
            <v>Deputy Mayor</v>
          </cell>
          <cell r="DC139">
            <v>9841548330</v>
          </cell>
          <cell r="DD139" t="str">
            <v>Municipal Office</v>
          </cell>
          <cell r="DE139" t="str">
            <v>Ashok Prasad Dahal</v>
          </cell>
          <cell r="DF139" t="str">
            <v>Adminstration Officer</v>
          </cell>
          <cell r="DG139">
            <v>9851246206</v>
          </cell>
          <cell r="DH139" t="str">
            <v>NRA/GMALI</v>
          </cell>
          <cell r="DI139" t="str">
            <v/>
          </cell>
          <cell r="DJ139" t="str">
            <v>NRA Chief-District</v>
          </cell>
          <cell r="DK139" t="str">
            <v/>
          </cell>
          <cell r="DL139" t="str">
            <v>DLPIU-Building</v>
          </cell>
          <cell r="DM139" t="str">
            <v/>
          </cell>
          <cell r="DN139" t="str">
            <v>DUDBC.DLPIU Chief</v>
          </cell>
          <cell r="DO139" t="str">
            <v/>
          </cell>
          <cell r="DP139" t="str">
            <v>Municipal Office</v>
          </cell>
          <cell r="DQ139" t="str">
            <v/>
          </cell>
          <cell r="DR139" t="str">
            <v>Focal Person</v>
          </cell>
          <cell r="DS139" t="str">
            <v/>
          </cell>
          <cell r="DT139" t="str">
            <v>20</v>
          </cell>
          <cell r="DU139" t="str">
            <v/>
          </cell>
          <cell r="DV139" t="str">
            <v/>
          </cell>
          <cell r="DW139" t="str">
            <v/>
          </cell>
          <cell r="DX139" t="str">
            <v/>
          </cell>
          <cell r="DY139" t="str">
            <v>250</v>
          </cell>
          <cell r="DZ139" t="str">
            <v/>
          </cell>
          <cell r="EA139" t="str">
            <v/>
          </cell>
          <cell r="EB139" t="str">
            <v/>
          </cell>
          <cell r="EC139" t="str">
            <v/>
          </cell>
          <cell r="ED139" t="str">
            <v/>
          </cell>
          <cell r="EE139" t="str">
            <v/>
          </cell>
          <cell r="EF139" t="str">
            <v/>
          </cell>
          <cell r="EG139" t="str">
            <v/>
          </cell>
          <cell r="EH139" t="str">
            <v/>
          </cell>
          <cell r="EI139" t="str">
            <v/>
          </cell>
          <cell r="EJ139">
            <v>318</v>
          </cell>
          <cell r="EK139">
            <v>377</v>
          </cell>
          <cell r="EL139">
            <v>-59</v>
          </cell>
          <cell r="EM139">
            <v>465</v>
          </cell>
          <cell r="EN139">
            <v>60</v>
          </cell>
          <cell r="EO139">
            <v>405</v>
          </cell>
          <cell r="EP139" t="str">
            <v/>
          </cell>
          <cell r="EQ139" t="str">
            <v>Housing Recovery and Reconstruction Platform</v>
          </cell>
          <cell r="ER139" t="str">
            <v>Badri Pyakurel</v>
          </cell>
          <cell r="ES139" t="str">
            <v>District Coordinator</v>
          </cell>
          <cell r="ET139">
            <v>9851154201</v>
          </cell>
          <cell r="EU139" t="str">
            <v>Housing Recovery and Reconstruction Platform</v>
          </cell>
          <cell r="EV139" t="str">
            <v>Budhha Singh Thakuri</v>
          </cell>
          <cell r="EW139" t="str">
            <v>District Information Management Officer</v>
          </cell>
          <cell r="EX139">
            <v>9841961829</v>
          </cell>
          <cell r="EY139" t="str">
            <v>Housing Recovery and Reconstruction Platform</v>
          </cell>
          <cell r="EZ139" t="str">
            <v/>
          </cell>
          <cell r="FA139" t="str">
            <v>District Technical Officer</v>
          </cell>
          <cell r="FB139" t="str">
            <v/>
          </cell>
        </row>
        <row r="140">
          <cell r="A140">
            <v>29001</v>
          </cell>
          <cell r="B140" t="str">
            <v>Rasuwa</v>
          </cell>
          <cell r="C140" t="str">
            <v>Gosaikunda Gaunpalika</v>
          </cell>
          <cell r="D140">
            <v>284</v>
          </cell>
          <cell r="E140">
            <v>1940</v>
          </cell>
          <cell r="F140">
            <v>2224</v>
          </cell>
          <cell r="G140" t="str">
            <v>Stone and cement mortar masonry</v>
          </cell>
          <cell r="H140">
            <v>8.77</v>
          </cell>
          <cell r="I140">
            <v>3.07</v>
          </cell>
          <cell r="J140" t="str">
            <v>Stone and Mud Mortar Masonary</v>
          </cell>
          <cell r="K140">
            <v>41.19</v>
          </cell>
          <cell r="L140">
            <v>70.819999999999993</v>
          </cell>
          <cell r="M140" t="str">
            <v>Brick and Cement Mortar Masonary</v>
          </cell>
          <cell r="N140">
            <v>0.99</v>
          </cell>
          <cell r="O140">
            <v>0.93</v>
          </cell>
          <cell r="P140" t="str">
            <v>Brick and mud mortar Masonry</v>
          </cell>
          <cell r="Q140">
            <v>0.09</v>
          </cell>
          <cell r="R140">
            <v>0.04</v>
          </cell>
          <cell r="S140" t="str">
            <v>Reinforced cement concrete (RCC) frame</v>
          </cell>
          <cell r="T140">
            <v>4.41</v>
          </cell>
          <cell r="U140">
            <v>1.73</v>
          </cell>
          <cell r="V140" t="str">
            <v>Hybrid structure</v>
          </cell>
          <cell r="W140">
            <v>0</v>
          </cell>
          <cell r="X140">
            <v>0</v>
          </cell>
          <cell r="Y140" t="str">
            <v>Timber frame structure</v>
          </cell>
          <cell r="Z140">
            <v>1.1200000000000001</v>
          </cell>
          <cell r="AA140">
            <v>0.75</v>
          </cell>
          <cell r="AB140" t="str">
            <v>Hollow concrete block Masonry</v>
          </cell>
          <cell r="AC140">
            <v>0</v>
          </cell>
          <cell r="AD140">
            <v>0</v>
          </cell>
          <cell r="AE140" t="str">
            <v>Dry stone Masonry</v>
          </cell>
          <cell r="AF140">
            <v>42.76</v>
          </cell>
          <cell r="AG140">
            <v>22.25</v>
          </cell>
          <cell r="AH140" t="str">
            <v>Adobe structures</v>
          </cell>
          <cell r="AI140">
            <v>0.63</v>
          </cell>
          <cell r="AJ140">
            <v>0.36</v>
          </cell>
          <cell r="AK140" t="str">
            <v>Bamboo</v>
          </cell>
          <cell r="AL140">
            <v>0.04</v>
          </cell>
          <cell r="AM140">
            <v>0.06</v>
          </cell>
          <cell r="AN140" t="str">
            <v>Compressed stabilized earth block (SCEB) Masonry</v>
          </cell>
          <cell r="AO140">
            <v>0</v>
          </cell>
          <cell r="AP140">
            <v>0</v>
          </cell>
          <cell r="AQ140" t="str">
            <v>Light steel frame structures</v>
          </cell>
          <cell r="AR140">
            <v>0</v>
          </cell>
          <cell r="AS140">
            <v>0</v>
          </cell>
          <cell r="AT140">
            <v>1979</v>
          </cell>
          <cell r="AU140">
            <v>1836</v>
          </cell>
          <cell r="AV140">
            <v>1838</v>
          </cell>
          <cell r="AW140">
            <v>1649</v>
          </cell>
          <cell r="AX140">
            <v>1248</v>
          </cell>
          <cell r="AY140">
            <v>590</v>
          </cell>
          <cell r="AZ140">
            <v>1248</v>
          </cell>
          <cell r="BA140">
            <v>84</v>
          </cell>
          <cell r="BB140">
            <v>60</v>
          </cell>
          <cell r="BC140">
            <v>60</v>
          </cell>
          <cell r="BD140">
            <v>0</v>
          </cell>
          <cell r="BE140">
            <v>257</v>
          </cell>
          <cell r="BF140">
            <v>257</v>
          </cell>
          <cell r="BG140">
            <v>90</v>
          </cell>
          <cell r="BH140">
            <v>70</v>
          </cell>
          <cell r="BI140" t="str">
            <v>NRCS(Health)</v>
          </cell>
          <cell r="BJ140" t="str">
            <v>AA(Disaster Risk Management,Employment and Livelihood,Gender Equality and Social Inclusion),ACF(Health,Rural Housing and Community Infrastructure,Water, Sanitation and Hygiene),CTEVT(Rural Housing and Community Infrastructure),GIZ(Rural Housing and Community Infrastructure),GOAL(Rural Housing and Community Infrastructure),GON(Rural Housing and Community Infrastructure),HELVETAS(Rural Housing and Community Infrastructure),PIN and CSRC(Rural Housing and Community Infrastructure),SCI(Education,Rural Housing and Community Infrastructure,Social Protection,Water, Sanitation and Hygiene),SP-N(Rural Housing and Community Infrastructure,Water, Sanitation and Hygiene)</v>
          </cell>
          <cell r="BK140">
            <v>53778</v>
          </cell>
          <cell r="BL140" t="str">
            <v>Y</v>
          </cell>
          <cell r="BM140">
            <v>600</v>
          </cell>
          <cell r="BN140">
            <v>39616</v>
          </cell>
          <cell r="BO140" t="str">
            <v>N</v>
          </cell>
          <cell r="BP140">
            <v>3000</v>
          </cell>
          <cell r="BQ140">
            <v>5599</v>
          </cell>
          <cell r="BR140" t="str">
            <v>N</v>
          </cell>
          <cell r="BS140">
            <v>4500</v>
          </cell>
          <cell r="BT140">
            <v>5936</v>
          </cell>
          <cell r="BU140" t="str">
            <v>N</v>
          </cell>
          <cell r="BV140" t="str">
            <v>0</v>
          </cell>
          <cell r="BW140" t="str">
            <v/>
          </cell>
          <cell r="BX140" t="str">
            <v>N</v>
          </cell>
          <cell r="BY140">
            <v>900</v>
          </cell>
          <cell r="BZ140">
            <v>135175</v>
          </cell>
          <cell r="CA140" t="str">
            <v>N</v>
          </cell>
          <cell r="CB140">
            <v>1000</v>
          </cell>
          <cell r="CC140">
            <v>608207</v>
          </cell>
          <cell r="CD140" t="str">
            <v>N</v>
          </cell>
          <cell r="CE140">
            <v>96</v>
          </cell>
          <cell r="CF140">
            <v>5509</v>
          </cell>
          <cell r="CG140" t="str">
            <v>N</v>
          </cell>
          <cell r="CH140" t="str">
            <v>9000</v>
          </cell>
          <cell r="CI140">
            <v>1882752</v>
          </cell>
          <cell r="CJ140" t="str">
            <v>N</v>
          </cell>
          <cell r="CK140">
            <v>20</v>
          </cell>
          <cell r="CL140" t="str">
            <v>Skilled</v>
          </cell>
          <cell r="CM140">
            <v>1200</v>
          </cell>
          <cell r="CN140" t="str">
            <v>Labor</v>
          </cell>
          <cell r="CO140">
            <v>800</v>
          </cell>
          <cell r="CP140" t="str">
            <v/>
          </cell>
          <cell r="CQ140" t="str">
            <v/>
          </cell>
          <cell r="CR140" t="str">
            <v/>
          </cell>
          <cell r="CS140" t="str">
            <v/>
          </cell>
          <cell r="CT140" t="str">
            <v/>
          </cell>
          <cell r="CU140" t="str">
            <v/>
          </cell>
          <cell r="CV140" t="str">
            <v>Municipal Office</v>
          </cell>
          <cell r="CW140" t="str">
            <v xml:space="preserve">Kaisang Nurpu Tamang </v>
          </cell>
          <cell r="CX140" t="str">
            <v>Chairman</v>
          </cell>
          <cell r="CY140">
            <v>9851111829</v>
          </cell>
          <cell r="CZ140" t="str">
            <v>Municipal Office</v>
          </cell>
          <cell r="DA140" t="str">
            <v>KarGyalmo Shrestha</v>
          </cell>
          <cell r="DB140" t="str">
            <v>Deputy Chairman</v>
          </cell>
          <cell r="DC140">
            <v>9851259626</v>
          </cell>
          <cell r="DD140" t="str">
            <v>Municipal Office</v>
          </cell>
          <cell r="DE140" t="str">
            <v>Purshowtam Sapkota</v>
          </cell>
          <cell r="DF140" t="str">
            <v>Chief Adminstration Officer</v>
          </cell>
          <cell r="DG140">
            <v>9855075303</v>
          </cell>
          <cell r="DH140" t="str">
            <v>NRA/GMALI</v>
          </cell>
          <cell r="DI140" t="str">
            <v>Krishna Kant Upadheya</v>
          </cell>
          <cell r="DJ140" t="str">
            <v>NRA Chief-District</v>
          </cell>
          <cell r="DK140">
            <v>9843588686</v>
          </cell>
          <cell r="DL140" t="str">
            <v>DLPIU-Building</v>
          </cell>
          <cell r="DM140" t="str">
            <v>Kosh Nath Adhikari</v>
          </cell>
          <cell r="DN140" t="str">
            <v>DUDBC.DLPIU Chief</v>
          </cell>
          <cell r="DO140">
            <v>9855046584</v>
          </cell>
          <cell r="DP140" t="str">
            <v>Municipal Office</v>
          </cell>
          <cell r="DQ140" t="str">
            <v>Arjun Parsad Dottal</v>
          </cell>
          <cell r="DR140" t="str">
            <v>Focal Person</v>
          </cell>
          <cell r="DS140">
            <v>9841559270</v>
          </cell>
          <cell r="DT140" t="str">
            <v>20</v>
          </cell>
          <cell r="DU140" t="str">
            <v/>
          </cell>
          <cell r="DV140" t="str">
            <v/>
          </cell>
          <cell r="DW140" t="str">
            <v/>
          </cell>
          <cell r="DX140" t="str">
            <v/>
          </cell>
          <cell r="DY140" t="str">
            <v/>
          </cell>
          <cell r="DZ140">
            <v>4</v>
          </cell>
          <cell r="EA140" t="str">
            <v>6</v>
          </cell>
          <cell r="EB140">
            <v>7</v>
          </cell>
          <cell r="EC140" t="str">
            <v>6</v>
          </cell>
          <cell r="ED140">
            <v>5</v>
          </cell>
          <cell r="EE140" t="str">
            <v>6</v>
          </cell>
          <cell r="EF140" t="str">
            <v>372</v>
          </cell>
          <cell r="EG140" t="str">
            <v/>
          </cell>
          <cell r="EH140" t="str">
            <v>360</v>
          </cell>
          <cell r="EI140" t="str">
            <v/>
          </cell>
          <cell r="EJ140">
            <v>135</v>
          </cell>
          <cell r="EK140">
            <v>226</v>
          </cell>
          <cell r="EL140">
            <v>-91</v>
          </cell>
          <cell r="EM140">
            <v>189</v>
          </cell>
          <cell r="EN140">
            <v>30</v>
          </cell>
          <cell r="EO140">
            <v>159</v>
          </cell>
          <cell r="EP140" t="str">
            <v/>
          </cell>
          <cell r="EQ140" t="str">
            <v>Housing Recovery and Reconstruction Platform</v>
          </cell>
          <cell r="ER140" t="str">
            <v>Rijan Gajurel</v>
          </cell>
          <cell r="ES140" t="str">
            <v>District Coordinator</v>
          </cell>
          <cell r="ET140">
            <v>9851114937</v>
          </cell>
          <cell r="EU140" t="str">
            <v>Housing Recovery and Reconstruction Platform</v>
          </cell>
          <cell r="EV140" t="str">
            <v>Rijan Gajurel</v>
          </cell>
          <cell r="EW140" t="str">
            <v>DIstrict Information Management Officer</v>
          </cell>
          <cell r="EX140">
            <v>9851114937</v>
          </cell>
          <cell r="EY140" t="str">
            <v>Housing Recovery and Reconstruction Platform</v>
          </cell>
          <cell r="EZ140" t="str">
            <v>Biren Shah</v>
          </cell>
          <cell r="FA140" t="str">
            <v>District Technical Officer</v>
          </cell>
          <cell r="FB140">
            <v>9817396852</v>
          </cell>
        </row>
        <row r="141">
          <cell r="A141">
            <v>29002</v>
          </cell>
          <cell r="B141" t="str">
            <v>Rasuwa</v>
          </cell>
          <cell r="C141" t="str">
            <v>Kalika Gaunpalika</v>
          </cell>
          <cell r="D141">
            <v>125</v>
          </cell>
          <cell r="E141">
            <v>2405</v>
          </cell>
          <cell r="F141">
            <v>2530</v>
          </cell>
          <cell r="G141" t="str">
            <v>Stone and cement mortar masonry</v>
          </cell>
          <cell r="H141">
            <v>2.85</v>
          </cell>
          <cell r="I141">
            <v>3.07</v>
          </cell>
          <cell r="J141" t="str">
            <v>Stone and Mud Mortar Masonary</v>
          </cell>
          <cell r="K141">
            <v>91.7</v>
          </cell>
          <cell r="L141">
            <v>70.819999999999993</v>
          </cell>
          <cell r="M141" t="str">
            <v>Brick and Cement Mortar Masonary</v>
          </cell>
          <cell r="N141">
            <v>1.66</v>
          </cell>
          <cell r="O141">
            <v>0.93</v>
          </cell>
          <cell r="P141" t="str">
            <v>Brick and mud mortar Masonry</v>
          </cell>
          <cell r="Q141">
            <v>0.08</v>
          </cell>
          <cell r="R141">
            <v>0.04</v>
          </cell>
          <cell r="S141" t="str">
            <v>Reinforced cement concrete (RCC) frame</v>
          </cell>
          <cell r="T141">
            <v>2.81</v>
          </cell>
          <cell r="U141">
            <v>1.73</v>
          </cell>
          <cell r="V141" t="str">
            <v>Hybrid structure</v>
          </cell>
          <cell r="W141">
            <v>0</v>
          </cell>
          <cell r="X141">
            <v>0</v>
          </cell>
          <cell r="Y141" t="str">
            <v>Timber frame structure</v>
          </cell>
          <cell r="Z141">
            <v>0.36</v>
          </cell>
          <cell r="AA141">
            <v>0.75</v>
          </cell>
          <cell r="AB141" t="str">
            <v>Hollow concrete block Masonry</v>
          </cell>
          <cell r="AC141">
            <v>0</v>
          </cell>
          <cell r="AD141">
            <v>0</v>
          </cell>
          <cell r="AE141" t="str">
            <v>Dry stone Masonry</v>
          </cell>
          <cell r="AF141">
            <v>0.08</v>
          </cell>
          <cell r="AG141">
            <v>22.25</v>
          </cell>
          <cell r="AH141" t="str">
            <v>Adobe structures</v>
          </cell>
          <cell r="AI141">
            <v>0.47</v>
          </cell>
          <cell r="AJ141">
            <v>0.36</v>
          </cell>
          <cell r="AK141" t="str">
            <v>Bamboo</v>
          </cell>
          <cell r="AL141">
            <v>0</v>
          </cell>
          <cell r="AM141">
            <v>0.06</v>
          </cell>
          <cell r="AN141" t="str">
            <v>Compressed stabilized earth block (SCEB) Masonry</v>
          </cell>
          <cell r="AO141">
            <v>0</v>
          </cell>
          <cell r="AP141">
            <v>0</v>
          </cell>
          <cell r="AQ141" t="str">
            <v>Light steel frame structures</v>
          </cell>
          <cell r="AR141">
            <v>0</v>
          </cell>
          <cell r="AS141">
            <v>0</v>
          </cell>
          <cell r="AT141">
            <v>2569</v>
          </cell>
          <cell r="AU141">
            <v>2456</v>
          </cell>
          <cell r="AV141">
            <v>2456</v>
          </cell>
          <cell r="AW141">
            <v>2308</v>
          </cell>
          <cell r="AX141">
            <v>2121</v>
          </cell>
          <cell r="AY141">
            <v>335</v>
          </cell>
          <cell r="AZ141">
            <v>1985</v>
          </cell>
          <cell r="BA141">
            <v>33</v>
          </cell>
          <cell r="BB141">
            <v>10</v>
          </cell>
          <cell r="BC141">
            <v>10</v>
          </cell>
          <cell r="BD141">
            <v>0</v>
          </cell>
          <cell r="BE141">
            <v>277</v>
          </cell>
          <cell r="BF141">
            <v>277</v>
          </cell>
          <cell r="BG141">
            <v>106</v>
          </cell>
          <cell r="BH141">
            <v>75</v>
          </cell>
          <cell r="BI141" t="str">
            <v>NRCS(Agriculture, Livestock Development and Irrigation,Education,Employment and Livelihood,Health,Rural Housing and Community Infrastructure,Water, Sanitation and Hygiene)</v>
          </cell>
          <cell r="BJ141" t="str">
            <v>AA(Disaster Risk Management,Education,Employment and Livelihood,Gender Equality and Social Inclusion),ACF(Health,Rural Housing and Community Infrastructure,Water, Sanitation and Hygiene),CTEVT(Rural Housing and Community Infrastructure),DEPROSC(Rural Housing and Community Infrastructure),GON(Rural Housing and Community Infrastructure),HELVETAS(Rural Housing and Community Infrastructure),KaurnaF(Rural Housing and Community Infrastructure),LUMANTI(Disaster Risk Management,Health,Rural Housing and Community Infrastructure),LWF(Rural Housing and Community Infrastructure,Water, Sanitation and Hygiene),PIN and CSRC(Disaster Risk Management,Governance,Rural Housing and Community Infrastructure),SP-N(Water, Sanitation and Hygiene)</v>
          </cell>
          <cell r="BK141">
            <v>61975</v>
          </cell>
          <cell r="BL141" t="str">
            <v>Y</v>
          </cell>
          <cell r="BM141">
            <v>500</v>
          </cell>
          <cell r="BN141">
            <v>51612</v>
          </cell>
          <cell r="BO141" t="str">
            <v>N</v>
          </cell>
          <cell r="BP141">
            <v>3500</v>
          </cell>
          <cell r="BQ141">
            <v>6503</v>
          </cell>
          <cell r="BR141" t="str">
            <v>N</v>
          </cell>
          <cell r="BS141">
            <v>5500</v>
          </cell>
          <cell r="BT141">
            <v>7088</v>
          </cell>
          <cell r="BU141" t="str">
            <v>N</v>
          </cell>
          <cell r="BV141" t="str">
            <v>0</v>
          </cell>
          <cell r="BW141" t="str">
            <v/>
          </cell>
          <cell r="BX141" t="str">
            <v>N</v>
          </cell>
          <cell r="BY141">
            <v>900</v>
          </cell>
          <cell r="BZ141">
            <v>171333</v>
          </cell>
          <cell r="CA141" t="str">
            <v>N</v>
          </cell>
          <cell r="CB141">
            <v>1000</v>
          </cell>
          <cell r="CC141">
            <v>687631</v>
          </cell>
          <cell r="CD141" t="str">
            <v>N</v>
          </cell>
          <cell r="CE141">
            <v>96</v>
          </cell>
          <cell r="CF141">
            <v>6974</v>
          </cell>
          <cell r="CG141" t="str">
            <v>N</v>
          </cell>
          <cell r="CH141" t="str">
            <v>9500</v>
          </cell>
          <cell r="CI141">
            <v>1240470</v>
          </cell>
          <cell r="CJ141" t="str">
            <v>N</v>
          </cell>
          <cell r="CK141">
            <v>20</v>
          </cell>
          <cell r="CL141" t="str">
            <v>Skilled</v>
          </cell>
          <cell r="CM141">
            <v>1200</v>
          </cell>
          <cell r="CN141" t="str">
            <v>Labor</v>
          </cell>
          <cell r="CO141">
            <v>1000</v>
          </cell>
          <cell r="CP141" t="str">
            <v/>
          </cell>
          <cell r="CQ141" t="str">
            <v/>
          </cell>
          <cell r="CR141" t="str">
            <v/>
          </cell>
          <cell r="CS141" t="str">
            <v/>
          </cell>
          <cell r="CT141" t="str">
            <v/>
          </cell>
          <cell r="CU141" t="str">
            <v/>
          </cell>
          <cell r="CV141" t="str">
            <v>Municipal Office</v>
          </cell>
          <cell r="CW141" t="str">
            <v>Sita Adhikari Poudel</v>
          </cell>
          <cell r="CX141" t="str">
            <v>Chairman</v>
          </cell>
          <cell r="CY141">
            <v>9841705405</v>
          </cell>
          <cell r="CZ141" t="str">
            <v>Municipal Office</v>
          </cell>
          <cell r="DA141" t="str">
            <v>Bhavani Parsad Neupane</v>
          </cell>
          <cell r="DB141" t="str">
            <v>Deputy Chairman</v>
          </cell>
          <cell r="DC141">
            <v>9841611272</v>
          </cell>
          <cell r="DD141" t="str">
            <v>Municipal Office</v>
          </cell>
          <cell r="DE141" t="str">
            <v>Sarmila Neupane</v>
          </cell>
          <cell r="DF141" t="str">
            <v>Chief Adminstration Officer</v>
          </cell>
          <cell r="DG141">
            <v>9851232096</v>
          </cell>
          <cell r="DH141" t="str">
            <v>NRA/GMALI</v>
          </cell>
          <cell r="DI141" t="str">
            <v>Krishna Kant Upadheya</v>
          </cell>
          <cell r="DJ141" t="str">
            <v>NRA Chief-District</v>
          </cell>
          <cell r="DK141">
            <v>9843588686</v>
          </cell>
          <cell r="DL141" t="str">
            <v>DLPIU-Building</v>
          </cell>
          <cell r="DM141" t="str">
            <v>Kosh Nath Adhikari</v>
          </cell>
          <cell r="DN141" t="str">
            <v>DUDBC.DLPIU Chief</v>
          </cell>
          <cell r="DO141">
            <v>9855046584</v>
          </cell>
          <cell r="DP141" t="str">
            <v>Municipal Office</v>
          </cell>
          <cell r="DQ141" t="str">
            <v xml:space="preserve">Lila nath Nepal </v>
          </cell>
          <cell r="DR141" t="str">
            <v>Focal Person</v>
          </cell>
          <cell r="DS141">
            <v>9860056384</v>
          </cell>
          <cell r="DT141" t="str">
            <v>25</v>
          </cell>
          <cell r="DU141" t="str">
            <v/>
          </cell>
          <cell r="DV141" t="str">
            <v/>
          </cell>
          <cell r="DW141" t="str">
            <v/>
          </cell>
          <cell r="DX141" t="str">
            <v/>
          </cell>
          <cell r="DY141" t="str">
            <v/>
          </cell>
          <cell r="DZ141">
            <v>3</v>
          </cell>
          <cell r="EA141" t="str">
            <v>5</v>
          </cell>
          <cell r="EB141">
            <v>5</v>
          </cell>
          <cell r="EC141" t="str">
            <v>5</v>
          </cell>
          <cell r="ED141">
            <v>5</v>
          </cell>
          <cell r="EE141" t="str">
            <v>5</v>
          </cell>
          <cell r="EF141" t="str">
            <v>337</v>
          </cell>
          <cell r="EG141" t="str">
            <v/>
          </cell>
          <cell r="EH141" t="str">
            <v>360</v>
          </cell>
          <cell r="EI141" t="str">
            <v/>
          </cell>
          <cell r="EJ141">
            <v>193</v>
          </cell>
          <cell r="EK141">
            <v>262</v>
          </cell>
          <cell r="EL141">
            <v>-69</v>
          </cell>
          <cell r="EM141">
            <v>271</v>
          </cell>
          <cell r="EN141">
            <v>235</v>
          </cell>
          <cell r="EO141">
            <v>36</v>
          </cell>
          <cell r="EP141" t="str">
            <v/>
          </cell>
          <cell r="EQ141" t="str">
            <v>Housing Recovery and Reconstruction Platform</v>
          </cell>
          <cell r="ER141" t="str">
            <v>Rijan Gajurel</v>
          </cell>
          <cell r="ES141" t="str">
            <v>District Coordinator</v>
          </cell>
          <cell r="ET141">
            <v>9851114937</v>
          </cell>
          <cell r="EU141" t="str">
            <v>Housing Recovery and Reconstruction Platform</v>
          </cell>
          <cell r="EV141" t="str">
            <v>Rijan Gajurel</v>
          </cell>
          <cell r="EW141" t="str">
            <v>DIstrict Information Management Officer</v>
          </cell>
          <cell r="EX141">
            <v>9851114937</v>
          </cell>
          <cell r="EY141" t="str">
            <v>Housing Recovery and Reconstruction Platform</v>
          </cell>
          <cell r="EZ141" t="str">
            <v>Biren Shah</v>
          </cell>
          <cell r="FA141" t="str">
            <v>District Technical Officer</v>
          </cell>
          <cell r="FB141">
            <v>9817396852</v>
          </cell>
        </row>
        <row r="142">
          <cell r="A142">
            <v>29003</v>
          </cell>
          <cell r="B142" t="str">
            <v>Rasuwa</v>
          </cell>
          <cell r="C142" t="str">
            <v>Naukunda Gaunpalika</v>
          </cell>
          <cell r="D142">
            <v>14</v>
          </cell>
          <cell r="E142">
            <v>3284</v>
          </cell>
          <cell r="F142">
            <v>3298</v>
          </cell>
          <cell r="G142" t="str">
            <v>Stone and cement mortar masonry</v>
          </cell>
          <cell r="H142">
            <v>0.55000000000000004</v>
          </cell>
          <cell r="I142">
            <v>3.07</v>
          </cell>
          <cell r="J142" t="str">
            <v>Stone and Mud Mortar Masonary</v>
          </cell>
          <cell r="K142">
            <v>96.81</v>
          </cell>
          <cell r="L142">
            <v>70.819999999999993</v>
          </cell>
          <cell r="M142" t="str">
            <v>Brick and Cement Mortar Masonary</v>
          </cell>
          <cell r="N142">
            <v>0.06</v>
          </cell>
          <cell r="O142">
            <v>0.93</v>
          </cell>
          <cell r="P142" t="str">
            <v>Brick and mud mortar Masonry</v>
          </cell>
          <cell r="Q142">
            <v>0</v>
          </cell>
          <cell r="R142">
            <v>0.04</v>
          </cell>
          <cell r="S142" t="str">
            <v>Reinforced cement concrete (RCC) frame</v>
          </cell>
          <cell r="T142">
            <v>0.76</v>
          </cell>
          <cell r="U142">
            <v>1.73</v>
          </cell>
          <cell r="V142" t="str">
            <v>Hybrid structure</v>
          </cell>
          <cell r="W142">
            <v>0</v>
          </cell>
          <cell r="X142">
            <v>0</v>
          </cell>
          <cell r="Y142" t="str">
            <v>Timber frame structure</v>
          </cell>
          <cell r="Z142">
            <v>0.12</v>
          </cell>
          <cell r="AA142">
            <v>0.75</v>
          </cell>
          <cell r="AB142" t="str">
            <v>Hollow concrete block Masonry</v>
          </cell>
          <cell r="AC142">
            <v>0</v>
          </cell>
          <cell r="AD142">
            <v>0</v>
          </cell>
          <cell r="AE142" t="str">
            <v>Dry stone Masonry</v>
          </cell>
          <cell r="AF142">
            <v>1.18</v>
          </cell>
          <cell r="AG142">
            <v>22.25</v>
          </cell>
          <cell r="AH142" t="str">
            <v>Adobe structures</v>
          </cell>
          <cell r="AI142">
            <v>0.49</v>
          </cell>
          <cell r="AJ142">
            <v>0.36</v>
          </cell>
          <cell r="AK142" t="str">
            <v>Bamboo</v>
          </cell>
          <cell r="AL142">
            <v>0.03</v>
          </cell>
          <cell r="AM142">
            <v>0.06</v>
          </cell>
          <cell r="AN142" t="str">
            <v>Compressed stabilized earth block (SCEB) Masonry</v>
          </cell>
          <cell r="AO142">
            <v>0</v>
          </cell>
          <cell r="AP142">
            <v>0</v>
          </cell>
          <cell r="AQ142" t="str">
            <v>Light steel frame structures</v>
          </cell>
          <cell r="AR142">
            <v>0</v>
          </cell>
          <cell r="AS142">
            <v>0</v>
          </cell>
          <cell r="AT142">
            <v>3349</v>
          </cell>
          <cell r="AU142">
            <v>3291</v>
          </cell>
          <cell r="AV142">
            <v>3291</v>
          </cell>
          <cell r="AW142">
            <v>3038</v>
          </cell>
          <cell r="AX142">
            <v>2758</v>
          </cell>
          <cell r="AY142">
            <v>533</v>
          </cell>
          <cell r="AZ142">
            <v>2758</v>
          </cell>
          <cell r="BA142">
            <v>18</v>
          </cell>
          <cell r="BB142">
            <v>11</v>
          </cell>
          <cell r="BC142">
            <v>11</v>
          </cell>
          <cell r="BD142">
            <v>0</v>
          </cell>
          <cell r="BE142">
            <v>237</v>
          </cell>
          <cell r="BF142">
            <v>237</v>
          </cell>
          <cell r="BG142">
            <v>57</v>
          </cell>
          <cell r="BH142">
            <v>40</v>
          </cell>
          <cell r="BI142" t="str">
            <v>NRCS(Agriculture, Livestock Development and Irrigation,Education,Employment and Livelihood,Health,Rural Housing and Community Infrastructure,Water, Sanitation and Hygiene)</v>
          </cell>
          <cell r="BJ142" t="str">
            <v>ACF(Health,Rural Housing and Community Infrastructure),DEPROSC(Rural Housing and Community Infrastructure),GON(Rural Housing and Community Infrastructure),HELVETAS(Rural Housing and Community Infrastructure),LWF(Employment and Livelihood,Rural Housing and Community Infrastructure),NAF(Rural Housing and Community Infrastructure),PIN and CSRC(Disaster Risk Management,Governance,Rural Housing and Community Infrastructure),SCI(Education,Rural Housing and Community Infrastructure,Social Protection,Water, Sanitation and Hygiene),SEED(Education),SP-N(Water, Sanitation and Hygiene)</v>
          </cell>
          <cell r="BK142">
            <v>82706</v>
          </cell>
          <cell r="BL142" t="str">
            <v>Y</v>
          </cell>
          <cell r="BM142">
            <v>480</v>
          </cell>
          <cell r="BN142">
            <v>81750</v>
          </cell>
          <cell r="BO142" t="str">
            <v>N</v>
          </cell>
          <cell r="BP142">
            <v>5000</v>
          </cell>
          <cell r="BQ142">
            <v>8809</v>
          </cell>
          <cell r="BR142" t="str">
            <v>N</v>
          </cell>
          <cell r="BS142">
            <v>7200</v>
          </cell>
          <cell r="BT142">
            <v>10080</v>
          </cell>
          <cell r="BU142" t="str">
            <v>N</v>
          </cell>
          <cell r="BV142" t="str">
            <v>0</v>
          </cell>
          <cell r="BW142" t="str">
            <v/>
          </cell>
          <cell r="BX142" t="str">
            <v>N</v>
          </cell>
          <cell r="BY142">
            <v>1000</v>
          </cell>
          <cell r="BZ142">
            <v>275827</v>
          </cell>
          <cell r="CA142" t="str">
            <v>N</v>
          </cell>
          <cell r="CB142">
            <v>1100</v>
          </cell>
          <cell r="CC142">
            <v>907156</v>
          </cell>
          <cell r="CD142" t="str">
            <v>N</v>
          </cell>
          <cell r="CE142">
            <v>105</v>
          </cell>
          <cell r="CF142">
            <v>11295</v>
          </cell>
          <cell r="CG142" t="str">
            <v>N</v>
          </cell>
          <cell r="CH142" t="str">
            <v>11000</v>
          </cell>
          <cell r="CI142">
            <v>1725447</v>
          </cell>
          <cell r="CJ142" t="str">
            <v>N</v>
          </cell>
          <cell r="CK142">
            <v>25</v>
          </cell>
          <cell r="CL142" t="str">
            <v>Skilled</v>
          </cell>
          <cell r="CM142">
            <v>1000</v>
          </cell>
          <cell r="CN142" t="str">
            <v>Labor</v>
          </cell>
          <cell r="CO142">
            <v>900</v>
          </cell>
          <cell r="CP142" t="str">
            <v/>
          </cell>
          <cell r="CQ142" t="str">
            <v/>
          </cell>
          <cell r="CR142" t="str">
            <v/>
          </cell>
          <cell r="CS142" t="str">
            <v/>
          </cell>
          <cell r="CT142" t="str">
            <v/>
          </cell>
          <cell r="CU142" t="str">
            <v/>
          </cell>
          <cell r="CV142" t="str">
            <v>Municipal Office</v>
          </cell>
          <cell r="CW142" t="str">
            <v>Nurpu Sangbo Ghale</v>
          </cell>
          <cell r="CX142" t="str">
            <v>Chairman</v>
          </cell>
          <cell r="CY142">
            <v>9823507707</v>
          </cell>
          <cell r="CZ142" t="str">
            <v>Municipal Office</v>
          </cell>
          <cell r="DA142" t="str">
            <v>Sirjina Lama</v>
          </cell>
          <cell r="DB142" t="str">
            <v>Deputy Chairman</v>
          </cell>
          <cell r="DC142">
            <v>9813446584</v>
          </cell>
          <cell r="DD142" t="str">
            <v>Municipal Office</v>
          </cell>
          <cell r="DE142" t="str">
            <v>Harihar Karki</v>
          </cell>
          <cell r="DF142" t="str">
            <v>Chief Adminstration Officer</v>
          </cell>
          <cell r="DG142">
            <v>9803172565</v>
          </cell>
          <cell r="DH142" t="str">
            <v>NRA/GMALI</v>
          </cell>
          <cell r="DI142" t="str">
            <v>Krishna Kant Upadheya</v>
          </cell>
          <cell r="DJ142" t="str">
            <v>NRA Chief-District</v>
          </cell>
          <cell r="DK142">
            <v>9843588686</v>
          </cell>
          <cell r="DL142" t="str">
            <v>DLPIU-Building</v>
          </cell>
          <cell r="DM142" t="str">
            <v>Kosh Nath Adhikari</v>
          </cell>
          <cell r="DN142" t="str">
            <v>DUDBC.DLPIU Chief</v>
          </cell>
          <cell r="DO142">
            <v>9855046584</v>
          </cell>
          <cell r="DP142" t="str">
            <v>Municipal Office</v>
          </cell>
          <cell r="DQ142" t="str">
            <v>Sumit kumar Sangraula</v>
          </cell>
          <cell r="DR142" t="str">
            <v>Focal Person</v>
          </cell>
          <cell r="DS142">
            <v>9823290882</v>
          </cell>
          <cell r="DT142" t="str">
            <v>126</v>
          </cell>
          <cell r="DU142" t="str">
            <v/>
          </cell>
          <cell r="DV142" t="str">
            <v/>
          </cell>
          <cell r="DW142" t="str">
            <v/>
          </cell>
          <cell r="DX142" t="str">
            <v/>
          </cell>
          <cell r="DY142" t="str">
            <v/>
          </cell>
          <cell r="DZ142">
            <v>9</v>
          </cell>
          <cell r="EA142" t="str">
            <v>6</v>
          </cell>
          <cell r="EB142">
            <v>8</v>
          </cell>
          <cell r="EC142" t="str">
            <v>6</v>
          </cell>
          <cell r="ED142">
            <v>4</v>
          </cell>
          <cell r="EE142" t="str">
            <v>6</v>
          </cell>
          <cell r="EF142" t="str">
            <v>359</v>
          </cell>
          <cell r="EG142" t="str">
            <v/>
          </cell>
          <cell r="EH142" t="str">
            <v>350</v>
          </cell>
          <cell r="EI142" t="str">
            <v/>
          </cell>
          <cell r="EJ142">
            <v>222</v>
          </cell>
          <cell r="EK142">
            <v>275</v>
          </cell>
          <cell r="EL142">
            <v>-53</v>
          </cell>
          <cell r="EM142">
            <v>301</v>
          </cell>
          <cell r="EN142">
            <v>150</v>
          </cell>
          <cell r="EO142">
            <v>151</v>
          </cell>
          <cell r="EP142" t="str">
            <v/>
          </cell>
          <cell r="EQ142" t="str">
            <v>Housing Recovery and Reconstruction Platform</v>
          </cell>
          <cell r="ER142" t="str">
            <v>Rijan Gajurel</v>
          </cell>
          <cell r="ES142" t="str">
            <v>District Coordinator</v>
          </cell>
          <cell r="ET142">
            <v>9851114937</v>
          </cell>
          <cell r="EU142" t="str">
            <v>Housing Recovery and Reconstruction Platform</v>
          </cell>
          <cell r="EV142" t="str">
            <v>Rijan Gajurel</v>
          </cell>
          <cell r="EW142" t="str">
            <v>DIstrict Information Management Officer</v>
          </cell>
          <cell r="EX142">
            <v>9851114937</v>
          </cell>
          <cell r="EY142" t="str">
            <v>Housing Recovery and Reconstruction Platform</v>
          </cell>
          <cell r="EZ142" t="str">
            <v>Biren Shah</v>
          </cell>
          <cell r="FA142" t="str">
            <v>District Technical Officer</v>
          </cell>
          <cell r="FB142">
            <v>9817396852</v>
          </cell>
        </row>
        <row r="143">
          <cell r="A143">
            <v>29004</v>
          </cell>
          <cell r="B143" t="str">
            <v>Rasuwa</v>
          </cell>
          <cell r="C143" t="str">
            <v>Parbati Kunda Gaunpalika</v>
          </cell>
          <cell r="D143">
            <v>107</v>
          </cell>
          <cell r="E143">
            <v>1874</v>
          </cell>
          <cell r="F143">
            <v>1981</v>
          </cell>
          <cell r="G143" t="str">
            <v>Stone and cement mortar masonry</v>
          </cell>
          <cell r="H143">
            <v>2.4300000000000002</v>
          </cell>
          <cell r="I143">
            <v>3.07</v>
          </cell>
          <cell r="J143" t="str">
            <v>Stone and Mud Mortar Masonary</v>
          </cell>
          <cell r="K143">
            <v>3.9</v>
          </cell>
          <cell r="L143">
            <v>70.819999999999993</v>
          </cell>
          <cell r="M143" t="str">
            <v>Brick and Cement Mortar Masonary</v>
          </cell>
          <cell r="N143">
            <v>0</v>
          </cell>
          <cell r="O143">
            <v>0.93</v>
          </cell>
          <cell r="P143" t="str">
            <v>Brick and mud mortar Masonry</v>
          </cell>
          <cell r="Q143">
            <v>0.05</v>
          </cell>
          <cell r="R143">
            <v>0.04</v>
          </cell>
          <cell r="S143" t="str">
            <v>Reinforced cement concrete (RCC) frame</v>
          </cell>
          <cell r="T143">
            <v>0.76</v>
          </cell>
          <cell r="U143">
            <v>1.73</v>
          </cell>
          <cell r="V143" t="str">
            <v>Hybrid structure</v>
          </cell>
          <cell r="W143">
            <v>0</v>
          </cell>
          <cell r="X143">
            <v>0</v>
          </cell>
          <cell r="Y143" t="str">
            <v>Timber frame structure</v>
          </cell>
          <cell r="Z143">
            <v>2.68</v>
          </cell>
          <cell r="AA143">
            <v>0.75</v>
          </cell>
          <cell r="AB143" t="str">
            <v>Hollow concrete block Masonry</v>
          </cell>
          <cell r="AC143">
            <v>0</v>
          </cell>
          <cell r="AD143">
            <v>0</v>
          </cell>
          <cell r="AE143" t="str">
            <v>Dry stone Masonry</v>
          </cell>
          <cell r="AF143">
            <v>89.93</v>
          </cell>
          <cell r="AG143">
            <v>22.25</v>
          </cell>
          <cell r="AH143" t="str">
            <v>Adobe structures</v>
          </cell>
          <cell r="AI143">
            <v>0</v>
          </cell>
          <cell r="AJ143">
            <v>0.36</v>
          </cell>
          <cell r="AK143" t="str">
            <v>Bamboo</v>
          </cell>
          <cell r="AL143">
            <v>0.25</v>
          </cell>
          <cell r="AM143">
            <v>0.06</v>
          </cell>
          <cell r="AN143" t="str">
            <v>Compressed stabilized earth block (SCEB) Masonry</v>
          </cell>
          <cell r="AO143">
            <v>0</v>
          </cell>
          <cell r="AP143">
            <v>0</v>
          </cell>
          <cell r="AQ143" t="str">
            <v>Light steel frame structures</v>
          </cell>
          <cell r="AR143">
            <v>0</v>
          </cell>
          <cell r="AS143">
            <v>0</v>
          </cell>
          <cell r="AT143">
            <v>1964</v>
          </cell>
          <cell r="AU143">
            <v>1802</v>
          </cell>
          <cell r="AV143">
            <v>1802</v>
          </cell>
          <cell r="AW143">
            <v>1560</v>
          </cell>
          <cell r="AX143">
            <v>1273</v>
          </cell>
          <cell r="AY143">
            <v>691</v>
          </cell>
          <cell r="AZ143">
            <v>1273</v>
          </cell>
          <cell r="BA143">
            <v>59</v>
          </cell>
          <cell r="BB143">
            <v>2</v>
          </cell>
          <cell r="BC143">
            <v>2</v>
          </cell>
          <cell r="BD143">
            <v>0</v>
          </cell>
          <cell r="BE143">
            <v>239</v>
          </cell>
          <cell r="BF143">
            <v>239</v>
          </cell>
          <cell r="BG143">
            <v>54</v>
          </cell>
          <cell r="BH143">
            <v>40</v>
          </cell>
          <cell r="BI143" t="str">
            <v/>
          </cell>
          <cell r="BJ143" t="str">
            <v>ACF(Health,Rural Housing and Community Infrastructure),GOAL(Rural Housing and Community Infrastructure),GON(Rural Housing and Community Infrastructure),HELVETAS(Rural Housing and Community Infrastructure),LUMANTI(Rural Housing and Community Infrastructure),LWF(Rural Housing and Community Infrastructure),PIN and CSRC(Rural Housing and Community Infrastructure),SCI(Disaster Risk Management,Education,Rural Housing and Community Infrastructure,Social Protection,Water, Sanitation and Hygiene)</v>
          </cell>
          <cell r="BK143">
            <v>20464</v>
          </cell>
          <cell r="BL143" t="str">
            <v>Y</v>
          </cell>
          <cell r="BM143">
            <v>600</v>
          </cell>
          <cell r="BN143">
            <v>19465</v>
          </cell>
          <cell r="BO143" t="str">
            <v>N</v>
          </cell>
          <cell r="BP143">
            <v>3500</v>
          </cell>
          <cell r="BQ143">
            <v>2171</v>
          </cell>
          <cell r="BR143" t="str">
            <v>N</v>
          </cell>
          <cell r="BS143">
            <v>5500</v>
          </cell>
          <cell r="BT143">
            <v>2453</v>
          </cell>
          <cell r="BU143" t="str">
            <v>Y</v>
          </cell>
          <cell r="BV143" t="str">
            <v>0</v>
          </cell>
          <cell r="BW143" t="str">
            <v/>
          </cell>
          <cell r="BX143" t="str">
            <v>N</v>
          </cell>
          <cell r="BY143">
            <v>1050</v>
          </cell>
          <cell r="BZ143">
            <v>64802</v>
          </cell>
          <cell r="CA143" t="str">
            <v>N</v>
          </cell>
          <cell r="CB143">
            <v>1150</v>
          </cell>
          <cell r="CC143">
            <v>224201</v>
          </cell>
          <cell r="CD143" t="str">
            <v>N</v>
          </cell>
          <cell r="CE143">
            <v>100</v>
          </cell>
          <cell r="CF143">
            <v>2646</v>
          </cell>
          <cell r="CG143" t="str">
            <v>N</v>
          </cell>
          <cell r="CH143" t="str">
            <v>10500</v>
          </cell>
          <cell r="CI143">
            <v>322738</v>
          </cell>
          <cell r="CJ143" t="str">
            <v>N</v>
          </cell>
          <cell r="CK143">
            <v>20</v>
          </cell>
          <cell r="CL143" t="str">
            <v>Skilled</v>
          </cell>
          <cell r="CM143">
            <v>1500</v>
          </cell>
          <cell r="CN143" t="str">
            <v>Labor</v>
          </cell>
          <cell r="CO143">
            <v>1200</v>
          </cell>
          <cell r="CP143" t="str">
            <v/>
          </cell>
          <cell r="CQ143" t="str">
            <v/>
          </cell>
          <cell r="CR143" t="str">
            <v/>
          </cell>
          <cell r="CS143" t="str">
            <v/>
          </cell>
          <cell r="CT143" t="str">
            <v/>
          </cell>
          <cell r="CU143" t="str">
            <v/>
          </cell>
          <cell r="CV143" t="str">
            <v>Municipal Office</v>
          </cell>
          <cell r="CW143" t="str">
            <v>Bhujung Tamang</v>
          </cell>
          <cell r="CX143" t="str">
            <v>Chairman</v>
          </cell>
          <cell r="CY143">
            <v>9841893178</v>
          </cell>
          <cell r="CZ143" t="str">
            <v>Municipal Office</v>
          </cell>
          <cell r="DA143" t="str">
            <v>Nabina Tamang</v>
          </cell>
          <cell r="DB143" t="str">
            <v>Deputy Chairman</v>
          </cell>
          <cell r="DC143">
            <v>9841083353</v>
          </cell>
          <cell r="DD143" t="str">
            <v>Municipal Office</v>
          </cell>
          <cell r="DE143" t="str">
            <v>Bikram Lambu</v>
          </cell>
          <cell r="DF143" t="str">
            <v>Chief Adminstration Officer</v>
          </cell>
          <cell r="DG143">
            <v>9851235533</v>
          </cell>
          <cell r="DH143" t="str">
            <v>NRA/GMALI</v>
          </cell>
          <cell r="DI143" t="str">
            <v>Krishna Kant Upadheya</v>
          </cell>
          <cell r="DJ143" t="str">
            <v>NRA Chief-District</v>
          </cell>
          <cell r="DK143">
            <v>9843588686</v>
          </cell>
          <cell r="DL143" t="str">
            <v>DLPIU-Building</v>
          </cell>
          <cell r="DM143" t="str">
            <v>Kosh Nath Adhikari</v>
          </cell>
          <cell r="DN143" t="str">
            <v>DUDBC.DLPIU Chief</v>
          </cell>
          <cell r="DO143">
            <v>9855046584</v>
          </cell>
          <cell r="DP143" t="str">
            <v>Municipal Office</v>
          </cell>
          <cell r="DQ143" t="str">
            <v>Ramesh Kumar Gupta</v>
          </cell>
          <cell r="DR143" t="str">
            <v>Focal Person</v>
          </cell>
          <cell r="DS143">
            <v>9843683307</v>
          </cell>
          <cell r="DT143" t="str">
            <v>194</v>
          </cell>
          <cell r="DU143" t="str">
            <v/>
          </cell>
          <cell r="DV143" t="str">
            <v/>
          </cell>
          <cell r="DW143" t="str">
            <v/>
          </cell>
          <cell r="DX143" t="str">
            <v/>
          </cell>
          <cell r="DY143" t="str">
            <v/>
          </cell>
          <cell r="DZ143">
            <v>1</v>
          </cell>
          <cell r="EA143" t="str">
            <v>5</v>
          </cell>
          <cell r="EB143">
            <v>4</v>
          </cell>
          <cell r="EC143" t="str">
            <v>5</v>
          </cell>
          <cell r="ED143">
            <v>5</v>
          </cell>
          <cell r="EE143" t="str">
            <v>5</v>
          </cell>
          <cell r="EF143" t="str">
            <v>456</v>
          </cell>
          <cell r="EG143" t="str">
            <v/>
          </cell>
          <cell r="EH143" t="str">
            <v>151</v>
          </cell>
          <cell r="EI143" t="str">
            <v/>
          </cell>
          <cell r="EJ143">
            <v>139</v>
          </cell>
          <cell r="EK143">
            <v>295</v>
          </cell>
          <cell r="EL143">
            <v>-156</v>
          </cell>
          <cell r="EM143">
            <v>196</v>
          </cell>
          <cell r="EN143">
            <v>140</v>
          </cell>
          <cell r="EO143">
            <v>56</v>
          </cell>
          <cell r="EP143" t="str">
            <v/>
          </cell>
          <cell r="EQ143" t="str">
            <v>Housing Recovery and Reconstruction Platform</v>
          </cell>
          <cell r="ER143" t="str">
            <v>Rijan Gajurel</v>
          </cell>
          <cell r="ES143" t="str">
            <v>District Coordinator</v>
          </cell>
          <cell r="ET143">
            <v>9851114937</v>
          </cell>
          <cell r="EU143" t="str">
            <v>Housing Recovery and Reconstruction Platform</v>
          </cell>
          <cell r="EV143" t="str">
            <v>Rijan Gajurel</v>
          </cell>
          <cell r="EW143" t="str">
            <v>DIstrict Information Management Officer</v>
          </cell>
          <cell r="EX143">
            <v>9851114937</v>
          </cell>
          <cell r="EY143" t="str">
            <v>Housing Recovery and Reconstruction Platform</v>
          </cell>
          <cell r="EZ143" t="str">
            <v>Biren Shah</v>
          </cell>
          <cell r="FA143" t="str">
            <v>District Technical Officer</v>
          </cell>
          <cell r="FB143">
            <v>9817396852</v>
          </cell>
        </row>
        <row r="144">
          <cell r="A144">
            <v>29005</v>
          </cell>
          <cell r="B144" t="str">
            <v>Rasuwa</v>
          </cell>
          <cell r="C144" t="str">
            <v>Uttargaya Gaunpalika</v>
          </cell>
          <cell r="D144">
            <v>90</v>
          </cell>
          <cell r="E144">
            <v>2521</v>
          </cell>
          <cell r="F144">
            <v>2611</v>
          </cell>
          <cell r="G144" t="str">
            <v>Stone and cement mortar masonry</v>
          </cell>
          <cell r="H144">
            <v>2.11</v>
          </cell>
          <cell r="I144">
            <v>3.07</v>
          </cell>
          <cell r="J144" t="str">
            <v>Stone and Mud Mortar Masonary</v>
          </cell>
          <cell r="K144">
            <v>93.72</v>
          </cell>
          <cell r="L144">
            <v>70.819999999999993</v>
          </cell>
          <cell r="M144" t="str">
            <v>Brick and Cement Mortar Masonary</v>
          </cell>
          <cell r="N144">
            <v>1.99</v>
          </cell>
          <cell r="O144">
            <v>0.93</v>
          </cell>
          <cell r="P144" t="str">
            <v>Brick and mud mortar Masonry</v>
          </cell>
          <cell r="Q144">
            <v>0</v>
          </cell>
          <cell r="R144">
            <v>0.04</v>
          </cell>
          <cell r="S144" t="str">
            <v>Reinforced cement concrete (RCC) frame</v>
          </cell>
          <cell r="T144">
            <v>0.34</v>
          </cell>
          <cell r="U144">
            <v>1.73</v>
          </cell>
          <cell r="V144" t="str">
            <v>Hybrid structure</v>
          </cell>
          <cell r="W144">
            <v>0</v>
          </cell>
          <cell r="X144">
            <v>0</v>
          </cell>
          <cell r="Y144" t="str">
            <v>Timber frame structure</v>
          </cell>
          <cell r="Z144">
            <v>0.15</v>
          </cell>
          <cell r="AA144">
            <v>0.75</v>
          </cell>
          <cell r="AB144" t="str">
            <v>Hollow concrete block Masonry</v>
          </cell>
          <cell r="AC144">
            <v>0</v>
          </cell>
          <cell r="AD144">
            <v>0</v>
          </cell>
          <cell r="AE144" t="str">
            <v>Dry stone Masonry</v>
          </cell>
          <cell r="AF144">
            <v>1.57</v>
          </cell>
          <cell r="AG144">
            <v>22.25</v>
          </cell>
          <cell r="AH144" t="str">
            <v>Adobe structures</v>
          </cell>
          <cell r="AI144">
            <v>0.11</v>
          </cell>
          <cell r="AJ144">
            <v>0.36</v>
          </cell>
          <cell r="AK144" t="str">
            <v>Bamboo</v>
          </cell>
          <cell r="AL144">
            <v>0</v>
          </cell>
          <cell r="AM144">
            <v>0.06</v>
          </cell>
          <cell r="AN144" t="str">
            <v>Compressed stabilized earth block (SCEB) Masonry</v>
          </cell>
          <cell r="AO144">
            <v>0</v>
          </cell>
          <cell r="AP144">
            <v>0</v>
          </cell>
          <cell r="AQ144" t="str">
            <v>Light steel frame structures</v>
          </cell>
          <cell r="AR144">
            <v>0</v>
          </cell>
          <cell r="AS144">
            <v>0</v>
          </cell>
          <cell r="AT144">
            <v>2631</v>
          </cell>
          <cell r="AU144">
            <v>2274</v>
          </cell>
          <cell r="AV144">
            <v>2274</v>
          </cell>
          <cell r="AW144">
            <v>1958</v>
          </cell>
          <cell r="AX144">
            <v>1725</v>
          </cell>
          <cell r="AY144">
            <v>549</v>
          </cell>
          <cell r="AZ144">
            <v>1725</v>
          </cell>
          <cell r="BA144">
            <v>25</v>
          </cell>
          <cell r="BB144">
            <v>11</v>
          </cell>
          <cell r="BC144">
            <v>11</v>
          </cell>
          <cell r="BD144">
            <v>0</v>
          </cell>
          <cell r="BE144">
            <v>246</v>
          </cell>
          <cell r="BF144">
            <v>246</v>
          </cell>
          <cell r="BG144">
            <v>127</v>
          </cell>
          <cell r="BH144">
            <v>88</v>
          </cell>
          <cell r="BI144" t="str">
            <v/>
          </cell>
          <cell r="BJ144" t="str">
            <v>OM-N(Rural Housing and Community Infrastructure)</v>
          </cell>
          <cell r="BK144">
            <v>32769</v>
          </cell>
          <cell r="BL144" t="str">
            <v>Y</v>
          </cell>
          <cell r="BM144">
            <v>560</v>
          </cell>
          <cell r="BN144">
            <v>30886</v>
          </cell>
          <cell r="BO144" t="str">
            <v>N</v>
          </cell>
          <cell r="BP144">
            <v>4000</v>
          </cell>
          <cell r="BQ144">
            <v>3475</v>
          </cell>
          <cell r="BR144" t="str">
            <v>N</v>
          </cell>
          <cell r="BS144">
            <v>4500</v>
          </cell>
          <cell r="BT144">
            <v>3920</v>
          </cell>
          <cell r="BU144" t="str">
            <v>N</v>
          </cell>
          <cell r="BV144" t="str">
            <v>0</v>
          </cell>
          <cell r="BW144" t="str">
            <v/>
          </cell>
          <cell r="BX144" t="str">
            <v>N</v>
          </cell>
          <cell r="BY144">
            <v>1000</v>
          </cell>
          <cell r="BZ144">
            <v>103551</v>
          </cell>
          <cell r="CA144" t="str">
            <v>N</v>
          </cell>
          <cell r="CB144">
            <v>1200</v>
          </cell>
          <cell r="CC144">
            <v>360359</v>
          </cell>
          <cell r="CD144" t="str">
            <v>N</v>
          </cell>
          <cell r="CE144">
            <v>98</v>
          </cell>
          <cell r="CF144">
            <v>4232</v>
          </cell>
          <cell r="CG144" t="str">
            <v>N</v>
          </cell>
          <cell r="CH144" t="str">
            <v>10000</v>
          </cell>
          <cell r="CI144">
            <v>641303</v>
          </cell>
          <cell r="CJ144" t="str">
            <v>N</v>
          </cell>
          <cell r="CK144">
            <v>20</v>
          </cell>
          <cell r="CL144" t="str">
            <v>Skilled</v>
          </cell>
          <cell r="CM144">
            <v>1200</v>
          </cell>
          <cell r="CN144" t="str">
            <v>Labor</v>
          </cell>
          <cell r="CO144">
            <v>1000</v>
          </cell>
          <cell r="CP144" t="str">
            <v/>
          </cell>
          <cell r="CQ144" t="str">
            <v/>
          </cell>
          <cell r="CR144" t="str">
            <v/>
          </cell>
          <cell r="CS144" t="str">
            <v/>
          </cell>
          <cell r="CT144" t="str">
            <v/>
          </cell>
          <cell r="CU144" t="str">
            <v/>
          </cell>
          <cell r="CV144" t="str">
            <v>Municipal Office</v>
          </cell>
          <cell r="CW144" t="str">
            <v>Uppendra Lamsal</v>
          </cell>
          <cell r="CX144" t="str">
            <v>Chairman</v>
          </cell>
          <cell r="CY144">
            <v>9841483196</v>
          </cell>
          <cell r="CZ144" t="str">
            <v>Municipal Office</v>
          </cell>
          <cell r="DA144" t="str">
            <v>Chamali Gurung</v>
          </cell>
          <cell r="DB144" t="str">
            <v>Deputy Chairman</v>
          </cell>
          <cell r="DC144">
            <v>9851143196</v>
          </cell>
          <cell r="DD144" t="str">
            <v>Municipal Office</v>
          </cell>
          <cell r="DE144" t="str">
            <v>Basanta Badhur Khatri</v>
          </cell>
          <cell r="DF144" t="str">
            <v>Chief Adminstration Officer</v>
          </cell>
          <cell r="DG144">
            <v>9851254790</v>
          </cell>
          <cell r="DH144" t="str">
            <v>NRA/GMALI</v>
          </cell>
          <cell r="DI144" t="str">
            <v>Krishna Kant Upadheya</v>
          </cell>
          <cell r="DJ144" t="str">
            <v>NRA Chief-District</v>
          </cell>
          <cell r="DK144">
            <v>9843588686</v>
          </cell>
          <cell r="DL144" t="str">
            <v>DLPIU-Building</v>
          </cell>
          <cell r="DM144" t="str">
            <v>Kosh Nath Adhikari</v>
          </cell>
          <cell r="DN144" t="str">
            <v>DUDBC.DLPIU Chief</v>
          </cell>
          <cell r="DO144">
            <v>9855046584</v>
          </cell>
          <cell r="DP144" t="str">
            <v>Municipal Office</v>
          </cell>
          <cell r="DQ144" t="str">
            <v>Udasave Adhikari</v>
          </cell>
          <cell r="DR144" t="str">
            <v>Focal Person</v>
          </cell>
          <cell r="DS144">
            <v>9849607903</v>
          </cell>
          <cell r="DT144" t="str">
            <v>642</v>
          </cell>
          <cell r="DU144" t="str">
            <v/>
          </cell>
          <cell r="DV144" t="str">
            <v/>
          </cell>
          <cell r="DW144" t="str">
            <v/>
          </cell>
          <cell r="DX144" t="str">
            <v/>
          </cell>
          <cell r="DY144" t="str">
            <v/>
          </cell>
          <cell r="DZ144">
            <v>3</v>
          </cell>
          <cell r="EA144" t="str">
            <v>5</v>
          </cell>
          <cell r="EB144">
            <v>8</v>
          </cell>
          <cell r="EC144" t="str">
            <v>5</v>
          </cell>
          <cell r="ED144">
            <v>6</v>
          </cell>
          <cell r="EE144" t="str">
            <v>5</v>
          </cell>
          <cell r="EF144" t="str">
            <v>606</v>
          </cell>
          <cell r="EG144" t="str">
            <v/>
          </cell>
          <cell r="EH144" t="str">
            <v>151</v>
          </cell>
          <cell r="EI144" t="str">
            <v/>
          </cell>
          <cell r="EJ144">
            <v>175</v>
          </cell>
          <cell r="EK144">
            <v>0</v>
          </cell>
          <cell r="EL144">
            <v>175</v>
          </cell>
          <cell r="EM144">
            <v>240</v>
          </cell>
          <cell r="EN144">
            <v>51</v>
          </cell>
          <cell r="EO144">
            <v>189</v>
          </cell>
          <cell r="EP144" t="str">
            <v/>
          </cell>
          <cell r="EQ144" t="str">
            <v>Housing Recovery and Reconstruction Platform</v>
          </cell>
          <cell r="ER144" t="str">
            <v>Rijan Gajurel</v>
          </cell>
          <cell r="ES144" t="str">
            <v>District Coordinator</v>
          </cell>
          <cell r="ET144">
            <v>9851114937</v>
          </cell>
          <cell r="EU144" t="str">
            <v>Housing Recovery and Reconstruction Platform</v>
          </cell>
          <cell r="EV144" t="str">
            <v>Rijan Gajurel</v>
          </cell>
          <cell r="EW144" t="str">
            <v>DIstrict Information Management Officer</v>
          </cell>
          <cell r="EX144">
            <v>9851114937</v>
          </cell>
          <cell r="EY144" t="str">
            <v>Housing Recovery and Reconstruction Platform</v>
          </cell>
          <cell r="EZ144" t="str">
            <v>Biren Shah</v>
          </cell>
          <cell r="FA144" t="str">
            <v>District Technical Officer</v>
          </cell>
          <cell r="FB144">
            <v>9817396852</v>
          </cell>
        </row>
        <row r="145">
          <cell r="A145">
            <v>30001</v>
          </cell>
          <cell r="B145" t="str">
            <v>Dhading</v>
          </cell>
          <cell r="C145" t="str">
            <v>Benighat Rorang Gaunpalika</v>
          </cell>
          <cell r="D145">
            <v>1877</v>
          </cell>
          <cell r="E145">
            <v>5133</v>
          </cell>
          <cell r="F145">
            <v>7010</v>
          </cell>
          <cell r="G145" t="str">
            <v>Stone and cement mortar masonry</v>
          </cell>
          <cell r="H145">
            <v>0.36</v>
          </cell>
          <cell r="I145">
            <v>1.1000000000000001</v>
          </cell>
          <cell r="J145" t="str">
            <v>Stone and Mud Mortar Masonary</v>
          </cell>
          <cell r="K145">
            <v>80.87</v>
          </cell>
          <cell r="L145">
            <v>85.43</v>
          </cell>
          <cell r="M145" t="str">
            <v>Brick and Cement Mortar Masonary</v>
          </cell>
          <cell r="N145">
            <v>6.46</v>
          </cell>
          <cell r="O145">
            <v>3.73</v>
          </cell>
          <cell r="P145" t="str">
            <v>Brick and mud mortar Masonry</v>
          </cell>
          <cell r="Q145">
            <v>0.11</v>
          </cell>
          <cell r="R145">
            <v>0.48</v>
          </cell>
          <cell r="S145" t="str">
            <v>Reinforced cement concrete (RCC) frame</v>
          </cell>
          <cell r="T145">
            <v>7.86</v>
          </cell>
          <cell r="U145">
            <v>3.25</v>
          </cell>
          <cell r="V145" t="str">
            <v>Hybrid structure</v>
          </cell>
          <cell r="W145">
            <v>0</v>
          </cell>
          <cell r="X145">
            <v>0</v>
          </cell>
          <cell r="Y145" t="str">
            <v>Timber frame structure</v>
          </cell>
          <cell r="Z145">
            <v>3.42</v>
          </cell>
          <cell r="AA145">
            <v>0.64</v>
          </cell>
          <cell r="AB145" t="str">
            <v>Hollow concrete block Masonry</v>
          </cell>
          <cell r="AC145">
            <v>0</v>
          </cell>
          <cell r="AD145">
            <v>0</v>
          </cell>
          <cell r="AE145" t="str">
            <v>Dry stone Masonry</v>
          </cell>
          <cell r="AF145">
            <v>0.14000000000000001</v>
          </cell>
          <cell r="AG145">
            <v>1.79</v>
          </cell>
          <cell r="AH145" t="str">
            <v>Adobe structures</v>
          </cell>
          <cell r="AI145">
            <v>0.19</v>
          </cell>
          <cell r="AJ145">
            <v>3.32</v>
          </cell>
          <cell r="AK145" t="str">
            <v>Bamboo</v>
          </cell>
          <cell r="AL145">
            <v>0.59</v>
          </cell>
          <cell r="AM145">
            <v>0.25</v>
          </cell>
          <cell r="AN145" t="str">
            <v>Compressed stabilized earth block (SCEB) Masonry</v>
          </cell>
          <cell r="AO145">
            <v>0</v>
          </cell>
          <cell r="AP145">
            <v>0</v>
          </cell>
          <cell r="AQ145" t="str">
            <v>Light steel frame structures</v>
          </cell>
          <cell r="AR145">
            <v>0</v>
          </cell>
          <cell r="AS145">
            <v>0</v>
          </cell>
          <cell r="AT145">
            <v>4910</v>
          </cell>
          <cell r="AU145">
            <v>4349</v>
          </cell>
          <cell r="AV145">
            <v>4349</v>
          </cell>
          <cell r="AW145">
            <v>3682</v>
          </cell>
          <cell r="AX145">
            <v>2393</v>
          </cell>
          <cell r="AY145">
            <v>0</v>
          </cell>
          <cell r="AZ145">
            <v>2507</v>
          </cell>
          <cell r="BA145">
            <v>618</v>
          </cell>
          <cell r="BB145">
            <v>618</v>
          </cell>
          <cell r="BC145">
            <v>0</v>
          </cell>
          <cell r="BD145">
            <v>0</v>
          </cell>
          <cell r="BE145">
            <v>1690</v>
          </cell>
          <cell r="BF145">
            <v>599</v>
          </cell>
          <cell r="BG145">
            <v>22</v>
          </cell>
          <cell r="BH145">
            <v>20</v>
          </cell>
          <cell r="BI145" t="str">
            <v>NSET(Rural Housing and Community Infrastructure),UMN(Education,Rural Housing and Community Infrastructure,Water, Sanitation and Hygiene)</v>
          </cell>
          <cell r="BJ145" t="str">
            <v>AATWIN(Social Protection),ADRA(Rural Housing and Community Infrastructure),CY(Education),DCA(Disaster Risk Management,Employment and Livelihood,Health,Rural Housing and Community Infrastructure,Water, Sanitation and Hygiene),GON - DUDBC(Rural Housing and Community Infrastructure),GON-PAF(Rural Housing and Community Infrastructure),MCC(Agriculture, Livestock Development and Irrigation,Health),OXFAM-GB(Rural Housing and Community Infrastructure)</v>
          </cell>
          <cell r="BK145">
            <v>97205</v>
          </cell>
          <cell r="BL145" t="str">
            <v>Y</v>
          </cell>
          <cell r="BM145" t="str">
            <v/>
          </cell>
          <cell r="BN145">
            <v>82048</v>
          </cell>
          <cell r="BO145" t="str">
            <v>Y</v>
          </cell>
          <cell r="BP145" t="str">
            <v/>
          </cell>
          <cell r="BQ145">
            <v>10212</v>
          </cell>
          <cell r="BR145" t="str">
            <v>Y</v>
          </cell>
          <cell r="BS145" t="str">
            <v/>
          </cell>
          <cell r="BT145">
            <v>11173</v>
          </cell>
          <cell r="BU145" t="str">
            <v>Y</v>
          </cell>
          <cell r="BV145" t="str">
            <v/>
          </cell>
          <cell r="BW145" t="str">
            <v/>
          </cell>
          <cell r="BX145" t="str">
            <v/>
          </cell>
          <cell r="BY145" t="str">
            <v/>
          </cell>
          <cell r="BZ145">
            <v>273110</v>
          </cell>
          <cell r="CA145" t="str">
            <v/>
          </cell>
          <cell r="CB145" t="str">
            <v/>
          </cell>
          <cell r="CC145">
            <v>1078112</v>
          </cell>
          <cell r="CD145" t="str">
            <v>Y</v>
          </cell>
          <cell r="CE145" t="str">
            <v/>
          </cell>
          <cell r="CF145">
            <v>11125</v>
          </cell>
          <cell r="CG145" t="str">
            <v>Y</v>
          </cell>
          <cell r="CH145" t="str">
            <v/>
          </cell>
          <cell r="CI145">
            <v>2006947</v>
          </cell>
          <cell r="CJ145" t="str">
            <v>Y</v>
          </cell>
          <cell r="CK145" t="str">
            <v/>
          </cell>
          <cell r="CL145" t="str">
            <v>Skilled</v>
          </cell>
          <cell r="CM145" t="str">
            <v/>
          </cell>
          <cell r="CN145" t="str">
            <v>Labor</v>
          </cell>
          <cell r="CO145" t="str">
            <v/>
          </cell>
          <cell r="CP145" t="str">
            <v/>
          </cell>
          <cell r="CQ145" t="str">
            <v/>
          </cell>
          <cell r="CR145" t="str">
            <v/>
          </cell>
          <cell r="CS145" t="str">
            <v/>
          </cell>
          <cell r="CT145" t="str">
            <v/>
          </cell>
          <cell r="CU145" t="str">
            <v/>
          </cell>
          <cell r="CV145" t="str">
            <v>Municipal Office</v>
          </cell>
          <cell r="CW145" t="str">
            <v>Pitta Bahadhur Dallakoti</v>
          </cell>
          <cell r="CX145" t="str">
            <v>Mayor</v>
          </cell>
          <cell r="CY145">
            <v>9851229220</v>
          </cell>
          <cell r="CZ145" t="str">
            <v>Municipal Office</v>
          </cell>
          <cell r="DA145" t="str">
            <v>Devi Prasad Silwal</v>
          </cell>
          <cell r="DB145" t="str">
            <v>Deputy Mayor</v>
          </cell>
          <cell r="DC145">
            <v>9810254793</v>
          </cell>
          <cell r="DD145" t="str">
            <v>Municipal Office</v>
          </cell>
          <cell r="DE145" t="str">
            <v/>
          </cell>
          <cell r="DF145" t="str">
            <v>Adminstration Officer</v>
          </cell>
          <cell r="DG145" t="str">
            <v/>
          </cell>
          <cell r="DH145" t="str">
            <v>NRA/GMALI</v>
          </cell>
          <cell r="DI145" t="str">
            <v>Rajendra K. C.</v>
          </cell>
          <cell r="DJ145" t="str">
            <v>NRA Chief-District</v>
          </cell>
          <cell r="DK145">
            <v>9851213604</v>
          </cell>
          <cell r="DL145" t="str">
            <v>DLPIU-Building</v>
          </cell>
          <cell r="DM145" t="str">
            <v>Koshnath Adhikari</v>
          </cell>
          <cell r="DN145" t="str">
            <v>DUDBC.DLPIU Chief</v>
          </cell>
          <cell r="DO145">
            <v>9855046584</v>
          </cell>
          <cell r="DP145" t="str">
            <v>Municipal Office</v>
          </cell>
          <cell r="DQ145" t="str">
            <v/>
          </cell>
          <cell r="DR145" t="str">
            <v>Focal Person</v>
          </cell>
          <cell r="DS145" t="str">
            <v/>
          </cell>
          <cell r="DT145" t="str">
            <v/>
          </cell>
          <cell r="DU145" t="str">
            <v/>
          </cell>
          <cell r="DV145" t="str">
            <v/>
          </cell>
          <cell r="DW145" t="str">
            <v/>
          </cell>
          <cell r="DX145" t="str">
            <v/>
          </cell>
          <cell r="DY145" t="str">
            <v/>
          </cell>
          <cell r="DZ145" t="str">
            <v/>
          </cell>
          <cell r="EA145" t="str">
            <v/>
          </cell>
          <cell r="EB145" t="str">
            <v/>
          </cell>
          <cell r="EC145" t="str">
            <v/>
          </cell>
          <cell r="ED145" t="str">
            <v/>
          </cell>
          <cell r="EE145" t="str">
            <v/>
          </cell>
          <cell r="EF145" t="str">
            <v/>
          </cell>
          <cell r="EG145" t="str">
            <v/>
          </cell>
          <cell r="EH145" t="str">
            <v/>
          </cell>
          <cell r="EI145" t="str">
            <v/>
          </cell>
          <cell r="EJ145">
            <v>342</v>
          </cell>
          <cell r="EK145">
            <v>542</v>
          </cell>
          <cell r="EL145">
            <v>-200</v>
          </cell>
          <cell r="EM145">
            <v>459</v>
          </cell>
          <cell r="EN145">
            <v>0</v>
          </cell>
          <cell r="EO145">
            <v>459</v>
          </cell>
          <cell r="EP145" t="str">
            <v/>
          </cell>
          <cell r="EQ145" t="str">
            <v>Housing Recovery and Reconstruction Platform</v>
          </cell>
          <cell r="ER145" t="str">
            <v>Prabin Gautam</v>
          </cell>
          <cell r="ES145" t="str">
            <v>District Coordinator</v>
          </cell>
          <cell r="ET145">
            <v>9860687776</v>
          </cell>
          <cell r="EU145" t="str">
            <v>Housing Recovery and Reconstruction Platform</v>
          </cell>
          <cell r="EV145" t="str">
            <v/>
          </cell>
          <cell r="EW145" t="str">
            <v>DIstrict Information Management Officer</v>
          </cell>
          <cell r="EX145" t="str">
            <v/>
          </cell>
          <cell r="EY145" t="str">
            <v>Housing Recovery and Reconstruction Platform</v>
          </cell>
          <cell r="EZ145" t="str">
            <v>Sachin Sapkota</v>
          </cell>
          <cell r="FA145" t="str">
            <v>District Technical Officer</v>
          </cell>
          <cell r="FB145">
            <v>9847621292</v>
          </cell>
        </row>
        <row r="146">
          <cell r="A146">
            <v>30002</v>
          </cell>
          <cell r="B146" t="str">
            <v>Dhading</v>
          </cell>
          <cell r="C146" t="str">
            <v>Dhunibesi Nagarpalika</v>
          </cell>
          <cell r="D146">
            <v>738</v>
          </cell>
          <cell r="E146">
            <v>7474</v>
          </cell>
          <cell r="F146">
            <v>8212</v>
          </cell>
          <cell r="G146" t="str">
            <v>Stone and cement mortar masonry</v>
          </cell>
          <cell r="H146">
            <v>0.67</v>
          </cell>
          <cell r="I146">
            <v>1.1000000000000001</v>
          </cell>
          <cell r="J146" t="str">
            <v>Stone and Mud Mortar Masonary</v>
          </cell>
          <cell r="K146">
            <v>88.32</v>
          </cell>
          <cell r="L146">
            <v>85.43</v>
          </cell>
          <cell r="M146" t="str">
            <v>Brick and Cement Mortar Masonary</v>
          </cell>
          <cell r="N146">
            <v>3.85</v>
          </cell>
          <cell r="O146">
            <v>3.73</v>
          </cell>
          <cell r="P146" t="str">
            <v>Brick and mud mortar Masonry</v>
          </cell>
          <cell r="Q146">
            <v>0.45</v>
          </cell>
          <cell r="R146">
            <v>0.48</v>
          </cell>
          <cell r="S146" t="str">
            <v>Reinforced cement concrete (RCC) frame</v>
          </cell>
          <cell r="T146">
            <v>3.78</v>
          </cell>
          <cell r="U146">
            <v>3.25</v>
          </cell>
          <cell r="V146" t="str">
            <v>Hybrid structure</v>
          </cell>
          <cell r="W146">
            <v>0</v>
          </cell>
          <cell r="X146">
            <v>0</v>
          </cell>
          <cell r="Y146" t="str">
            <v>Timber frame structure</v>
          </cell>
          <cell r="Z146">
            <v>0.12</v>
          </cell>
          <cell r="AA146">
            <v>0.64</v>
          </cell>
          <cell r="AB146" t="str">
            <v>Hollow concrete block Masonry</v>
          </cell>
          <cell r="AC146">
            <v>0</v>
          </cell>
          <cell r="AD146">
            <v>0</v>
          </cell>
          <cell r="AE146" t="str">
            <v>Dry stone Masonry</v>
          </cell>
          <cell r="AF146">
            <v>7.0000000000000007E-2</v>
          </cell>
          <cell r="AG146">
            <v>1.79</v>
          </cell>
          <cell r="AH146" t="str">
            <v>Adobe structures</v>
          </cell>
          <cell r="AI146">
            <v>2.62</v>
          </cell>
          <cell r="AJ146">
            <v>3.32</v>
          </cell>
          <cell r="AK146" t="str">
            <v>Bamboo</v>
          </cell>
          <cell r="AL146">
            <v>0.12</v>
          </cell>
          <cell r="AM146">
            <v>0.25</v>
          </cell>
          <cell r="AN146" t="str">
            <v>Compressed stabilized earth block (SCEB) Masonry</v>
          </cell>
          <cell r="AO146">
            <v>0</v>
          </cell>
          <cell r="AP146">
            <v>0</v>
          </cell>
          <cell r="AQ146" t="str">
            <v>Light steel frame structures</v>
          </cell>
          <cell r="AR146">
            <v>0</v>
          </cell>
          <cell r="AS146">
            <v>0</v>
          </cell>
          <cell r="AT146">
            <v>7158</v>
          </cell>
          <cell r="AU146">
            <v>6582</v>
          </cell>
          <cell r="AV146">
            <v>6582</v>
          </cell>
          <cell r="AW146">
            <v>4328</v>
          </cell>
          <cell r="AX146">
            <v>2910</v>
          </cell>
          <cell r="AY146">
            <v>0</v>
          </cell>
          <cell r="AZ146">
            <v>3177</v>
          </cell>
          <cell r="BA146">
            <v>98</v>
          </cell>
          <cell r="BB146">
            <v>98</v>
          </cell>
          <cell r="BC146">
            <v>9</v>
          </cell>
          <cell r="BD146">
            <v>0</v>
          </cell>
          <cell r="BE146">
            <v>1067</v>
          </cell>
          <cell r="BF146">
            <v>356</v>
          </cell>
          <cell r="BG146">
            <v>252</v>
          </cell>
          <cell r="BH146">
            <v>174</v>
          </cell>
          <cell r="BI146" t="str">
            <v>NSET(Rural Housing and Community Infrastructure)</v>
          </cell>
          <cell r="BJ146" t="str">
            <v>ADRA(Rural Housing and Community Infrastructure),GIZ(Rural Housing and Community Infrastructure),GON(Rural Housing and Community Infrastructure),GON - DUDBC(Rural Housing and Community Infrastructure),RoomTR(Education)</v>
          </cell>
          <cell r="BK146">
            <v>117797</v>
          </cell>
          <cell r="BL146" t="str">
            <v>Y</v>
          </cell>
          <cell r="BM146" t="str">
            <v/>
          </cell>
          <cell r="BN146">
            <v>111454</v>
          </cell>
          <cell r="BO146" t="str">
            <v>Y</v>
          </cell>
          <cell r="BP146" t="str">
            <v/>
          </cell>
          <cell r="BQ146">
            <v>12495</v>
          </cell>
          <cell r="BR146" t="str">
            <v>Y</v>
          </cell>
          <cell r="BS146" t="str">
            <v/>
          </cell>
          <cell r="BT146">
            <v>14115</v>
          </cell>
          <cell r="BU146" t="str">
            <v>Y</v>
          </cell>
          <cell r="BV146" t="str">
            <v/>
          </cell>
          <cell r="BW146" t="str">
            <v/>
          </cell>
          <cell r="BX146" t="str">
            <v/>
          </cell>
          <cell r="BY146" t="str">
            <v/>
          </cell>
          <cell r="BZ146">
            <v>374273</v>
          </cell>
          <cell r="CA146" t="str">
            <v/>
          </cell>
          <cell r="CB146" t="str">
            <v/>
          </cell>
          <cell r="CC146">
            <v>1295684</v>
          </cell>
          <cell r="CD146" t="str">
            <v>Y</v>
          </cell>
          <cell r="CE146" t="str">
            <v/>
          </cell>
          <cell r="CF146">
            <v>15303</v>
          </cell>
          <cell r="CG146" t="str">
            <v>Y</v>
          </cell>
          <cell r="CH146" t="str">
            <v/>
          </cell>
          <cell r="CI146">
            <v>2380750</v>
          </cell>
          <cell r="CJ146" t="str">
            <v>Y</v>
          </cell>
          <cell r="CK146" t="str">
            <v/>
          </cell>
          <cell r="CL146" t="str">
            <v>Skilled</v>
          </cell>
          <cell r="CM146" t="str">
            <v/>
          </cell>
          <cell r="CN146" t="str">
            <v>Labor</v>
          </cell>
          <cell r="CO146" t="str">
            <v/>
          </cell>
          <cell r="CP146" t="str">
            <v/>
          </cell>
          <cell r="CQ146" t="str">
            <v/>
          </cell>
          <cell r="CR146" t="str">
            <v/>
          </cell>
          <cell r="CS146" t="str">
            <v/>
          </cell>
          <cell r="CT146" t="str">
            <v/>
          </cell>
          <cell r="CU146" t="str">
            <v/>
          </cell>
          <cell r="CV146" t="str">
            <v>Municipal Office</v>
          </cell>
          <cell r="CW146" t="str">
            <v>Balkrishna Acharya</v>
          </cell>
          <cell r="CX146" t="str">
            <v>Mayor</v>
          </cell>
          <cell r="CY146">
            <v>9851044657</v>
          </cell>
          <cell r="CZ146" t="str">
            <v>Municipal Office</v>
          </cell>
          <cell r="DA146" t="str">
            <v>Niru Kharel</v>
          </cell>
          <cell r="DB146" t="str">
            <v>Deputy Mayor</v>
          </cell>
          <cell r="DC146">
            <v>9841816258</v>
          </cell>
          <cell r="DD146" t="str">
            <v>Municipal Office</v>
          </cell>
          <cell r="DE146" t="str">
            <v/>
          </cell>
          <cell r="DF146" t="str">
            <v>Adminstration Officer</v>
          </cell>
          <cell r="DG146" t="str">
            <v/>
          </cell>
          <cell r="DH146" t="str">
            <v>NRA/GMALI</v>
          </cell>
          <cell r="DI146" t="str">
            <v>Rajendra K. C.</v>
          </cell>
          <cell r="DJ146" t="str">
            <v>NRA Chief-District</v>
          </cell>
          <cell r="DK146">
            <v>9851213604</v>
          </cell>
          <cell r="DL146" t="str">
            <v>DLPIU-Building</v>
          </cell>
          <cell r="DM146" t="str">
            <v>Koshnath Adhikari</v>
          </cell>
          <cell r="DN146" t="str">
            <v>DUDBC.DLPIU Chief</v>
          </cell>
          <cell r="DO146" t="str">
            <v/>
          </cell>
          <cell r="DP146" t="str">
            <v>Municipal Office</v>
          </cell>
          <cell r="DQ146" t="str">
            <v/>
          </cell>
          <cell r="DR146" t="str">
            <v>Focal Person</v>
          </cell>
          <cell r="DS146" t="str">
            <v/>
          </cell>
          <cell r="DT146" t="str">
            <v/>
          </cell>
          <cell r="DU146" t="str">
            <v/>
          </cell>
          <cell r="DV146" t="str">
            <v/>
          </cell>
          <cell r="DW146" t="str">
            <v/>
          </cell>
          <cell r="DX146" t="str">
            <v/>
          </cell>
          <cell r="DY146" t="str">
            <v/>
          </cell>
          <cell r="DZ146" t="str">
            <v/>
          </cell>
          <cell r="EA146" t="str">
            <v/>
          </cell>
          <cell r="EB146" t="str">
            <v/>
          </cell>
          <cell r="EC146" t="str">
            <v/>
          </cell>
          <cell r="ED146" t="str">
            <v/>
          </cell>
          <cell r="EE146" t="str">
            <v/>
          </cell>
          <cell r="EF146" t="str">
            <v/>
          </cell>
          <cell r="EG146" t="str">
            <v/>
          </cell>
          <cell r="EH146" t="str">
            <v/>
          </cell>
          <cell r="EI146" t="str">
            <v/>
          </cell>
          <cell r="EJ146">
            <v>531</v>
          </cell>
          <cell r="EK146">
            <v>164</v>
          </cell>
          <cell r="EL146">
            <v>367</v>
          </cell>
          <cell r="EM146">
            <v>675</v>
          </cell>
          <cell r="EN146">
            <v>44</v>
          </cell>
          <cell r="EO146">
            <v>631</v>
          </cell>
          <cell r="EP146" t="str">
            <v/>
          </cell>
          <cell r="EQ146" t="str">
            <v>Housing Recovery and Reconstruction Platform</v>
          </cell>
          <cell r="ER146" t="str">
            <v>Prabin Gautam</v>
          </cell>
          <cell r="ES146" t="str">
            <v>District Coordinator</v>
          </cell>
          <cell r="ET146">
            <v>9860687776</v>
          </cell>
          <cell r="EU146" t="str">
            <v>Housing Recovery and Reconstruction Platform</v>
          </cell>
          <cell r="EV146" t="str">
            <v/>
          </cell>
          <cell r="EW146" t="str">
            <v>DIstrict Information Management Officer</v>
          </cell>
          <cell r="EX146" t="str">
            <v/>
          </cell>
          <cell r="EY146" t="str">
            <v>Housing Recovery and Reconstruction Platform</v>
          </cell>
          <cell r="EZ146" t="str">
            <v>Sachin Sapkota</v>
          </cell>
          <cell r="FA146" t="str">
            <v>District Technical Officer</v>
          </cell>
          <cell r="FB146">
            <v>9847621292</v>
          </cell>
        </row>
        <row r="147">
          <cell r="A147">
            <v>30003</v>
          </cell>
          <cell r="B147" t="str">
            <v>Dhading</v>
          </cell>
          <cell r="C147" t="str">
            <v>Gajuri Gaunpalika</v>
          </cell>
          <cell r="D147">
            <v>1301</v>
          </cell>
          <cell r="E147">
            <v>5179</v>
          </cell>
          <cell r="F147">
            <v>6480</v>
          </cell>
          <cell r="G147" t="str">
            <v>Stone and cement mortar masonry</v>
          </cell>
          <cell r="H147">
            <v>1</v>
          </cell>
          <cell r="I147">
            <v>1.1000000000000001</v>
          </cell>
          <cell r="J147" t="str">
            <v>Stone and Mud Mortar Masonary</v>
          </cell>
          <cell r="K147">
            <v>78.62</v>
          </cell>
          <cell r="L147">
            <v>85.43</v>
          </cell>
          <cell r="M147" t="str">
            <v>Brick and Cement Mortar Masonary</v>
          </cell>
          <cell r="N147">
            <v>10.17</v>
          </cell>
          <cell r="O147">
            <v>3.73</v>
          </cell>
          <cell r="P147" t="str">
            <v>Brick and mud mortar Masonry</v>
          </cell>
          <cell r="Q147">
            <v>0.96</v>
          </cell>
          <cell r="R147">
            <v>0.48</v>
          </cell>
          <cell r="S147" t="str">
            <v>Reinforced cement concrete (RCC) frame</v>
          </cell>
          <cell r="T147">
            <v>1.73</v>
          </cell>
          <cell r="U147">
            <v>3.25</v>
          </cell>
          <cell r="V147" t="str">
            <v>Hybrid structure</v>
          </cell>
          <cell r="W147">
            <v>0</v>
          </cell>
          <cell r="X147">
            <v>0</v>
          </cell>
          <cell r="Y147" t="str">
            <v>Timber frame structure</v>
          </cell>
          <cell r="Z147">
            <v>1.27</v>
          </cell>
          <cell r="AA147">
            <v>0.64</v>
          </cell>
          <cell r="AB147" t="str">
            <v>Hollow concrete block Masonry</v>
          </cell>
          <cell r="AC147">
            <v>0</v>
          </cell>
          <cell r="AD147">
            <v>0</v>
          </cell>
          <cell r="AE147" t="str">
            <v>Dry stone Masonry</v>
          </cell>
          <cell r="AF147">
            <v>0.09</v>
          </cell>
          <cell r="AG147">
            <v>1.79</v>
          </cell>
          <cell r="AH147" t="str">
            <v>Adobe structures</v>
          </cell>
          <cell r="AI147">
            <v>5.94</v>
          </cell>
          <cell r="AJ147">
            <v>3.32</v>
          </cell>
          <cell r="AK147" t="str">
            <v>Bamboo</v>
          </cell>
          <cell r="AL147">
            <v>0.22</v>
          </cell>
          <cell r="AM147">
            <v>0.25</v>
          </cell>
          <cell r="AN147" t="str">
            <v>Compressed stabilized earth block (SCEB) Masonry</v>
          </cell>
          <cell r="AO147">
            <v>0</v>
          </cell>
          <cell r="AP147">
            <v>0</v>
          </cell>
          <cell r="AQ147" t="str">
            <v>Light steel frame structures</v>
          </cell>
          <cell r="AR147">
            <v>0</v>
          </cell>
          <cell r="AS147">
            <v>0</v>
          </cell>
          <cell r="AT147">
            <v>5105</v>
          </cell>
          <cell r="AU147">
            <v>4655</v>
          </cell>
          <cell r="AV147">
            <v>4655</v>
          </cell>
          <cell r="AW147">
            <v>4100</v>
          </cell>
          <cell r="AX147">
            <v>2602</v>
          </cell>
          <cell r="AY147">
            <v>0</v>
          </cell>
          <cell r="AZ147">
            <v>2731</v>
          </cell>
          <cell r="BA147">
            <v>432</v>
          </cell>
          <cell r="BB147">
            <v>432</v>
          </cell>
          <cell r="BC147">
            <v>45</v>
          </cell>
          <cell r="BD147">
            <v>0</v>
          </cell>
          <cell r="BE147">
            <v>1427</v>
          </cell>
          <cell r="BF147">
            <v>285</v>
          </cell>
          <cell r="BG147">
            <v>268</v>
          </cell>
          <cell r="BH147">
            <v>207</v>
          </cell>
          <cell r="BI147" t="str">
            <v>NSET(Rural Housing and Community Infrastructure)</v>
          </cell>
          <cell r="BJ147" t="str">
            <v>AATWIN(Social Protection),DCA(Rural Housing and Community Infrastructure,Water, Sanitation and Hygiene),GON - DUDBC(Rural Housing and Community Infrastructure),GON-PAF(Rural Housing and Community Infrastructure),MCC(Water, Sanitation and Hygiene),OXFAM-GB(Rural Housing and Community Infrastructure),SCI(Disaster Risk Management,Education,Rural Housing and Community Infrastructure,Social Protection),UMN(Education,Rural Housing and Community Infrastructure,Water, Sanitation and Hygiene)</v>
          </cell>
          <cell r="BK147">
            <v>146585</v>
          </cell>
          <cell r="BL147" t="str">
            <v>Y</v>
          </cell>
          <cell r="BM147" t="str">
            <v/>
          </cell>
          <cell r="BN147">
            <v>108911</v>
          </cell>
          <cell r="BO147" t="str">
            <v>Y</v>
          </cell>
          <cell r="BP147" t="str">
            <v/>
          </cell>
          <cell r="BQ147">
            <v>15259</v>
          </cell>
          <cell r="BR147" t="str">
            <v>Y</v>
          </cell>
          <cell r="BS147" t="str">
            <v/>
          </cell>
          <cell r="BT147">
            <v>16172</v>
          </cell>
          <cell r="BU147" t="str">
            <v>Y</v>
          </cell>
          <cell r="BV147" t="str">
            <v/>
          </cell>
          <cell r="BW147" t="str">
            <v/>
          </cell>
          <cell r="BX147" t="str">
            <v/>
          </cell>
          <cell r="BY147" t="str">
            <v/>
          </cell>
          <cell r="BZ147">
            <v>363610</v>
          </cell>
          <cell r="CA147" t="str">
            <v/>
          </cell>
          <cell r="CB147" t="str">
            <v/>
          </cell>
          <cell r="CC147">
            <v>1646009</v>
          </cell>
          <cell r="CD147" t="str">
            <v>Y</v>
          </cell>
          <cell r="CE147" t="str">
            <v/>
          </cell>
          <cell r="CF147">
            <v>14774</v>
          </cell>
          <cell r="CG147" t="str">
            <v>Y</v>
          </cell>
          <cell r="CH147" t="str">
            <v/>
          </cell>
          <cell r="CI147">
            <v>3874991</v>
          </cell>
          <cell r="CJ147" t="str">
            <v>Y</v>
          </cell>
          <cell r="CK147" t="str">
            <v/>
          </cell>
          <cell r="CL147" t="str">
            <v>Skilled</v>
          </cell>
          <cell r="CM147" t="str">
            <v/>
          </cell>
          <cell r="CN147" t="str">
            <v>Labor</v>
          </cell>
          <cell r="CO147" t="str">
            <v/>
          </cell>
          <cell r="CP147" t="str">
            <v/>
          </cell>
          <cell r="CQ147" t="str">
            <v/>
          </cell>
          <cell r="CR147" t="str">
            <v/>
          </cell>
          <cell r="CS147" t="str">
            <v/>
          </cell>
          <cell r="CT147" t="str">
            <v/>
          </cell>
          <cell r="CU147" t="str">
            <v/>
          </cell>
          <cell r="CV147" t="str">
            <v>Municipal Office</v>
          </cell>
          <cell r="CW147" t="str">
            <v>Rajendra Bikram Basnet</v>
          </cell>
          <cell r="CX147" t="str">
            <v>Mayor</v>
          </cell>
          <cell r="CY147">
            <v>9841476861</v>
          </cell>
          <cell r="CZ147" t="str">
            <v>Municipal Office</v>
          </cell>
          <cell r="DA147" t="str">
            <v>Sita Dhungana</v>
          </cell>
          <cell r="DB147" t="str">
            <v>Deputy Mayor</v>
          </cell>
          <cell r="DC147">
            <v>9841037229</v>
          </cell>
          <cell r="DD147" t="str">
            <v>Municipal Office</v>
          </cell>
          <cell r="DE147" t="str">
            <v/>
          </cell>
          <cell r="DF147" t="str">
            <v>Adminstration Officer</v>
          </cell>
          <cell r="DG147" t="str">
            <v/>
          </cell>
          <cell r="DH147" t="str">
            <v>NRA/GMALI</v>
          </cell>
          <cell r="DI147" t="str">
            <v>Rajendra K. C.</v>
          </cell>
          <cell r="DJ147" t="str">
            <v>NRA Chief-District</v>
          </cell>
          <cell r="DK147">
            <v>9851213604</v>
          </cell>
          <cell r="DL147" t="str">
            <v>DLPIU-Building</v>
          </cell>
          <cell r="DM147" t="str">
            <v>Koshnath Adhikari</v>
          </cell>
          <cell r="DN147" t="str">
            <v>DUDBC.DLPIU Chief</v>
          </cell>
          <cell r="DO147" t="str">
            <v/>
          </cell>
          <cell r="DP147" t="str">
            <v>Municipal Office</v>
          </cell>
          <cell r="DQ147" t="str">
            <v/>
          </cell>
          <cell r="DR147" t="str">
            <v>Focal Person</v>
          </cell>
          <cell r="DS147" t="str">
            <v/>
          </cell>
          <cell r="DT147" t="str">
            <v/>
          </cell>
          <cell r="DU147" t="str">
            <v/>
          </cell>
          <cell r="DV147" t="str">
            <v/>
          </cell>
          <cell r="DW147" t="str">
            <v/>
          </cell>
          <cell r="DX147" t="str">
            <v/>
          </cell>
          <cell r="DY147" t="str">
            <v/>
          </cell>
          <cell r="DZ147" t="str">
            <v/>
          </cell>
          <cell r="EA147" t="str">
            <v/>
          </cell>
          <cell r="EB147" t="str">
            <v/>
          </cell>
          <cell r="EC147" t="str">
            <v/>
          </cell>
          <cell r="ED147" t="str">
            <v/>
          </cell>
          <cell r="EE147" t="str">
            <v/>
          </cell>
          <cell r="EF147" t="str">
            <v/>
          </cell>
          <cell r="EG147" t="str">
            <v/>
          </cell>
          <cell r="EH147" t="str">
            <v/>
          </cell>
          <cell r="EI147" t="str">
            <v/>
          </cell>
          <cell r="EJ147">
            <v>369</v>
          </cell>
          <cell r="EK147">
            <v>334</v>
          </cell>
          <cell r="EL147">
            <v>35</v>
          </cell>
          <cell r="EM147">
            <v>477</v>
          </cell>
          <cell r="EN147">
            <v>0</v>
          </cell>
          <cell r="EO147">
            <v>477</v>
          </cell>
          <cell r="EP147" t="str">
            <v/>
          </cell>
          <cell r="EQ147" t="str">
            <v>Housing Recovery and Reconstruction Platform</v>
          </cell>
          <cell r="ER147" t="str">
            <v>Prabin Gautam</v>
          </cell>
          <cell r="ES147" t="str">
            <v>District Coordinator</v>
          </cell>
          <cell r="ET147">
            <v>9860687776</v>
          </cell>
          <cell r="EU147" t="str">
            <v>Housing Recovery and Reconstruction Platform</v>
          </cell>
          <cell r="EV147" t="str">
            <v/>
          </cell>
          <cell r="EW147" t="str">
            <v>DIstrict Information Management Officer</v>
          </cell>
          <cell r="EX147" t="str">
            <v/>
          </cell>
          <cell r="EY147" t="str">
            <v>Housing Recovery and Reconstruction Platform</v>
          </cell>
          <cell r="EZ147" t="str">
            <v>Sachin Sapkota</v>
          </cell>
          <cell r="FA147" t="str">
            <v>District Technical Officer</v>
          </cell>
          <cell r="FB147">
            <v>9847621292</v>
          </cell>
        </row>
        <row r="148">
          <cell r="A148">
            <v>30004</v>
          </cell>
          <cell r="B148" t="str">
            <v>Dhading</v>
          </cell>
          <cell r="C148" t="str">
            <v>Galchi Gaunpalika</v>
          </cell>
          <cell r="D148">
            <v>953</v>
          </cell>
          <cell r="E148">
            <v>5708</v>
          </cell>
          <cell r="F148">
            <v>6661</v>
          </cell>
          <cell r="G148" t="str">
            <v>Stone and cement mortar masonry</v>
          </cell>
          <cell r="H148">
            <v>0.72</v>
          </cell>
          <cell r="I148">
            <v>1.1000000000000001</v>
          </cell>
          <cell r="J148" t="str">
            <v>Stone and Mud Mortar Masonary</v>
          </cell>
          <cell r="K148">
            <v>82.89</v>
          </cell>
          <cell r="L148">
            <v>85.43</v>
          </cell>
          <cell r="M148" t="str">
            <v>Brick and Cement Mortar Masonary</v>
          </cell>
          <cell r="N148">
            <v>6.82</v>
          </cell>
          <cell r="O148">
            <v>3.73</v>
          </cell>
          <cell r="P148" t="str">
            <v>Brick and mud mortar Masonry</v>
          </cell>
          <cell r="Q148">
            <v>0.09</v>
          </cell>
          <cell r="R148">
            <v>0.48</v>
          </cell>
          <cell r="S148" t="str">
            <v>Reinforced cement concrete (RCC) frame</v>
          </cell>
          <cell r="T148">
            <v>0.6</v>
          </cell>
          <cell r="U148">
            <v>3.25</v>
          </cell>
          <cell r="V148" t="str">
            <v>Hybrid structure</v>
          </cell>
          <cell r="W148">
            <v>0</v>
          </cell>
          <cell r="X148">
            <v>0</v>
          </cell>
          <cell r="Y148" t="str">
            <v>Timber frame structure</v>
          </cell>
          <cell r="Z148">
            <v>0.24</v>
          </cell>
          <cell r="AA148">
            <v>0.64</v>
          </cell>
          <cell r="AB148" t="str">
            <v>Hollow concrete block Masonry</v>
          </cell>
          <cell r="AC148">
            <v>0</v>
          </cell>
          <cell r="AD148">
            <v>0</v>
          </cell>
          <cell r="AE148" t="str">
            <v>Dry stone Masonry</v>
          </cell>
          <cell r="AF148">
            <v>0.17</v>
          </cell>
          <cell r="AG148">
            <v>1.79</v>
          </cell>
          <cell r="AH148" t="str">
            <v>Adobe structures</v>
          </cell>
          <cell r="AI148">
            <v>8.43</v>
          </cell>
          <cell r="AJ148">
            <v>3.32</v>
          </cell>
          <cell r="AK148" t="str">
            <v>Bamboo</v>
          </cell>
          <cell r="AL148">
            <v>0.03</v>
          </cell>
          <cell r="AM148">
            <v>0.25</v>
          </cell>
          <cell r="AN148" t="str">
            <v>Compressed stabilized earth block (SCEB) Masonry</v>
          </cell>
          <cell r="AO148">
            <v>0</v>
          </cell>
          <cell r="AP148">
            <v>0</v>
          </cell>
          <cell r="AQ148" t="str">
            <v>Light steel frame structures</v>
          </cell>
          <cell r="AR148">
            <v>0</v>
          </cell>
          <cell r="AS148">
            <v>0</v>
          </cell>
          <cell r="AT148">
            <v>5997</v>
          </cell>
          <cell r="AU148">
            <v>5657</v>
          </cell>
          <cell r="AV148">
            <v>5657</v>
          </cell>
          <cell r="AW148">
            <v>4978</v>
          </cell>
          <cell r="AX148">
            <v>2300</v>
          </cell>
          <cell r="AY148">
            <v>0</v>
          </cell>
          <cell r="AZ148">
            <v>2545</v>
          </cell>
          <cell r="BA148">
            <v>314</v>
          </cell>
          <cell r="BB148">
            <v>314</v>
          </cell>
          <cell r="BC148">
            <v>36</v>
          </cell>
          <cell r="BD148">
            <v>0</v>
          </cell>
          <cell r="BE148">
            <v>1273</v>
          </cell>
          <cell r="BF148">
            <v>728</v>
          </cell>
          <cell r="BG148">
            <v>130</v>
          </cell>
          <cell r="BH148">
            <v>91</v>
          </cell>
          <cell r="BI148" t="str">
            <v>NSET(Rural Housing and Community Infrastructure)</v>
          </cell>
          <cell r="BJ148" t="str">
            <v>ADRA(Rural Housing and Community Infrastructure),DCA(Disaster Risk Management,Water, Sanitation and Hygiene),GON(Rural Housing and Community Infrastructure),GON - DUDBC(Rural Housing and Community Infrastructure),GON-PAF(Rural Housing and Community Infrastructure),HELVETAS(Rural Housing and Community Infrastructure),NRCS(Agriculture, Livestock Development and Irrigation,Education,Employment and Livelihood,Health,Rural Housing and Community Infrastructure,Water, Sanitation and Hygiene),Nyayik(Agriculture, Livestock Development and Irrigation,Education,Gender Equality and Social Inclusion),RainbowCN(Health),SCI(Disaster Risk Management,Education,Rural Housing and Community Infrastructure,Social Protection,Water, Sanitation and Hygiene)</v>
          </cell>
          <cell r="BK148">
            <v>156389</v>
          </cell>
          <cell r="BL148" t="str">
            <v>Y</v>
          </cell>
          <cell r="BM148" t="str">
            <v/>
          </cell>
          <cell r="BN148">
            <v>139324</v>
          </cell>
          <cell r="BO148" t="str">
            <v>Y</v>
          </cell>
          <cell r="BP148" t="str">
            <v/>
          </cell>
          <cell r="BQ148">
            <v>16507</v>
          </cell>
          <cell r="BR148" t="str">
            <v>Y</v>
          </cell>
          <cell r="BS148" t="str">
            <v/>
          </cell>
          <cell r="BT148">
            <v>18343</v>
          </cell>
          <cell r="BU148" t="str">
            <v>Y</v>
          </cell>
          <cell r="BV148" t="str">
            <v/>
          </cell>
          <cell r="BW148" t="str">
            <v/>
          </cell>
          <cell r="BX148" t="str">
            <v/>
          </cell>
          <cell r="BY148" t="str">
            <v/>
          </cell>
          <cell r="BZ148">
            <v>468549</v>
          </cell>
          <cell r="CA148" t="str">
            <v/>
          </cell>
          <cell r="CB148" t="str">
            <v/>
          </cell>
          <cell r="CC148">
            <v>1731683</v>
          </cell>
          <cell r="CD148" t="str">
            <v>Y</v>
          </cell>
          <cell r="CE148" t="str">
            <v/>
          </cell>
          <cell r="CF148">
            <v>19138</v>
          </cell>
          <cell r="CG148" t="str">
            <v>Y</v>
          </cell>
          <cell r="CH148" t="str">
            <v/>
          </cell>
          <cell r="CI148">
            <v>3624441</v>
          </cell>
          <cell r="CJ148" t="str">
            <v>Y</v>
          </cell>
          <cell r="CK148" t="str">
            <v/>
          </cell>
          <cell r="CL148" t="str">
            <v>Skilled</v>
          </cell>
          <cell r="CM148" t="str">
            <v/>
          </cell>
          <cell r="CN148" t="str">
            <v>Labor</v>
          </cell>
          <cell r="CO148" t="str">
            <v/>
          </cell>
          <cell r="CP148" t="str">
            <v/>
          </cell>
          <cell r="CQ148" t="str">
            <v/>
          </cell>
          <cell r="CR148" t="str">
            <v/>
          </cell>
          <cell r="CS148" t="str">
            <v/>
          </cell>
          <cell r="CT148" t="str">
            <v/>
          </cell>
          <cell r="CU148" t="str">
            <v/>
          </cell>
          <cell r="CV148" t="str">
            <v>Municipal Office</v>
          </cell>
          <cell r="CW148" t="str">
            <v>Krishnahari Shrestha</v>
          </cell>
          <cell r="CX148" t="str">
            <v>Mayor</v>
          </cell>
          <cell r="CY148">
            <v>9851087251</v>
          </cell>
          <cell r="CZ148" t="str">
            <v>Municipal Office</v>
          </cell>
          <cell r="DA148" t="str">
            <v>Radha Timalsina</v>
          </cell>
          <cell r="DB148" t="str">
            <v>Deputy Mayor</v>
          </cell>
          <cell r="DC148">
            <v>9841686488</v>
          </cell>
          <cell r="DD148" t="str">
            <v>Municipal Office</v>
          </cell>
          <cell r="DE148" t="str">
            <v/>
          </cell>
          <cell r="DF148" t="str">
            <v>Adminstration Officer</v>
          </cell>
          <cell r="DG148" t="str">
            <v/>
          </cell>
          <cell r="DH148" t="str">
            <v>NRA/GMALI</v>
          </cell>
          <cell r="DI148" t="str">
            <v>Rajendra K. C.</v>
          </cell>
          <cell r="DJ148" t="str">
            <v>NRA Chief-District</v>
          </cell>
          <cell r="DK148">
            <v>9851213604</v>
          </cell>
          <cell r="DL148" t="str">
            <v>DLPIU-Building</v>
          </cell>
          <cell r="DM148" t="str">
            <v>Koshnath Adhikari</v>
          </cell>
          <cell r="DN148" t="str">
            <v>DUDBC.DLPIU Chief</v>
          </cell>
          <cell r="DO148" t="str">
            <v/>
          </cell>
          <cell r="DP148" t="str">
            <v>Municipal Office</v>
          </cell>
          <cell r="DQ148" t="str">
            <v/>
          </cell>
          <cell r="DR148" t="str">
            <v>Focal Person</v>
          </cell>
          <cell r="DS148" t="str">
            <v/>
          </cell>
          <cell r="DT148" t="str">
            <v/>
          </cell>
          <cell r="DU148" t="str">
            <v/>
          </cell>
          <cell r="DV148" t="str">
            <v/>
          </cell>
          <cell r="DW148" t="str">
            <v/>
          </cell>
          <cell r="DX148" t="str">
            <v/>
          </cell>
          <cell r="DY148" t="str">
            <v/>
          </cell>
          <cell r="DZ148" t="str">
            <v/>
          </cell>
          <cell r="EA148" t="str">
            <v/>
          </cell>
          <cell r="EB148" t="str">
            <v/>
          </cell>
          <cell r="EC148" t="str">
            <v/>
          </cell>
          <cell r="ED148" t="str">
            <v/>
          </cell>
          <cell r="EE148" t="str">
            <v/>
          </cell>
          <cell r="EF148" t="str">
            <v/>
          </cell>
          <cell r="EG148" t="str">
            <v/>
          </cell>
          <cell r="EH148" t="str">
            <v/>
          </cell>
          <cell r="EI148" t="str">
            <v/>
          </cell>
          <cell r="EJ148">
            <v>392</v>
          </cell>
          <cell r="EK148">
            <v>323</v>
          </cell>
          <cell r="EL148">
            <v>69</v>
          </cell>
          <cell r="EM148">
            <v>506</v>
          </cell>
          <cell r="EN148">
            <v>131</v>
          </cell>
          <cell r="EO148">
            <v>375</v>
          </cell>
          <cell r="EP148" t="str">
            <v/>
          </cell>
          <cell r="EQ148" t="str">
            <v>Housing Recovery and Reconstruction Platform</v>
          </cell>
          <cell r="ER148" t="str">
            <v>Prabin Gautam</v>
          </cell>
          <cell r="ES148" t="str">
            <v>District Coordinator</v>
          </cell>
          <cell r="ET148">
            <v>9860687776</v>
          </cell>
          <cell r="EU148" t="str">
            <v>Housing Recovery and Reconstruction Platform</v>
          </cell>
          <cell r="EV148" t="str">
            <v/>
          </cell>
          <cell r="EW148" t="str">
            <v>DIstrict Information Management Officer</v>
          </cell>
          <cell r="EX148" t="str">
            <v/>
          </cell>
          <cell r="EY148" t="str">
            <v>Housing Recovery and Reconstruction Platform</v>
          </cell>
          <cell r="EZ148" t="str">
            <v>Sachin Sapkota</v>
          </cell>
          <cell r="FA148" t="str">
            <v>District Technical Officer</v>
          </cell>
          <cell r="FB148">
            <v>9847621292</v>
          </cell>
        </row>
        <row r="149">
          <cell r="A149">
            <v>30005</v>
          </cell>
          <cell r="B149" t="str">
            <v>Dhading</v>
          </cell>
          <cell r="C149" t="str">
            <v>Gangajamuna Gaunpalika</v>
          </cell>
          <cell r="D149">
            <v>59</v>
          </cell>
          <cell r="E149">
            <v>6473</v>
          </cell>
          <cell r="F149">
            <v>6532</v>
          </cell>
          <cell r="G149" t="str">
            <v>Stone and cement mortar masonry</v>
          </cell>
          <cell r="H149">
            <v>0.23</v>
          </cell>
          <cell r="I149">
            <v>1.1000000000000001</v>
          </cell>
          <cell r="J149" t="str">
            <v>Stone and Mud Mortar Masonary</v>
          </cell>
          <cell r="K149">
            <v>94.44</v>
          </cell>
          <cell r="L149">
            <v>85.43</v>
          </cell>
          <cell r="M149" t="str">
            <v>Brick and Cement Mortar Masonary</v>
          </cell>
          <cell r="N149">
            <v>0.11</v>
          </cell>
          <cell r="O149">
            <v>3.73</v>
          </cell>
          <cell r="P149" t="str">
            <v>Brick and mud mortar Masonry</v>
          </cell>
          <cell r="Q149">
            <v>0.06</v>
          </cell>
          <cell r="R149">
            <v>0.48</v>
          </cell>
          <cell r="S149" t="str">
            <v>Reinforced cement concrete (RCC) frame</v>
          </cell>
          <cell r="T149">
            <v>0.26</v>
          </cell>
          <cell r="U149">
            <v>3.25</v>
          </cell>
          <cell r="V149" t="str">
            <v>Hybrid structure</v>
          </cell>
          <cell r="W149">
            <v>0</v>
          </cell>
          <cell r="X149">
            <v>0</v>
          </cell>
          <cell r="Y149" t="str">
            <v>Timber frame structure</v>
          </cell>
          <cell r="Z149">
            <v>0.2</v>
          </cell>
          <cell r="AA149">
            <v>0.64</v>
          </cell>
          <cell r="AB149" t="str">
            <v>Hollow concrete block Masonry</v>
          </cell>
          <cell r="AC149">
            <v>0</v>
          </cell>
          <cell r="AD149">
            <v>0</v>
          </cell>
          <cell r="AE149" t="str">
            <v>Dry stone Masonry</v>
          </cell>
          <cell r="AF149">
            <v>0.25</v>
          </cell>
          <cell r="AG149">
            <v>1.79</v>
          </cell>
          <cell r="AH149" t="str">
            <v>Adobe structures</v>
          </cell>
          <cell r="AI149">
            <v>4.3600000000000003</v>
          </cell>
          <cell r="AJ149">
            <v>3.32</v>
          </cell>
          <cell r="AK149" t="str">
            <v>Bamboo</v>
          </cell>
          <cell r="AL149">
            <v>0.09</v>
          </cell>
          <cell r="AM149">
            <v>0.25</v>
          </cell>
          <cell r="AN149" t="str">
            <v>Compressed stabilized earth block (SCEB) Masonry</v>
          </cell>
          <cell r="AO149">
            <v>0</v>
          </cell>
          <cell r="AP149">
            <v>0</v>
          </cell>
          <cell r="AQ149" t="str">
            <v>Light steel frame structures</v>
          </cell>
          <cell r="AR149">
            <v>0</v>
          </cell>
          <cell r="AS149">
            <v>0</v>
          </cell>
          <cell r="AT149">
            <v>6447</v>
          </cell>
          <cell r="AU149">
            <v>6339</v>
          </cell>
          <cell r="AV149">
            <v>6339</v>
          </cell>
          <cell r="AW149">
            <v>5637</v>
          </cell>
          <cell r="AX149">
            <v>3958</v>
          </cell>
          <cell r="AY149">
            <v>0</v>
          </cell>
          <cell r="AZ149">
            <v>4252</v>
          </cell>
          <cell r="BA149">
            <v>42</v>
          </cell>
          <cell r="BB149">
            <v>42</v>
          </cell>
          <cell r="BC149">
            <v>2</v>
          </cell>
          <cell r="BD149">
            <v>0</v>
          </cell>
          <cell r="BE149">
            <v>720</v>
          </cell>
          <cell r="BF149">
            <v>285</v>
          </cell>
          <cell r="BG149">
            <v>31</v>
          </cell>
          <cell r="BH149">
            <v>27</v>
          </cell>
          <cell r="BI149" t="str">
            <v>CARE-N(Agriculture, Livestock Development and Irrigation,Disaster Risk Management,Gender Equality and Social Inclusion,Rural Housing and Community Infrastructure,Water, Sanitation and Hygiene),NSET(Rural Housing and Community Infrastructure)</v>
          </cell>
          <cell r="BJ149" t="str">
            <v>AATWIN(Social Protection),AMDA-M(Rural Housing and Community Infrastructure),CSRC(Rural Housing and Community Infrastructure),EPF-N(Education),GON(Rural Housing and Community Infrastructure),GON-PAF(Rural Housing and Community Infrastructure),MCC(Health,Water, Sanitation and Hygiene),SCI(Education,Rural Housing and Community Infrastructure,Social Protection),UMN(Education,Rural Housing and Community Infrastructure,Water, Sanitation and Hygiene),WFP(Employment and Livelihood),WHH(Education)</v>
          </cell>
          <cell r="BK149">
            <v>103358</v>
          </cell>
          <cell r="BL149" t="str">
            <v>Y</v>
          </cell>
          <cell r="BM149" t="str">
            <v/>
          </cell>
          <cell r="BN149">
            <v>106265</v>
          </cell>
          <cell r="BO149" t="str">
            <v>Y</v>
          </cell>
          <cell r="BP149" t="str">
            <v/>
          </cell>
          <cell r="BQ149">
            <v>11040</v>
          </cell>
          <cell r="BR149" t="str">
            <v>N</v>
          </cell>
          <cell r="BS149" t="str">
            <v/>
          </cell>
          <cell r="BT149">
            <v>12755</v>
          </cell>
          <cell r="BU149" t="str">
            <v>Y</v>
          </cell>
          <cell r="BV149" t="str">
            <v/>
          </cell>
          <cell r="BW149" t="str">
            <v/>
          </cell>
          <cell r="BX149" t="str">
            <v/>
          </cell>
          <cell r="BY149" t="str">
            <v/>
          </cell>
          <cell r="BZ149">
            <v>353389</v>
          </cell>
          <cell r="CA149" t="str">
            <v/>
          </cell>
          <cell r="CB149" t="str">
            <v/>
          </cell>
          <cell r="CC149">
            <v>1121834</v>
          </cell>
          <cell r="CD149" t="str">
            <v>N</v>
          </cell>
          <cell r="CE149" t="str">
            <v/>
          </cell>
          <cell r="CF149">
            <v>14451</v>
          </cell>
          <cell r="CG149" t="str">
            <v>N</v>
          </cell>
          <cell r="CH149" t="str">
            <v/>
          </cell>
          <cell r="CI149">
            <v>1207085</v>
          </cell>
          <cell r="CJ149" t="str">
            <v>N</v>
          </cell>
          <cell r="CK149" t="str">
            <v/>
          </cell>
          <cell r="CL149" t="str">
            <v>Skilled</v>
          </cell>
          <cell r="CM149" t="str">
            <v/>
          </cell>
          <cell r="CN149" t="str">
            <v>Labor</v>
          </cell>
          <cell r="CO149" t="str">
            <v/>
          </cell>
          <cell r="CP149" t="str">
            <v/>
          </cell>
          <cell r="CQ149" t="str">
            <v/>
          </cell>
          <cell r="CR149" t="str">
            <v/>
          </cell>
          <cell r="CS149" t="str">
            <v/>
          </cell>
          <cell r="CT149" t="str">
            <v/>
          </cell>
          <cell r="CU149" t="str">
            <v/>
          </cell>
          <cell r="CV149" t="str">
            <v>Municipal Office</v>
          </cell>
          <cell r="CW149" t="str">
            <v>Bal Bahadur Adhikari</v>
          </cell>
          <cell r="CX149" t="str">
            <v>Mayor</v>
          </cell>
          <cell r="CY149">
            <v>9841433118</v>
          </cell>
          <cell r="CZ149" t="str">
            <v>Municipal Office</v>
          </cell>
          <cell r="DA149" t="str">
            <v>Angila Tamang</v>
          </cell>
          <cell r="DB149" t="str">
            <v>Deputy Mayor</v>
          </cell>
          <cell r="DC149">
            <v>9841720831</v>
          </cell>
          <cell r="DD149" t="str">
            <v>Municipal Office</v>
          </cell>
          <cell r="DE149" t="str">
            <v/>
          </cell>
          <cell r="DF149" t="str">
            <v>Adminstration Officer</v>
          </cell>
          <cell r="DG149" t="str">
            <v/>
          </cell>
          <cell r="DH149" t="str">
            <v>NRA/GMALI</v>
          </cell>
          <cell r="DI149" t="str">
            <v>Rajendra K. C.</v>
          </cell>
          <cell r="DJ149" t="str">
            <v>NRA Chief-District</v>
          </cell>
          <cell r="DK149">
            <v>9851213604</v>
          </cell>
          <cell r="DL149" t="str">
            <v>DLPIU-Building</v>
          </cell>
          <cell r="DM149" t="str">
            <v>Koshnath Adhikari</v>
          </cell>
          <cell r="DN149" t="str">
            <v>DUDBC.DLPIU Chief</v>
          </cell>
          <cell r="DO149" t="str">
            <v/>
          </cell>
          <cell r="DP149" t="str">
            <v>Municipal Office</v>
          </cell>
          <cell r="DQ149" t="str">
            <v/>
          </cell>
          <cell r="DR149" t="str">
            <v>Focal Person</v>
          </cell>
          <cell r="DS149" t="str">
            <v/>
          </cell>
          <cell r="DT149" t="str">
            <v/>
          </cell>
          <cell r="DU149" t="str">
            <v/>
          </cell>
          <cell r="DV149" t="str">
            <v/>
          </cell>
          <cell r="DW149" t="str">
            <v/>
          </cell>
          <cell r="DX149" t="str">
            <v/>
          </cell>
          <cell r="DY149" t="str">
            <v/>
          </cell>
          <cell r="DZ149" t="str">
            <v/>
          </cell>
          <cell r="EA149" t="str">
            <v/>
          </cell>
          <cell r="EB149" t="str">
            <v/>
          </cell>
          <cell r="EC149" t="str">
            <v/>
          </cell>
          <cell r="ED149" t="str">
            <v/>
          </cell>
          <cell r="EE149" t="str">
            <v/>
          </cell>
          <cell r="EF149" t="str">
            <v/>
          </cell>
          <cell r="EG149" t="str">
            <v/>
          </cell>
          <cell r="EH149" t="str">
            <v/>
          </cell>
          <cell r="EI149" t="str">
            <v/>
          </cell>
          <cell r="EJ149">
            <v>477</v>
          </cell>
          <cell r="EK149">
            <v>397</v>
          </cell>
          <cell r="EL149">
            <v>80</v>
          </cell>
          <cell r="EM149">
            <v>612</v>
          </cell>
          <cell r="EN149">
            <v>38</v>
          </cell>
          <cell r="EO149">
            <v>574</v>
          </cell>
          <cell r="EP149" t="str">
            <v/>
          </cell>
          <cell r="EQ149" t="str">
            <v>Housing Recovery and Reconstruction Platform</v>
          </cell>
          <cell r="ER149" t="str">
            <v>Prabin Gautam</v>
          </cell>
          <cell r="ES149" t="str">
            <v>District Coordinator</v>
          </cell>
          <cell r="ET149">
            <v>9860687776</v>
          </cell>
          <cell r="EU149" t="str">
            <v>Housing Recovery and Reconstruction Platform</v>
          </cell>
          <cell r="EV149" t="str">
            <v/>
          </cell>
          <cell r="EW149" t="str">
            <v>DIstrict Information Management Officer</v>
          </cell>
          <cell r="EX149" t="str">
            <v/>
          </cell>
          <cell r="EY149" t="str">
            <v>Housing Recovery and Reconstruction Platform</v>
          </cell>
          <cell r="EZ149" t="str">
            <v>Sachin Sapkota</v>
          </cell>
          <cell r="FA149" t="str">
            <v>District Technical Officer</v>
          </cell>
          <cell r="FB149">
            <v>9847621292</v>
          </cell>
        </row>
        <row r="150">
          <cell r="A150">
            <v>30006</v>
          </cell>
          <cell r="B150" t="str">
            <v>Dhading</v>
          </cell>
          <cell r="C150" t="str">
            <v>Jwalamukhi Gaunpalika</v>
          </cell>
          <cell r="D150">
            <v>1792</v>
          </cell>
          <cell r="E150">
            <v>5463</v>
          </cell>
          <cell r="F150">
            <v>7255</v>
          </cell>
          <cell r="G150" t="str">
            <v>Stone and cement mortar masonry</v>
          </cell>
          <cell r="H150">
            <v>0.14000000000000001</v>
          </cell>
          <cell r="I150">
            <v>1.1000000000000001</v>
          </cell>
          <cell r="J150" t="str">
            <v>Stone and Mud Mortar Masonary</v>
          </cell>
          <cell r="K150">
            <v>85.39</v>
          </cell>
          <cell r="L150">
            <v>85.43</v>
          </cell>
          <cell r="M150" t="str">
            <v>Brick and Cement Mortar Masonary</v>
          </cell>
          <cell r="N150">
            <v>1.06</v>
          </cell>
          <cell r="O150">
            <v>3.73</v>
          </cell>
          <cell r="P150" t="str">
            <v>Brick and mud mortar Masonry</v>
          </cell>
          <cell r="Q150">
            <v>0.15</v>
          </cell>
          <cell r="R150">
            <v>0.48</v>
          </cell>
          <cell r="S150" t="str">
            <v>Reinforced cement concrete (RCC) frame</v>
          </cell>
          <cell r="T150">
            <v>0.21</v>
          </cell>
          <cell r="U150">
            <v>3.25</v>
          </cell>
          <cell r="V150" t="str">
            <v>Hybrid structure</v>
          </cell>
          <cell r="W150">
            <v>0</v>
          </cell>
          <cell r="X150">
            <v>0</v>
          </cell>
          <cell r="Y150" t="str">
            <v>Timber frame structure</v>
          </cell>
          <cell r="Z150">
            <v>0.54</v>
          </cell>
          <cell r="AA150">
            <v>0.64</v>
          </cell>
          <cell r="AB150" t="str">
            <v>Hollow concrete block Masonry</v>
          </cell>
          <cell r="AC150">
            <v>0</v>
          </cell>
          <cell r="AD150">
            <v>0</v>
          </cell>
          <cell r="AE150" t="str">
            <v>Dry stone Masonry</v>
          </cell>
          <cell r="AF150">
            <v>7.0000000000000007E-2</v>
          </cell>
          <cell r="AG150">
            <v>1.79</v>
          </cell>
          <cell r="AH150" t="str">
            <v>Adobe structures</v>
          </cell>
          <cell r="AI150">
            <v>12</v>
          </cell>
          <cell r="AJ150">
            <v>3.32</v>
          </cell>
          <cell r="AK150" t="str">
            <v>Bamboo</v>
          </cell>
          <cell r="AL150">
            <v>0.44</v>
          </cell>
          <cell r="AM150">
            <v>0.25</v>
          </cell>
          <cell r="AN150" t="str">
            <v>Compressed stabilized earth block (SCEB) Masonry</v>
          </cell>
          <cell r="AO150">
            <v>0</v>
          </cell>
          <cell r="AP150">
            <v>0</v>
          </cell>
          <cell r="AQ150" t="str">
            <v>Light steel frame structures</v>
          </cell>
          <cell r="AR150">
            <v>0</v>
          </cell>
          <cell r="AS150">
            <v>0</v>
          </cell>
          <cell r="AT150">
            <v>5390</v>
          </cell>
          <cell r="AU150">
            <v>4910</v>
          </cell>
          <cell r="AV150">
            <v>4910</v>
          </cell>
          <cell r="AW150">
            <v>3760</v>
          </cell>
          <cell r="AX150">
            <v>2664</v>
          </cell>
          <cell r="AY150">
            <v>0</v>
          </cell>
          <cell r="AZ150">
            <v>2848</v>
          </cell>
          <cell r="BA150">
            <v>675</v>
          </cell>
          <cell r="BB150">
            <v>675</v>
          </cell>
          <cell r="BC150">
            <v>35</v>
          </cell>
          <cell r="BD150">
            <v>0</v>
          </cell>
          <cell r="BE150">
            <v>2424</v>
          </cell>
          <cell r="BF150">
            <v>700</v>
          </cell>
          <cell r="BG150">
            <v>87</v>
          </cell>
          <cell r="BH150">
            <v>73</v>
          </cell>
          <cell r="BI150" t="str">
            <v>NSET(Rural Housing and Community Infrastructure)</v>
          </cell>
          <cell r="BJ150" t="str">
            <v>AATWIN(Social Protection),ADRA(Rural Housing and Community Infrastructure),CA(Rural Housing and Community Infrastructure,Water, Sanitation and Hygiene),CW(Education),DCA(Health,Rural Housing and Community Infrastructure,Water, Sanitation and Hygiene),EHN(Education),GON - DUDBC(Rural Housing and Community Infrastructure),GON-PAF(Rural Housing and Community Infrastructure),MCC(Agriculture, Livestock Development and Irrigation,Water, Sanitation and Hygiene)</v>
          </cell>
          <cell r="BK150">
            <v>94013</v>
          </cell>
          <cell r="BL150" t="str">
            <v>Y</v>
          </cell>
          <cell r="BM150" t="str">
            <v/>
          </cell>
          <cell r="BN150">
            <v>98184</v>
          </cell>
          <cell r="BO150" t="str">
            <v>Y</v>
          </cell>
          <cell r="BP150" t="str">
            <v/>
          </cell>
          <cell r="BQ150">
            <v>10053</v>
          </cell>
          <cell r="BR150" t="str">
            <v>Y</v>
          </cell>
          <cell r="BS150" t="str">
            <v/>
          </cell>
          <cell r="BT150">
            <v>11656</v>
          </cell>
          <cell r="BU150" t="str">
            <v>Y</v>
          </cell>
          <cell r="BV150" t="str">
            <v/>
          </cell>
          <cell r="BW150" t="str">
            <v/>
          </cell>
          <cell r="BX150" t="str">
            <v/>
          </cell>
          <cell r="BY150" t="str">
            <v/>
          </cell>
          <cell r="BZ150">
            <v>324013</v>
          </cell>
          <cell r="CA150" t="str">
            <v/>
          </cell>
          <cell r="CB150" t="str">
            <v/>
          </cell>
          <cell r="CC150">
            <v>1015111</v>
          </cell>
          <cell r="CD150" t="str">
            <v>N</v>
          </cell>
          <cell r="CE150" t="str">
            <v/>
          </cell>
          <cell r="CF150">
            <v>13239</v>
          </cell>
          <cell r="CG150" t="str">
            <v>N</v>
          </cell>
          <cell r="CH150" t="str">
            <v/>
          </cell>
          <cell r="CI150">
            <v>643428</v>
          </cell>
          <cell r="CJ150" t="str">
            <v>N</v>
          </cell>
          <cell r="CK150" t="str">
            <v/>
          </cell>
          <cell r="CL150" t="str">
            <v>Skilled</v>
          </cell>
          <cell r="CM150" t="str">
            <v/>
          </cell>
          <cell r="CN150" t="str">
            <v>Labor</v>
          </cell>
          <cell r="CO150" t="str">
            <v/>
          </cell>
          <cell r="CP150" t="str">
            <v/>
          </cell>
          <cell r="CQ150" t="str">
            <v/>
          </cell>
          <cell r="CR150" t="str">
            <v/>
          </cell>
          <cell r="CS150" t="str">
            <v/>
          </cell>
          <cell r="CT150" t="str">
            <v/>
          </cell>
          <cell r="CU150" t="str">
            <v/>
          </cell>
          <cell r="CV150" t="str">
            <v>Municipal Office</v>
          </cell>
          <cell r="CW150" t="str">
            <v>Binod Raj Timalsina</v>
          </cell>
          <cell r="CX150" t="str">
            <v>Mayor</v>
          </cell>
          <cell r="CY150">
            <v>9851175175</v>
          </cell>
          <cell r="CZ150" t="str">
            <v>Municipal Office</v>
          </cell>
          <cell r="DA150" t="str">
            <v>Januka Singkhada</v>
          </cell>
          <cell r="DB150" t="str">
            <v>Deputy Mayor</v>
          </cell>
          <cell r="DC150">
            <v>9841546995</v>
          </cell>
          <cell r="DD150" t="str">
            <v>Municipal Office</v>
          </cell>
          <cell r="DE150" t="str">
            <v/>
          </cell>
          <cell r="DF150" t="str">
            <v>Adminstration Officer</v>
          </cell>
          <cell r="DG150" t="str">
            <v/>
          </cell>
          <cell r="DH150" t="str">
            <v>NRA/GMALI</v>
          </cell>
          <cell r="DI150" t="str">
            <v>Rajendra K. C.</v>
          </cell>
          <cell r="DJ150" t="str">
            <v>NRA Chief-District</v>
          </cell>
          <cell r="DK150">
            <v>9851213604</v>
          </cell>
          <cell r="DL150" t="str">
            <v>DLPIU-Building</v>
          </cell>
          <cell r="DM150" t="str">
            <v>Koshnath Adhikari</v>
          </cell>
          <cell r="DN150" t="str">
            <v>DUDBC.DLPIU Chief</v>
          </cell>
          <cell r="DO150" t="str">
            <v/>
          </cell>
          <cell r="DP150" t="str">
            <v>Municipal Office</v>
          </cell>
          <cell r="DQ150" t="str">
            <v/>
          </cell>
          <cell r="DR150" t="str">
            <v>Focal Person</v>
          </cell>
          <cell r="DS150" t="str">
            <v/>
          </cell>
          <cell r="DT150" t="str">
            <v/>
          </cell>
          <cell r="DU150" t="str">
            <v/>
          </cell>
          <cell r="DV150" t="str">
            <v/>
          </cell>
          <cell r="DW150" t="str">
            <v/>
          </cell>
          <cell r="DX150" t="str">
            <v/>
          </cell>
          <cell r="DY150" t="str">
            <v/>
          </cell>
          <cell r="DZ150" t="str">
            <v/>
          </cell>
          <cell r="EA150" t="str">
            <v/>
          </cell>
          <cell r="EB150" t="str">
            <v/>
          </cell>
          <cell r="EC150" t="str">
            <v/>
          </cell>
          <cell r="ED150" t="str">
            <v/>
          </cell>
          <cell r="EE150" t="str">
            <v/>
          </cell>
          <cell r="EF150" t="str">
            <v/>
          </cell>
          <cell r="EG150" t="str">
            <v/>
          </cell>
          <cell r="EH150" t="str">
            <v/>
          </cell>
          <cell r="EI150" t="str">
            <v/>
          </cell>
          <cell r="EJ150">
            <v>378</v>
          </cell>
          <cell r="EK150">
            <v>437</v>
          </cell>
          <cell r="EL150">
            <v>-59</v>
          </cell>
          <cell r="EM150">
            <v>486</v>
          </cell>
          <cell r="EN150">
            <v>0</v>
          </cell>
          <cell r="EO150">
            <v>486</v>
          </cell>
          <cell r="EP150" t="str">
            <v/>
          </cell>
          <cell r="EQ150" t="str">
            <v>Housing Recovery and Reconstruction Platform</v>
          </cell>
          <cell r="ER150" t="str">
            <v>Prabin Gautam</v>
          </cell>
          <cell r="ES150" t="str">
            <v>District Coordinator</v>
          </cell>
          <cell r="ET150">
            <v>9860687776</v>
          </cell>
          <cell r="EU150" t="str">
            <v>Housing Recovery and Reconstruction Platform</v>
          </cell>
          <cell r="EV150" t="str">
            <v/>
          </cell>
          <cell r="EW150" t="str">
            <v>DIstrict Information Management Officer</v>
          </cell>
          <cell r="EX150" t="str">
            <v/>
          </cell>
          <cell r="EY150" t="str">
            <v>Housing Recovery and Reconstruction Platform</v>
          </cell>
          <cell r="EZ150" t="str">
            <v>Sachin Sapkota</v>
          </cell>
          <cell r="FA150" t="str">
            <v>District Technical Officer</v>
          </cell>
          <cell r="FB150">
            <v>9847621292</v>
          </cell>
        </row>
        <row r="151">
          <cell r="A151">
            <v>30007</v>
          </cell>
          <cell r="B151" t="str">
            <v>Dhading</v>
          </cell>
          <cell r="C151" t="str">
            <v>Khaniyabash Gaunpalika</v>
          </cell>
          <cell r="D151">
            <v>27</v>
          </cell>
          <cell r="E151">
            <v>3458</v>
          </cell>
          <cell r="F151">
            <v>3485</v>
          </cell>
          <cell r="G151" t="str">
            <v>Stone and cement mortar masonry</v>
          </cell>
          <cell r="H151">
            <v>0.37</v>
          </cell>
          <cell r="I151">
            <v>1.1000000000000001</v>
          </cell>
          <cell r="J151" t="str">
            <v>Stone and Mud Mortar Masonary</v>
          </cell>
          <cell r="K151">
            <v>92.62</v>
          </cell>
          <cell r="L151">
            <v>85.43</v>
          </cell>
          <cell r="M151" t="str">
            <v>Brick and Cement Mortar Masonary</v>
          </cell>
          <cell r="N151">
            <v>0.06</v>
          </cell>
          <cell r="O151">
            <v>3.73</v>
          </cell>
          <cell r="P151" t="str">
            <v>Brick and mud mortar Masonry</v>
          </cell>
          <cell r="Q151">
            <v>0</v>
          </cell>
          <cell r="R151">
            <v>0.48</v>
          </cell>
          <cell r="S151" t="str">
            <v>Reinforced cement concrete (RCC) frame</v>
          </cell>
          <cell r="T151">
            <v>0.06</v>
          </cell>
          <cell r="U151">
            <v>3.25</v>
          </cell>
          <cell r="V151" t="str">
            <v>Hybrid structure</v>
          </cell>
          <cell r="W151">
            <v>0</v>
          </cell>
          <cell r="X151">
            <v>0</v>
          </cell>
          <cell r="Y151" t="str">
            <v>Timber frame structure</v>
          </cell>
          <cell r="Z151">
            <v>0.52</v>
          </cell>
          <cell r="AA151">
            <v>0.64</v>
          </cell>
          <cell r="AB151" t="str">
            <v>Hollow concrete block Masonry</v>
          </cell>
          <cell r="AC151">
            <v>0</v>
          </cell>
          <cell r="AD151">
            <v>0</v>
          </cell>
          <cell r="AE151" t="str">
            <v>Dry stone Masonry</v>
          </cell>
          <cell r="AF151">
            <v>0.17</v>
          </cell>
          <cell r="AG151">
            <v>1.79</v>
          </cell>
          <cell r="AH151" t="str">
            <v>Adobe structures</v>
          </cell>
          <cell r="AI151">
            <v>6.17</v>
          </cell>
          <cell r="AJ151">
            <v>3.32</v>
          </cell>
          <cell r="AK151" t="str">
            <v>Bamboo</v>
          </cell>
          <cell r="AL151">
            <v>0.03</v>
          </cell>
          <cell r="AM151">
            <v>0.25</v>
          </cell>
          <cell r="AN151" t="str">
            <v>Compressed stabilized earth block (SCEB) Masonry</v>
          </cell>
          <cell r="AO151">
            <v>0</v>
          </cell>
          <cell r="AP151">
            <v>0</v>
          </cell>
          <cell r="AQ151" t="str">
            <v>Light steel frame structures</v>
          </cell>
          <cell r="AR151">
            <v>0</v>
          </cell>
          <cell r="AS151">
            <v>0</v>
          </cell>
          <cell r="AT151">
            <v>3469</v>
          </cell>
          <cell r="AU151">
            <v>3392</v>
          </cell>
          <cell r="AV151">
            <v>3392</v>
          </cell>
          <cell r="AW151">
            <v>2948</v>
          </cell>
          <cell r="AX151">
            <v>1837</v>
          </cell>
          <cell r="AY151">
            <v>0</v>
          </cell>
          <cell r="AZ151">
            <v>1874</v>
          </cell>
          <cell r="BA151">
            <v>12</v>
          </cell>
          <cell r="BB151">
            <v>12</v>
          </cell>
          <cell r="BC151">
            <v>0</v>
          </cell>
          <cell r="BD151">
            <v>0</v>
          </cell>
          <cell r="BE151">
            <v>658</v>
          </cell>
          <cell r="BF151">
            <v>164</v>
          </cell>
          <cell r="BG151">
            <v>7</v>
          </cell>
          <cell r="BH151">
            <v>7</v>
          </cell>
          <cell r="BI151" t="str">
            <v>NSET(Rural Housing and Community Infrastructure)</v>
          </cell>
          <cell r="BJ151" t="str">
            <v>AATWIN(Social Protection),AMDA-M(Rural Housing and Community Infrastructure),GON-PAF(Rural Housing and Community Infrastructure),OXFAM-GB(Rural Housing and Community Infrastructure),UMN(Education,Rural Housing and Community Infrastructure,Water, Sanitation and Hygiene),WFP(Employment and Livelihood)</v>
          </cell>
          <cell r="BK151">
            <v>70504</v>
          </cell>
          <cell r="BL151" t="str">
            <v>Y</v>
          </cell>
          <cell r="BM151" t="str">
            <v/>
          </cell>
          <cell r="BN151">
            <v>66826</v>
          </cell>
          <cell r="BO151" t="str">
            <v>Y</v>
          </cell>
          <cell r="BP151" t="str">
            <v/>
          </cell>
          <cell r="BQ151">
            <v>7490</v>
          </cell>
          <cell r="BR151" t="str">
            <v>Y</v>
          </cell>
          <cell r="BS151" t="str">
            <v/>
          </cell>
          <cell r="BT151">
            <v>8499</v>
          </cell>
          <cell r="BU151" t="str">
            <v>Y</v>
          </cell>
          <cell r="BV151" t="str">
            <v/>
          </cell>
          <cell r="BW151" t="str">
            <v/>
          </cell>
          <cell r="BX151" t="str">
            <v/>
          </cell>
          <cell r="BY151" t="str">
            <v/>
          </cell>
          <cell r="BZ151">
            <v>231514</v>
          </cell>
          <cell r="CA151" t="str">
            <v/>
          </cell>
          <cell r="CB151" t="str">
            <v/>
          </cell>
          <cell r="CC151">
            <v>784868</v>
          </cell>
          <cell r="CD151" t="str">
            <v>N</v>
          </cell>
          <cell r="CE151" t="str">
            <v/>
          </cell>
          <cell r="CF151">
            <v>9508</v>
          </cell>
          <cell r="CG151" t="str">
            <v>N</v>
          </cell>
          <cell r="CH151" t="str">
            <v/>
          </cell>
          <cell r="CI151">
            <v>2507991</v>
          </cell>
          <cell r="CJ151" t="str">
            <v>N</v>
          </cell>
          <cell r="CK151" t="str">
            <v/>
          </cell>
          <cell r="CL151" t="str">
            <v>Skilled</v>
          </cell>
          <cell r="CM151" t="str">
            <v/>
          </cell>
          <cell r="CN151" t="str">
            <v>Labor</v>
          </cell>
          <cell r="CO151" t="str">
            <v/>
          </cell>
          <cell r="CP151" t="str">
            <v/>
          </cell>
          <cell r="CQ151" t="str">
            <v/>
          </cell>
          <cell r="CR151" t="str">
            <v/>
          </cell>
          <cell r="CS151" t="str">
            <v/>
          </cell>
          <cell r="CT151" t="str">
            <v/>
          </cell>
          <cell r="CU151" t="str">
            <v/>
          </cell>
          <cell r="CV151" t="str">
            <v>Municipal Office</v>
          </cell>
          <cell r="CW151" t="str">
            <v>Rana Bahadur Tamang</v>
          </cell>
          <cell r="CX151" t="str">
            <v>Mayor</v>
          </cell>
          <cell r="CY151">
            <v>9851040756</v>
          </cell>
          <cell r="CZ151" t="str">
            <v>Municipal Office</v>
          </cell>
          <cell r="DA151" t="str">
            <v>Yo Maya Tamang</v>
          </cell>
          <cell r="DB151" t="str">
            <v>Deputy Mayor</v>
          </cell>
          <cell r="DC151">
            <v>9861726335</v>
          </cell>
          <cell r="DD151" t="str">
            <v>Municipal Office</v>
          </cell>
          <cell r="DE151" t="str">
            <v/>
          </cell>
          <cell r="DF151" t="str">
            <v>Adminstration Officer</v>
          </cell>
          <cell r="DG151" t="str">
            <v/>
          </cell>
          <cell r="DH151" t="str">
            <v>NRA/GMALI</v>
          </cell>
          <cell r="DI151" t="str">
            <v>Rajendra K. C.</v>
          </cell>
          <cell r="DJ151" t="str">
            <v>NRA Chief-District</v>
          </cell>
          <cell r="DK151">
            <v>9851213604</v>
          </cell>
          <cell r="DL151" t="str">
            <v>DLPIU-Building</v>
          </cell>
          <cell r="DM151" t="str">
            <v>Koshnath Adhikari</v>
          </cell>
          <cell r="DN151" t="str">
            <v>DUDBC.DLPIU Chief</v>
          </cell>
          <cell r="DO151" t="str">
            <v/>
          </cell>
          <cell r="DP151" t="str">
            <v>Municipal Office</v>
          </cell>
          <cell r="DQ151" t="str">
            <v/>
          </cell>
          <cell r="DR151" t="str">
            <v>Focal Person</v>
          </cell>
          <cell r="DS151" t="str">
            <v/>
          </cell>
          <cell r="DT151" t="str">
            <v/>
          </cell>
          <cell r="DU151" t="str">
            <v/>
          </cell>
          <cell r="DV151" t="str">
            <v/>
          </cell>
          <cell r="DW151" t="str">
            <v/>
          </cell>
          <cell r="DX151" t="str">
            <v/>
          </cell>
          <cell r="DY151" t="str">
            <v/>
          </cell>
          <cell r="DZ151" t="str">
            <v/>
          </cell>
          <cell r="EA151" t="str">
            <v/>
          </cell>
          <cell r="EB151" t="str">
            <v/>
          </cell>
          <cell r="EC151" t="str">
            <v/>
          </cell>
          <cell r="ED151" t="str">
            <v/>
          </cell>
          <cell r="EE151" t="str">
            <v/>
          </cell>
          <cell r="EF151" t="str">
            <v/>
          </cell>
          <cell r="EG151" t="str">
            <v/>
          </cell>
          <cell r="EH151" t="str">
            <v/>
          </cell>
          <cell r="EI151" t="str">
            <v/>
          </cell>
          <cell r="EJ151">
            <v>261</v>
          </cell>
          <cell r="EK151">
            <v>337</v>
          </cell>
          <cell r="EL151">
            <v>-76</v>
          </cell>
          <cell r="EM151">
            <v>333</v>
          </cell>
          <cell r="EN151">
            <v>60</v>
          </cell>
          <cell r="EO151">
            <v>273</v>
          </cell>
          <cell r="EP151" t="str">
            <v/>
          </cell>
          <cell r="EQ151" t="str">
            <v>Housing Recovery and Reconstruction Platform</v>
          </cell>
          <cell r="ER151" t="str">
            <v>Prabin Gautam</v>
          </cell>
          <cell r="ES151" t="str">
            <v>District Coordinator</v>
          </cell>
          <cell r="ET151">
            <v>9860687776</v>
          </cell>
          <cell r="EU151" t="str">
            <v>Housing Recovery and Reconstruction Platform</v>
          </cell>
          <cell r="EV151" t="str">
            <v/>
          </cell>
          <cell r="EW151" t="str">
            <v>DIstrict Information Management Officer</v>
          </cell>
          <cell r="EX151" t="str">
            <v/>
          </cell>
          <cell r="EY151" t="str">
            <v>Housing Recovery and Reconstruction Platform</v>
          </cell>
          <cell r="EZ151" t="str">
            <v>Sachin Sapkota</v>
          </cell>
          <cell r="FA151" t="str">
            <v>District Technical Officer</v>
          </cell>
          <cell r="FB151">
            <v>9847621292</v>
          </cell>
        </row>
        <row r="152">
          <cell r="A152">
            <v>30008</v>
          </cell>
          <cell r="B152" t="str">
            <v>Dhading</v>
          </cell>
          <cell r="C152" t="str">
            <v>Netrawati Gaunpalika</v>
          </cell>
          <cell r="D152">
            <v>202</v>
          </cell>
          <cell r="E152">
            <v>3920</v>
          </cell>
          <cell r="F152">
            <v>4122</v>
          </cell>
          <cell r="G152" t="str">
            <v>Stone and cement mortar masonry</v>
          </cell>
          <cell r="H152">
            <v>0.44</v>
          </cell>
          <cell r="I152">
            <v>1.1000000000000001</v>
          </cell>
          <cell r="J152" t="str">
            <v>Stone and Mud Mortar Masonary</v>
          </cell>
          <cell r="K152">
            <v>98.4</v>
          </cell>
          <cell r="L152">
            <v>85.43</v>
          </cell>
          <cell r="M152" t="str">
            <v>Brick and Cement Mortar Masonary</v>
          </cell>
          <cell r="N152">
            <v>0.28999999999999998</v>
          </cell>
          <cell r="O152">
            <v>3.73</v>
          </cell>
          <cell r="P152" t="str">
            <v>Brick and mud mortar Masonry</v>
          </cell>
          <cell r="Q152">
            <v>0.05</v>
          </cell>
          <cell r="R152">
            <v>0.48</v>
          </cell>
          <cell r="S152" t="str">
            <v>Reinforced cement concrete (RCC) frame</v>
          </cell>
          <cell r="T152">
            <v>0.44</v>
          </cell>
          <cell r="U152">
            <v>3.25</v>
          </cell>
          <cell r="V152" t="str">
            <v>Hybrid structure</v>
          </cell>
          <cell r="W152">
            <v>0</v>
          </cell>
          <cell r="X152">
            <v>0</v>
          </cell>
          <cell r="Y152" t="str">
            <v>Timber frame structure</v>
          </cell>
          <cell r="Z152">
            <v>0.15</v>
          </cell>
          <cell r="AA152">
            <v>0.64</v>
          </cell>
          <cell r="AB152" t="str">
            <v>Hollow concrete block Masonry</v>
          </cell>
          <cell r="AC152">
            <v>0</v>
          </cell>
          <cell r="AD152">
            <v>0</v>
          </cell>
          <cell r="AE152" t="str">
            <v>Dry stone Masonry</v>
          </cell>
          <cell r="AF152">
            <v>0.02</v>
          </cell>
          <cell r="AG152">
            <v>1.79</v>
          </cell>
          <cell r="AH152" t="str">
            <v>Adobe structures</v>
          </cell>
          <cell r="AI152">
            <v>0.22</v>
          </cell>
          <cell r="AJ152">
            <v>3.32</v>
          </cell>
          <cell r="AK152" t="str">
            <v>Bamboo</v>
          </cell>
          <cell r="AL152">
            <v>0</v>
          </cell>
          <cell r="AM152">
            <v>0.25</v>
          </cell>
          <cell r="AN152" t="str">
            <v>Compressed stabilized earth block (SCEB) Masonry</v>
          </cell>
          <cell r="AO152">
            <v>0</v>
          </cell>
          <cell r="AP152">
            <v>0</v>
          </cell>
          <cell r="AQ152" t="str">
            <v>Light steel frame structures</v>
          </cell>
          <cell r="AR152">
            <v>0</v>
          </cell>
          <cell r="AS152">
            <v>0</v>
          </cell>
          <cell r="AT152">
            <v>3866</v>
          </cell>
          <cell r="AU152">
            <v>3694</v>
          </cell>
          <cell r="AV152">
            <v>3694</v>
          </cell>
          <cell r="AW152">
            <v>3274</v>
          </cell>
          <cell r="AX152">
            <v>2708</v>
          </cell>
          <cell r="AY152">
            <v>0</v>
          </cell>
          <cell r="AZ152">
            <v>2782</v>
          </cell>
          <cell r="BA152">
            <v>43</v>
          </cell>
          <cell r="BB152">
            <v>43</v>
          </cell>
          <cell r="BC152">
            <v>1</v>
          </cell>
          <cell r="BD152">
            <v>0</v>
          </cell>
          <cell r="BE152">
            <v>641</v>
          </cell>
          <cell r="BF152">
            <v>153</v>
          </cell>
          <cell r="BG152">
            <v>27</v>
          </cell>
          <cell r="BH152">
            <v>22</v>
          </cell>
          <cell r="BI152" t="str">
            <v>NRCS(Agriculture, Livestock Development and Irrigation,Disaster Risk Management,Education,Employment and Livelihood,Health,Rural Housing and Community Infrastructure,Water, Sanitation and Hygiene),NSET(Rural Housing and Community Infrastructure),Pourakhi(Rural Housing and Community Infrastructure)</v>
          </cell>
          <cell r="BJ152" t="str">
            <v>AMDA-M(Rural Housing and Community Infrastructure),ASF(Rural Housing and Community Infrastructure),EPF-N(Education),GIZ(Rural Housing and Community Infrastructure),HELVETAS(Rural Housing and Community Infrastructure),R4C(Education),WFP(Employment and Livelihood)</v>
          </cell>
          <cell r="BK152">
            <v>88150</v>
          </cell>
          <cell r="BL152" t="str">
            <v>Y</v>
          </cell>
          <cell r="BM152" t="str">
            <v/>
          </cell>
          <cell r="BN152">
            <v>90864</v>
          </cell>
          <cell r="BO152" t="str">
            <v>Y</v>
          </cell>
          <cell r="BP152" t="str">
            <v/>
          </cell>
          <cell r="BQ152">
            <v>9415</v>
          </cell>
          <cell r="BR152" t="str">
            <v>Y</v>
          </cell>
          <cell r="BS152" t="str">
            <v/>
          </cell>
          <cell r="BT152">
            <v>10873</v>
          </cell>
          <cell r="BU152" t="str">
            <v>Y</v>
          </cell>
          <cell r="BV152" t="str">
            <v/>
          </cell>
          <cell r="BW152" t="str">
            <v/>
          </cell>
          <cell r="BX152" t="str">
            <v/>
          </cell>
          <cell r="BY152" t="str">
            <v/>
          </cell>
          <cell r="BZ152">
            <v>299666</v>
          </cell>
          <cell r="CA152" t="str">
            <v/>
          </cell>
          <cell r="CB152" t="str">
            <v/>
          </cell>
          <cell r="CC152">
            <v>953117</v>
          </cell>
          <cell r="CD152" t="str">
            <v>N</v>
          </cell>
          <cell r="CE152" t="str">
            <v/>
          </cell>
          <cell r="CF152">
            <v>12240</v>
          </cell>
          <cell r="CG152" t="str">
            <v>N</v>
          </cell>
          <cell r="CH152" t="str">
            <v/>
          </cell>
          <cell r="CI152">
            <v>634788</v>
          </cell>
          <cell r="CJ152" t="str">
            <v>N</v>
          </cell>
          <cell r="CK152" t="str">
            <v/>
          </cell>
          <cell r="CL152" t="str">
            <v>Skilled</v>
          </cell>
          <cell r="CM152" t="str">
            <v/>
          </cell>
          <cell r="CN152" t="str">
            <v>Labor</v>
          </cell>
          <cell r="CO152" t="str">
            <v/>
          </cell>
          <cell r="CP152" t="str">
            <v/>
          </cell>
          <cell r="CQ152" t="str">
            <v/>
          </cell>
          <cell r="CR152" t="str">
            <v/>
          </cell>
          <cell r="CS152" t="str">
            <v/>
          </cell>
          <cell r="CT152" t="str">
            <v/>
          </cell>
          <cell r="CU152" t="str">
            <v/>
          </cell>
          <cell r="CV152" t="str">
            <v>Municipal Office</v>
          </cell>
          <cell r="CW152" t="str">
            <v>Durga Narayan Shakya</v>
          </cell>
          <cell r="CX152" t="str">
            <v>Mayor</v>
          </cell>
          <cell r="CY152">
            <v>9843339119</v>
          </cell>
          <cell r="CZ152" t="str">
            <v>Municipal Office</v>
          </cell>
          <cell r="DA152" t="str">
            <v>Urmila Tamang Gurung</v>
          </cell>
          <cell r="DB152" t="str">
            <v>Deputy Mayor</v>
          </cell>
          <cell r="DC152">
            <v>9843253878</v>
          </cell>
          <cell r="DD152" t="str">
            <v>Municipal Office</v>
          </cell>
          <cell r="DE152" t="str">
            <v/>
          </cell>
          <cell r="DF152" t="str">
            <v>Adminstration Officer</v>
          </cell>
          <cell r="DG152" t="str">
            <v/>
          </cell>
          <cell r="DH152" t="str">
            <v>NRA/GMALI</v>
          </cell>
          <cell r="DI152" t="str">
            <v>Rajendra K. C.</v>
          </cell>
          <cell r="DJ152" t="str">
            <v>NRA Chief-District</v>
          </cell>
          <cell r="DK152">
            <v>9851213604</v>
          </cell>
          <cell r="DL152" t="str">
            <v>DLPIU-Building</v>
          </cell>
          <cell r="DM152" t="str">
            <v>Koshnath Adhikari</v>
          </cell>
          <cell r="DN152" t="str">
            <v>DUDBC.DLPIU Chief</v>
          </cell>
          <cell r="DO152" t="str">
            <v/>
          </cell>
          <cell r="DP152" t="str">
            <v>Municipal Office</v>
          </cell>
          <cell r="DQ152" t="str">
            <v/>
          </cell>
          <cell r="DR152" t="str">
            <v>Focal Person</v>
          </cell>
          <cell r="DS152" t="str">
            <v/>
          </cell>
          <cell r="DT152" t="str">
            <v/>
          </cell>
          <cell r="DU152" t="str">
            <v/>
          </cell>
          <cell r="DV152" t="str">
            <v/>
          </cell>
          <cell r="DW152" t="str">
            <v/>
          </cell>
          <cell r="DX152" t="str">
            <v/>
          </cell>
          <cell r="DY152" t="str">
            <v/>
          </cell>
          <cell r="DZ152" t="str">
            <v/>
          </cell>
          <cell r="EA152" t="str">
            <v/>
          </cell>
          <cell r="EB152" t="str">
            <v/>
          </cell>
          <cell r="EC152" t="str">
            <v/>
          </cell>
          <cell r="ED152" t="str">
            <v/>
          </cell>
          <cell r="EE152" t="str">
            <v/>
          </cell>
          <cell r="EF152" t="str">
            <v/>
          </cell>
          <cell r="EG152" t="str">
            <v/>
          </cell>
          <cell r="EH152" t="str">
            <v/>
          </cell>
          <cell r="EI152" t="str">
            <v/>
          </cell>
          <cell r="EJ152">
            <v>279</v>
          </cell>
          <cell r="EK152">
            <v>368</v>
          </cell>
          <cell r="EL152">
            <v>-89</v>
          </cell>
          <cell r="EM152">
            <v>360</v>
          </cell>
          <cell r="EN152">
            <v>300</v>
          </cell>
          <cell r="EO152">
            <v>60</v>
          </cell>
          <cell r="EP152" t="str">
            <v/>
          </cell>
          <cell r="EQ152" t="str">
            <v>Housing Recovery and Reconstruction Platform</v>
          </cell>
          <cell r="ER152" t="str">
            <v>Prabin Gautam</v>
          </cell>
          <cell r="ES152" t="str">
            <v>District Coordinator</v>
          </cell>
          <cell r="ET152">
            <v>9860687776</v>
          </cell>
          <cell r="EU152" t="str">
            <v>Housing Recovery and Reconstruction Platform</v>
          </cell>
          <cell r="EV152" t="str">
            <v/>
          </cell>
          <cell r="EW152" t="str">
            <v>DIstrict Information Management Officer</v>
          </cell>
          <cell r="EX152" t="str">
            <v/>
          </cell>
          <cell r="EY152" t="str">
            <v>Housing Recovery and Reconstruction Platform</v>
          </cell>
          <cell r="EZ152" t="str">
            <v>Sachin Sapkota</v>
          </cell>
          <cell r="FA152" t="str">
            <v>District Technical Officer</v>
          </cell>
          <cell r="FB152">
            <v>9847621292</v>
          </cell>
        </row>
        <row r="153">
          <cell r="A153">
            <v>30009</v>
          </cell>
          <cell r="B153" t="str">
            <v>Dhading</v>
          </cell>
          <cell r="C153" t="str">
            <v>Nilakantha Nagarpalika</v>
          </cell>
          <cell r="D153">
            <v>2608</v>
          </cell>
          <cell r="E153">
            <v>12631</v>
          </cell>
          <cell r="F153">
            <v>15239</v>
          </cell>
          <cell r="G153" t="str">
            <v>Stone and cement mortar masonry</v>
          </cell>
          <cell r="H153">
            <v>2.0099999999999998</v>
          </cell>
          <cell r="I153">
            <v>1.1000000000000001</v>
          </cell>
          <cell r="J153" t="str">
            <v>Stone and Mud Mortar Masonary</v>
          </cell>
          <cell r="K153">
            <v>84.86</v>
          </cell>
          <cell r="L153">
            <v>85.43</v>
          </cell>
          <cell r="M153" t="str">
            <v>Brick and Cement Mortar Masonary</v>
          </cell>
          <cell r="N153">
            <v>3.48</v>
          </cell>
          <cell r="O153">
            <v>3.73</v>
          </cell>
          <cell r="P153" t="str">
            <v>Brick and mud mortar Masonry</v>
          </cell>
          <cell r="Q153">
            <v>0.14000000000000001</v>
          </cell>
          <cell r="R153">
            <v>0.48</v>
          </cell>
          <cell r="S153" t="str">
            <v>Reinforced cement concrete (RCC) frame</v>
          </cell>
          <cell r="T153">
            <v>8.85</v>
          </cell>
          <cell r="U153">
            <v>3.25</v>
          </cell>
          <cell r="V153" t="str">
            <v>Hybrid structure</v>
          </cell>
          <cell r="W153">
            <v>0</v>
          </cell>
          <cell r="X153">
            <v>0</v>
          </cell>
          <cell r="Y153" t="str">
            <v>Timber frame structure</v>
          </cell>
          <cell r="Z153">
            <v>0.2</v>
          </cell>
          <cell r="AA153">
            <v>0.64</v>
          </cell>
          <cell r="AB153" t="str">
            <v>Hollow concrete block Masonry</v>
          </cell>
          <cell r="AC153">
            <v>0</v>
          </cell>
          <cell r="AD153">
            <v>0</v>
          </cell>
          <cell r="AE153" t="str">
            <v>Dry stone Masonry</v>
          </cell>
          <cell r="AF153">
            <v>0.16</v>
          </cell>
          <cell r="AG153">
            <v>1.79</v>
          </cell>
          <cell r="AH153" t="str">
            <v>Adobe structures</v>
          </cell>
          <cell r="AI153">
            <v>0.21</v>
          </cell>
          <cell r="AJ153">
            <v>3.32</v>
          </cell>
          <cell r="AK153" t="str">
            <v>Bamboo</v>
          </cell>
          <cell r="AL153">
            <v>0.09</v>
          </cell>
          <cell r="AM153">
            <v>0.25</v>
          </cell>
          <cell r="AN153" t="str">
            <v>Compressed stabilized earth block (SCEB) Masonry</v>
          </cell>
          <cell r="AO153">
            <v>0</v>
          </cell>
          <cell r="AP153">
            <v>0</v>
          </cell>
          <cell r="AQ153" t="str">
            <v>Light steel frame structures</v>
          </cell>
          <cell r="AR153">
            <v>0</v>
          </cell>
          <cell r="AS153">
            <v>0</v>
          </cell>
          <cell r="AT153">
            <v>12183</v>
          </cell>
          <cell r="AU153">
            <v>11601</v>
          </cell>
          <cell r="AV153">
            <v>11601</v>
          </cell>
          <cell r="AW153">
            <v>9514</v>
          </cell>
          <cell r="AX153">
            <v>7134</v>
          </cell>
          <cell r="AY153">
            <v>0</v>
          </cell>
          <cell r="AZ153">
            <v>7826</v>
          </cell>
          <cell r="BA153">
            <v>559</v>
          </cell>
          <cell r="BB153">
            <v>559</v>
          </cell>
          <cell r="BC153">
            <v>53</v>
          </cell>
          <cell r="BD153">
            <v>0</v>
          </cell>
          <cell r="BE153">
            <v>2394</v>
          </cell>
          <cell r="BF153">
            <v>1374</v>
          </cell>
          <cell r="BG153">
            <v>281</v>
          </cell>
          <cell r="BH153">
            <v>210</v>
          </cell>
          <cell r="BI153" t="str">
            <v>BC(Rural Housing and Community Infrastructure),NSET(Rural Housing and Community Infrastructure),RoomTR(Education),TukeeSN(Education)</v>
          </cell>
          <cell r="BJ153" t="str">
            <v>ACTED(NA-Others-Others-(Please specify in Activity Detail)),ADRA(Rural Housing and Community Infrastructure),AMDA-M(Rural Housing and Community Infrastructure),CA(Rural Housing and Community Infrastructure,Water, Sanitation and Hygiene),ColdFF(Education),EHN(Education),EPF-N(Education),FIDR(Education),GON(Rural Housing and Community Infrastructure),GON - DUDBC(Rural Housing and Community Infrastructure),GON-PAF(Rural Housing and Community Infrastructure),HELVETAS(Rural Housing and Community Infrastructure),MIDSON(Health),OXFAM-GB(Rural Housing and Community Infrastructure),SCI(Disaster Risk Management,Rural Housing and Community Infrastructure,Social Protection,Water, Sanitation and Hygiene),UMN(Water, Sanitation and Hygiene)</v>
          </cell>
          <cell r="BK153">
            <v>247557</v>
          </cell>
          <cell r="BL153" t="str">
            <v>Y</v>
          </cell>
          <cell r="BM153" t="str">
            <v/>
          </cell>
          <cell r="BN153">
            <v>240828</v>
          </cell>
          <cell r="BO153" t="str">
            <v>Y</v>
          </cell>
          <cell r="BP153" t="str">
            <v/>
          </cell>
          <cell r="BQ153">
            <v>26316</v>
          </cell>
          <cell r="BR153" t="str">
            <v>Y</v>
          </cell>
          <cell r="BS153" t="str">
            <v/>
          </cell>
          <cell r="BT153">
            <v>29936</v>
          </cell>
          <cell r="BU153" t="str">
            <v>Y</v>
          </cell>
          <cell r="BV153" t="str">
            <v/>
          </cell>
          <cell r="BW153" t="str">
            <v/>
          </cell>
          <cell r="BX153" t="str">
            <v/>
          </cell>
          <cell r="BY153" t="str">
            <v/>
          </cell>
          <cell r="BZ153">
            <v>803615</v>
          </cell>
          <cell r="CA153" t="str">
            <v/>
          </cell>
          <cell r="CB153" t="str">
            <v/>
          </cell>
          <cell r="CC153">
            <v>2707997</v>
          </cell>
          <cell r="CD153" t="str">
            <v>Y</v>
          </cell>
          <cell r="CE153" t="str">
            <v/>
          </cell>
          <cell r="CF153">
            <v>32844</v>
          </cell>
          <cell r="CG153" t="str">
            <v>Y</v>
          </cell>
          <cell r="CH153" t="str">
            <v/>
          </cell>
          <cell r="CI153">
            <v>3946159</v>
          </cell>
          <cell r="CJ153" t="str">
            <v>Y</v>
          </cell>
          <cell r="CK153" t="str">
            <v/>
          </cell>
          <cell r="CL153" t="str">
            <v>Skilled</v>
          </cell>
          <cell r="CM153" t="str">
            <v/>
          </cell>
          <cell r="CN153" t="str">
            <v>Labor</v>
          </cell>
          <cell r="CO153" t="str">
            <v/>
          </cell>
          <cell r="CP153" t="str">
            <v/>
          </cell>
          <cell r="CQ153" t="str">
            <v/>
          </cell>
          <cell r="CR153" t="str">
            <v/>
          </cell>
          <cell r="CS153" t="str">
            <v/>
          </cell>
          <cell r="CT153" t="str">
            <v/>
          </cell>
          <cell r="CU153" t="str">
            <v/>
          </cell>
          <cell r="CV153" t="str">
            <v>Municipal Office</v>
          </cell>
          <cell r="CW153" t="str">
            <v>Bhim Prasad Dhungana</v>
          </cell>
          <cell r="CX153" t="str">
            <v>Mayor</v>
          </cell>
          <cell r="CY153">
            <v>9851007101</v>
          </cell>
          <cell r="CZ153" t="str">
            <v>Municipal Office</v>
          </cell>
          <cell r="DA153" t="str">
            <v>Mana Raj Bhandari</v>
          </cell>
          <cell r="DB153" t="str">
            <v>Deputy Mayor</v>
          </cell>
          <cell r="DC153">
            <v>9851164911</v>
          </cell>
          <cell r="DD153" t="str">
            <v>Municipal Office</v>
          </cell>
          <cell r="DE153" t="str">
            <v/>
          </cell>
          <cell r="DF153" t="str">
            <v>Adminstration Officer</v>
          </cell>
          <cell r="DG153" t="str">
            <v/>
          </cell>
          <cell r="DH153" t="str">
            <v>NRA/GMALI</v>
          </cell>
          <cell r="DI153" t="str">
            <v>Rajendra K. C.</v>
          </cell>
          <cell r="DJ153" t="str">
            <v>NRA Chief-District</v>
          </cell>
          <cell r="DK153">
            <v>9851213604</v>
          </cell>
          <cell r="DL153" t="str">
            <v>DLPIU-Building</v>
          </cell>
          <cell r="DM153" t="str">
            <v>Koshnath Adhikari</v>
          </cell>
          <cell r="DN153" t="str">
            <v>DUDBC.DLPIU Chief</v>
          </cell>
          <cell r="DO153" t="str">
            <v/>
          </cell>
          <cell r="DP153" t="str">
            <v>Municipal Office</v>
          </cell>
          <cell r="DQ153" t="str">
            <v/>
          </cell>
          <cell r="DR153" t="str">
            <v>Focal Person</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v>897</v>
          </cell>
          <cell r="EK153">
            <v>1352</v>
          </cell>
          <cell r="EL153">
            <v>-455</v>
          </cell>
          <cell r="EM153">
            <v>1152</v>
          </cell>
          <cell r="EN153">
            <v>382</v>
          </cell>
          <cell r="EO153">
            <v>770</v>
          </cell>
          <cell r="EP153" t="str">
            <v/>
          </cell>
          <cell r="EQ153" t="str">
            <v>Housing Recovery and Reconstruction Platform</v>
          </cell>
          <cell r="ER153" t="str">
            <v>Prabin Gautam</v>
          </cell>
          <cell r="ES153" t="str">
            <v>District Coordinator</v>
          </cell>
          <cell r="ET153">
            <v>9860687776</v>
          </cell>
          <cell r="EU153" t="str">
            <v>Housing Recovery and Reconstruction Platform</v>
          </cell>
          <cell r="EV153" t="str">
            <v/>
          </cell>
          <cell r="EW153" t="str">
            <v>DIstrict Information Management Officer</v>
          </cell>
          <cell r="EX153" t="str">
            <v/>
          </cell>
          <cell r="EY153" t="str">
            <v>Housing Recovery and Reconstruction Platform</v>
          </cell>
          <cell r="EZ153" t="str">
            <v>Sachin Sapkota</v>
          </cell>
          <cell r="FA153" t="str">
            <v>District Technical Officer</v>
          </cell>
          <cell r="FB153">
            <v>9847621292</v>
          </cell>
        </row>
        <row r="154">
          <cell r="A154">
            <v>30010</v>
          </cell>
          <cell r="B154" t="str">
            <v>Dhading</v>
          </cell>
          <cell r="C154" t="str">
            <v>Rubi Valley Gaunpalika</v>
          </cell>
          <cell r="D154">
            <v>337</v>
          </cell>
          <cell r="E154">
            <v>2827</v>
          </cell>
          <cell r="F154">
            <v>3164</v>
          </cell>
          <cell r="G154" t="str">
            <v>Stone and cement mortar masonry</v>
          </cell>
          <cell r="H154">
            <v>0.06</v>
          </cell>
          <cell r="I154">
            <v>1.1000000000000001</v>
          </cell>
          <cell r="J154" t="str">
            <v>Stone and Mud Mortar Masonary</v>
          </cell>
          <cell r="K154">
            <v>52.22</v>
          </cell>
          <cell r="L154">
            <v>85.43</v>
          </cell>
          <cell r="M154" t="str">
            <v>Brick and Cement Mortar Masonary</v>
          </cell>
          <cell r="N154">
            <v>0</v>
          </cell>
          <cell r="O154">
            <v>3.73</v>
          </cell>
          <cell r="P154" t="str">
            <v>Brick and mud mortar Masonry</v>
          </cell>
          <cell r="Q154">
            <v>0</v>
          </cell>
          <cell r="R154">
            <v>0.48</v>
          </cell>
          <cell r="S154" t="str">
            <v>Reinforced cement concrete (RCC) frame</v>
          </cell>
          <cell r="T154">
            <v>0</v>
          </cell>
          <cell r="U154">
            <v>3.25</v>
          </cell>
          <cell r="V154" t="str">
            <v>Hybrid structure</v>
          </cell>
          <cell r="W154">
            <v>0</v>
          </cell>
          <cell r="X154">
            <v>0</v>
          </cell>
          <cell r="Y154" t="str">
            <v>Timber frame structure</v>
          </cell>
          <cell r="Z154">
            <v>0.92</v>
          </cell>
          <cell r="AA154">
            <v>0.64</v>
          </cell>
          <cell r="AB154" t="str">
            <v>Hollow concrete block Masonry</v>
          </cell>
          <cell r="AC154">
            <v>0</v>
          </cell>
          <cell r="AD154">
            <v>0</v>
          </cell>
          <cell r="AE154" t="str">
            <v>Dry stone Masonry</v>
          </cell>
          <cell r="AF154">
            <v>46.68</v>
          </cell>
          <cell r="AG154">
            <v>1.79</v>
          </cell>
          <cell r="AH154" t="str">
            <v>Adobe structures</v>
          </cell>
          <cell r="AI154">
            <v>0.13</v>
          </cell>
          <cell r="AJ154">
            <v>3.32</v>
          </cell>
          <cell r="AK154" t="str">
            <v>Bamboo</v>
          </cell>
          <cell r="AL154">
            <v>0</v>
          </cell>
          <cell r="AM154">
            <v>0.25</v>
          </cell>
          <cell r="AN154" t="str">
            <v>Compressed stabilized earth block (SCEB) Masonry</v>
          </cell>
          <cell r="AO154">
            <v>0</v>
          </cell>
          <cell r="AP154">
            <v>0</v>
          </cell>
          <cell r="AQ154" t="str">
            <v>Light steel frame structures</v>
          </cell>
          <cell r="AR154">
            <v>0</v>
          </cell>
          <cell r="AS154">
            <v>0</v>
          </cell>
          <cell r="AT154">
            <v>2850</v>
          </cell>
          <cell r="AU154">
            <v>2734</v>
          </cell>
          <cell r="AV154">
            <v>2734</v>
          </cell>
          <cell r="AW154">
            <v>2282</v>
          </cell>
          <cell r="AX154">
            <v>1537</v>
          </cell>
          <cell r="AY154">
            <v>0</v>
          </cell>
          <cell r="AZ154">
            <v>1615</v>
          </cell>
          <cell r="BA154">
            <v>187</v>
          </cell>
          <cell r="BB154">
            <v>187</v>
          </cell>
          <cell r="BC154">
            <v>43</v>
          </cell>
          <cell r="BD154">
            <v>0</v>
          </cell>
          <cell r="BE154">
            <v>650</v>
          </cell>
          <cell r="BF154">
            <v>420</v>
          </cell>
          <cell r="BG154">
            <v>0</v>
          </cell>
          <cell r="BH154">
            <v>0</v>
          </cell>
          <cell r="BI154" t="str">
            <v>NSET(Rural Housing and Community Infrastructure)</v>
          </cell>
          <cell r="BJ154" t="str">
            <v>AMDA-M(Rural Housing and Community Infrastructure),CSRC(Rural Housing and Community Infrastructure),GON-PAF(Rural Housing and Community Infrastructure),MCC(Health,Water, Sanitation and Hygiene),Norlha(Agriculture, Livestock Development and Irrigation,Disaster Risk Management,Rural Housing and Community Infrastructure,Water, Sanitation and Hygiene),SCI(Rural Housing and Community Infrastructure),TAI(Education),UMN(Education,Rural Housing and Community Infrastructure,Water, Sanitation and Hygiene),WFP(Employment and Livelihood)</v>
          </cell>
          <cell r="BK154">
            <v>47309</v>
          </cell>
          <cell r="BL154" t="str">
            <v>Y</v>
          </cell>
          <cell r="BM154" t="str">
            <v/>
          </cell>
          <cell r="BN154">
            <v>49797</v>
          </cell>
          <cell r="BO154" t="str">
            <v>N</v>
          </cell>
          <cell r="BP154" t="str">
            <v/>
          </cell>
          <cell r="BQ154">
            <v>5062</v>
          </cell>
          <cell r="BR154" t="str">
            <v>N</v>
          </cell>
          <cell r="BS154" t="str">
            <v/>
          </cell>
          <cell r="BT154">
            <v>5880</v>
          </cell>
          <cell r="BU154" t="str">
            <v>Y</v>
          </cell>
          <cell r="BV154" t="str">
            <v/>
          </cell>
          <cell r="BW154" t="str">
            <v/>
          </cell>
          <cell r="BX154" t="str">
            <v/>
          </cell>
          <cell r="BY154" t="str">
            <v/>
          </cell>
          <cell r="BZ154">
            <v>163724</v>
          </cell>
          <cell r="CA154" t="str">
            <v/>
          </cell>
          <cell r="CB154" t="str">
            <v/>
          </cell>
          <cell r="CC154">
            <v>509500</v>
          </cell>
          <cell r="CD154" t="str">
            <v>N</v>
          </cell>
          <cell r="CE154" t="str">
            <v/>
          </cell>
          <cell r="CF154">
            <v>6687</v>
          </cell>
          <cell r="CG154" t="str">
            <v>N</v>
          </cell>
          <cell r="CH154" t="str">
            <v/>
          </cell>
          <cell r="CI154">
            <v>211065</v>
          </cell>
          <cell r="CJ154" t="str">
            <v>N</v>
          </cell>
          <cell r="CK154" t="str">
            <v/>
          </cell>
          <cell r="CL154" t="str">
            <v>Skilled</v>
          </cell>
          <cell r="CM154" t="str">
            <v/>
          </cell>
          <cell r="CN154" t="str">
            <v>Labor</v>
          </cell>
          <cell r="CO154" t="str">
            <v/>
          </cell>
          <cell r="CP154" t="str">
            <v/>
          </cell>
          <cell r="CQ154" t="str">
            <v/>
          </cell>
          <cell r="CR154" t="str">
            <v/>
          </cell>
          <cell r="CS154" t="str">
            <v/>
          </cell>
          <cell r="CT154" t="str">
            <v/>
          </cell>
          <cell r="CU154" t="str">
            <v/>
          </cell>
          <cell r="CV154" t="str">
            <v>Municipal Office</v>
          </cell>
          <cell r="CW154" t="str">
            <v>Cherong Tamang</v>
          </cell>
          <cell r="CX154" t="str">
            <v>Mayor</v>
          </cell>
          <cell r="CY154">
            <v>9841936670</v>
          </cell>
          <cell r="CZ154" t="str">
            <v>Municipal Office</v>
          </cell>
          <cell r="DA154" t="str">
            <v>Bina Lama Tamang</v>
          </cell>
          <cell r="DB154" t="str">
            <v>Deputy Mayor</v>
          </cell>
          <cell r="DC154">
            <v>9840403695</v>
          </cell>
          <cell r="DD154" t="str">
            <v>Municipal Office</v>
          </cell>
          <cell r="DE154" t="str">
            <v/>
          </cell>
          <cell r="DF154" t="str">
            <v>Adminstration Officer</v>
          </cell>
          <cell r="DG154" t="str">
            <v/>
          </cell>
          <cell r="DH154" t="str">
            <v>NRA/GMALI</v>
          </cell>
          <cell r="DI154" t="str">
            <v>Rajendra K. C.</v>
          </cell>
          <cell r="DJ154" t="str">
            <v>NRA Chief-District</v>
          </cell>
          <cell r="DK154">
            <v>9851213604</v>
          </cell>
          <cell r="DL154" t="str">
            <v>DLPIU-Building</v>
          </cell>
          <cell r="DM154" t="str">
            <v>Koshnath Adhikari</v>
          </cell>
          <cell r="DN154" t="str">
            <v>DUDBC.DLPIU Chief</v>
          </cell>
          <cell r="DO154" t="str">
            <v/>
          </cell>
          <cell r="DP154" t="str">
            <v>Municipal Office</v>
          </cell>
          <cell r="DQ154" t="str">
            <v/>
          </cell>
          <cell r="DR154" t="str">
            <v>Focal Person</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v>207</v>
          </cell>
          <cell r="EK154">
            <v>328</v>
          </cell>
          <cell r="EL154">
            <v>-121</v>
          </cell>
          <cell r="EM154">
            <v>252</v>
          </cell>
          <cell r="EN154">
            <v>89</v>
          </cell>
          <cell r="EO154">
            <v>163</v>
          </cell>
          <cell r="EP154" t="str">
            <v/>
          </cell>
          <cell r="EQ154" t="str">
            <v>Housing Recovery and Reconstruction Platform</v>
          </cell>
          <cell r="ER154" t="str">
            <v>Prabin Gautam</v>
          </cell>
          <cell r="ES154" t="str">
            <v>District Coordinator</v>
          </cell>
          <cell r="ET154">
            <v>9860687776</v>
          </cell>
          <cell r="EU154" t="str">
            <v>Housing Recovery and Reconstruction Platform</v>
          </cell>
          <cell r="EV154" t="str">
            <v/>
          </cell>
          <cell r="EW154" t="str">
            <v>DIstrict Information Management Officer</v>
          </cell>
          <cell r="EX154" t="str">
            <v/>
          </cell>
          <cell r="EY154" t="str">
            <v>Housing Recovery and Reconstruction Platform</v>
          </cell>
          <cell r="EZ154" t="str">
            <v>Sachin Sapkota</v>
          </cell>
          <cell r="FA154" t="str">
            <v>District Technical Officer</v>
          </cell>
          <cell r="FB154">
            <v>9847621292</v>
          </cell>
        </row>
        <row r="155">
          <cell r="A155">
            <v>30011</v>
          </cell>
          <cell r="B155" t="str">
            <v>Dhading</v>
          </cell>
          <cell r="C155" t="str">
            <v>Siddhalek Gaunpalika</v>
          </cell>
          <cell r="D155">
            <v>935</v>
          </cell>
          <cell r="E155">
            <v>5342</v>
          </cell>
          <cell r="F155">
            <v>6277</v>
          </cell>
          <cell r="G155" t="str">
            <v>Stone and cement mortar masonry</v>
          </cell>
          <cell r="H155">
            <v>0.56999999999999995</v>
          </cell>
          <cell r="I155">
            <v>1.1000000000000001</v>
          </cell>
          <cell r="J155" t="str">
            <v>Stone and Mud Mortar Masonary</v>
          </cell>
          <cell r="K155">
            <v>95.09</v>
          </cell>
          <cell r="L155">
            <v>85.43</v>
          </cell>
          <cell r="M155" t="str">
            <v>Brick and Cement Mortar Masonary</v>
          </cell>
          <cell r="N155">
            <v>1.29</v>
          </cell>
          <cell r="O155">
            <v>3.73</v>
          </cell>
          <cell r="P155" t="str">
            <v>Brick and mud mortar Masonry</v>
          </cell>
          <cell r="Q155">
            <v>0.1</v>
          </cell>
          <cell r="R155">
            <v>0.48</v>
          </cell>
          <cell r="S155" t="str">
            <v>Reinforced cement concrete (RCC) frame</v>
          </cell>
          <cell r="T155">
            <v>1.8</v>
          </cell>
          <cell r="U155">
            <v>3.25</v>
          </cell>
          <cell r="V155" t="str">
            <v>Hybrid structure</v>
          </cell>
          <cell r="W155">
            <v>0</v>
          </cell>
          <cell r="X155">
            <v>0</v>
          </cell>
          <cell r="Y155" t="str">
            <v>Timber frame structure</v>
          </cell>
          <cell r="Z155">
            <v>0.33</v>
          </cell>
          <cell r="AA155">
            <v>0.64</v>
          </cell>
          <cell r="AB155" t="str">
            <v>Hollow concrete block Masonry</v>
          </cell>
          <cell r="AC155">
            <v>0</v>
          </cell>
          <cell r="AD155">
            <v>0</v>
          </cell>
          <cell r="AE155" t="str">
            <v>Dry stone Masonry</v>
          </cell>
          <cell r="AF155">
            <v>0.25</v>
          </cell>
          <cell r="AG155">
            <v>1.79</v>
          </cell>
          <cell r="AH155" t="str">
            <v>Adobe structures</v>
          </cell>
          <cell r="AI155">
            <v>0.22</v>
          </cell>
          <cell r="AJ155">
            <v>3.32</v>
          </cell>
          <cell r="AK155" t="str">
            <v>Bamboo</v>
          </cell>
          <cell r="AL155">
            <v>0.33</v>
          </cell>
          <cell r="AM155">
            <v>0.25</v>
          </cell>
          <cell r="AN155" t="str">
            <v>Compressed stabilized earth block (SCEB) Masonry</v>
          </cell>
          <cell r="AO155">
            <v>0</v>
          </cell>
          <cell r="AP155">
            <v>0</v>
          </cell>
          <cell r="AQ155" t="str">
            <v>Light steel frame structures</v>
          </cell>
          <cell r="AR155">
            <v>0</v>
          </cell>
          <cell r="AS155">
            <v>0</v>
          </cell>
          <cell r="AT155">
            <v>5359</v>
          </cell>
          <cell r="AU155">
            <v>5034</v>
          </cell>
          <cell r="AV155">
            <v>5034</v>
          </cell>
          <cell r="AW155">
            <v>4358</v>
          </cell>
          <cell r="AX155">
            <v>3045</v>
          </cell>
          <cell r="AY155">
            <v>0</v>
          </cell>
          <cell r="AZ155">
            <v>3395</v>
          </cell>
          <cell r="BA155">
            <v>463</v>
          </cell>
          <cell r="BB155">
            <v>463</v>
          </cell>
          <cell r="BC155">
            <v>0</v>
          </cell>
          <cell r="BD155">
            <v>0</v>
          </cell>
          <cell r="BE155">
            <v>1521</v>
          </cell>
          <cell r="BF155">
            <v>640</v>
          </cell>
          <cell r="BG155">
            <v>291</v>
          </cell>
          <cell r="BH155">
            <v>219</v>
          </cell>
          <cell r="BI155" t="str">
            <v>NSET(Rural Housing and Community Infrastructure)</v>
          </cell>
          <cell r="BJ155" t="str">
            <v>ADRA(Rural Housing and Community Infrastructure),ASB(Rural Housing and Community Infrastructure),CW(Education),DCA(Disaster Risk Management,Employment and Livelihood,Health,Rural Housing and Community Infrastructure,Water, Sanitation and Hygiene),FIDR(Education),GON(Rural Housing and Community Infrastructure),HELVETAS(Rural Housing and Community Infrastructure),ICDC(Rural Housing and Community Infrastructure)</v>
          </cell>
          <cell r="BK155">
            <v>111668</v>
          </cell>
          <cell r="BL155" t="str">
            <v>Y</v>
          </cell>
          <cell r="BM155" t="str">
            <v/>
          </cell>
          <cell r="BN155">
            <v>113735</v>
          </cell>
          <cell r="BO155" t="str">
            <v>Y</v>
          </cell>
          <cell r="BP155" t="str">
            <v/>
          </cell>
          <cell r="BQ155">
            <v>11917</v>
          </cell>
          <cell r="BR155" t="str">
            <v>Y</v>
          </cell>
          <cell r="BS155" t="str">
            <v/>
          </cell>
          <cell r="BT155">
            <v>13726</v>
          </cell>
          <cell r="BU155" t="str">
            <v>Y</v>
          </cell>
          <cell r="BV155" t="str">
            <v/>
          </cell>
          <cell r="BW155" t="str">
            <v/>
          </cell>
          <cell r="BX155" t="str">
            <v/>
          </cell>
          <cell r="BY155" t="str">
            <v/>
          </cell>
          <cell r="BZ155">
            <v>377409</v>
          </cell>
          <cell r="CA155" t="str">
            <v/>
          </cell>
          <cell r="CB155" t="str">
            <v/>
          </cell>
          <cell r="CC155">
            <v>1212284</v>
          </cell>
          <cell r="CD155" t="str">
            <v>Y</v>
          </cell>
          <cell r="CE155" t="str">
            <v/>
          </cell>
          <cell r="CF155">
            <v>15426</v>
          </cell>
          <cell r="CG155" t="str">
            <v>Y</v>
          </cell>
          <cell r="CH155" t="str">
            <v/>
          </cell>
          <cell r="CI155">
            <v>1227825</v>
          </cell>
          <cell r="CJ155" t="str">
            <v>Y</v>
          </cell>
          <cell r="CK155" t="str">
            <v/>
          </cell>
          <cell r="CL155" t="str">
            <v>Skilled</v>
          </cell>
          <cell r="CM155" t="str">
            <v/>
          </cell>
          <cell r="CN155" t="str">
            <v>Labor</v>
          </cell>
          <cell r="CO155" t="str">
            <v/>
          </cell>
          <cell r="CP155" t="str">
            <v/>
          </cell>
          <cell r="CQ155" t="str">
            <v/>
          </cell>
          <cell r="CR155" t="str">
            <v/>
          </cell>
          <cell r="CS155" t="str">
            <v/>
          </cell>
          <cell r="CT155" t="str">
            <v/>
          </cell>
          <cell r="CU155" t="str">
            <v/>
          </cell>
          <cell r="CV155" t="str">
            <v>Municipal Office</v>
          </cell>
          <cell r="CW155" t="str">
            <v>Premnath Silwal</v>
          </cell>
          <cell r="CX155" t="str">
            <v>Mayor</v>
          </cell>
          <cell r="CY155">
            <v>9851200578</v>
          </cell>
          <cell r="CZ155" t="str">
            <v>Municipal Office</v>
          </cell>
          <cell r="DA155" t="str">
            <v>Kamala Sharma</v>
          </cell>
          <cell r="DB155" t="str">
            <v>Deputy Mayor</v>
          </cell>
          <cell r="DC155">
            <v>9841614292</v>
          </cell>
          <cell r="DD155" t="str">
            <v>Municipal Office</v>
          </cell>
          <cell r="DE155" t="str">
            <v/>
          </cell>
          <cell r="DF155" t="str">
            <v>Adminstration Officer</v>
          </cell>
          <cell r="DG155" t="str">
            <v/>
          </cell>
          <cell r="DH155" t="str">
            <v>NRA/GMALI</v>
          </cell>
          <cell r="DI155" t="str">
            <v>Rajendra K. C.</v>
          </cell>
          <cell r="DJ155" t="str">
            <v>NRA Chief-District</v>
          </cell>
          <cell r="DK155">
            <v>9851213604</v>
          </cell>
          <cell r="DL155" t="str">
            <v>DLPIU-Building</v>
          </cell>
          <cell r="DM155" t="str">
            <v>Koshnath Adhikari</v>
          </cell>
          <cell r="DN155" t="str">
            <v>DUDBC.DLPIU Chief</v>
          </cell>
          <cell r="DO155" t="str">
            <v/>
          </cell>
          <cell r="DP155" t="str">
            <v>Municipal Office</v>
          </cell>
          <cell r="DQ155" t="str">
            <v/>
          </cell>
          <cell r="DR155" t="str">
            <v>Focal Person</v>
          </cell>
          <cell r="DS155" t="str">
            <v/>
          </cell>
          <cell r="DT155" t="str">
            <v/>
          </cell>
          <cell r="DU155" t="str">
            <v/>
          </cell>
          <cell r="DV155" t="str">
            <v/>
          </cell>
          <cell r="DW155" t="str">
            <v/>
          </cell>
          <cell r="DX155" t="str">
            <v/>
          </cell>
          <cell r="DY155" t="str">
            <v/>
          </cell>
          <cell r="DZ155" t="str">
            <v/>
          </cell>
          <cell r="EA155" t="str">
            <v/>
          </cell>
          <cell r="EB155" t="str">
            <v/>
          </cell>
          <cell r="EC155" t="str">
            <v/>
          </cell>
          <cell r="ED155" t="str">
            <v/>
          </cell>
          <cell r="EE155" t="str">
            <v/>
          </cell>
          <cell r="EF155" t="str">
            <v/>
          </cell>
          <cell r="EG155" t="str">
            <v/>
          </cell>
          <cell r="EH155" t="str">
            <v/>
          </cell>
          <cell r="EI155" t="str">
            <v/>
          </cell>
          <cell r="EJ155">
            <v>387</v>
          </cell>
          <cell r="EK155">
            <v>491</v>
          </cell>
          <cell r="EL155">
            <v>-104</v>
          </cell>
          <cell r="EM155">
            <v>504</v>
          </cell>
          <cell r="EN155">
            <v>163</v>
          </cell>
          <cell r="EO155">
            <v>341</v>
          </cell>
          <cell r="EP155" t="str">
            <v/>
          </cell>
          <cell r="EQ155" t="str">
            <v>Housing Recovery and Reconstruction Platform</v>
          </cell>
          <cell r="ER155" t="str">
            <v>Prabin Gautam</v>
          </cell>
          <cell r="ES155" t="str">
            <v>District Coordinator</v>
          </cell>
          <cell r="ET155">
            <v>9860687776</v>
          </cell>
          <cell r="EU155" t="str">
            <v>Housing Recovery and Reconstruction Platform</v>
          </cell>
          <cell r="EV155" t="str">
            <v/>
          </cell>
          <cell r="EW155" t="str">
            <v>DIstrict Information Management Officer</v>
          </cell>
          <cell r="EX155" t="str">
            <v/>
          </cell>
          <cell r="EY155" t="str">
            <v>Housing Recovery and Reconstruction Platform</v>
          </cell>
          <cell r="EZ155" t="str">
            <v>Sachin Sapkota</v>
          </cell>
          <cell r="FA155" t="str">
            <v>District Technical Officer</v>
          </cell>
          <cell r="FB155">
            <v>9847621292</v>
          </cell>
        </row>
        <row r="156">
          <cell r="A156">
            <v>30012</v>
          </cell>
          <cell r="B156" t="str">
            <v>Dhading</v>
          </cell>
          <cell r="C156" t="str">
            <v>Thakre Gaunpalika</v>
          </cell>
          <cell r="D156">
            <v>964</v>
          </cell>
          <cell r="E156">
            <v>7053</v>
          </cell>
          <cell r="F156">
            <v>8017</v>
          </cell>
          <cell r="G156" t="str">
            <v>Stone and cement mortar masonry</v>
          </cell>
          <cell r="H156">
            <v>1.32</v>
          </cell>
          <cell r="I156">
            <v>1.1000000000000001</v>
          </cell>
          <cell r="J156" t="str">
            <v>Stone and Mud Mortar Masonary</v>
          </cell>
          <cell r="K156">
            <v>85.72</v>
          </cell>
          <cell r="L156">
            <v>85.43</v>
          </cell>
          <cell r="M156" t="str">
            <v>Brick and Cement Mortar Masonary</v>
          </cell>
          <cell r="N156">
            <v>4.6500000000000004</v>
          </cell>
          <cell r="O156">
            <v>3.73</v>
          </cell>
          <cell r="P156" t="str">
            <v>Brick and mud mortar Masonry</v>
          </cell>
          <cell r="Q156">
            <v>0.56999999999999995</v>
          </cell>
          <cell r="R156">
            <v>0.48</v>
          </cell>
          <cell r="S156" t="str">
            <v>Reinforced cement concrete (RCC) frame</v>
          </cell>
          <cell r="T156">
            <v>2.75</v>
          </cell>
          <cell r="U156">
            <v>3.25</v>
          </cell>
          <cell r="V156" t="str">
            <v>Hybrid structure</v>
          </cell>
          <cell r="W156">
            <v>0</v>
          </cell>
          <cell r="X156">
            <v>0</v>
          </cell>
          <cell r="Y156" t="str">
            <v>Timber frame structure</v>
          </cell>
          <cell r="Z156">
            <v>0.46</v>
          </cell>
          <cell r="AA156">
            <v>0.64</v>
          </cell>
          <cell r="AB156" t="str">
            <v>Hollow concrete block Masonry</v>
          </cell>
          <cell r="AC156">
            <v>0</v>
          </cell>
          <cell r="AD156">
            <v>0</v>
          </cell>
          <cell r="AE156" t="str">
            <v>Dry stone Masonry</v>
          </cell>
          <cell r="AF156">
            <v>0.16</v>
          </cell>
          <cell r="AG156">
            <v>1.79</v>
          </cell>
          <cell r="AH156" t="str">
            <v>Adobe structures</v>
          </cell>
          <cell r="AI156">
            <v>4.18</v>
          </cell>
          <cell r="AJ156">
            <v>3.32</v>
          </cell>
          <cell r="AK156" t="str">
            <v>Bamboo</v>
          </cell>
          <cell r="AL156">
            <v>0.17</v>
          </cell>
          <cell r="AM156">
            <v>0.25</v>
          </cell>
          <cell r="AN156" t="str">
            <v>Compressed stabilized earth block (SCEB) Masonry</v>
          </cell>
          <cell r="AO156">
            <v>0</v>
          </cell>
          <cell r="AP156">
            <v>0</v>
          </cell>
          <cell r="AQ156" t="str">
            <v>Light steel frame structures</v>
          </cell>
          <cell r="AR156">
            <v>0</v>
          </cell>
          <cell r="AS156">
            <v>0</v>
          </cell>
          <cell r="AT156">
            <v>6384</v>
          </cell>
          <cell r="AU156">
            <v>6024</v>
          </cell>
          <cell r="AV156">
            <v>6024</v>
          </cell>
          <cell r="AW156">
            <v>4753</v>
          </cell>
          <cell r="AX156">
            <v>2751</v>
          </cell>
          <cell r="AY156">
            <v>0</v>
          </cell>
          <cell r="AZ156">
            <v>3419</v>
          </cell>
          <cell r="BA156">
            <v>255</v>
          </cell>
          <cell r="BB156">
            <v>255</v>
          </cell>
          <cell r="BC156">
            <v>10</v>
          </cell>
          <cell r="BD156">
            <v>0</v>
          </cell>
          <cell r="BE156">
            <v>1310</v>
          </cell>
          <cell r="BF156">
            <v>341</v>
          </cell>
          <cell r="BG156">
            <v>275</v>
          </cell>
          <cell r="BH156">
            <v>160</v>
          </cell>
          <cell r="BI156" t="str">
            <v>NSET(Rural Housing and Community Infrastructure),RoomTR(Education)</v>
          </cell>
          <cell r="BJ156" t="str">
            <v>ADRA(Rural Housing and Community Infrastructure),COSAN(Education),DCA(Disaster Risk Management,Water, Sanitation and Hygiene),GON - DUDBC(Rural Housing and Community Infrastructure),GON-PAF(Rural Housing and Community Infrastructure),Nyayik(Agriculture, Livestock Development and Irrigation,Education,Gender Equality and Social Inclusion),SCI(Disaster Risk Management,Education,Rural Housing and Community Infrastructure,Social Protection,Water, Sanitation and Hygiene)</v>
          </cell>
          <cell r="BK156">
            <v>144826</v>
          </cell>
          <cell r="BL156" t="str">
            <v>Y</v>
          </cell>
          <cell r="BM156" t="str">
            <v/>
          </cell>
          <cell r="BN156">
            <v>134554</v>
          </cell>
          <cell r="BO156" t="str">
            <v>Y</v>
          </cell>
          <cell r="BP156" t="str">
            <v/>
          </cell>
          <cell r="BQ156">
            <v>15336</v>
          </cell>
          <cell r="BR156" t="str">
            <v>Y</v>
          </cell>
          <cell r="BS156" t="str">
            <v/>
          </cell>
          <cell r="BT156">
            <v>17227</v>
          </cell>
          <cell r="BU156" t="str">
            <v>Y</v>
          </cell>
          <cell r="BV156" t="str">
            <v/>
          </cell>
          <cell r="BW156" t="str">
            <v/>
          </cell>
          <cell r="BX156" t="str">
            <v/>
          </cell>
          <cell r="BY156" t="str">
            <v/>
          </cell>
          <cell r="BZ156">
            <v>449943</v>
          </cell>
          <cell r="CA156" t="str">
            <v/>
          </cell>
          <cell r="CB156" t="str">
            <v/>
          </cell>
          <cell r="CC156">
            <v>1593460</v>
          </cell>
          <cell r="CD156" t="str">
            <v>Y</v>
          </cell>
          <cell r="CE156" t="str">
            <v/>
          </cell>
          <cell r="CF156">
            <v>18378</v>
          </cell>
          <cell r="CG156" t="str">
            <v>Y</v>
          </cell>
          <cell r="CH156" t="str">
            <v/>
          </cell>
          <cell r="CI156">
            <v>2738207</v>
          </cell>
          <cell r="CJ156" t="str">
            <v>Y</v>
          </cell>
          <cell r="CK156" t="str">
            <v/>
          </cell>
          <cell r="CL156" t="str">
            <v>Skilled</v>
          </cell>
          <cell r="CM156" t="str">
            <v/>
          </cell>
          <cell r="CN156" t="str">
            <v>Labor</v>
          </cell>
          <cell r="CO156" t="str">
            <v/>
          </cell>
          <cell r="CP156" t="str">
            <v/>
          </cell>
          <cell r="CQ156" t="str">
            <v/>
          </cell>
          <cell r="CR156" t="str">
            <v/>
          </cell>
          <cell r="CS156" t="str">
            <v/>
          </cell>
          <cell r="CT156" t="str">
            <v/>
          </cell>
          <cell r="CU156" t="str">
            <v/>
          </cell>
          <cell r="CV156" t="str">
            <v>Municipal Office</v>
          </cell>
          <cell r="CW156" t="str">
            <v>Ram Kumar Acharya</v>
          </cell>
          <cell r="CX156" t="str">
            <v>Mayor</v>
          </cell>
          <cell r="CY156">
            <v>9851011682</v>
          </cell>
          <cell r="CZ156" t="str">
            <v>Municipal Office</v>
          </cell>
          <cell r="DA156" t="str">
            <v>Ambika Rupakheti</v>
          </cell>
          <cell r="DB156" t="str">
            <v>Deputy Mayor</v>
          </cell>
          <cell r="DC156">
            <v>9849567020</v>
          </cell>
          <cell r="DD156" t="str">
            <v>Municipal Office</v>
          </cell>
          <cell r="DE156" t="str">
            <v/>
          </cell>
          <cell r="DF156" t="str">
            <v>Adminstration Officer</v>
          </cell>
          <cell r="DG156" t="str">
            <v/>
          </cell>
          <cell r="DH156" t="str">
            <v>NRA/GMALI</v>
          </cell>
          <cell r="DI156" t="str">
            <v>Rajendra K. C.</v>
          </cell>
          <cell r="DJ156" t="str">
            <v>NRA Chief-District</v>
          </cell>
          <cell r="DK156">
            <v>9851213604</v>
          </cell>
          <cell r="DL156" t="str">
            <v>DLPIU-Building</v>
          </cell>
          <cell r="DM156" t="str">
            <v>Koshnath Adhikari</v>
          </cell>
          <cell r="DN156" t="str">
            <v>DUDBC.DLPIU Chief</v>
          </cell>
          <cell r="DO156" t="str">
            <v/>
          </cell>
          <cell r="DP156" t="str">
            <v>Municipal Office</v>
          </cell>
          <cell r="DQ156" t="str">
            <v/>
          </cell>
          <cell r="DR156" t="str">
            <v>Focal Person</v>
          </cell>
          <cell r="DS156" t="str">
            <v/>
          </cell>
          <cell r="DT156" t="str">
            <v/>
          </cell>
          <cell r="DU156" t="str">
            <v/>
          </cell>
          <cell r="DV156" t="str">
            <v/>
          </cell>
          <cell r="DW156" t="str">
            <v/>
          </cell>
          <cell r="DX156" t="str">
            <v/>
          </cell>
          <cell r="DY156" t="str">
            <v/>
          </cell>
          <cell r="DZ156" t="str">
            <v/>
          </cell>
          <cell r="EA156" t="str">
            <v/>
          </cell>
          <cell r="EB156" t="str">
            <v/>
          </cell>
          <cell r="EC156" t="str">
            <v/>
          </cell>
          <cell r="ED156" t="str">
            <v/>
          </cell>
          <cell r="EE156" t="str">
            <v/>
          </cell>
          <cell r="EF156" t="str">
            <v/>
          </cell>
          <cell r="EG156" t="str">
            <v/>
          </cell>
          <cell r="EH156" t="str">
            <v/>
          </cell>
          <cell r="EI156" t="str">
            <v/>
          </cell>
          <cell r="EJ156">
            <v>499</v>
          </cell>
          <cell r="EK156">
            <v>220</v>
          </cell>
          <cell r="EL156">
            <v>279</v>
          </cell>
          <cell r="EM156">
            <v>646</v>
          </cell>
          <cell r="EN156">
            <v>0</v>
          </cell>
          <cell r="EO156">
            <v>646</v>
          </cell>
          <cell r="EP156" t="str">
            <v/>
          </cell>
          <cell r="EQ156" t="str">
            <v>Housing Recovery and Reconstruction Platform</v>
          </cell>
          <cell r="ER156" t="str">
            <v>Prabin Gautam</v>
          </cell>
          <cell r="ES156" t="str">
            <v>District Coordinator</v>
          </cell>
          <cell r="ET156">
            <v>9860687776</v>
          </cell>
          <cell r="EU156" t="str">
            <v>Housing Recovery and Reconstruction Platform</v>
          </cell>
          <cell r="EV156" t="str">
            <v/>
          </cell>
          <cell r="EW156" t="str">
            <v>DIstrict Information Management Officer</v>
          </cell>
          <cell r="EX156" t="str">
            <v/>
          </cell>
          <cell r="EY156" t="str">
            <v>Housing Recovery and Reconstruction Platform</v>
          </cell>
          <cell r="EZ156" t="str">
            <v>Sachin Sapkota</v>
          </cell>
          <cell r="FA156" t="str">
            <v>District Technical Officer</v>
          </cell>
          <cell r="FB156">
            <v>9847621292</v>
          </cell>
        </row>
        <row r="157">
          <cell r="A157">
            <v>30013</v>
          </cell>
          <cell r="B157" t="str">
            <v>Dhading</v>
          </cell>
          <cell r="C157" t="str">
            <v>Tripura Sundari Gaunpalika</v>
          </cell>
          <cell r="D157">
            <v>685</v>
          </cell>
          <cell r="E157">
            <v>5983</v>
          </cell>
          <cell r="F157">
            <v>6668</v>
          </cell>
          <cell r="G157" t="str">
            <v>Stone and cement mortar masonry</v>
          </cell>
          <cell r="H157">
            <v>4.26</v>
          </cell>
          <cell r="I157">
            <v>1.1000000000000001</v>
          </cell>
          <cell r="J157" t="str">
            <v>Stone and Mud Mortar Masonary</v>
          </cell>
          <cell r="K157">
            <v>82.81</v>
          </cell>
          <cell r="L157">
            <v>85.43</v>
          </cell>
          <cell r="M157" t="str">
            <v>Brick and Cement Mortar Masonary</v>
          </cell>
          <cell r="N157">
            <v>5.39</v>
          </cell>
          <cell r="O157">
            <v>3.73</v>
          </cell>
          <cell r="P157" t="str">
            <v>Brick and mud mortar Masonry</v>
          </cell>
          <cell r="Q157">
            <v>3.3</v>
          </cell>
          <cell r="R157">
            <v>0.48</v>
          </cell>
          <cell r="S157" t="str">
            <v>Reinforced cement concrete (RCC) frame</v>
          </cell>
          <cell r="T157">
            <v>2.27</v>
          </cell>
          <cell r="U157">
            <v>3.25</v>
          </cell>
          <cell r="V157" t="str">
            <v>Hybrid structure</v>
          </cell>
          <cell r="W157">
            <v>0</v>
          </cell>
          <cell r="X157">
            <v>0</v>
          </cell>
          <cell r="Y157" t="str">
            <v>Timber frame structure</v>
          </cell>
          <cell r="Z157">
            <v>0.47</v>
          </cell>
          <cell r="AA157">
            <v>0.64</v>
          </cell>
          <cell r="AB157" t="str">
            <v>Hollow concrete block Masonry</v>
          </cell>
          <cell r="AC157">
            <v>0</v>
          </cell>
          <cell r="AD157">
            <v>0</v>
          </cell>
          <cell r="AE157" t="str">
            <v>Dry stone Masonry</v>
          </cell>
          <cell r="AF157">
            <v>0.11</v>
          </cell>
          <cell r="AG157">
            <v>1.79</v>
          </cell>
          <cell r="AH157" t="str">
            <v>Adobe structures</v>
          </cell>
          <cell r="AI157">
            <v>0.33</v>
          </cell>
          <cell r="AJ157">
            <v>3.32</v>
          </cell>
          <cell r="AK157" t="str">
            <v>Bamboo</v>
          </cell>
          <cell r="AL157">
            <v>1.07</v>
          </cell>
          <cell r="AM157">
            <v>0.25</v>
          </cell>
          <cell r="AN157" t="str">
            <v>Compressed stabilized earth block (SCEB) Masonry</v>
          </cell>
          <cell r="AO157">
            <v>0</v>
          </cell>
          <cell r="AP157">
            <v>0</v>
          </cell>
          <cell r="AQ157" t="str">
            <v>Light steel frame structures</v>
          </cell>
          <cell r="AR157">
            <v>0</v>
          </cell>
          <cell r="AS157">
            <v>0</v>
          </cell>
          <cell r="AT157">
            <v>5697</v>
          </cell>
          <cell r="AU157">
            <v>5561</v>
          </cell>
          <cell r="AV157">
            <v>5561</v>
          </cell>
          <cell r="AW157">
            <v>4878</v>
          </cell>
          <cell r="AX157">
            <v>3334</v>
          </cell>
          <cell r="AY157">
            <v>0</v>
          </cell>
          <cell r="AZ157">
            <v>3499</v>
          </cell>
          <cell r="BA157">
            <v>215</v>
          </cell>
          <cell r="BB157">
            <v>215</v>
          </cell>
          <cell r="BC157">
            <v>10</v>
          </cell>
          <cell r="BD157">
            <v>0</v>
          </cell>
          <cell r="BE157">
            <v>1002</v>
          </cell>
          <cell r="BF157">
            <v>785</v>
          </cell>
          <cell r="BG157">
            <v>144</v>
          </cell>
          <cell r="BH157">
            <v>126</v>
          </cell>
          <cell r="BI157" t="str">
            <v>CARE-N(Agriculture, Livestock Development and Irrigation,Disaster Risk Management,Gender Equality and Social Inclusion,Rural Housing and Community Infrastructure,Water, Sanitation and Hygiene),NSET(Rural Housing and Community Infrastructure),TukeeSN(Education)</v>
          </cell>
          <cell r="BJ157" t="str">
            <v>AMDA-M(Rural Housing and Community Infrastructure),GON(Rural Housing and Community Infrastructure),GON - DUDBC(Rural Housing and Community Infrastructure),OXFAM-GB(Rural Housing and Community Infrastructure),WFP(Employment and Livelihood),WHH(Education)</v>
          </cell>
          <cell r="BK157">
            <v>135585</v>
          </cell>
          <cell r="BL157" t="str">
            <v>Y</v>
          </cell>
          <cell r="BM157" t="str">
            <v/>
          </cell>
          <cell r="BN157">
            <v>116106</v>
          </cell>
          <cell r="BO157" t="str">
            <v>Y</v>
          </cell>
          <cell r="BP157" t="str">
            <v/>
          </cell>
          <cell r="BQ157">
            <v>14257</v>
          </cell>
          <cell r="BR157" t="str">
            <v>Y</v>
          </cell>
          <cell r="BS157" t="str">
            <v/>
          </cell>
          <cell r="BT157">
            <v>15649</v>
          </cell>
          <cell r="BU157" t="str">
            <v>Y</v>
          </cell>
          <cell r="BV157" t="str">
            <v/>
          </cell>
          <cell r="BW157" t="str">
            <v/>
          </cell>
          <cell r="BX157" t="str">
            <v/>
          </cell>
          <cell r="BY157" t="str">
            <v/>
          </cell>
          <cell r="BZ157">
            <v>384621</v>
          </cell>
          <cell r="CA157" t="str">
            <v/>
          </cell>
          <cell r="CB157" t="str">
            <v/>
          </cell>
          <cell r="CC157">
            <v>1499209</v>
          </cell>
          <cell r="CD157" t="str">
            <v>Y</v>
          </cell>
          <cell r="CE157" t="str">
            <v/>
          </cell>
          <cell r="CF157">
            <v>15662</v>
          </cell>
          <cell r="CG157" t="str">
            <v>Y</v>
          </cell>
          <cell r="CH157" t="str">
            <v/>
          </cell>
          <cell r="CI157">
            <v>2438617</v>
          </cell>
          <cell r="CJ157" t="str">
            <v>Y</v>
          </cell>
          <cell r="CK157" t="str">
            <v/>
          </cell>
          <cell r="CL157" t="str">
            <v>Skilled</v>
          </cell>
          <cell r="CM157" t="str">
            <v/>
          </cell>
          <cell r="CN157" t="str">
            <v>Labor</v>
          </cell>
          <cell r="CO157" t="str">
            <v/>
          </cell>
          <cell r="CP157" t="str">
            <v/>
          </cell>
          <cell r="CQ157" t="str">
            <v/>
          </cell>
          <cell r="CR157" t="str">
            <v/>
          </cell>
          <cell r="CS157" t="str">
            <v/>
          </cell>
          <cell r="CT157" t="str">
            <v/>
          </cell>
          <cell r="CU157" t="str">
            <v/>
          </cell>
          <cell r="CV157" t="str">
            <v>Municipal Office</v>
          </cell>
          <cell r="CW157" t="str">
            <v>Shambhu Kumar Thapa</v>
          </cell>
          <cell r="CX157" t="str">
            <v>Mayor</v>
          </cell>
          <cell r="CY157">
            <v>9851210443</v>
          </cell>
          <cell r="CZ157" t="str">
            <v>Municipal Office</v>
          </cell>
          <cell r="DA157" t="str">
            <v>Devi Pandey Burlakoti</v>
          </cell>
          <cell r="DB157" t="str">
            <v>Deputy Mayor</v>
          </cell>
          <cell r="DC157">
            <v>9851164887</v>
          </cell>
          <cell r="DD157" t="str">
            <v>Municipal Office</v>
          </cell>
          <cell r="DE157" t="str">
            <v/>
          </cell>
          <cell r="DF157" t="str">
            <v>Adminstration Officer</v>
          </cell>
          <cell r="DG157" t="str">
            <v/>
          </cell>
          <cell r="DH157" t="str">
            <v>NRA/GMALI</v>
          </cell>
          <cell r="DI157" t="str">
            <v>Rajendra K. C.</v>
          </cell>
          <cell r="DJ157" t="str">
            <v>NRA Chief-District</v>
          </cell>
          <cell r="DK157">
            <v>9851213604</v>
          </cell>
          <cell r="DL157" t="str">
            <v>DLPIU-Building</v>
          </cell>
          <cell r="DM157" t="str">
            <v>Koshnath Adhikari</v>
          </cell>
          <cell r="DN157" t="str">
            <v>DUDBC.DLPIU Chief</v>
          </cell>
          <cell r="DO157" t="str">
            <v/>
          </cell>
          <cell r="DP157" t="str">
            <v>Municipal Office</v>
          </cell>
          <cell r="DQ157" t="str">
            <v xml:space="preserve">Suresh Rijal </v>
          </cell>
          <cell r="DR157" t="str">
            <v>Focal Person</v>
          </cell>
          <cell r="DS157">
            <v>9851147748</v>
          </cell>
          <cell r="DT157" t="str">
            <v/>
          </cell>
          <cell r="DU157" t="str">
            <v/>
          </cell>
          <cell r="DV157" t="str">
            <v/>
          </cell>
          <cell r="DW157" t="str">
            <v/>
          </cell>
          <cell r="DX157" t="str">
            <v/>
          </cell>
          <cell r="DY157" t="str">
            <v/>
          </cell>
          <cell r="DZ157" t="str">
            <v/>
          </cell>
          <cell r="EA157" t="str">
            <v/>
          </cell>
          <cell r="EB157" t="str">
            <v/>
          </cell>
          <cell r="EC157" t="str">
            <v/>
          </cell>
          <cell r="ED157" t="str">
            <v/>
          </cell>
          <cell r="EE157" t="str">
            <v/>
          </cell>
          <cell r="EF157" t="str">
            <v/>
          </cell>
          <cell r="EG157" t="str">
            <v/>
          </cell>
          <cell r="EH157" t="str">
            <v/>
          </cell>
          <cell r="EI157" t="str">
            <v/>
          </cell>
          <cell r="EJ157">
            <v>405</v>
          </cell>
          <cell r="EK157">
            <v>330</v>
          </cell>
          <cell r="EL157">
            <v>75</v>
          </cell>
          <cell r="EM157">
            <v>540</v>
          </cell>
          <cell r="EN157">
            <v>20</v>
          </cell>
          <cell r="EO157">
            <v>520</v>
          </cell>
          <cell r="EP157" t="str">
            <v/>
          </cell>
          <cell r="EQ157" t="str">
            <v>Housing Recovery and Reconstruction Platform</v>
          </cell>
          <cell r="ER157" t="str">
            <v>Prabin Gautam</v>
          </cell>
          <cell r="ES157" t="str">
            <v>District Coordinator</v>
          </cell>
          <cell r="ET157">
            <v>9860687776</v>
          </cell>
          <cell r="EU157" t="str">
            <v>Housing Recovery and Reconstruction Platform</v>
          </cell>
          <cell r="EV157" t="str">
            <v/>
          </cell>
          <cell r="EW157" t="str">
            <v>DIstrict Information Management Officer</v>
          </cell>
          <cell r="EX157" t="str">
            <v/>
          </cell>
          <cell r="EY157" t="str">
            <v>Housing Recovery and Reconstruction Platform</v>
          </cell>
          <cell r="EZ157" t="str">
            <v>Sachin Sapkota</v>
          </cell>
          <cell r="FA157" t="str">
            <v>District Technical Officer</v>
          </cell>
          <cell r="FB157">
            <v>9847621292</v>
          </cell>
        </row>
        <row r="158">
          <cell r="A158">
            <v>31001</v>
          </cell>
          <cell r="B158" t="str">
            <v>Makwanpur</v>
          </cell>
          <cell r="C158" t="str">
            <v>Bagmati Gaunpalika</v>
          </cell>
          <cell r="D158">
            <v>3711</v>
          </cell>
          <cell r="E158">
            <v>2328</v>
          </cell>
          <cell r="F158">
            <v>6039</v>
          </cell>
          <cell r="G158" t="str">
            <v>Stone and cement mortar masonry</v>
          </cell>
          <cell r="H158">
            <v>1.66</v>
          </cell>
          <cell r="I158">
            <v>1.32</v>
          </cell>
          <cell r="J158" t="str">
            <v>Stone and Mud Mortar Masonary</v>
          </cell>
          <cell r="K158">
            <v>47.85</v>
          </cell>
          <cell r="L158">
            <v>44.19</v>
          </cell>
          <cell r="M158" t="str">
            <v>Brick and Cement Mortar Masonary</v>
          </cell>
          <cell r="N158">
            <v>3.4</v>
          </cell>
          <cell r="O158">
            <v>26.6</v>
          </cell>
          <cell r="P158" t="str">
            <v>Brick and mud mortar Masonry</v>
          </cell>
          <cell r="Q158">
            <v>0.17</v>
          </cell>
          <cell r="R158">
            <v>2.36</v>
          </cell>
          <cell r="S158" t="str">
            <v>Reinforced cement concrete (RCC) frame</v>
          </cell>
          <cell r="T158">
            <v>0.65</v>
          </cell>
          <cell r="U158">
            <v>5.22</v>
          </cell>
          <cell r="V158" t="str">
            <v>Hybrid structure</v>
          </cell>
          <cell r="W158">
            <v>0</v>
          </cell>
          <cell r="X158">
            <v>0</v>
          </cell>
          <cell r="Y158" t="str">
            <v>Timber frame structure</v>
          </cell>
          <cell r="Z158">
            <v>43.49</v>
          </cell>
          <cell r="AA158">
            <v>16.91</v>
          </cell>
          <cell r="AB158" t="str">
            <v>Hollow concrete block Masonry</v>
          </cell>
          <cell r="AC158">
            <v>0</v>
          </cell>
          <cell r="AD158">
            <v>0</v>
          </cell>
          <cell r="AE158" t="str">
            <v>Dry stone Masonry</v>
          </cell>
          <cell r="AF158">
            <v>1.28</v>
          </cell>
          <cell r="AG158">
            <v>0.22</v>
          </cell>
          <cell r="AH158" t="str">
            <v>Adobe structures</v>
          </cell>
          <cell r="AI158">
            <v>0.15</v>
          </cell>
          <cell r="AJ158">
            <v>2.85</v>
          </cell>
          <cell r="AK158" t="str">
            <v>Bamboo</v>
          </cell>
          <cell r="AL158">
            <v>1.38</v>
          </cell>
          <cell r="AM158">
            <v>0.32</v>
          </cell>
          <cell r="AN158" t="str">
            <v>Compressed stabilized earth block (SCEB) Masonry</v>
          </cell>
          <cell r="AO158">
            <v>0</v>
          </cell>
          <cell r="AP158">
            <v>0</v>
          </cell>
          <cell r="AQ158" t="str">
            <v>Light steel frame structures</v>
          </cell>
          <cell r="AR158">
            <v>0</v>
          </cell>
          <cell r="AS158">
            <v>0</v>
          </cell>
          <cell r="AT158">
            <v>2467</v>
          </cell>
          <cell r="AU158">
            <v>1880</v>
          </cell>
          <cell r="AV158">
            <v>1877</v>
          </cell>
          <cell r="AW158">
            <v>1350</v>
          </cell>
          <cell r="AX158">
            <v>812</v>
          </cell>
          <cell r="AY158">
            <v>1318</v>
          </cell>
          <cell r="AZ158">
            <v>610</v>
          </cell>
          <cell r="BA158">
            <v>1941</v>
          </cell>
          <cell r="BB158">
            <v>532</v>
          </cell>
          <cell r="BC158">
            <v>511</v>
          </cell>
          <cell r="BD158">
            <v>0</v>
          </cell>
          <cell r="BE158">
            <v>3756</v>
          </cell>
          <cell r="BF158">
            <v>3756</v>
          </cell>
          <cell r="BG158">
            <v>79</v>
          </cell>
          <cell r="BH158">
            <v>71</v>
          </cell>
          <cell r="BI158" t="str">
            <v>PIN(Rural Housing and Community Infrastructure)</v>
          </cell>
          <cell r="BJ158" t="str">
            <v>AATWIN(Social Protection),EBMF(Education),FCA(Education),HELVETAS(Rural Housing and Community Infrastructure),Tearfund(Rural Housing and Community Infrastructure)</v>
          </cell>
          <cell r="BK158">
            <v>19010</v>
          </cell>
          <cell r="BL158" t="str">
            <v/>
          </cell>
          <cell r="BM158" t="str">
            <v/>
          </cell>
          <cell r="BN158">
            <v>18100</v>
          </cell>
          <cell r="BO158" t="str">
            <v/>
          </cell>
          <cell r="BP158" t="str">
            <v/>
          </cell>
          <cell r="BQ158">
            <v>2018</v>
          </cell>
          <cell r="BR158" t="str">
            <v/>
          </cell>
          <cell r="BS158" t="str">
            <v/>
          </cell>
          <cell r="BT158">
            <v>2287</v>
          </cell>
          <cell r="BU158" t="str">
            <v/>
          </cell>
          <cell r="BV158" t="str">
            <v/>
          </cell>
          <cell r="BW158" t="str">
            <v/>
          </cell>
          <cell r="BX158" t="str">
            <v/>
          </cell>
          <cell r="BY158" t="str">
            <v/>
          </cell>
          <cell r="BZ158">
            <v>61338</v>
          </cell>
          <cell r="CA158" t="str">
            <v/>
          </cell>
          <cell r="CB158" t="str">
            <v/>
          </cell>
          <cell r="CC158">
            <v>209705</v>
          </cell>
          <cell r="CD158" t="str">
            <v/>
          </cell>
          <cell r="CE158" t="str">
            <v/>
          </cell>
          <cell r="CF158">
            <v>2511</v>
          </cell>
          <cell r="CG158" t="str">
            <v/>
          </cell>
          <cell r="CH158" t="str">
            <v/>
          </cell>
          <cell r="CI158">
            <v>464839</v>
          </cell>
          <cell r="CJ158" t="str">
            <v/>
          </cell>
          <cell r="CK158" t="str">
            <v/>
          </cell>
          <cell r="CL158" t="str">
            <v>Skilled</v>
          </cell>
          <cell r="CM158" t="str">
            <v/>
          </cell>
          <cell r="CN158" t="str">
            <v>Labor</v>
          </cell>
          <cell r="CO158" t="str">
            <v/>
          </cell>
          <cell r="CP158" t="str">
            <v/>
          </cell>
          <cell r="CQ158" t="str">
            <v/>
          </cell>
          <cell r="CR158" t="str">
            <v/>
          </cell>
          <cell r="CS158" t="str">
            <v/>
          </cell>
          <cell r="CT158" t="str">
            <v/>
          </cell>
          <cell r="CU158" t="str">
            <v/>
          </cell>
          <cell r="CV158" t="str">
            <v>Municipal Office</v>
          </cell>
          <cell r="CW158" t="str">
            <v>Sarkesh Ghalan</v>
          </cell>
          <cell r="CX158" t="str">
            <v xml:space="preserve">Chairman </v>
          </cell>
          <cell r="CY158">
            <v>9855088688</v>
          </cell>
          <cell r="CZ158" t="str">
            <v>Municipal Office</v>
          </cell>
          <cell r="DA158" t="str">
            <v>Dhan Maya Syangtan</v>
          </cell>
          <cell r="DB158" t="str">
            <v>Deputy Chairman</v>
          </cell>
          <cell r="DC158">
            <v>9855089688</v>
          </cell>
          <cell r="DD158" t="str">
            <v>Municipal Office</v>
          </cell>
          <cell r="DE158" t="str">
            <v>Raju Aryal</v>
          </cell>
          <cell r="DF158" t="str">
            <v>Chief Adminstration Officer</v>
          </cell>
          <cell r="DG158">
            <v>9855089788</v>
          </cell>
          <cell r="DH158" t="str">
            <v>NRA/GMALI</v>
          </cell>
          <cell r="DI158" t="str">
            <v xml:space="preserve">Som Raj Timilsena </v>
          </cell>
          <cell r="DJ158" t="str">
            <v>NRA Chief-District</v>
          </cell>
          <cell r="DK158">
            <v>9855030632</v>
          </cell>
          <cell r="DL158" t="str">
            <v>DLPIU-Building</v>
          </cell>
          <cell r="DM158" t="str">
            <v xml:space="preserve">Sudip Achrya </v>
          </cell>
          <cell r="DN158" t="str">
            <v>DUDBC.DLPIU Chief</v>
          </cell>
          <cell r="DO158">
            <v>9851153206</v>
          </cell>
          <cell r="DP158" t="str">
            <v>Municipal Office</v>
          </cell>
          <cell r="DQ158" t="str">
            <v>Er.Sudip kasula</v>
          </cell>
          <cell r="DR158" t="str">
            <v>Focal Person</v>
          </cell>
          <cell r="DS158">
            <v>9841754549</v>
          </cell>
          <cell r="DT158" t="str">
            <v/>
          </cell>
          <cell r="DU158" t="str">
            <v/>
          </cell>
          <cell r="DV158" t="str">
            <v/>
          </cell>
          <cell r="DW158" t="str">
            <v/>
          </cell>
          <cell r="DX158" t="str">
            <v/>
          </cell>
          <cell r="DY158" t="str">
            <v/>
          </cell>
          <cell r="DZ158" t="str">
            <v/>
          </cell>
          <cell r="EA158" t="str">
            <v/>
          </cell>
          <cell r="EB158" t="str">
            <v/>
          </cell>
          <cell r="EC158" t="str">
            <v/>
          </cell>
          <cell r="ED158" t="str">
            <v/>
          </cell>
          <cell r="EE158" t="str">
            <v/>
          </cell>
          <cell r="EF158" t="str">
            <v/>
          </cell>
          <cell r="EG158" t="str">
            <v/>
          </cell>
          <cell r="EH158" t="str">
            <v/>
          </cell>
          <cell r="EI158" t="str">
            <v/>
          </cell>
          <cell r="EJ158">
            <v>144</v>
          </cell>
          <cell r="EK158">
            <v>59</v>
          </cell>
          <cell r="EL158">
            <v>85</v>
          </cell>
          <cell r="EM158">
            <v>180</v>
          </cell>
          <cell r="EN158">
            <v>193</v>
          </cell>
          <cell r="EO158">
            <v>-13</v>
          </cell>
          <cell r="EP158" t="str">
            <v/>
          </cell>
          <cell r="EQ158" t="str">
            <v>Housing Recovery and Reconstruction Platform</v>
          </cell>
          <cell r="ER158" t="str">
            <v>Hari Thalang</v>
          </cell>
          <cell r="ES158" t="str">
            <v>District Coordinator</v>
          </cell>
          <cell r="ET158">
            <v>9851224505</v>
          </cell>
          <cell r="EU158" t="str">
            <v>Housing Recovery and Reconstruction Platform</v>
          </cell>
          <cell r="EV158" t="str">
            <v>Nirmal Nepali</v>
          </cell>
          <cell r="EW158" t="str">
            <v>DIstrict Information Management Officer</v>
          </cell>
          <cell r="EX158">
            <v>9848500348</v>
          </cell>
          <cell r="EY158" t="str">
            <v>Housing Recovery and Reconstruction Platform</v>
          </cell>
          <cell r="EZ158" t="str">
            <v xml:space="preserve">Kausal Bist </v>
          </cell>
          <cell r="FA158" t="str">
            <v>District Technical Officer</v>
          </cell>
          <cell r="FB158">
            <v>9849787273</v>
          </cell>
        </row>
        <row r="159">
          <cell r="A159">
            <v>31002</v>
          </cell>
          <cell r="B159" t="str">
            <v>Makwanpur</v>
          </cell>
          <cell r="C159" t="str">
            <v>Bakaiya Gaunpalika</v>
          </cell>
          <cell r="D159">
            <v>4210</v>
          </cell>
          <cell r="E159">
            <v>4383</v>
          </cell>
          <cell r="F159">
            <v>8593</v>
          </cell>
          <cell r="G159" t="str">
            <v>Stone and cement mortar masonry</v>
          </cell>
          <cell r="H159">
            <v>1.37</v>
          </cell>
          <cell r="I159">
            <v>1.32</v>
          </cell>
          <cell r="J159" t="str">
            <v>Stone and Mud Mortar Masonary</v>
          </cell>
          <cell r="K159">
            <v>49.01</v>
          </cell>
          <cell r="L159">
            <v>44.19</v>
          </cell>
          <cell r="M159" t="str">
            <v>Brick and Cement Mortar Masonary</v>
          </cell>
          <cell r="N159">
            <v>9.0399999999999991</v>
          </cell>
          <cell r="O159">
            <v>26.6</v>
          </cell>
          <cell r="P159" t="str">
            <v>Brick and mud mortar Masonry</v>
          </cell>
          <cell r="Q159">
            <v>0.11</v>
          </cell>
          <cell r="R159">
            <v>2.36</v>
          </cell>
          <cell r="S159" t="str">
            <v>Reinforced cement concrete (RCC) frame</v>
          </cell>
          <cell r="T159">
            <v>1.1599999999999999</v>
          </cell>
          <cell r="U159">
            <v>5.22</v>
          </cell>
          <cell r="V159" t="str">
            <v>Hybrid structure</v>
          </cell>
          <cell r="W159">
            <v>0</v>
          </cell>
          <cell r="X159">
            <v>0</v>
          </cell>
          <cell r="Y159" t="str">
            <v>Timber frame structure</v>
          </cell>
          <cell r="Z159">
            <v>37.96</v>
          </cell>
          <cell r="AA159">
            <v>16.91</v>
          </cell>
          <cell r="AB159" t="str">
            <v>Hollow concrete block Masonry</v>
          </cell>
          <cell r="AC159">
            <v>0</v>
          </cell>
          <cell r="AD159">
            <v>0</v>
          </cell>
          <cell r="AE159" t="str">
            <v>Dry stone Masonry</v>
          </cell>
          <cell r="AF159">
            <v>0.12</v>
          </cell>
          <cell r="AG159">
            <v>0.22</v>
          </cell>
          <cell r="AH159" t="str">
            <v>Adobe structures</v>
          </cell>
          <cell r="AI159">
            <v>0.96</v>
          </cell>
          <cell r="AJ159">
            <v>2.85</v>
          </cell>
          <cell r="AK159" t="str">
            <v>Bamboo</v>
          </cell>
          <cell r="AL159">
            <v>0.28000000000000003</v>
          </cell>
          <cell r="AM159">
            <v>0.32</v>
          </cell>
          <cell r="AN159" t="str">
            <v>Compressed stabilized earth block (SCEB) Masonry</v>
          </cell>
          <cell r="AO159">
            <v>0</v>
          </cell>
          <cell r="AP159">
            <v>0</v>
          </cell>
          <cell r="AQ159" t="str">
            <v>Light steel frame structures</v>
          </cell>
          <cell r="AR159">
            <v>0</v>
          </cell>
          <cell r="AS159">
            <v>0</v>
          </cell>
          <cell r="AT159">
            <v>3990</v>
          </cell>
          <cell r="AU159">
            <v>2393</v>
          </cell>
          <cell r="AV159">
            <v>2310</v>
          </cell>
          <cell r="AW159">
            <v>1583</v>
          </cell>
          <cell r="AX159">
            <v>623</v>
          </cell>
          <cell r="AY159">
            <v>1594</v>
          </cell>
          <cell r="AZ159">
            <v>405</v>
          </cell>
          <cell r="BA159">
            <v>1616</v>
          </cell>
          <cell r="BB159">
            <v>404</v>
          </cell>
          <cell r="BC159">
            <v>254</v>
          </cell>
          <cell r="BD159">
            <v>0</v>
          </cell>
          <cell r="BE159">
            <v>3893</v>
          </cell>
          <cell r="BF159">
            <v>3893</v>
          </cell>
          <cell r="BG159">
            <v>316</v>
          </cell>
          <cell r="BH159">
            <v>311</v>
          </cell>
          <cell r="BI159" t="str">
            <v/>
          </cell>
          <cell r="BJ159" t="str">
            <v>BNMT(Health),CARE-N(Education),EBMF(Education),FCA(Education),HELVETAS(Rural Housing and Community Infrastructure),PLAN(Education,Gender Equality and Social Inclusion,Rural Housing and Community Infrastructure,Social Protection),Tearfund(Rural Housing and Community Infrastructure)</v>
          </cell>
          <cell r="BK159">
            <v>22023</v>
          </cell>
          <cell r="BL159" t="str">
            <v/>
          </cell>
          <cell r="BM159" t="str">
            <v/>
          </cell>
          <cell r="BN159">
            <v>19925</v>
          </cell>
          <cell r="BO159" t="str">
            <v/>
          </cell>
          <cell r="BP159" t="str">
            <v/>
          </cell>
          <cell r="BQ159">
            <v>2329</v>
          </cell>
          <cell r="BR159" t="str">
            <v/>
          </cell>
          <cell r="BS159" t="str">
            <v/>
          </cell>
          <cell r="BT159">
            <v>2603</v>
          </cell>
          <cell r="BU159" t="str">
            <v/>
          </cell>
          <cell r="BV159" t="str">
            <v/>
          </cell>
          <cell r="BW159" t="str">
            <v/>
          </cell>
          <cell r="BX159" t="str">
            <v/>
          </cell>
          <cell r="BY159" t="str">
            <v/>
          </cell>
          <cell r="BZ159">
            <v>67880</v>
          </cell>
          <cell r="CA159" t="str">
            <v/>
          </cell>
          <cell r="CB159" t="str">
            <v/>
          </cell>
          <cell r="CC159">
            <v>244661</v>
          </cell>
          <cell r="CD159" t="str">
            <v/>
          </cell>
          <cell r="CE159" t="str">
            <v/>
          </cell>
          <cell r="CF159">
            <v>2779</v>
          </cell>
          <cell r="CG159" t="str">
            <v/>
          </cell>
          <cell r="CH159" t="str">
            <v/>
          </cell>
          <cell r="CI159">
            <v>631415</v>
          </cell>
          <cell r="CJ159" t="str">
            <v/>
          </cell>
          <cell r="CK159" t="str">
            <v/>
          </cell>
          <cell r="CL159" t="str">
            <v>Skilled</v>
          </cell>
          <cell r="CM159" t="str">
            <v/>
          </cell>
          <cell r="CN159" t="str">
            <v>Labor</v>
          </cell>
          <cell r="CO159" t="str">
            <v/>
          </cell>
          <cell r="CP159" t="str">
            <v/>
          </cell>
          <cell r="CQ159" t="str">
            <v/>
          </cell>
          <cell r="CR159" t="str">
            <v/>
          </cell>
          <cell r="CS159" t="str">
            <v/>
          </cell>
          <cell r="CT159" t="str">
            <v/>
          </cell>
          <cell r="CU159" t="str">
            <v/>
          </cell>
          <cell r="CV159" t="str">
            <v>Municipal Office</v>
          </cell>
          <cell r="CW159" t="str">
            <v>Damodar Khanal</v>
          </cell>
          <cell r="CX159" t="str">
            <v xml:space="preserve">Chairman </v>
          </cell>
          <cell r="CY159">
            <v>9855070697</v>
          </cell>
          <cell r="CZ159" t="str">
            <v>Municipal Office</v>
          </cell>
          <cell r="DA159" t="str">
            <v>Sarala Bolakhe</v>
          </cell>
          <cell r="DB159" t="str">
            <v>Deputy Chairman</v>
          </cell>
          <cell r="DC159">
            <v>9845456973</v>
          </cell>
          <cell r="DD159" t="str">
            <v>Municipal Office</v>
          </cell>
          <cell r="DE159" t="str">
            <v>Khemraj Sapkota</v>
          </cell>
          <cell r="DF159" t="str">
            <v>Chief Adminstration Officer</v>
          </cell>
          <cell r="DG159">
            <v>9855088066</v>
          </cell>
          <cell r="DH159" t="str">
            <v>NRA/GMALI</v>
          </cell>
          <cell r="DI159" t="str">
            <v xml:space="preserve">Som Raj Timilsena </v>
          </cell>
          <cell r="DJ159" t="str">
            <v>NRA Chief-District</v>
          </cell>
          <cell r="DK159">
            <v>9855030632</v>
          </cell>
          <cell r="DL159" t="str">
            <v>DLPIU-Building</v>
          </cell>
          <cell r="DM159" t="str">
            <v xml:space="preserve">Sudip Achrya </v>
          </cell>
          <cell r="DN159" t="str">
            <v>DUDBC.DLPIU Chief</v>
          </cell>
          <cell r="DO159">
            <v>9851153206</v>
          </cell>
          <cell r="DP159" t="str">
            <v>Municipal Office</v>
          </cell>
          <cell r="DQ159" t="str">
            <v xml:space="preserve">Er.Prakash Bhandari </v>
          </cell>
          <cell r="DR159" t="str">
            <v>Focal Person</v>
          </cell>
          <cell r="DS159">
            <v>9841765045</v>
          </cell>
          <cell r="DT159" t="str">
            <v/>
          </cell>
          <cell r="DU159" t="str">
            <v/>
          </cell>
          <cell r="DV159" t="str">
            <v/>
          </cell>
          <cell r="DW159" t="str">
            <v/>
          </cell>
          <cell r="DX159" t="str">
            <v/>
          </cell>
          <cell r="DY159" t="str">
            <v/>
          </cell>
          <cell r="DZ159" t="str">
            <v/>
          </cell>
          <cell r="EA159" t="str">
            <v/>
          </cell>
          <cell r="EB159" t="str">
            <v/>
          </cell>
          <cell r="EC159" t="str">
            <v/>
          </cell>
          <cell r="ED159" t="str">
            <v/>
          </cell>
          <cell r="EE159" t="str">
            <v/>
          </cell>
          <cell r="EF159" t="str">
            <v/>
          </cell>
          <cell r="EG159" t="str">
            <v/>
          </cell>
          <cell r="EH159" t="str">
            <v/>
          </cell>
          <cell r="EI159" t="str">
            <v/>
          </cell>
          <cell r="EJ159">
            <v>288</v>
          </cell>
          <cell r="EK159">
            <v>51</v>
          </cell>
          <cell r="EL159">
            <v>237</v>
          </cell>
          <cell r="EM159">
            <v>360</v>
          </cell>
          <cell r="EN159">
            <v>254</v>
          </cell>
          <cell r="EO159">
            <v>106</v>
          </cell>
          <cell r="EP159" t="str">
            <v/>
          </cell>
          <cell r="EQ159" t="str">
            <v>Housing Recovery and Reconstruction Platform</v>
          </cell>
          <cell r="ER159" t="str">
            <v>Hari Thalang</v>
          </cell>
          <cell r="ES159" t="str">
            <v>District Coordinator</v>
          </cell>
          <cell r="ET159">
            <v>9851224505</v>
          </cell>
          <cell r="EU159" t="str">
            <v>Housing Recovery and Reconstruction Platform</v>
          </cell>
          <cell r="EV159" t="str">
            <v>Nirmal Nepali</v>
          </cell>
          <cell r="EW159" t="str">
            <v>DIstrict Information Management Officer</v>
          </cell>
          <cell r="EX159">
            <v>9848500348</v>
          </cell>
          <cell r="EY159" t="str">
            <v>Housing Recovery and Reconstruction Platform</v>
          </cell>
          <cell r="EZ159" t="str">
            <v xml:space="preserve">Kausal Bist </v>
          </cell>
          <cell r="FA159" t="str">
            <v>District Technical Officer</v>
          </cell>
          <cell r="FB159">
            <v>9849787273</v>
          </cell>
        </row>
        <row r="160">
          <cell r="A160">
            <v>31003</v>
          </cell>
          <cell r="B160" t="str">
            <v>Makwanpur</v>
          </cell>
          <cell r="C160" t="str">
            <v>Bhimphedi Gaunpalika</v>
          </cell>
          <cell r="D160">
            <v>1910</v>
          </cell>
          <cell r="E160">
            <v>3326</v>
          </cell>
          <cell r="F160">
            <v>5236</v>
          </cell>
          <cell r="G160" t="str">
            <v>Stone and cement mortar masonry</v>
          </cell>
          <cell r="H160">
            <v>3.05</v>
          </cell>
          <cell r="I160">
            <v>1.32</v>
          </cell>
          <cell r="J160" t="str">
            <v>Stone and Mud Mortar Masonary</v>
          </cell>
          <cell r="K160">
            <v>73.180000000000007</v>
          </cell>
          <cell r="L160">
            <v>44.19</v>
          </cell>
          <cell r="M160" t="str">
            <v>Brick and Cement Mortar Masonary</v>
          </cell>
          <cell r="N160">
            <v>4.53</v>
          </cell>
          <cell r="O160">
            <v>26.6</v>
          </cell>
          <cell r="P160" t="str">
            <v>Brick and mud mortar Masonry</v>
          </cell>
          <cell r="Q160">
            <v>0.28999999999999998</v>
          </cell>
          <cell r="R160">
            <v>2.36</v>
          </cell>
          <cell r="S160" t="str">
            <v>Reinforced cement concrete (RCC) frame</v>
          </cell>
          <cell r="T160">
            <v>0.42</v>
          </cell>
          <cell r="U160">
            <v>5.22</v>
          </cell>
          <cell r="V160" t="str">
            <v>Hybrid structure</v>
          </cell>
          <cell r="W160">
            <v>0</v>
          </cell>
          <cell r="X160">
            <v>0</v>
          </cell>
          <cell r="Y160" t="str">
            <v>Timber frame structure</v>
          </cell>
          <cell r="Z160">
            <v>4.88</v>
          </cell>
          <cell r="AA160">
            <v>16.91</v>
          </cell>
          <cell r="AB160" t="str">
            <v>Hollow concrete block Masonry</v>
          </cell>
          <cell r="AC160">
            <v>0</v>
          </cell>
          <cell r="AD160">
            <v>0</v>
          </cell>
          <cell r="AE160" t="str">
            <v>Dry stone Masonry</v>
          </cell>
          <cell r="AF160">
            <v>0.52</v>
          </cell>
          <cell r="AG160">
            <v>0.22</v>
          </cell>
          <cell r="AH160" t="str">
            <v>Adobe structures</v>
          </cell>
          <cell r="AI160">
            <v>12.73</v>
          </cell>
          <cell r="AJ160">
            <v>2.85</v>
          </cell>
          <cell r="AK160" t="str">
            <v>Bamboo</v>
          </cell>
          <cell r="AL160">
            <v>0.4</v>
          </cell>
          <cell r="AM160">
            <v>0.32</v>
          </cell>
          <cell r="AN160" t="str">
            <v>Compressed stabilized earth block (SCEB) Masonry</v>
          </cell>
          <cell r="AO160">
            <v>0</v>
          </cell>
          <cell r="AP160">
            <v>0</v>
          </cell>
          <cell r="AQ160" t="str">
            <v>Light steel frame structures</v>
          </cell>
          <cell r="AR160">
            <v>0</v>
          </cell>
          <cell r="AS160">
            <v>0</v>
          </cell>
          <cell r="AT160">
            <v>2696</v>
          </cell>
          <cell r="AU160">
            <v>2114</v>
          </cell>
          <cell r="AV160">
            <v>2099</v>
          </cell>
          <cell r="AW160">
            <v>2016</v>
          </cell>
          <cell r="AX160">
            <v>1613</v>
          </cell>
          <cell r="AY160">
            <v>2126</v>
          </cell>
          <cell r="AZ160">
            <v>1410</v>
          </cell>
          <cell r="BA160">
            <v>929</v>
          </cell>
          <cell r="BB160">
            <v>397</v>
          </cell>
          <cell r="BC160">
            <v>383</v>
          </cell>
          <cell r="BD160">
            <v>0</v>
          </cell>
          <cell r="BE160">
            <v>1378</v>
          </cell>
          <cell r="BF160">
            <v>1378</v>
          </cell>
          <cell r="BG160">
            <v>189</v>
          </cell>
          <cell r="BH160">
            <v>185</v>
          </cell>
          <cell r="BI160" t="str">
            <v>CARE-N(Water, Sanitation and Hygiene),NRCS(Agriculture, Livestock Development and Irrigation,Employment and Livelihood,Health,Rural Housing and Community Infrastructure,Water, Sanitation and Hygiene)</v>
          </cell>
          <cell r="BJ160" t="str">
            <v>AATWIN(Social Protection),FCA(Education),HELVETAS(Rural Housing and Community Infrastructure),PLAN(Gender Equality and Social Inclusion,Rural Housing and Community Infrastructure,Social Protection,Water, Sanitation and Hygiene),Tearfund(Rural Housing and Community Infrastructure)</v>
          </cell>
          <cell r="BK160">
            <v>56231</v>
          </cell>
          <cell r="BL160" t="str">
            <v/>
          </cell>
          <cell r="BM160" t="str">
            <v/>
          </cell>
          <cell r="BN160">
            <v>51541</v>
          </cell>
          <cell r="BO160" t="str">
            <v/>
          </cell>
          <cell r="BP160" t="str">
            <v/>
          </cell>
          <cell r="BQ160">
            <v>5958</v>
          </cell>
          <cell r="BR160" t="str">
            <v/>
          </cell>
          <cell r="BS160" t="str">
            <v/>
          </cell>
          <cell r="BT160">
            <v>6705</v>
          </cell>
          <cell r="BU160" t="str">
            <v/>
          </cell>
          <cell r="BV160" t="str">
            <v/>
          </cell>
          <cell r="BW160" t="str">
            <v/>
          </cell>
          <cell r="BX160" t="str">
            <v/>
          </cell>
          <cell r="BY160" t="str">
            <v/>
          </cell>
          <cell r="BZ160">
            <v>179963</v>
          </cell>
          <cell r="CA160" t="str">
            <v/>
          </cell>
          <cell r="CB160" t="str">
            <v/>
          </cell>
          <cell r="CC160">
            <v>629763</v>
          </cell>
          <cell r="CD160" t="str">
            <v/>
          </cell>
          <cell r="CE160" t="str">
            <v/>
          </cell>
          <cell r="CF160">
            <v>7394</v>
          </cell>
          <cell r="CG160" t="str">
            <v/>
          </cell>
          <cell r="CH160" t="str">
            <v/>
          </cell>
          <cell r="CI160">
            <v>2259530</v>
          </cell>
          <cell r="CJ160" t="str">
            <v/>
          </cell>
          <cell r="CK160" t="str">
            <v/>
          </cell>
          <cell r="CL160" t="str">
            <v>Skilled</v>
          </cell>
          <cell r="CM160" t="str">
            <v/>
          </cell>
          <cell r="CN160" t="str">
            <v>Labor</v>
          </cell>
          <cell r="CO160" t="str">
            <v/>
          </cell>
          <cell r="CP160" t="str">
            <v/>
          </cell>
          <cell r="CQ160" t="str">
            <v/>
          </cell>
          <cell r="CR160" t="str">
            <v/>
          </cell>
          <cell r="CS160" t="str">
            <v/>
          </cell>
          <cell r="CT160" t="str">
            <v/>
          </cell>
          <cell r="CU160" t="str">
            <v/>
          </cell>
          <cell r="CV160" t="str">
            <v>Municipal Office</v>
          </cell>
          <cell r="CW160" t="str">
            <v>Hidam Lama</v>
          </cell>
          <cell r="CX160" t="str">
            <v xml:space="preserve">Chairman </v>
          </cell>
          <cell r="CY160">
            <v>9855068286</v>
          </cell>
          <cell r="CZ160" t="str">
            <v>Municipal Office</v>
          </cell>
          <cell r="DA160" t="str">
            <v>Parbati Rana</v>
          </cell>
          <cell r="DB160" t="str">
            <v>Deputy Chairman</v>
          </cell>
          <cell r="DC160">
            <v>9855077567</v>
          </cell>
          <cell r="DD160" t="str">
            <v>Municipal Office</v>
          </cell>
          <cell r="DE160" t="str">
            <v>Jiwna kuwar</v>
          </cell>
          <cell r="DF160" t="str">
            <v>Chief Adminstration Officer</v>
          </cell>
          <cell r="DG160">
            <v>9849071174</v>
          </cell>
          <cell r="DH160" t="str">
            <v>NRA/GMALI</v>
          </cell>
          <cell r="DI160" t="str">
            <v xml:space="preserve">Som Raj Timilsena </v>
          </cell>
          <cell r="DJ160" t="str">
            <v>NRA Chief-District</v>
          </cell>
          <cell r="DK160">
            <v>9855030632</v>
          </cell>
          <cell r="DL160" t="str">
            <v>DLPIU-Building</v>
          </cell>
          <cell r="DM160" t="str">
            <v xml:space="preserve">Sudip Achrya </v>
          </cell>
          <cell r="DN160" t="str">
            <v>DUDBC.DLPIU Chief</v>
          </cell>
          <cell r="DO160">
            <v>9851153206</v>
          </cell>
          <cell r="DP160" t="str">
            <v>Municipal Office</v>
          </cell>
          <cell r="DQ160" t="str">
            <v>Er.sanish kurmar pandit</v>
          </cell>
          <cell r="DR160" t="str">
            <v>Focal Person</v>
          </cell>
          <cell r="DS160">
            <v>9844240350</v>
          </cell>
          <cell r="DT160" t="str">
            <v/>
          </cell>
          <cell r="DU160" t="str">
            <v/>
          </cell>
          <cell r="DV160" t="str">
            <v/>
          </cell>
          <cell r="DW160" t="str">
            <v/>
          </cell>
          <cell r="DX160" t="str">
            <v/>
          </cell>
          <cell r="DY160" t="str">
            <v/>
          </cell>
          <cell r="DZ160" t="str">
            <v/>
          </cell>
          <cell r="EA160" t="str">
            <v/>
          </cell>
          <cell r="EB160" t="str">
            <v/>
          </cell>
          <cell r="EC160" t="str">
            <v/>
          </cell>
          <cell r="ED160" t="str">
            <v/>
          </cell>
          <cell r="EE160" t="str">
            <v/>
          </cell>
          <cell r="EF160" t="str">
            <v/>
          </cell>
          <cell r="EG160" t="str">
            <v/>
          </cell>
          <cell r="EH160" t="str">
            <v/>
          </cell>
          <cell r="EI160" t="str">
            <v/>
          </cell>
          <cell r="EJ160">
            <v>201</v>
          </cell>
          <cell r="EK160">
            <v>159</v>
          </cell>
          <cell r="EL160">
            <v>42</v>
          </cell>
          <cell r="EM160">
            <v>270</v>
          </cell>
          <cell r="EN160">
            <v>232</v>
          </cell>
          <cell r="EO160">
            <v>38</v>
          </cell>
          <cell r="EP160" t="str">
            <v/>
          </cell>
          <cell r="EQ160" t="str">
            <v>Housing Recovery and Reconstruction Platform</v>
          </cell>
          <cell r="ER160" t="str">
            <v>Hari Thalang</v>
          </cell>
          <cell r="ES160" t="str">
            <v>District Coordinator</v>
          </cell>
          <cell r="ET160">
            <v>9851224505</v>
          </cell>
          <cell r="EU160" t="str">
            <v>Housing Recovery and Reconstruction Platform</v>
          </cell>
          <cell r="EV160" t="str">
            <v>Nirmal Nepali</v>
          </cell>
          <cell r="EW160" t="str">
            <v>DIstrict Information Management Officer</v>
          </cell>
          <cell r="EX160">
            <v>9848500348</v>
          </cell>
          <cell r="EY160" t="str">
            <v>Housing Recovery and Reconstruction Platform</v>
          </cell>
          <cell r="EZ160" t="str">
            <v xml:space="preserve">Kausal Bist </v>
          </cell>
          <cell r="FA160" t="str">
            <v>District Technical Officer</v>
          </cell>
          <cell r="FB160">
            <v>9849787273</v>
          </cell>
        </row>
        <row r="161">
          <cell r="A161">
            <v>31004</v>
          </cell>
          <cell r="B161" t="str">
            <v>Makwanpur</v>
          </cell>
          <cell r="C161" t="str">
            <v>Hetauda Upamahanagarpalika</v>
          </cell>
          <cell r="D161">
            <v>24588</v>
          </cell>
          <cell r="E161">
            <v>8108</v>
          </cell>
          <cell r="F161">
            <v>32696</v>
          </cell>
          <cell r="G161" t="str">
            <v>Stone and cement mortar masonry</v>
          </cell>
          <cell r="H161">
            <v>0.82</v>
          </cell>
          <cell r="I161">
            <v>1.32</v>
          </cell>
          <cell r="J161" t="str">
            <v>Stone and Mud Mortar Masonary</v>
          </cell>
          <cell r="K161">
            <v>11.07</v>
          </cell>
          <cell r="L161">
            <v>44.19</v>
          </cell>
          <cell r="M161" t="str">
            <v>Brick and Cement Mortar Masonary</v>
          </cell>
          <cell r="N161">
            <v>57.95</v>
          </cell>
          <cell r="O161">
            <v>26.6</v>
          </cell>
          <cell r="P161" t="str">
            <v>Brick and mud mortar Masonry</v>
          </cell>
          <cell r="Q161">
            <v>5.7</v>
          </cell>
          <cell r="R161">
            <v>2.36</v>
          </cell>
          <cell r="S161" t="str">
            <v>Reinforced cement concrete (RCC) frame</v>
          </cell>
          <cell r="T161">
            <v>12.16</v>
          </cell>
          <cell r="U161">
            <v>5.22</v>
          </cell>
          <cell r="V161" t="str">
            <v>Hybrid structure</v>
          </cell>
          <cell r="W161">
            <v>0</v>
          </cell>
          <cell r="X161">
            <v>0</v>
          </cell>
          <cell r="Y161" t="str">
            <v>Timber frame structure</v>
          </cell>
          <cell r="Z161">
            <v>10.210000000000001</v>
          </cell>
          <cell r="AA161">
            <v>16.91</v>
          </cell>
          <cell r="AB161" t="str">
            <v>Hollow concrete block Masonry</v>
          </cell>
          <cell r="AC161">
            <v>0</v>
          </cell>
          <cell r="AD161">
            <v>0</v>
          </cell>
          <cell r="AE161" t="str">
            <v>Dry stone Masonry</v>
          </cell>
          <cell r="AF161">
            <v>0.11</v>
          </cell>
          <cell r="AG161">
            <v>0.22</v>
          </cell>
          <cell r="AH161" t="str">
            <v>Adobe structures</v>
          </cell>
          <cell r="AI161">
            <v>1.67</v>
          </cell>
          <cell r="AJ161">
            <v>2.85</v>
          </cell>
          <cell r="AK161" t="str">
            <v>Bamboo</v>
          </cell>
          <cell r="AL161">
            <v>0.32</v>
          </cell>
          <cell r="AM161">
            <v>0.32</v>
          </cell>
          <cell r="AN161" t="str">
            <v>Compressed stabilized earth block (SCEB) Masonry</v>
          </cell>
          <cell r="AO161">
            <v>0</v>
          </cell>
          <cell r="AP161">
            <v>0</v>
          </cell>
          <cell r="AQ161" t="str">
            <v>Light steel frame structures</v>
          </cell>
          <cell r="AR161">
            <v>0</v>
          </cell>
          <cell r="AS161">
            <v>0</v>
          </cell>
          <cell r="AT161">
            <v>6324</v>
          </cell>
          <cell r="AU161">
            <v>5284</v>
          </cell>
          <cell r="AV161">
            <v>4641</v>
          </cell>
          <cell r="AW161">
            <v>2564</v>
          </cell>
          <cell r="AX161">
            <v>2468</v>
          </cell>
          <cell r="AY161">
            <v>2505</v>
          </cell>
          <cell r="AZ161">
            <v>2010</v>
          </cell>
          <cell r="BA161">
            <v>1881</v>
          </cell>
          <cell r="BB161">
            <v>1012</v>
          </cell>
          <cell r="BC161">
            <v>1012</v>
          </cell>
          <cell r="BD161">
            <v>0</v>
          </cell>
          <cell r="BE161">
            <v>3419</v>
          </cell>
          <cell r="BF161">
            <v>3419</v>
          </cell>
          <cell r="BG161">
            <v>656</v>
          </cell>
          <cell r="BH161">
            <v>631</v>
          </cell>
          <cell r="BI161" t="str">
            <v>BC(Rural Housing and Community Infrastructure),NRCS(Health),PIN(Rural Housing and Community Infrastructure)</v>
          </cell>
          <cell r="BJ161" t="str">
            <v>AA(Gender Equality and Social Inclusion),AATWIN(Social Protection),BNMT(Health),CARE-N(Education),EBMF(Education),PLAN(Education,Social Protection,Water, Sanitation and Hygiene)</v>
          </cell>
          <cell r="BK161">
            <v>101390</v>
          </cell>
          <cell r="BL161" t="str">
            <v/>
          </cell>
          <cell r="BM161" t="str">
            <v/>
          </cell>
          <cell r="BN161">
            <v>49786</v>
          </cell>
          <cell r="BO161" t="str">
            <v/>
          </cell>
          <cell r="BP161" t="str">
            <v/>
          </cell>
          <cell r="BQ161">
            <v>10361</v>
          </cell>
          <cell r="BR161" t="str">
            <v/>
          </cell>
          <cell r="BS161" t="str">
            <v/>
          </cell>
          <cell r="BT161">
            <v>10239</v>
          </cell>
          <cell r="BU161" t="str">
            <v/>
          </cell>
          <cell r="BV161" t="str">
            <v/>
          </cell>
          <cell r="BW161" t="str">
            <v/>
          </cell>
          <cell r="BX161" t="str">
            <v/>
          </cell>
          <cell r="BY161" t="str">
            <v/>
          </cell>
          <cell r="BZ161">
            <v>202683</v>
          </cell>
          <cell r="CA161" t="str">
            <v/>
          </cell>
          <cell r="CB161" t="str">
            <v/>
          </cell>
          <cell r="CC161">
            <v>1219396</v>
          </cell>
          <cell r="CD161" t="str">
            <v/>
          </cell>
          <cell r="CE161" t="str">
            <v/>
          </cell>
          <cell r="CF161">
            <v>8373</v>
          </cell>
          <cell r="CG161" t="str">
            <v/>
          </cell>
          <cell r="CH161" t="str">
            <v/>
          </cell>
          <cell r="CI161">
            <v>9402686</v>
          </cell>
          <cell r="CJ161" t="str">
            <v/>
          </cell>
          <cell r="CK161" t="str">
            <v/>
          </cell>
          <cell r="CL161" t="str">
            <v>Skilled</v>
          </cell>
          <cell r="CM161" t="str">
            <v/>
          </cell>
          <cell r="CN161" t="str">
            <v>Labor</v>
          </cell>
          <cell r="CO161" t="str">
            <v/>
          </cell>
          <cell r="CP161" t="str">
            <v/>
          </cell>
          <cell r="CQ161" t="str">
            <v/>
          </cell>
          <cell r="CR161" t="str">
            <v/>
          </cell>
          <cell r="CS161" t="str">
            <v/>
          </cell>
          <cell r="CT161" t="str">
            <v/>
          </cell>
          <cell r="CU161" t="str">
            <v/>
          </cell>
          <cell r="CV161" t="str">
            <v>Municipal Office</v>
          </cell>
          <cell r="CW161" t="str">
            <v>Hari Bdr Mahat</v>
          </cell>
          <cell r="CX161" t="str">
            <v>Mayor</v>
          </cell>
          <cell r="CY161">
            <v>9855067032</v>
          </cell>
          <cell r="CZ161" t="str">
            <v>Municipal Office</v>
          </cell>
          <cell r="DA161" t="str">
            <v>Meena Kumari Lama</v>
          </cell>
          <cell r="DB161" t="str">
            <v>Deputy Mayor</v>
          </cell>
          <cell r="DC161">
            <v>9845028543</v>
          </cell>
          <cell r="DD161" t="str">
            <v>Municipal Office</v>
          </cell>
          <cell r="DE161" t="str">
            <v>Pushpa Raj Shahi</v>
          </cell>
          <cell r="DF161" t="str">
            <v>Chief Adminstration Officer</v>
          </cell>
          <cell r="DG161">
            <v>9855010111</v>
          </cell>
          <cell r="DH161" t="str">
            <v>NRA/GMALI</v>
          </cell>
          <cell r="DI161" t="str">
            <v xml:space="preserve">Som Raj Timilsena </v>
          </cell>
          <cell r="DJ161" t="str">
            <v>NRA Chief-District</v>
          </cell>
          <cell r="DK161">
            <v>9855030632</v>
          </cell>
          <cell r="DL161" t="str">
            <v>DLPIU-Building</v>
          </cell>
          <cell r="DM161" t="str">
            <v xml:space="preserve">Sudip Achrya </v>
          </cell>
          <cell r="DN161" t="str">
            <v>DUDBC.DLPIU Chief</v>
          </cell>
          <cell r="DO161">
            <v>9851153206</v>
          </cell>
          <cell r="DP161" t="str">
            <v>Municipal Office</v>
          </cell>
          <cell r="DQ161" t="str">
            <v>Er.Pramod kumar rijal</v>
          </cell>
          <cell r="DR161" t="str">
            <v>Focal Person</v>
          </cell>
          <cell r="DS161">
            <v>9841140772</v>
          </cell>
          <cell r="DT161" t="str">
            <v/>
          </cell>
          <cell r="DU161" t="str">
            <v/>
          </cell>
          <cell r="DV161" t="str">
            <v/>
          </cell>
          <cell r="DW161" t="str">
            <v/>
          </cell>
          <cell r="DX161" t="str">
            <v/>
          </cell>
          <cell r="DY161" t="str">
            <v/>
          </cell>
          <cell r="DZ161" t="str">
            <v/>
          </cell>
          <cell r="EA161" t="str">
            <v/>
          </cell>
          <cell r="EB161" t="str">
            <v/>
          </cell>
          <cell r="EC161" t="str">
            <v/>
          </cell>
          <cell r="ED161" t="str">
            <v/>
          </cell>
          <cell r="EE161" t="str">
            <v/>
          </cell>
          <cell r="EF161" t="str">
            <v/>
          </cell>
          <cell r="EG161" t="str">
            <v/>
          </cell>
          <cell r="EH161" t="str">
            <v/>
          </cell>
          <cell r="EI161" t="str">
            <v/>
          </cell>
          <cell r="EJ161">
            <v>464</v>
          </cell>
          <cell r="EK161">
            <v>0</v>
          </cell>
          <cell r="EL161">
            <v>464</v>
          </cell>
          <cell r="EM161">
            <v>609</v>
          </cell>
          <cell r="EN161">
            <v>1</v>
          </cell>
          <cell r="EO161">
            <v>608</v>
          </cell>
          <cell r="EP161" t="str">
            <v/>
          </cell>
          <cell r="EQ161" t="str">
            <v>Housing Recovery and Reconstruction Platform</v>
          </cell>
          <cell r="ER161" t="str">
            <v>Hari Thalang</v>
          </cell>
          <cell r="ES161" t="str">
            <v>District Coordinator</v>
          </cell>
          <cell r="ET161">
            <v>9851224505</v>
          </cell>
          <cell r="EU161" t="str">
            <v>Housing Recovery and Reconstruction Platform</v>
          </cell>
          <cell r="EV161" t="str">
            <v>Nirmal Nepali</v>
          </cell>
          <cell r="EW161" t="str">
            <v>DIstrict Information Management Officer</v>
          </cell>
          <cell r="EX161">
            <v>9848500348</v>
          </cell>
          <cell r="EY161" t="str">
            <v>Housing Recovery and Reconstruction Platform</v>
          </cell>
          <cell r="EZ161" t="str">
            <v xml:space="preserve">Kausal Bist </v>
          </cell>
          <cell r="FA161" t="str">
            <v>District Technical Officer</v>
          </cell>
          <cell r="FB161">
            <v>9849787273</v>
          </cell>
        </row>
        <row r="162">
          <cell r="A162">
            <v>31005</v>
          </cell>
          <cell r="B162" t="str">
            <v>Makwanpur</v>
          </cell>
          <cell r="C162" t="str">
            <v>Indrasarowar Gaunpalika</v>
          </cell>
          <cell r="D162">
            <v>669</v>
          </cell>
          <cell r="E162">
            <v>3057</v>
          </cell>
          <cell r="F162">
            <v>3726</v>
          </cell>
          <cell r="G162" t="str">
            <v>Stone and cement mortar masonry</v>
          </cell>
          <cell r="H162">
            <v>0.51</v>
          </cell>
          <cell r="I162">
            <v>1.32</v>
          </cell>
          <cell r="J162" t="str">
            <v>Stone and Mud Mortar Masonary</v>
          </cell>
          <cell r="K162">
            <v>96.53</v>
          </cell>
          <cell r="L162">
            <v>44.19</v>
          </cell>
          <cell r="M162" t="str">
            <v>Brick and Cement Mortar Masonary</v>
          </cell>
          <cell r="N162">
            <v>1.24</v>
          </cell>
          <cell r="O162">
            <v>26.6</v>
          </cell>
          <cell r="P162" t="str">
            <v>Brick and mud mortar Masonry</v>
          </cell>
          <cell r="Q162">
            <v>0.08</v>
          </cell>
          <cell r="R162">
            <v>2.36</v>
          </cell>
          <cell r="S162" t="str">
            <v>Reinforced cement concrete (RCC) frame</v>
          </cell>
          <cell r="T162">
            <v>0.89</v>
          </cell>
          <cell r="U162">
            <v>5.22</v>
          </cell>
          <cell r="V162" t="str">
            <v>Hybrid structure</v>
          </cell>
          <cell r="W162">
            <v>0</v>
          </cell>
          <cell r="X162">
            <v>0</v>
          </cell>
          <cell r="Y162" t="str">
            <v>Timber frame structure</v>
          </cell>
          <cell r="Z162">
            <v>0.16</v>
          </cell>
          <cell r="AA162">
            <v>16.91</v>
          </cell>
          <cell r="AB162" t="str">
            <v>Hollow concrete block Masonry</v>
          </cell>
          <cell r="AC162">
            <v>0</v>
          </cell>
          <cell r="AD162">
            <v>0</v>
          </cell>
          <cell r="AE162" t="str">
            <v>Dry stone Masonry</v>
          </cell>
          <cell r="AF162">
            <v>0.05</v>
          </cell>
          <cell r="AG162">
            <v>0.22</v>
          </cell>
          <cell r="AH162" t="str">
            <v>Adobe structures</v>
          </cell>
          <cell r="AI162">
            <v>0.48</v>
          </cell>
          <cell r="AJ162">
            <v>2.85</v>
          </cell>
          <cell r="AK162" t="str">
            <v>Bamboo</v>
          </cell>
          <cell r="AL162">
            <v>0.05</v>
          </cell>
          <cell r="AM162">
            <v>0.32</v>
          </cell>
          <cell r="AN162" t="str">
            <v>Compressed stabilized earth block (SCEB) Masonry</v>
          </cell>
          <cell r="AO162">
            <v>0</v>
          </cell>
          <cell r="AP162">
            <v>0</v>
          </cell>
          <cell r="AQ162" t="str">
            <v>Light steel frame structures</v>
          </cell>
          <cell r="AR162">
            <v>0</v>
          </cell>
          <cell r="AS162">
            <v>0</v>
          </cell>
          <cell r="AT162">
            <v>2921</v>
          </cell>
          <cell r="AU162">
            <v>2485</v>
          </cell>
          <cell r="AV162">
            <v>2428</v>
          </cell>
          <cell r="AW162">
            <v>1754</v>
          </cell>
          <cell r="AX162">
            <v>1093</v>
          </cell>
          <cell r="AY162">
            <v>1766</v>
          </cell>
          <cell r="AZ162">
            <v>950</v>
          </cell>
          <cell r="BA162">
            <v>245</v>
          </cell>
          <cell r="BB162">
            <v>167</v>
          </cell>
          <cell r="BC162">
            <v>152</v>
          </cell>
          <cell r="BD162">
            <v>0</v>
          </cell>
          <cell r="BE162">
            <v>1104</v>
          </cell>
          <cell r="BF162">
            <v>1104</v>
          </cell>
          <cell r="BG162">
            <v>49</v>
          </cell>
          <cell r="BH162">
            <v>49</v>
          </cell>
          <cell r="BI162" t="str">
            <v>CARE-N(Water, Sanitation and Hygiene),PIN(Rural Housing and Community Infrastructure),PLAN(Education,Gender Equality and Social Inclusion,Rural Housing and Community Infrastructure,Social Protection,Water, Sanitation and Hygiene)</v>
          </cell>
          <cell r="BJ162" t="str">
            <v>HELVETAS(Rural Housing and Community Infrastructure),ICCO(Agriculture, Livestock Development and Irrigation),Tearfund(Rural Housing and Community Infrastructure)</v>
          </cell>
          <cell r="BK162">
            <v>46783</v>
          </cell>
          <cell r="BL162" t="str">
            <v/>
          </cell>
          <cell r="BM162" t="str">
            <v/>
          </cell>
          <cell r="BN162">
            <v>47379</v>
          </cell>
          <cell r="BO162" t="str">
            <v/>
          </cell>
          <cell r="BP162" t="str">
            <v/>
          </cell>
          <cell r="BQ162">
            <v>4990</v>
          </cell>
          <cell r="BR162" t="str">
            <v/>
          </cell>
          <cell r="BS162" t="str">
            <v/>
          </cell>
          <cell r="BT162">
            <v>5741</v>
          </cell>
          <cell r="BU162" t="str">
            <v/>
          </cell>
          <cell r="BV162" t="str">
            <v/>
          </cell>
          <cell r="BW162" t="str">
            <v/>
          </cell>
          <cell r="BX162" t="str">
            <v/>
          </cell>
          <cell r="BY162" t="str">
            <v/>
          </cell>
          <cell r="BZ162">
            <v>157685</v>
          </cell>
          <cell r="CA162" t="str">
            <v/>
          </cell>
          <cell r="CB162" t="str">
            <v/>
          </cell>
          <cell r="CC162">
            <v>508852</v>
          </cell>
          <cell r="CD162" t="str">
            <v/>
          </cell>
          <cell r="CE162" t="str">
            <v/>
          </cell>
          <cell r="CF162">
            <v>6447</v>
          </cell>
          <cell r="CG162" t="str">
            <v/>
          </cell>
          <cell r="CH162" t="str">
            <v/>
          </cell>
          <cell r="CI162">
            <v>598790</v>
          </cell>
          <cell r="CJ162" t="str">
            <v/>
          </cell>
          <cell r="CK162" t="str">
            <v/>
          </cell>
          <cell r="CL162" t="str">
            <v>Skilled</v>
          </cell>
          <cell r="CM162" t="str">
            <v/>
          </cell>
          <cell r="CN162" t="str">
            <v>Labor</v>
          </cell>
          <cell r="CO162" t="str">
            <v/>
          </cell>
          <cell r="CP162" t="str">
            <v/>
          </cell>
          <cell r="CQ162" t="str">
            <v/>
          </cell>
          <cell r="CR162" t="str">
            <v/>
          </cell>
          <cell r="CS162" t="str">
            <v/>
          </cell>
          <cell r="CT162" t="str">
            <v/>
          </cell>
          <cell r="CU162" t="str">
            <v/>
          </cell>
          <cell r="CV162" t="str">
            <v>Municipal Office</v>
          </cell>
          <cell r="CW162" t="str">
            <v>Jiwan lama</v>
          </cell>
          <cell r="CX162" t="str">
            <v xml:space="preserve">Chairman </v>
          </cell>
          <cell r="CY162">
            <v>9855088145</v>
          </cell>
          <cell r="CZ162" t="str">
            <v>Municipal Office</v>
          </cell>
          <cell r="DA162" t="str">
            <v>Uma Kumari lama</v>
          </cell>
          <cell r="DB162" t="str">
            <v>Deputy Chairman</v>
          </cell>
          <cell r="DC162">
            <v>9849411635</v>
          </cell>
          <cell r="DD162" t="str">
            <v>Municipal Office</v>
          </cell>
          <cell r="DE162" t="str">
            <v>Shailendra Bhandari</v>
          </cell>
          <cell r="DF162" t="str">
            <v>Chief Adminstration Officer</v>
          </cell>
          <cell r="DG162">
            <v>9855088166</v>
          </cell>
          <cell r="DH162" t="str">
            <v>NRA/GMALI</v>
          </cell>
          <cell r="DI162" t="str">
            <v xml:space="preserve">Som Raj Timilsena </v>
          </cell>
          <cell r="DJ162" t="str">
            <v>NRA Chief-District</v>
          </cell>
          <cell r="DK162">
            <v>9855030632</v>
          </cell>
          <cell r="DL162" t="str">
            <v>DLPIU-Building</v>
          </cell>
          <cell r="DM162" t="str">
            <v xml:space="preserve">Sudip Achrya </v>
          </cell>
          <cell r="DN162" t="str">
            <v>DUDBC.DLPIU Chief</v>
          </cell>
          <cell r="DO162">
            <v>9851153206</v>
          </cell>
          <cell r="DP162" t="str">
            <v>Municipal Office</v>
          </cell>
          <cell r="DQ162" t="str">
            <v>Er.Radha krishna shah</v>
          </cell>
          <cell r="DR162" t="str">
            <v>Focal Person</v>
          </cell>
          <cell r="DS162">
            <v>9845893561</v>
          </cell>
          <cell r="DT162" t="str">
            <v/>
          </cell>
          <cell r="DU162" t="str">
            <v/>
          </cell>
          <cell r="DV162" t="str">
            <v/>
          </cell>
          <cell r="DW162" t="str">
            <v/>
          </cell>
          <cell r="DX162" t="str">
            <v/>
          </cell>
          <cell r="DY162" t="str">
            <v/>
          </cell>
          <cell r="DZ162" t="str">
            <v/>
          </cell>
          <cell r="EA162" t="str">
            <v/>
          </cell>
          <cell r="EB162" t="str">
            <v/>
          </cell>
          <cell r="EC162" t="str">
            <v/>
          </cell>
          <cell r="ED162" t="str">
            <v/>
          </cell>
          <cell r="EE162" t="str">
            <v/>
          </cell>
          <cell r="EF162" t="str">
            <v/>
          </cell>
          <cell r="EG162" t="str">
            <v/>
          </cell>
          <cell r="EH162" t="str">
            <v/>
          </cell>
          <cell r="EI162" t="str">
            <v/>
          </cell>
          <cell r="EJ162">
            <v>207</v>
          </cell>
          <cell r="EK162">
            <v>173</v>
          </cell>
          <cell r="EL162">
            <v>34</v>
          </cell>
          <cell r="EM162">
            <v>261</v>
          </cell>
          <cell r="EN162">
            <v>267</v>
          </cell>
          <cell r="EO162">
            <v>-6</v>
          </cell>
          <cell r="EP162" t="str">
            <v/>
          </cell>
          <cell r="EQ162" t="str">
            <v>Housing Recovery and Reconstruction Platform</v>
          </cell>
          <cell r="ER162" t="str">
            <v>Hari Thalang</v>
          </cell>
          <cell r="ES162" t="str">
            <v>District Coordinator</v>
          </cell>
          <cell r="ET162">
            <v>9851224505</v>
          </cell>
          <cell r="EU162" t="str">
            <v>Housing Recovery and Reconstruction Platform</v>
          </cell>
          <cell r="EV162" t="str">
            <v>Nirmal Nepali</v>
          </cell>
          <cell r="EW162" t="str">
            <v>DIstrict Information Management Officer</v>
          </cell>
          <cell r="EX162">
            <v>9848500348</v>
          </cell>
          <cell r="EY162" t="str">
            <v>Housing Recovery and Reconstruction Platform</v>
          </cell>
          <cell r="EZ162" t="str">
            <v xml:space="preserve">Kausal Bist </v>
          </cell>
          <cell r="FA162" t="str">
            <v>District Technical Officer</v>
          </cell>
          <cell r="FB162">
            <v>9849787273</v>
          </cell>
        </row>
        <row r="163">
          <cell r="A163">
            <v>31006</v>
          </cell>
          <cell r="B163" t="str">
            <v>Makwanpur</v>
          </cell>
          <cell r="C163" t="str">
            <v>Kailash Gaunpalika</v>
          </cell>
          <cell r="D163">
            <v>2478</v>
          </cell>
          <cell r="E163">
            <v>2259</v>
          </cell>
          <cell r="F163">
            <v>4737</v>
          </cell>
          <cell r="G163" t="str">
            <v>Stone and cement mortar masonry</v>
          </cell>
          <cell r="H163">
            <v>0.78</v>
          </cell>
          <cell r="I163">
            <v>1.32</v>
          </cell>
          <cell r="J163" t="str">
            <v>Stone and Mud Mortar Masonary</v>
          </cell>
          <cell r="K163">
            <v>84.36</v>
          </cell>
          <cell r="L163">
            <v>44.19</v>
          </cell>
          <cell r="M163" t="str">
            <v>Brick and Cement Mortar Masonary</v>
          </cell>
          <cell r="N163">
            <v>0.59</v>
          </cell>
          <cell r="O163">
            <v>26.6</v>
          </cell>
          <cell r="P163" t="str">
            <v>Brick and mud mortar Masonry</v>
          </cell>
          <cell r="Q163">
            <v>0.11</v>
          </cell>
          <cell r="R163">
            <v>2.36</v>
          </cell>
          <cell r="S163" t="str">
            <v>Reinforced cement concrete (RCC) frame</v>
          </cell>
          <cell r="T163">
            <v>0.04</v>
          </cell>
          <cell r="U163">
            <v>5.22</v>
          </cell>
          <cell r="V163" t="str">
            <v>Hybrid structure</v>
          </cell>
          <cell r="W163">
            <v>0</v>
          </cell>
          <cell r="X163">
            <v>0</v>
          </cell>
          <cell r="Y163" t="str">
            <v>Timber frame structure</v>
          </cell>
          <cell r="Z163">
            <v>12.7</v>
          </cell>
          <cell r="AA163">
            <v>16.91</v>
          </cell>
          <cell r="AB163" t="str">
            <v>Hollow concrete block Masonry</v>
          </cell>
          <cell r="AC163">
            <v>0</v>
          </cell>
          <cell r="AD163">
            <v>0</v>
          </cell>
          <cell r="AE163" t="str">
            <v>Dry stone Masonry</v>
          </cell>
          <cell r="AF163">
            <v>0.15</v>
          </cell>
          <cell r="AG163">
            <v>0.22</v>
          </cell>
          <cell r="AH163" t="str">
            <v>Adobe structures</v>
          </cell>
          <cell r="AI163">
            <v>1.04</v>
          </cell>
          <cell r="AJ163">
            <v>2.85</v>
          </cell>
          <cell r="AK163" t="str">
            <v>Bamboo</v>
          </cell>
          <cell r="AL163">
            <v>0.23</v>
          </cell>
          <cell r="AM163">
            <v>0.32</v>
          </cell>
          <cell r="AN163" t="str">
            <v>Compressed stabilized earth block (SCEB) Masonry</v>
          </cell>
          <cell r="AO163">
            <v>0</v>
          </cell>
          <cell r="AP163">
            <v>0</v>
          </cell>
          <cell r="AQ163" t="str">
            <v>Light steel frame structures</v>
          </cell>
          <cell r="AR163">
            <v>0</v>
          </cell>
          <cell r="AS163">
            <v>0</v>
          </cell>
          <cell r="AT163">
            <v>2609</v>
          </cell>
          <cell r="AU163">
            <v>2005</v>
          </cell>
          <cell r="AV163">
            <v>2005</v>
          </cell>
          <cell r="AW163">
            <v>1441</v>
          </cell>
          <cell r="AX163">
            <v>1213</v>
          </cell>
          <cell r="AY163">
            <v>1525</v>
          </cell>
          <cell r="AZ163">
            <v>1010</v>
          </cell>
          <cell r="BA163">
            <v>606</v>
          </cell>
          <cell r="BB163">
            <v>185</v>
          </cell>
          <cell r="BC163">
            <v>277</v>
          </cell>
          <cell r="BD163">
            <v>0</v>
          </cell>
          <cell r="BE163">
            <v>1557</v>
          </cell>
          <cell r="BF163">
            <v>1557</v>
          </cell>
          <cell r="BG163">
            <v>90</v>
          </cell>
          <cell r="BH163">
            <v>85</v>
          </cell>
          <cell r="BI163" t="str">
            <v>PIN(Rural Housing and Community Infrastructure)</v>
          </cell>
          <cell r="BJ163" t="str">
            <v/>
          </cell>
          <cell r="BK163">
            <v>17013</v>
          </cell>
          <cell r="BL163" t="str">
            <v/>
          </cell>
          <cell r="BM163" t="str">
            <v/>
          </cell>
          <cell r="BN163">
            <v>17600</v>
          </cell>
          <cell r="BO163" t="str">
            <v/>
          </cell>
          <cell r="BP163" t="str">
            <v/>
          </cell>
          <cell r="BQ163">
            <v>1818</v>
          </cell>
          <cell r="BR163" t="str">
            <v/>
          </cell>
          <cell r="BS163" t="str">
            <v/>
          </cell>
          <cell r="BT163">
            <v>2103</v>
          </cell>
          <cell r="BU163" t="str">
            <v/>
          </cell>
          <cell r="BV163" t="str">
            <v/>
          </cell>
          <cell r="BW163" t="str">
            <v/>
          </cell>
          <cell r="BX163" t="str">
            <v/>
          </cell>
          <cell r="BY163" t="str">
            <v/>
          </cell>
          <cell r="BZ163">
            <v>58297</v>
          </cell>
          <cell r="CA163" t="str">
            <v/>
          </cell>
          <cell r="CB163" t="str">
            <v/>
          </cell>
          <cell r="CC163">
            <v>184202</v>
          </cell>
          <cell r="CD163" t="str">
            <v/>
          </cell>
          <cell r="CE163" t="str">
            <v/>
          </cell>
          <cell r="CF163">
            <v>2383</v>
          </cell>
          <cell r="CG163" t="str">
            <v/>
          </cell>
          <cell r="CH163" t="str">
            <v/>
          </cell>
          <cell r="CI163">
            <v>157980</v>
          </cell>
          <cell r="CJ163" t="str">
            <v/>
          </cell>
          <cell r="CK163" t="str">
            <v/>
          </cell>
          <cell r="CL163" t="str">
            <v>Skilled</v>
          </cell>
          <cell r="CM163" t="str">
            <v/>
          </cell>
          <cell r="CN163" t="str">
            <v>Labor</v>
          </cell>
          <cell r="CO163" t="str">
            <v/>
          </cell>
          <cell r="CP163" t="str">
            <v/>
          </cell>
          <cell r="CQ163" t="str">
            <v/>
          </cell>
          <cell r="CR163" t="str">
            <v/>
          </cell>
          <cell r="CS163" t="str">
            <v/>
          </cell>
          <cell r="CT163" t="str">
            <v/>
          </cell>
          <cell r="CU163" t="str">
            <v/>
          </cell>
          <cell r="CV163" t="str">
            <v>Municipal Office</v>
          </cell>
          <cell r="CW163" t="str">
            <v>Tanka Moktan</v>
          </cell>
          <cell r="CX163" t="str">
            <v xml:space="preserve">Chairman </v>
          </cell>
          <cell r="CY163">
            <v>9855068590</v>
          </cell>
          <cell r="CZ163" t="str">
            <v>Municipal Office</v>
          </cell>
          <cell r="DA163" t="str">
            <v>Sukmaya Thing</v>
          </cell>
          <cell r="DB163" t="str">
            <v>Deputy Chairman</v>
          </cell>
          <cell r="DC163">
            <v>9845503704</v>
          </cell>
          <cell r="DD163" t="str">
            <v>Municipal Office</v>
          </cell>
          <cell r="DE163" t="str">
            <v>Tanka Bahadur Negi</v>
          </cell>
          <cell r="DF163" t="str">
            <v>Chief Adminstration Officer</v>
          </cell>
          <cell r="DG163">
            <v>9855088266</v>
          </cell>
          <cell r="DH163" t="str">
            <v>NRA/GMALI</v>
          </cell>
          <cell r="DI163" t="str">
            <v xml:space="preserve">Som Raj Timilsena </v>
          </cell>
          <cell r="DJ163" t="str">
            <v>NRA Chief-District</v>
          </cell>
          <cell r="DK163">
            <v>9855030632</v>
          </cell>
          <cell r="DL163" t="str">
            <v>DLPIU-Building</v>
          </cell>
          <cell r="DM163" t="str">
            <v xml:space="preserve">Sudip Achrya </v>
          </cell>
          <cell r="DN163" t="str">
            <v>DUDBC.DLPIU Chief</v>
          </cell>
          <cell r="DO163">
            <v>9851153206</v>
          </cell>
          <cell r="DP163" t="str">
            <v>Municipal Office</v>
          </cell>
          <cell r="DQ163" t="str">
            <v>Sub er Narendra dutta bhatta</v>
          </cell>
          <cell r="DR163" t="str">
            <v>Focal Person</v>
          </cell>
          <cell r="DS163">
            <v>9848784643</v>
          </cell>
          <cell r="DT163" t="str">
            <v/>
          </cell>
          <cell r="DU163" t="str">
            <v/>
          </cell>
          <cell r="DV163" t="str">
            <v/>
          </cell>
          <cell r="DW163" t="str">
            <v/>
          </cell>
          <cell r="DX163" t="str">
            <v/>
          </cell>
          <cell r="DY163" t="str">
            <v/>
          </cell>
          <cell r="DZ163" t="str">
            <v/>
          </cell>
          <cell r="EA163" t="str">
            <v/>
          </cell>
          <cell r="EB163" t="str">
            <v/>
          </cell>
          <cell r="EC163" t="str">
            <v/>
          </cell>
          <cell r="ED163" t="str">
            <v/>
          </cell>
          <cell r="EE163" t="str">
            <v/>
          </cell>
          <cell r="EF163" t="str">
            <v/>
          </cell>
          <cell r="EG163" t="str">
            <v/>
          </cell>
          <cell r="EH163" t="str">
            <v/>
          </cell>
          <cell r="EI163" t="str">
            <v/>
          </cell>
          <cell r="EJ163">
            <v>150</v>
          </cell>
          <cell r="EK163">
            <v>150</v>
          </cell>
          <cell r="EL163">
            <v>0</v>
          </cell>
          <cell r="EM163">
            <v>207</v>
          </cell>
          <cell r="EN163">
            <v>234</v>
          </cell>
          <cell r="EO163">
            <v>-27</v>
          </cell>
          <cell r="EP163" t="str">
            <v/>
          </cell>
          <cell r="EQ163" t="str">
            <v>Housing Recovery and Reconstruction Platform</v>
          </cell>
          <cell r="ER163" t="str">
            <v>Hari Thalang</v>
          </cell>
          <cell r="ES163" t="str">
            <v>District Coordinator</v>
          </cell>
          <cell r="ET163">
            <v>9851224505</v>
          </cell>
          <cell r="EU163" t="str">
            <v>Housing Recovery and Reconstruction Platform</v>
          </cell>
          <cell r="EV163" t="str">
            <v>Nirmal Nepali</v>
          </cell>
          <cell r="EW163" t="str">
            <v>DIstrict Information Management Officer</v>
          </cell>
          <cell r="EX163">
            <v>9848500348</v>
          </cell>
          <cell r="EY163" t="str">
            <v>Housing Recovery and Reconstruction Platform</v>
          </cell>
          <cell r="EZ163" t="str">
            <v xml:space="preserve">Kausal Bist </v>
          </cell>
          <cell r="FA163" t="str">
            <v>District Technical Officer</v>
          </cell>
          <cell r="FB163">
            <v>9849787273</v>
          </cell>
        </row>
        <row r="164">
          <cell r="A164">
            <v>31007</v>
          </cell>
          <cell r="B164" t="str">
            <v>Makwanpur</v>
          </cell>
          <cell r="C164" t="str">
            <v>Makawanpurgadhi Gaunpalika</v>
          </cell>
          <cell r="D164">
            <v>3286</v>
          </cell>
          <cell r="E164">
            <v>2230</v>
          </cell>
          <cell r="F164">
            <v>5516</v>
          </cell>
          <cell r="G164" t="str">
            <v>Stone and cement mortar masonry</v>
          </cell>
          <cell r="H164">
            <v>2.78</v>
          </cell>
          <cell r="I164">
            <v>1.32</v>
          </cell>
          <cell r="J164" t="str">
            <v>Stone and Mud Mortar Masonary</v>
          </cell>
          <cell r="K164">
            <v>76.260000000000005</v>
          </cell>
          <cell r="L164">
            <v>44.19</v>
          </cell>
          <cell r="M164" t="str">
            <v>Brick and Cement Mortar Masonary</v>
          </cell>
          <cell r="N164">
            <v>8.64</v>
          </cell>
          <cell r="O164">
            <v>26.6</v>
          </cell>
          <cell r="P164" t="str">
            <v>Brick and mud mortar Masonry</v>
          </cell>
          <cell r="Q164">
            <v>0.71</v>
          </cell>
          <cell r="R164">
            <v>2.36</v>
          </cell>
          <cell r="S164" t="str">
            <v>Reinforced cement concrete (RCC) frame</v>
          </cell>
          <cell r="T164">
            <v>0.49</v>
          </cell>
          <cell r="U164">
            <v>5.22</v>
          </cell>
          <cell r="V164" t="str">
            <v>Hybrid structure</v>
          </cell>
          <cell r="W164">
            <v>0</v>
          </cell>
          <cell r="X164">
            <v>0</v>
          </cell>
          <cell r="Y164" t="str">
            <v>Timber frame structure</v>
          </cell>
          <cell r="Z164">
            <v>10.28</v>
          </cell>
          <cell r="AA164">
            <v>16.91</v>
          </cell>
          <cell r="AB164" t="str">
            <v>Hollow concrete block Masonry</v>
          </cell>
          <cell r="AC164">
            <v>0</v>
          </cell>
          <cell r="AD164">
            <v>0</v>
          </cell>
          <cell r="AE164" t="str">
            <v>Dry stone Masonry</v>
          </cell>
          <cell r="AF164">
            <v>0.16</v>
          </cell>
          <cell r="AG164">
            <v>0.22</v>
          </cell>
          <cell r="AH164" t="str">
            <v>Adobe structures</v>
          </cell>
          <cell r="AI164">
            <v>0.47</v>
          </cell>
          <cell r="AJ164">
            <v>2.85</v>
          </cell>
          <cell r="AK164" t="str">
            <v>Bamboo</v>
          </cell>
          <cell r="AL164">
            <v>0.2</v>
          </cell>
          <cell r="AM164">
            <v>0.32</v>
          </cell>
          <cell r="AN164" t="str">
            <v>Compressed stabilized earth block (SCEB) Masonry</v>
          </cell>
          <cell r="AO164">
            <v>0</v>
          </cell>
          <cell r="AP164">
            <v>0</v>
          </cell>
          <cell r="AQ164" t="str">
            <v>Light steel frame structures</v>
          </cell>
          <cell r="AR164">
            <v>0</v>
          </cell>
          <cell r="AS164">
            <v>0</v>
          </cell>
          <cell r="AT164">
            <v>2209</v>
          </cell>
          <cell r="AU164">
            <v>1677</v>
          </cell>
          <cell r="AV164">
            <v>1667</v>
          </cell>
          <cell r="AW164">
            <v>1289</v>
          </cell>
          <cell r="AX164">
            <v>848</v>
          </cell>
          <cell r="AY164">
            <v>1341</v>
          </cell>
          <cell r="AZ164">
            <v>655</v>
          </cell>
          <cell r="BA164">
            <v>1372</v>
          </cell>
          <cell r="BB164">
            <v>277</v>
          </cell>
          <cell r="BC164">
            <v>177</v>
          </cell>
          <cell r="BD164">
            <v>0</v>
          </cell>
          <cell r="BE164">
            <v>2153</v>
          </cell>
          <cell r="BF164">
            <v>2153</v>
          </cell>
          <cell r="BG164">
            <v>292</v>
          </cell>
          <cell r="BH164">
            <v>282</v>
          </cell>
          <cell r="BI164" t="str">
            <v>PIN(Rural Housing and Community Infrastructure)</v>
          </cell>
          <cell r="BJ164" t="str">
            <v>COSAN(Education),EBMF(Education),HELVETAS(Rural Housing and Community Infrastructure),PLAN(Gender Equality and Social Inclusion,Rural Housing and Community Infrastructure,Social Protection,Water, Sanitation and Hygiene),Tearfund(Rural Housing and Community Infrastructure)</v>
          </cell>
          <cell r="BK164">
            <v>22606</v>
          </cell>
          <cell r="BL164" t="str">
            <v/>
          </cell>
          <cell r="BM164" t="str">
            <v/>
          </cell>
          <cell r="BN164">
            <v>22456</v>
          </cell>
          <cell r="BO164" t="str">
            <v/>
          </cell>
          <cell r="BP164" t="str">
            <v/>
          </cell>
          <cell r="BQ164">
            <v>2407</v>
          </cell>
          <cell r="BR164" t="str">
            <v/>
          </cell>
          <cell r="BS164" t="str">
            <v/>
          </cell>
          <cell r="BT164">
            <v>2755</v>
          </cell>
          <cell r="BU164" t="str">
            <v/>
          </cell>
          <cell r="BV164" t="str">
            <v/>
          </cell>
          <cell r="BW164" t="str">
            <v/>
          </cell>
          <cell r="BX164" t="str">
            <v/>
          </cell>
          <cell r="BY164" t="str">
            <v/>
          </cell>
          <cell r="BZ164">
            <v>74901</v>
          </cell>
          <cell r="CA164" t="str">
            <v/>
          </cell>
          <cell r="CB164" t="str">
            <v/>
          </cell>
          <cell r="CC164">
            <v>246654</v>
          </cell>
          <cell r="CD164" t="str">
            <v/>
          </cell>
          <cell r="CE164" t="str">
            <v/>
          </cell>
          <cell r="CF164">
            <v>3062</v>
          </cell>
          <cell r="CG164" t="str">
            <v/>
          </cell>
          <cell r="CH164" t="str">
            <v/>
          </cell>
          <cell r="CI164">
            <v>334624</v>
          </cell>
          <cell r="CJ164" t="str">
            <v/>
          </cell>
          <cell r="CK164" t="str">
            <v/>
          </cell>
          <cell r="CL164" t="str">
            <v>Skilled</v>
          </cell>
          <cell r="CM164" t="str">
            <v/>
          </cell>
          <cell r="CN164" t="str">
            <v>Labor</v>
          </cell>
          <cell r="CO164" t="str">
            <v/>
          </cell>
          <cell r="CP164" t="str">
            <v/>
          </cell>
          <cell r="CQ164" t="str">
            <v/>
          </cell>
          <cell r="CR164" t="str">
            <v/>
          </cell>
          <cell r="CS164" t="str">
            <v/>
          </cell>
          <cell r="CT164" t="str">
            <v/>
          </cell>
          <cell r="CU164" t="str">
            <v/>
          </cell>
          <cell r="CV164" t="str">
            <v>Municipal Office</v>
          </cell>
          <cell r="CW164" t="str">
            <v>Bidur Humagain</v>
          </cell>
          <cell r="CX164" t="str">
            <v xml:space="preserve">Chairman </v>
          </cell>
          <cell r="CY164">
            <v>9855073810</v>
          </cell>
          <cell r="CZ164" t="str">
            <v>Municipal Office</v>
          </cell>
          <cell r="DA164" t="str">
            <v>Harka maya Rumba</v>
          </cell>
          <cell r="DB164" t="str">
            <v>Deputy Chairman</v>
          </cell>
          <cell r="DC164">
            <v>9843893548</v>
          </cell>
          <cell r="DD164" t="str">
            <v>Municipal Office</v>
          </cell>
          <cell r="DE164" t="str">
            <v>Bhim Bahadur Pariyar</v>
          </cell>
          <cell r="DF164" t="str">
            <v>Chief Adminstration Officer</v>
          </cell>
          <cell r="DG164">
            <v>9855088966</v>
          </cell>
          <cell r="DH164" t="str">
            <v>NRA/GMALI</v>
          </cell>
          <cell r="DI164" t="str">
            <v xml:space="preserve">Som Raj Timilsena </v>
          </cell>
          <cell r="DJ164" t="str">
            <v>NRA Chief-District</v>
          </cell>
          <cell r="DK164">
            <v>9855030632</v>
          </cell>
          <cell r="DL164" t="str">
            <v>DLPIU-Building</v>
          </cell>
          <cell r="DM164" t="str">
            <v xml:space="preserve">Sudip Achrya </v>
          </cell>
          <cell r="DN164" t="str">
            <v>DUDBC.DLPIU Chief</v>
          </cell>
          <cell r="DO164">
            <v>9851153206</v>
          </cell>
          <cell r="DP164" t="str">
            <v>Municipal Office</v>
          </cell>
          <cell r="DQ164" t="str">
            <v>Er.Suraj kumar yadav</v>
          </cell>
          <cell r="DR164" t="str">
            <v>Focal Person</v>
          </cell>
          <cell r="DS164">
            <v>9144218020</v>
          </cell>
          <cell r="DT164" t="str">
            <v/>
          </cell>
          <cell r="DU164" t="str">
            <v/>
          </cell>
          <cell r="DV164" t="str">
            <v/>
          </cell>
          <cell r="DW164" t="str">
            <v/>
          </cell>
          <cell r="DX164" t="str">
            <v/>
          </cell>
          <cell r="DY164" t="str">
            <v/>
          </cell>
          <cell r="DZ164" t="str">
            <v/>
          </cell>
          <cell r="EA164" t="str">
            <v/>
          </cell>
          <cell r="EB164" t="str">
            <v/>
          </cell>
          <cell r="EC164" t="str">
            <v/>
          </cell>
          <cell r="ED164" t="str">
            <v/>
          </cell>
          <cell r="EE164" t="str">
            <v/>
          </cell>
          <cell r="EF164" t="str">
            <v/>
          </cell>
          <cell r="EG164" t="str">
            <v/>
          </cell>
          <cell r="EH164" t="str">
            <v/>
          </cell>
          <cell r="EI164" t="str">
            <v/>
          </cell>
          <cell r="EJ164">
            <v>144</v>
          </cell>
          <cell r="EK164">
            <v>172</v>
          </cell>
          <cell r="EL164">
            <v>-28</v>
          </cell>
          <cell r="EM164">
            <v>180</v>
          </cell>
          <cell r="EN164">
            <v>91</v>
          </cell>
          <cell r="EO164">
            <v>89</v>
          </cell>
          <cell r="EP164" t="str">
            <v/>
          </cell>
          <cell r="EQ164" t="str">
            <v>Housing Recovery and Reconstruction Platform</v>
          </cell>
          <cell r="ER164" t="str">
            <v>Hari Thalang</v>
          </cell>
          <cell r="ES164" t="str">
            <v>District Coordinator</v>
          </cell>
          <cell r="ET164">
            <v>9851224505</v>
          </cell>
          <cell r="EU164" t="str">
            <v>Housing Recovery and Reconstruction Platform</v>
          </cell>
          <cell r="EV164" t="str">
            <v>Nirmal Nepali</v>
          </cell>
          <cell r="EW164" t="str">
            <v>DIstrict Information Management Officer</v>
          </cell>
          <cell r="EX164">
            <v>9848500348</v>
          </cell>
          <cell r="EY164" t="str">
            <v>Housing Recovery and Reconstruction Platform</v>
          </cell>
          <cell r="EZ164" t="str">
            <v xml:space="preserve">Kausal Bist </v>
          </cell>
          <cell r="FA164" t="str">
            <v>District Technical Officer</v>
          </cell>
          <cell r="FB164">
            <v>9849787273</v>
          </cell>
        </row>
        <row r="165">
          <cell r="A165">
            <v>31008</v>
          </cell>
          <cell r="B165" t="str">
            <v>Makwanpur</v>
          </cell>
          <cell r="C165" t="str">
            <v>Manahari Gaunpalika</v>
          </cell>
          <cell r="D165">
            <v>6546</v>
          </cell>
          <cell r="E165">
            <v>2295</v>
          </cell>
          <cell r="F165">
            <v>8841</v>
          </cell>
          <cell r="G165" t="str">
            <v>Stone and cement mortar masonry</v>
          </cell>
          <cell r="H165">
            <v>2.0499999999999998</v>
          </cell>
          <cell r="I165">
            <v>1.32</v>
          </cell>
          <cell r="J165" t="str">
            <v>Stone and Mud Mortar Masonary</v>
          </cell>
          <cell r="K165">
            <v>19.079999999999998</v>
          </cell>
          <cell r="L165">
            <v>44.19</v>
          </cell>
          <cell r="M165" t="str">
            <v>Brick and Cement Mortar Masonary</v>
          </cell>
          <cell r="N165">
            <v>32.549999999999997</v>
          </cell>
          <cell r="O165">
            <v>26.6</v>
          </cell>
          <cell r="P165" t="str">
            <v>Brick and mud mortar Masonry</v>
          </cell>
          <cell r="Q165">
            <v>1.64</v>
          </cell>
          <cell r="R165">
            <v>2.36</v>
          </cell>
          <cell r="S165" t="str">
            <v>Reinforced cement concrete (RCC) frame</v>
          </cell>
          <cell r="T165">
            <v>4.24</v>
          </cell>
          <cell r="U165">
            <v>5.22</v>
          </cell>
          <cell r="V165" t="str">
            <v>Hybrid structure</v>
          </cell>
          <cell r="W165">
            <v>0</v>
          </cell>
          <cell r="X165">
            <v>0</v>
          </cell>
          <cell r="Y165" t="str">
            <v>Timber frame structure</v>
          </cell>
          <cell r="Z165">
            <v>39.08</v>
          </cell>
          <cell r="AA165">
            <v>16.91</v>
          </cell>
          <cell r="AB165" t="str">
            <v>Hollow concrete block Masonry</v>
          </cell>
          <cell r="AC165">
            <v>0</v>
          </cell>
          <cell r="AD165">
            <v>0</v>
          </cell>
          <cell r="AE165" t="str">
            <v>Dry stone Masonry</v>
          </cell>
          <cell r="AF165">
            <v>0.14000000000000001</v>
          </cell>
          <cell r="AG165">
            <v>0.22</v>
          </cell>
          <cell r="AH165" t="str">
            <v>Adobe structures</v>
          </cell>
          <cell r="AI165">
            <v>0.99</v>
          </cell>
          <cell r="AJ165">
            <v>2.85</v>
          </cell>
          <cell r="AK165" t="str">
            <v>Bamboo</v>
          </cell>
          <cell r="AL165">
            <v>0.25</v>
          </cell>
          <cell r="AM165">
            <v>0.32</v>
          </cell>
          <cell r="AN165" t="str">
            <v>Compressed stabilized earth block (SCEB) Masonry</v>
          </cell>
          <cell r="AO165">
            <v>0</v>
          </cell>
          <cell r="AP165">
            <v>0</v>
          </cell>
          <cell r="AQ165" t="str">
            <v>Light steel frame structures</v>
          </cell>
          <cell r="AR165">
            <v>0</v>
          </cell>
          <cell r="AS165">
            <v>0</v>
          </cell>
          <cell r="AT165">
            <v>2321</v>
          </cell>
          <cell r="AU165">
            <v>1248</v>
          </cell>
          <cell r="AV165">
            <v>1246</v>
          </cell>
          <cell r="AW165">
            <v>1019</v>
          </cell>
          <cell r="AX165">
            <v>809</v>
          </cell>
          <cell r="AY165">
            <v>1051</v>
          </cell>
          <cell r="AZ165">
            <v>625</v>
          </cell>
          <cell r="BA165">
            <v>1330</v>
          </cell>
          <cell r="BB165">
            <v>494</v>
          </cell>
          <cell r="BC165">
            <v>489</v>
          </cell>
          <cell r="BD165">
            <v>0</v>
          </cell>
          <cell r="BE165">
            <v>2819</v>
          </cell>
          <cell r="BF165">
            <v>2819</v>
          </cell>
          <cell r="BG165">
            <v>489</v>
          </cell>
          <cell r="BH165">
            <v>463</v>
          </cell>
          <cell r="BI165" t="str">
            <v>PIN(Rural Housing and Community Infrastructure)</v>
          </cell>
          <cell r="BJ165" t="str">
            <v>AA(Gender Equality and Social Inclusion),AATWIN(Social Protection),CARE-N(Education),EBMF(Education),HELVETAS(Rural Housing and Community Infrastructure),PLAN(Social Protection,Water, Sanitation and Hygiene)</v>
          </cell>
          <cell r="BK165">
            <v>25617</v>
          </cell>
          <cell r="BL165" t="str">
            <v/>
          </cell>
          <cell r="BM165" t="str">
            <v/>
          </cell>
          <cell r="BN165">
            <v>13986</v>
          </cell>
          <cell r="BO165" t="str">
            <v/>
          </cell>
          <cell r="BP165" t="str">
            <v/>
          </cell>
          <cell r="BQ165">
            <v>2625</v>
          </cell>
          <cell r="BR165" t="str">
            <v/>
          </cell>
          <cell r="BS165" t="str">
            <v/>
          </cell>
          <cell r="BT165">
            <v>2625</v>
          </cell>
          <cell r="BU165" t="str">
            <v/>
          </cell>
          <cell r="BV165" t="str">
            <v/>
          </cell>
          <cell r="BW165" t="str">
            <v/>
          </cell>
          <cell r="BX165" t="str">
            <v/>
          </cell>
          <cell r="BY165" t="str">
            <v/>
          </cell>
          <cell r="BZ165">
            <v>51727</v>
          </cell>
          <cell r="CA165" t="str">
            <v/>
          </cell>
          <cell r="CB165" t="str">
            <v/>
          </cell>
          <cell r="CC165">
            <v>300724</v>
          </cell>
          <cell r="CD165" t="str">
            <v/>
          </cell>
          <cell r="CE165" t="str">
            <v/>
          </cell>
          <cell r="CF165">
            <v>2116</v>
          </cell>
          <cell r="CG165" t="str">
            <v/>
          </cell>
          <cell r="CH165" t="str">
            <v/>
          </cell>
          <cell r="CI165">
            <v>1672960</v>
          </cell>
          <cell r="CJ165" t="str">
            <v/>
          </cell>
          <cell r="CK165" t="str">
            <v/>
          </cell>
          <cell r="CL165" t="str">
            <v>Skilled</v>
          </cell>
          <cell r="CM165" t="str">
            <v/>
          </cell>
          <cell r="CN165" t="str">
            <v>Labor</v>
          </cell>
          <cell r="CO165" t="str">
            <v/>
          </cell>
          <cell r="CP165" t="str">
            <v/>
          </cell>
          <cell r="CQ165" t="str">
            <v/>
          </cell>
          <cell r="CR165" t="str">
            <v/>
          </cell>
          <cell r="CS165" t="str">
            <v/>
          </cell>
          <cell r="CT165" t="str">
            <v/>
          </cell>
          <cell r="CU165" t="str">
            <v/>
          </cell>
          <cell r="CV165" t="str">
            <v>Municipal Office</v>
          </cell>
          <cell r="CW165" t="str">
            <v>Ek raj Upreti</v>
          </cell>
          <cell r="CX165" t="str">
            <v xml:space="preserve">Chairman </v>
          </cell>
          <cell r="CY165">
            <v>9855077614</v>
          </cell>
          <cell r="CZ165" t="str">
            <v>Municipal Office</v>
          </cell>
          <cell r="DA165" t="str">
            <v>Manila Bist</v>
          </cell>
          <cell r="DB165" t="str">
            <v>Deputy Chairman</v>
          </cell>
          <cell r="DC165">
            <v>9855075305</v>
          </cell>
          <cell r="DD165" t="str">
            <v>Municipal Office</v>
          </cell>
          <cell r="DE165" t="str">
            <v>Bishaksen Dhakal</v>
          </cell>
          <cell r="DF165" t="str">
            <v>Chief Adminstration Officer</v>
          </cell>
          <cell r="DG165">
            <v>9841378157</v>
          </cell>
          <cell r="DH165" t="str">
            <v>NRA/GMALI</v>
          </cell>
          <cell r="DI165" t="str">
            <v xml:space="preserve">Som Raj Timilsena </v>
          </cell>
          <cell r="DJ165" t="str">
            <v>NRA Chief-District</v>
          </cell>
          <cell r="DK165">
            <v>9855030632</v>
          </cell>
          <cell r="DL165" t="str">
            <v>DLPIU-Building</v>
          </cell>
          <cell r="DM165" t="str">
            <v xml:space="preserve">Sudip Achrya </v>
          </cell>
          <cell r="DN165" t="str">
            <v>DUDBC.DLPIU Chief</v>
          </cell>
          <cell r="DO165">
            <v>9851153206</v>
          </cell>
          <cell r="DP165" t="str">
            <v>Municipal Office</v>
          </cell>
          <cell r="DQ165" t="str">
            <v>Er.Shambhu raj karna</v>
          </cell>
          <cell r="DR165" t="str">
            <v>Focal Person</v>
          </cell>
          <cell r="DS165">
            <v>9843138746</v>
          </cell>
          <cell r="DT165" t="str">
            <v/>
          </cell>
          <cell r="DU165" t="str">
            <v/>
          </cell>
          <cell r="DV165" t="str">
            <v/>
          </cell>
          <cell r="DW165" t="str">
            <v/>
          </cell>
          <cell r="DX165" t="str">
            <v/>
          </cell>
          <cell r="DY165" t="str">
            <v/>
          </cell>
          <cell r="DZ165" t="str">
            <v/>
          </cell>
          <cell r="EA165" t="str">
            <v/>
          </cell>
          <cell r="EB165" t="str">
            <v/>
          </cell>
          <cell r="EC165" t="str">
            <v/>
          </cell>
          <cell r="ED165" t="str">
            <v/>
          </cell>
          <cell r="EE165" t="str">
            <v/>
          </cell>
          <cell r="EF165" t="str">
            <v/>
          </cell>
          <cell r="EG165" t="str">
            <v/>
          </cell>
          <cell r="EH165" t="str">
            <v/>
          </cell>
          <cell r="EI165" t="str">
            <v/>
          </cell>
          <cell r="EJ165">
            <v>144</v>
          </cell>
          <cell r="EK165">
            <v>0</v>
          </cell>
          <cell r="EL165">
            <v>144</v>
          </cell>
          <cell r="EM165">
            <v>180</v>
          </cell>
          <cell r="EN165">
            <v>0</v>
          </cell>
          <cell r="EO165">
            <v>180</v>
          </cell>
          <cell r="EP165" t="str">
            <v/>
          </cell>
          <cell r="EQ165" t="str">
            <v>Housing Recovery and Reconstruction Platform</v>
          </cell>
          <cell r="ER165" t="str">
            <v>Hari Thalang</v>
          </cell>
          <cell r="ES165" t="str">
            <v>District Coordinator</v>
          </cell>
          <cell r="ET165">
            <v>9851224505</v>
          </cell>
          <cell r="EU165" t="str">
            <v>Housing Recovery and Reconstruction Platform</v>
          </cell>
          <cell r="EV165" t="str">
            <v>Nirmal Nepali</v>
          </cell>
          <cell r="EW165" t="str">
            <v>DIstrict Information Management Officer</v>
          </cell>
          <cell r="EX165">
            <v>9848500348</v>
          </cell>
          <cell r="EY165" t="str">
            <v>Housing Recovery and Reconstruction Platform</v>
          </cell>
          <cell r="EZ165" t="str">
            <v xml:space="preserve">Kausal Bist </v>
          </cell>
          <cell r="FA165" t="str">
            <v>District Technical Officer</v>
          </cell>
          <cell r="FB165">
            <v>9849787273</v>
          </cell>
        </row>
        <row r="166">
          <cell r="A166">
            <v>31009</v>
          </cell>
          <cell r="B166" t="str">
            <v>Makwanpur</v>
          </cell>
          <cell r="C166" t="str">
            <v>Raksirang Gaunpalika</v>
          </cell>
          <cell r="D166">
            <v>3274</v>
          </cell>
          <cell r="E166">
            <v>1817</v>
          </cell>
          <cell r="F166">
            <v>5091</v>
          </cell>
          <cell r="G166" t="str">
            <v>Stone and cement mortar masonry</v>
          </cell>
          <cell r="H166">
            <v>0.84</v>
          </cell>
          <cell r="I166">
            <v>1.32</v>
          </cell>
          <cell r="J166" t="str">
            <v>Stone and Mud Mortar Masonary</v>
          </cell>
          <cell r="K166">
            <v>72.5</v>
          </cell>
          <cell r="L166">
            <v>44.19</v>
          </cell>
          <cell r="M166" t="str">
            <v>Brick and Cement Mortar Masonary</v>
          </cell>
          <cell r="N166">
            <v>2.36</v>
          </cell>
          <cell r="O166">
            <v>26.6</v>
          </cell>
          <cell r="P166" t="str">
            <v>Brick and mud mortar Masonry</v>
          </cell>
          <cell r="Q166">
            <v>0.12</v>
          </cell>
          <cell r="R166">
            <v>2.36</v>
          </cell>
          <cell r="S166" t="str">
            <v>Reinforced cement concrete (RCC) frame</v>
          </cell>
          <cell r="T166">
            <v>0.02</v>
          </cell>
          <cell r="U166">
            <v>5.22</v>
          </cell>
          <cell r="V166" t="str">
            <v>Hybrid structure</v>
          </cell>
          <cell r="W166">
            <v>0</v>
          </cell>
          <cell r="X166">
            <v>0</v>
          </cell>
          <cell r="Y166" t="str">
            <v>Timber frame structure</v>
          </cell>
          <cell r="Z166">
            <v>23.85</v>
          </cell>
          <cell r="AA166">
            <v>16.91</v>
          </cell>
          <cell r="AB166" t="str">
            <v>Hollow concrete block Masonry</v>
          </cell>
          <cell r="AC166">
            <v>0</v>
          </cell>
          <cell r="AD166">
            <v>0</v>
          </cell>
          <cell r="AE166" t="str">
            <v>Dry stone Masonry</v>
          </cell>
          <cell r="AF166">
            <v>0.12</v>
          </cell>
          <cell r="AG166">
            <v>0.22</v>
          </cell>
          <cell r="AH166" t="str">
            <v>Adobe structures</v>
          </cell>
          <cell r="AI166">
            <v>0.1</v>
          </cell>
          <cell r="AJ166">
            <v>2.85</v>
          </cell>
          <cell r="AK166" t="str">
            <v>Bamboo</v>
          </cell>
          <cell r="AL166">
            <v>0.1</v>
          </cell>
          <cell r="AM166">
            <v>0.32</v>
          </cell>
          <cell r="AN166" t="str">
            <v>Compressed stabilized earth block (SCEB) Masonry</v>
          </cell>
          <cell r="AO166">
            <v>0</v>
          </cell>
          <cell r="AP166">
            <v>0</v>
          </cell>
          <cell r="AQ166" t="str">
            <v>Light steel frame structures</v>
          </cell>
          <cell r="AR166">
            <v>0</v>
          </cell>
          <cell r="AS166">
            <v>0</v>
          </cell>
          <cell r="AT166">
            <v>1710</v>
          </cell>
          <cell r="AU166">
            <v>1588</v>
          </cell>
          <cell r="AV166">
            <v>1517</v>
          </cell>
          <cell r="AW166">
            <v>1403</v>
          </cell>
          <cell r="AX166">
            <v>932</v>
          </cell>
          <cell r="AY166">
            <v>1469</v>
          </cell>
          <cell r="AZ166">
            <v>750</v>
          </cell>
          <cell r="BA166">
            <v>537</v>
          </cell>
          <cell r="BB166">
            <v>358</v>
          </cell>
          <cell r="BC166">
            <v>358</v>
          </cell>
          <cell r="BD166">
            <v>0</v>
          </cell>
          <cell r="BE166">
            <v>1224</v>
          </cell>
          <cell r="BF166">
            <v>1224</v>
          </cell>
          <cell r="BG166">
            <v>54</v>
          </cell>
          <cell r="BH166">
            <v>54</v>
          </cell>
          <cell r="BI166" t="str">
            <v>NRCS(Agriculture, Livestock Development and Irrigation,Employment and Livelihood,Health,Rural Housing and Community Infrastructure,Water, Sanitation and Hygiene),PIN(Rural Housing and Community Infrastructure)</v>
          </cell>
          <cell r="BJ166" t="str">
            <v>BNMT(Health),EBMF(Education),HELVETAS(Rural Housing and Community Infrastructure)</v>
          </cell>
          <cell r="BK166">
            <v>25080</v>
          </cell>
          <cell r="BL166" t="str">
            <v/>
          </cell>
          <cell r="BM166" t="str">
            <v/>
          </cell>
          <cell r="BN166">
            <v>26173</v>
          </cell>
          <cell r="BO166" t="str">
            <v/>
          </cell>
          <cell r="BP166" t="str">
            <v/>
          </cell>
          <cell r="BQ166">
            <v>2682</v>
          </cell>
          <cell r="BR166" t="str">
            <v/>
          </cell>
          <cell r="BS166" t="str">
            <v/>
          </cell>
          <cell r="BT166">
            <v>3110</v>
          </cell>
          <cell r="BU166" t="str">
            <v/>
          </cell>
          <cell r="BV166" t="str">
            <v/>
          </cell>
          <cell r="BW166" t="str">
            <v/>
          </cell>
          <cell r="BX166" t="str">
            <v/>
          </cell>
          <cell r="BY166" t="str">
            <v/>
          </cell>
          <cell r="BZ166">
            <v>86558</v>
          </cell>
          <cell r="CA166" t="str">
            <v/>
          </cell>
          <cell r="CB166" t="str">
            <v/>
          </cell>
          <cell r="CC166">
            <v>271079</v>
          </cell>
          <cell r="CD166" t="str">
            <v/>
          </cell>
          <cell r="CE166" t="str">
            <v/>
          </cell>
          <cell r="CF166">
            <v>3538</v>
          </cell>
          <cell r="CG166" t="str">
            <v/>
          </cell>
          <cell r="CH166" t="str">
            <v/>
          </cell>
          <cell r="CI166">
            <v>201044</v>
          </cell>
          <cell r="CJ166" t="str">
            <v/>
          </cell>
          <cell r="CK166" t="str">
            <v/>
          </cell>
          <cell r="CL166" t="str">
            <v>Skilled</v>
          </cell>
          <cell r="CM166" t="str">
            <v/>
          </cell>
          <cell r="CN166" t="str">
            <v>Labor</v>
          </cell>
          <cell r="CO166" t="str">
            <v/>
          </cell>
          <cell r="CP166" t="str">
            <v/>
          </cell>
          <cell r="CQ166" t="str">
            <v/>
          </cell>
          <cell r="CR166" t="str">
            <v/>
          </cell>
          <cell r="CS166" t="str">
            <v/>
          </cell>
          <cell r="CT166" t="str">
            <v/>
          </cell>
          <cell r="CU166" t="str">
            <v/>
          </cell>
          <cell r="CV166" t="str">
            <v>Municipal Office</v>
          </cell>
          <cell r="CW166" t="str">
            <v>Raj Kumar Malla</v>
          </cell>
          <cell r="CX166" t="str">
            <v xml:space="preserve">Chairman </v>
          </cell>
          <cell r="CY166">
            <v>9855069405</v>
          </cell>
          <cell r="CZ166" t="str">
            <v>Municipal Office</v>
          </cell>
          <cell r="DA166" t="str">
            <v>Nirmala Himdung</v>
          </cell>
          <cell r="DB166" t="str">
            <v>Deputy Chairman</v>
          </cell>
          <cell r="DC166">
            <v>9845599541</v>
          </cell>
          <cell r="DD166" t="str">
            <v>Municipal Office</v>
          </cell>
          <cell r="DE166" t="str">
            <v>Ram Kumar Pudasaini</v>
          </cell>
          <cell r="DF166" t="str">
            <v>Chief Adminstration Officer</v>
          </cell>
          <cell r="DG166">
            <v>9845502695</v>
          </cell>
          <cell r="DH166" t="str">
            <v>NRA/GMALI</v>
          </cell>
          <cell r="DI166" t="str">
            <v xml:space="preserve">Som Raj Timilsena </v>
          </cell>
          <cell r="DJ166" t="str">
            <v>NRA Chief-District</v>
          </cell>
          <cell r="DK166">
            <v>9855030632</v>
          </cell>
          <cell r="DL166" t="str">
            <v>DLPIU-Building</v>
          </cell>
          <cell r="DM166" t="str">
            <v xml:space="preserve">Sudip Achrya </v>
          </cell>
          <cell r="DN166" t="str">
            <v>DUDBC.DLPIU Chief</v>
          </cell>
          <cell r="DO166">
            <v>9851153206</v>
          </cell>
          <cell r="DP166" t="str">
            <v>Municipal Office</v>
          </cell>
          <cell r="DQ166" t="str">
            <v>Er.Ram k.c.</v>
          </cell>
          <cell r="DR166" t="str">
            <v>Focal Person</v>
          </cell>
          <cell r="DS166">
            <v>9846606447</v>
          </cell>
          <cell r="DT166" t="str">
            <v/>
          </cell>
          <cell r="DU166" t="str">
            <v/>
          </cell>
          <cell r="DV166" t="str">
            <v/>
          </cell>
          <cell r="DW166" t="str">
            <v/>
          </cell>
          <cell r="DX166" t="str">
            <v/>
          </cell>
          <cell r="DY166" t="str">
            <v/>
          </cell>
          <cell r="DZ166" t="str">
            <v/>
          </cell>
          <cell r="EA166" t="str">
            <v/>
          </cell>
          <cell r="EB166" t="str">
            <v/>
          </cell>
          <cell r="EC166" t="str">
            <v/>
          </cell>
          <cell r="ED166" t="str">
            <v/>
          </cell>
          <cell r="EE166" t="str">
            <v/>
          </cell>
          <cell r="EF166" t="str">
            <v/>
          </cell>
          <cell r="EG166" t="str">
            <v/>
          </cell>
          <cell r="EH166" t="str">
            <v/>
          </cell>
          <cell r="EI166" t="str">
            <v/>
          </cell>
          <cell r="EJ166">
            <v>126</v>
          </cell>
          <cell r="EK166">
            <v>30</v>
          </cell>
          <cell r="EL166">
            <v>96</v>
          </cell>
          <cell r="EM166">
            <v>162</v>
          </cell>
          <cell r="EN166">
            <v>270</v>
          </cell>
          <cell r="EO166">
            <v>-108</v>
          </cell>
          <cell r="EP166" t="str">
            <v/>
          </cell>
          <cell r="EQ166" t="str">
            <v>Housing Recovery and Reconstruction Platform</v>
          </cell>
          <cell r="ER166" t="str">
            <v>Hari Thalang</v>
          </cell>
          <cell r="ES166" t="str">
            <v>District Coordinator</v>
          </cell>
          <cell r="ET166">
            <v>9851224505</v>
          </cell>
          <cell r="EU166" t="str">
            <v>Housing Recovery and Reconstruction Platform</v>
          </cell>
          <cell r="EV166" t="str">
            <v>Nirmal Nepali</v>
          </cell>
          <cell r="EW166" t="str">
            <v>DIstrict Information Management Officer</v>
          </cell>
          <cell r="EX166">
            <v>9848500348</v>
          </cell>
          <cell r="EY166" t="str">
            <v>Housing Recovery and Reconstruction Platform</v>
          </cell>
          <cell r="EZ166" t="str">
            <v xml:space="preserve">Kausal Bist </v>
          </cell>
          <cell r="FA166" t="str">
            <v>District Technical Officer</v>
          </cell>
          <cell r="FB166">
            <v>9849787273</v>
          </cell>
        </row>
        <row r="167">
          <cell r="A167">
            <v>31010</v>
          </cell>
          <cell r="B167" t="str">
            <v>Makwanpur</v>
          </cell>
          <cell r="C167" t="str">
            <v>Thaha Nagarpalika</v>
          </cell>
          <cell r="D167">
            <v>3003</v>
          </cell>
          <cell r="E167">
            <v>7516</v>
          </cell>
          <cell r="F167">
            <v>10519</v>
          </cell>
          <cell r="G167" t="str">
            <v>Stone and cement mortar masonry</v>
          </cell>
          <cell r="H167">
            <v>1.2</v>
          </cell>
          <cell r="I167">
            <v>1.32</v>
          </cell>
          <cell r="J167" t="str">
            <v>Stone and Mud Mortar Masonary</v>
          </cell>
          <cell r="K167">
            <v>80.59</v>
          </cell>
          <cell r="L167">
            <v>44.19</v>
          </cell>
          <cell r="M167" t="str">
            <v>Brick and Cement Mortar Masonary</v>
          </cell>
          <cell r="N167">
            <v>4.59</v>
          </cell>
          <cell r="O167">
            <v>26.6</v>
          </cell>
          <cell r="P167" t="str">
            <v>Brick and mud mortar Masonry</v>
          </cell>
          <cell r="Q167">
            <v>0.52</v>
          </cell>
          <cell r="R167">
            <v>2.36</v>
          </cell>
          <cell r="S167" t="str">
            <v>Reinforced cement concrete (RCC) frame</v>
          </cell>
          <cell r="T167">
            <v>1.71</v>
          </cell>
          <cell r="U167">
            <v>5.22</v>
          </cell>
          <cell r="V167" t="str">
            <v>Hybrid structure</v>
          </cell>
          <cell r="W167">
            <v>0</v>
          </cell>
          <cell r="X167">
            <v>0</v>
          </cell>
          <cell r="Y167" t="str">
            <v>Timber frame structure</v>
          </cell>
          <cell r="Z167">
            <v>0.65</v>
          </cell>
          <cell r="AA167">
            <v>16.91</v>
          </cell>
          <cell r="AB167" t="str">
            <v>Hollow concrete block Masonry</v>
          </cell>
          <cell r="AC167">
            <v>0</v>
          </cell>
          <cell r="AD167">
            <v>0</v>
          </cell>
          <cell r="AE167" t="str">
            <v>Dry stone Masonry</v>
          </cell>
          <cell r="AF167">
            <v>0.17</v>
          </cell>
          <cell r="AG167">
            <v>0.22</v>
          </cell>
          <cell r="AH167" t="str">
            <v>Adobe structures</v>
          </cell>
          <cell r="AI167">
            <v>10.54</v>
          </cell>
          <cell r="AJ167">
            <v>2.85</v>
          </cell>
          <cell r="AK167" t="str">
            <v>Bamboo</v>
          </cell>
          <cell r="AL167">
            <v>0.02</v>
          </cell>
          <cell r="AM167">
            <v>0.32</v>
          </cell>
          <cell r="AN167" t="str">
            <v>Compressed stabilized earth block (SCEB) Masonry</v>
          </cell>
          <cell r="AO167">
            <v>0</v>
          </cell>
          <cell r="AP167">
            <v>0</v>
          </cell>
          <cell r="AQ167" t="str">
            <v>Light steel frame structures</v>
          </cell>
          <cell r="AR167">
            <v>0</v>
          </cell>
          <cell r="AS167">
            <v>0</v>
          </cell>
          <cell r="AT167">
            <v>6727</v>
          </cell>
          <cell r="AU167">
            <v>6017</v>
          </cell>
          <cell r="AV167">
            <v>6007</v>
          </cell>
          <cell r="AW167">
            <v>4725</v>
          </cell>
          <cell r="AX167">
            <v>2933</v>
          </cell>
          <cell r="AY167">
            <v>4634</v>
          </cell>
          <cell r="AZ167">
            <v>2650</v>
          </cell>
          <cell r="BA167">
            <v>1178</v>
          </cell>
          <cell r="BB167">
            <v>612</v>
          </cell>
          <cell r="BC167">
            <v>612</v>
          </cell>
          <cell r="BD167">
            <v>0</v>
          </cell>
          <cell r="BE167">
            <v>2658</v>
          </cell>
          <cell r="BF167">
            <v>2658</v>
          </cell>
          <cell r="BG167">
            <v>267</v>
          </cell>
          <cell r="BH167">
            <v>238</v>
          </cell>
          <cell r="BI167" t="str">
            <v>BC(Rural Housing and Community Infrastructure)</v>
          </cell>
          <cell r="BJ167" t="str">
            <v/>
          </cell>
          <cell r="BK167">
            <v>110482</v>
          </cell>
          <cell r="BL167" t="str">
            <v/>
          </cell>
          <cell r="BM167" t="str">
            <v/>
          </cell>
          <cell r="BN167">
            <v>110939</v>
          </cell>
          <cell r="BO167" t="str">
            <v/>
          </cell>
          <cell r="BP167" t="str">
            <v/>
          </cell>
          <cell r="BQ167">
            <v>11778</v>
          </cell>
          <cell r="BR167" t="str">
            <v/>
          </cell>
          <cell r="BS167" t="str">
            <v/>
          </cell>
          <cell r="BT167">
            <v>13521</v>
          </cell>
          <cell r="BU167" t="str">
            <v/>
          </cell>
          <cell r="BV167" t="str">
            <v/>
          </cell>
          <cell r="BW167" t="str">
            <v/>
          </cell>
          <cell r="BX167" t="str">
            <v/>
          </cell>
          <cell r="BY167" t="str">
            <v/>
          </cell>
          <cell r="BZ167">
            <v>370327</v>
          </cell>
          <cell r="CA167" t="str">
            <v/>
          </cell>
          <cell r="CB167" t="str">
            <v/>
          </cell>
          <cell r="CC167">
            <v>1204388</v>
          </cell>
          <cell r="CD167" t="str">
            <v/>
          </cell>
          <cell r="CE167" t="str">
            <v/>
          </cell>
          <cell r="CF167">
            <v>15145</v>
          </cell>
          <cell r="CG167" t="str">
            <v/>
          </cell>
          <cell r="CH167" t="str">
            <v/>
          </cell>
          <cell r="CI167">
            <v>1627026</v>
          </cell>
          <cell r="CJ167" t="str">
            <v/>
          </cell>
          <cell r="CK167" t="str">
            <v/>
          </cell>
          <cell r="CL167" t="str">
            <v>Skilled</v>
          </cell>
          <cell r="CM167" t="str">
            <v/>
          </cell>
          <cell r="CN167" t="str">
            <v>Labor</v>
          </cell>
          <cell r="CO167" t="str">
            <v/>
          </cell>
          <cell r="CP167" t="str">
            <v/>
          </cell>
          <cell r="CQ167" t="str">
            <v/>
          </cell>
          <cell r="CR167" t="str">
            <v/>
          </cell>
          <cell r="CS167" t="str">
            <v/>
          </cell>
          <cell r="CT167" t="str">
            <v/>
          </cell>
          <cell r="CU167" t="str">
            <v/>
          </cell>
          <cell r="CV167" t="str">
            <v>Municipal Office</v>
          </cell>
          <cell r="CW167" t="str">
            <v>LawSher Bist</v>
          </cell>
          <cell r="CX167" t="str">
            <v>Mayor</v>
          </cell>
          <cell r="CY167">
            <v>9855067692</v>
          </cell>
          <cell r="CZ167" t="str">
            <v>Municipal Office</v>
          </cell>
          <cell r="DA167" t="str">
            <v>Khadka Bdr. Gopali</v>
          </cell>
          <cell r="DB167" t="str">
            <v>Deputy Mayor</v>
          </cell>
          <cell r="DC167">
            <v>9855067045</v>
          </cell>
          <cell r="DD167" t="str">
            <v>Municipal Office</v>
          </cell>
          <cell r="DE167" t="str">
            <v>Hari Lal Pun</v>
          </cell>
          <cell r="DF167" t="str">
            <v>Chief Adminstration Officer</v>
          </cell>
          <cell r="DG167">
            <v>9855012111</v>
          </cell>
          <cell r="DH167" t="str">
            <v>NRA/GMALI</v>
          </cell>
          <cell r="DI167" t="str">
            <v xml:space="preserve">Som Raj Timilsena </v>
          </cell>
          <cell r="DJ167" t="str">
            <v>NRA Chief-District</v>
          </cell>
          <cell r="DK167">
            <v>9855030632</v>
          </cell>
          <cell r="DL167" t="str">
            <v>DLPIU-Building</v>
          </cell>
          <cell r="DM167" t="str">
            <v xml:space="preserve">Sudip Achrya </v>
          </cell>
          <cell r="DN167" t="str">
            <v>DUDBC.DLPIU Chief</v>
          </cell>
          <cell r="DO167">
            <v>9851153206</v>
          </cell>
          <cell r="DP167" t="str">
            <v>Municipal Office</v>
          </cell>
          <cell r="DQ167" t="str">
            <v>Er.Laxman dhakal</v>
          </cell>
          <cell r="DR167" t="str">
            <v>Focal Person</v>
          </cell>
          <cell r="DS167">
            <v>9845615021</v>
          </cell>
          <cell r="DT167" t="str">
            <v/>
          </cell>
          <cell r="DU167" t="str">
            <v/>
          </cell>
          <cell r="DV167" t="str">
            <v/>
          </cell>
          <cell r="DW167" t="str">
            <v/>
          </cell>
          <cell r="DX167" t="str">
            <v/>
          </cell>
          <cell r="DY167" t="str">
            <v/>
          </cell>
          <cell r="DZ167" t="str">
            <v/>
          </cell>
          <cell r="EA167" t="str">
            <v/>
          </cell>
          <cell r="EB167" t="str">
            <v/>
          </cell>
          <cell r="EC167" t="str">
            <v/>
          </cell>
          <cell r="ED167" t="str">
            <v/>
          </cell>
          <cell r="EE167" t="str">
            <v/>
          </cell>
          <cell r="EF167" t="str">
            <v/>
          </cell>
          <cell r="EG167" t="str">
            <v/>
          </cell>
          <cell r="EH167" t="str">
            <v/>
          </cell>
          <cell r="EI167" t="str">
            <v/>
          </cell>
          <cell r="EJ167">
            <v>468</v>
          </cell>
          <cell r="EK167">
            <v>525</v>
          </cell>
          <cell r="EL167">
            <v>-57</v>
          </cell>
          <cell r="EM167">
            <v>615</v>
          </cell>
          <cell r="EN167">
            <v>4</v>
          </cell>
          <cell r="EO167">
            <v>611</v>
          </cell>
          <cell r="EP167" t="str">
            <v/>
          </cell>
          <cell r="EQ167" t="str">
            <v>Housing Recovery and Reconstruction Platform</v>
          </cell>
          <cell r="ER167" t="str">
            <v>Hari Thalang</v>
          </cell>
          <cell r="ES167" t="str">
            <v>District Coordinator</v>
          </cell>
          <cell r="ET167">
            <v>9851224505</v>
          </cell>
          <cell r="EU167" t="str">
            <v>Housing Recovery and Reconstruction Platform</v>
          </cell>
          <cell r="EV167" t="str">
            <v>Nirmal Nepali</v>
          </cell>
          <cell r="EW167" t="str">
            <v>DIstrict Information Management Officer</v>
          </cell>
          <cell r="EX167">
            <v>9848500348</v>
          </cell>
          <cell r="EY167" t="str">
            <v>Housing Recovery and Reconstruction Platform</v>
          </cell>
          <cell r="EZ167" t="str">
            <v xml:space="preserve">Kausal Bist </v>
          </cell>
          <cell r="FA167" t="str">
            <v>District Technical Officer</v>
          </cell>
          <cell r="FB167">
            <v>9849787273</v>
          </cell>
        </row>
        <row r="168">
          <cell r="A168">
            <v>35001</v>
          </cell>
          <cell r="B168" t="str">
            <v>Chitwan</v>
          </cell>
          <cell r="C168" t="str">
            <v>Bharatpur Mahanagarpalika</v>
          </cell>
          <cell r="D168">
            <v>1309</v>
          </cell>
          <cell r="E168">
            <v>778</v>
          </cell>
          <cell r="F168">
            <v>2087</v>
          </cell>
          <cell r="G168" t="str">
            <v>Stone and cement mortar masonry</v>
          </cell>
          <cell r="H168">
            <v>1.73</v>
          </cell>
          <cell r="I168">
            <v>1.59</v>
          </cell>
          <cell r="J168" t="str">
            <v>Stone and Mud Mortar Masonary</v>
          </cell>
          <cell r="K168">
            <v>21.72</v>
          </cell>
          <cell r="L168">
            <v>35.369999999999997</v>
          </cell>
          <cell r="M168" t="str">
            <v>Brick and Cement Mortar Masonary</v>
          </cell>
          <cell r="N168">
            <v>64.09</v>
          </cell>
          <cell r="O168">
            <v>37.97</v>
          </cell>
          <cell r="P168" t="str">
            <v>Brick and mud mortar Masonry</v>
          </cell>
          <cell r="Q168">
            <v>5.03</v>
          </cell>
          <cell r="R168">
            <v>13.49</v>
          </cell>
          <cell r="S168" t="str">
            <v>Reinforced cement concrete (RCC) frame</v>
          </cell>
          <cell r="T168">
            <v>4.3099999999999996</v>
          </cell>
          <cell r="U168">
            <v>6.16</v>
          </cell>
          <cell r="V168" t="str">
            <v>Hybrid structure</v>
          </cell>
          <cell r="W168">
            <v>0</v>
          </cell>
          <cell r="X168">
            <v>0</v>
          </cell>
          <cell r="Y168" t="str">
            <v>Timber frame structure</v>
          </cell>
          <cell r="Z168">
            <v>0.62</v>
          </cell>
          <cell r="AA168">
            <v>2.7</v>
          </cell>
          <cell r="AB168" t="str">
            <v>Hollow concrete block Masonry</v>
          </cell>
          <cell r="AC168">
            <v>0</v>
          </cell>
          <cell r="AD168">
            <v>0</v>
          </cell>
          <cell r="AE168" t="str">
            <v>Dry stone Masonry</v>
          </cell>
          <cell r="AF168">
            <v>0</v>
          </cell>
          <cell r="AG168">
            <v>0.27</v>
          </cell>
          <cell r="AH168" t="str">
            <v>Adobe structures</v>
          </cell>
          <cell r="AI168">
            <v>2.35</v>
          </cell>
          <cell r="AJ168">
            <v>2.0499999999999998</v>
          </cell>
          <cell r="AK168" t="str">
            <v>Bamboo</v>
          </cell>
          <cell r="AL168">
            <v>0.14000000000000001</v>
          </cell>
          <cell r="AM168">
            <v>0.41</v>
          </cell>
          <cell r="AN168" t="str">
            <v>Compressed stabilized earth block (SCEB) Masonry</v>
          </cell>
          <cell r="AO168">
            <v>0</v>
          </cell>
          <cell r="AP168">
            <v>0</v>
          </cell>
          <cell r="AQ168" t="str">
            <v>Light steel frame structures</v>
          </cell>
          <cell r="AR168">
            <v>0</v>
          </cell>
          <cell r="AS168">
            <v>0</v>
          </cell>
          <cell r="AT168">
            <v>710</v>
          </cell>
          <cell r="AU168">
            <v>655</v>
          </cell>
          <cell r="AV168">
            <v>655</v>
          </cell>
          <cell r="AW168">
            <v>156</v>
          </cell>
          <cell r="AX168">
            <v>61</v>
          </cell>
          <cell r="AY168">
            <v>0</v>
          </cell>
          <cell r="AZ168">
            <v>0</v>
          </cell>
          <cell r="BA168">
            <v>38</v>
          </cell>
          <cell r="BB168">
            <v>9</v>
          </cell>
          <cell r="BC168">
            <v>9</v>
          </cell>
          <cell r="BD168">
            <v>0</v>
          </cell>
          <cell r="BE168">
            <v>324</v>
          </cell>
          <cell r="BF168" t="str">
            <v/>
          </cell>
          <cell r="BG168" t="str">
            <v/>
          </cell>
          <cell r="BH168" t="str">
            <v/>
          </cell>
          <cell r="BI168" t="str">
            <v/>
          </cell>
          <cell r="BJ168" t="str">
            <v/>
          </cell>
          <cell r="BK168">
            <v>20960</v>
          </cell>
          <cell r="BL168" t="str">
            <v/>
          </cell>
          <cell r="BM168" t="str">
            <v/>
          </cell>
          <cell r="BN168">
            <v>7833</v>
          </cell>
          <cell r="BO168" t="str">
            <v/>
          </cell>
          <cell r="BP168" t="str">
            <v/>
          </cell>
          <cell r="BQ168">
            <v>2123</v>
          </cell>
          <cell r="BR168" t="str">
            <v/>
          </cell>
          <cell r="BS168" t="str">
            <v/>
          </cell>
          <cell r="BT168">
            <v>2025</v>
          </cell>
          <cell r="BU168" t="str">
            <v/>
          </cell>
          <cell r="BV168" t="str">
            <v/>
          </cell>
          <cell r="BW168" t="str">
            <v/>
          </cell>
          <cell r="BX168" t="str">
            <v/>
          </cell>
          <cell r="BY168" t="str">
            <v/>
          </cell>
          <cell r="BZ168">
            <v>37128</v>
          </cell>
          <cell r="CA168" t="str">
            <v/>
          </cell>
          <cell r="CB168" t="str">
            <v/>
          </cell>
          <cell r="CC168">
            <v>259767</v>
          </cell>
          <cell r="CD168" t="str">
            <v/>
          </cell>
          <cell r="CE168" t="str">
            <v/>
          </cell>
          <cell r="CF168">
            <v>1550</v>
          </cell>
          <cell r="CG168" t="str">
            <v/>
          </cell>
          <cell r="CH168" t="str">
            <v/>
          </cell>
          <cell r="CI168">
            <v>2579667</v>
          </cell>
          <cell r="CJ168" t="str">
            <v/>
          </cell>
          <cell r="CK168" t="str">
            <v/>
          </cell>
          <cell r="CL168" t="str">
            <v>Skilled</v>
          </cell>
          <cell r="CM168" t="str">
            <v/>
          </cell>
          <cell r="CN168" t="str">
            <v>Labor</v>
          </cell>
          <cell r="CO168" t="str">
            <v/>
          </cell>
          <cell r="CP168" t="str">
            <v/>
          </cell>
          <cell r="CQ168" t="str">
            <v/>
          </cell>
          <cell r="CR168" t="str">
            <v/>
          </cell>
          <cell r="CS168" t="str">
            <v/>
          </cell>
          <cell r="CT168" t="str">
            <v/>
          </cell>
          <cell r="CU168" t="str">
            <v/>
          </cell>
          <cell r="CV168" t="str">
            <v>Municipal Office</v>
          </cell>
          <cell r="CW168" t="str">
            <v>Renu Dahal</v>
          </cell>
          <cell r="CX168" t="str">
            <v>Mayor</v>
          </cell>
          <cell r="CY168">
            <v>9855116603</v>
          </cell>
          <cell r="CZ168" t="str">
            <v>Municipal Office</v>
          </cell>
          <cell r="DA168" t="str">
            <v>Parbati Shah</v>
          </cell>
          <cell r="DB168" t="str">
            <v>Deputy Mayor</v>
          </cell>
          <cell r="DC168">
            <v>9855116603</v>
          </cell>
          <cell r="DD168" t="str">
            <v>Municipal Office</v>
          </cell>
          <cell r="DE168" t="str">
            <v>Netra Prasad Subedhi</v>
          </cell>
          <cell r="DF168" t="str">
            <v>Chief Adminstration Officer</v>
          </cell>
          <cell r="DG168">
            <v>9855013111</v>
          </cell>
          <cell r="DH168" t="str">
            <v>NRA/GMALI</v>
          </cell>
          <cell r="DI168" t="str">
            <v>Puskar Prasad Pokharel</v>
          </cell>
          <cell r="DJ168" t="str">
            <v>NRA Chief-District</v>
          </cell>
          <cell r="DK168">
            <v>9855083820</v>
          </cell>
          <cell r="DL168" t="str">
            <v>DLPIU-Building</v>
          </cell>
          <cell r="DM168" t="str">
            <v>Sudip Acharya</v>
          </cell>
          <cell r="DN168" t="str">
            <v>DUDBC.DLPIU Chief</v>
          </cell>
          <cell r="DO168">
            <v>9855071284</v>
          </cell>
          <cell r="DP168" t="str">
            <v>Municipal Office</v>
          </cell>
          <cell r="DQ168" t="str">
            <v>Birat Ghimire</v>
          </cell>
          <cell r="DR168" t="str">
            <v>Focal Person</v>
          </cell>
          <cell r="DS168">
            <v>9855056035</v>
          </cell>
          <cell r="DT168" t="str">
            <v/>
          </cell>
          <cell r="DU168" t="str">
            <v/>
          </cell>
          <cell r="DV168" t="str">
            <v/>
          </cell>
          <cell r="DW168" t="str">
            <v/>
          </cell>
          <cell r="DX168" t="str">
            <v/>
          </cell>
          <cell r="DY168" t="str">
            <v/>
          </cell>
          <cell r="DZ168" t="str">
            <v/>
          </cell>
          <cell r="EA168" t="str">
            <v/>
          </cell>
          <cell r="EB168" t="str">
            <v/>
          </cell>
          <cell r="EC168" t="str">
            <v/>
          </cell>
          <cell r="ED168" t="str">
            <v/>
          </cell>
          <cell r="EE168" t="str">
            <v/>
          </cell>
          <cell r="EF168" t="str">
            <v/>
          </cell>
          <cell r="EG168" t="str">
            <v/>
          </cell>
          <cell r="EH168" t="str">
            <v/>
          </cell>
          <cell r="EI168" t="str">
            <v/>
          </cell>
          <cell r="EJ168">
            <v>0</v>
          </cell>
          <cell r="EK168">
            <v>0</v>
          </cell>
          <cell r="EL168">
            <v>0</v>
          </cell>
          <cell r="EM168">
            <v>0</v>
          </cell>
          <cell r="EN168">
            <v>0</v>
          </cell>
          <cell r="EO168">
            <v>0</v>
          </cell>
          <cell r="EP168" t="str">
            <v/>
          </cell>
          <cell r="EQ168" t="str">
            <v>Housing Recovery and Reconstruction Platform</v>
          </cell>
          <cell r="ER168" t="str">
            <v xml:space="preserve">Hari Prasad Thalang </v>
          </cell>
          <cell r="ES168" t="str">
            <v>District Coordinator</v>
          </cell>
          <cell r="ET168">
            <v>9851224505</v>
          </cell>
          <cell r="EU168" t="str">
            <v>Housing Recovery and Reconstruction Platform</v>
          </cell>
          <cell r="EV168" t="str">
            <v xml:space="preserve">Nirmal Nepali </v>
          </cell>
          <cell r="EW168" t="str">
            <v>DIstrict Information Management Officer</v>
          </cell>
          <cell r="EX168">
            <v>9848500348</v>
          </cell>
          <cell r="EY168" t="str">
            <v>Housing Recovery and Reconstruction Platform</v>
          </cell>
          <cell r="EZ168" t="str">
            <v>Kausal Bist</v>
          </cell>
          <cell r="FA168" t="str">
            <v>District Technical Officer</v>
          </cell>
          <cell r="FB168">
            <v>9849787273</v>
          </cell>
        </row>
        <row r="169">
          <cell r="A169">
            <v>35002</v>
          </cell>
          <cell r="B169" t="str">
            <v>Chitwan</v>
          </cell>
          <cell r="C169" t="str">
            <v>Ichchhyakamana Gaunpalika</v>
          </cell>
          <cell r="D169">
            <v>935</v>
          </cell>
          <cell r="E169">
            <v>2636</v>
          </cell>
          <cell r="F169">
            <v>3571</v>
          </cell>
          <cell r="G169" t="str">
            <v>Stone and cement mortar masonry</v>
          </cell>
          <cell r="H169">
            <v>1.1499999999999999</v>
          </cell>
          <cell r="I169">
            <v>1.59</v>
          </cell>
          <cell r="J169" t="str">
            <v>Stone and Mud Mortar Masonary</v>
          </cell>
          <cell r="K169">
            <v>79.599999999999994</v>
          </cell>
          <cell r="L169">
            <v>35.369999999999997</v>
          </cell>
          <cell r="M169" t="str">
            <v>Brick and Cement Mortar Masonary</v>
          </cell>
          <cell r="N169">
            <v>8.0299999999999994</v>
          </cell>
          <cell r="O169">
            <v>37.97</v>
          </cell>
          <cell r="P169" t="str">
            <v>Brick and mud mortar Masonry</v>
          </cell>
          <cell r="Q169">
            <v>0.42</v>
          </cell>
          <cell r="R169">
            <v>13.49</v>
          </cell>
          <cell r="S169" t="str">
            <v>Reinforced cement concrete (RCC) frame</v>
          </cell>
          <cell r="T169">
            <v>4.88</v>
          </cell>
          <cell r="U169">
            <v>6.16</v>
          </cell>
          <cell r="V169" t="str">
            <v>Hybrid structure</v>
          </cell>
          <cell r="W169">
            <v>0</v>
          </cell>
          <cell r="X169">
            <v>0</v>
          </cell>
          <cell r="Y169" t="str">
            <v>Timber frame structure</v>
          </cell>
          <cell r="Z169">
            <v>4.63</v>
          </cell>
          <cell r="AA169">
            <v>2.7</v>
          </cell>
          <cell r="AB169" t="str">
            <v>Hollow concrete block Masonry</v>
          </cell>
          <cell r="AC169">
            <v>0</v>
          </cell>
          <cell r="AD169">
            <v>0</v>
          </cell>
          <cell r="AE169" t="str">
            <v>Dry stone Masonry</v>
          </cell>
          <cell r="AF169">
            <v>0.53</v>
          </cell>
          <cell r="AG169">
            <v>0.27</v>
          </cell>
          <cell r="AH169" t="str">
            <v>Adobe structures</v>
          </cell>
          <cell r="AI169">
            <v>0.11</v>
          </cell>
          <cell r="AJ169">
            <v>2.0499999999999998</v>
          </cell>
          <cell r="AK169" t="str">
            <v>Bamboo</v>
          </cell>
          <cell r="AL169">
            <v>0.65</v>
          </cell>
          <cell r="AM169">
            <v>0.41</v>
          </cell>
          <cell r="AN169" t="str">
            <v>Compressed stabilized earth block (SCEB) Masonry</v>
          </cell>
          <cell r="AO169">
            <v>0</v>
          </cell>
          <cell r="AP169">
            <v>0</v>
          </cell>
          <cell r="AQ169" t="str">
            <v>Light steel frame structures</v>
          </cell>
          <cell r="AR169">
            <v>0</v>
          </cell>
          <cell r="AS169">
            <v>0</v>
          </cell>
          <cell r="AT169">
            <v>2353</v>
          </cell>
          <cell r="AU169">
            <v>2043</v>
          </cell>
          <cell r="AV169">
            <v>2043</v>
          </cell>
          <cell r="AW169">
            <v>1724</v>
          </cell>
          <cell r="AX169">
            <v>815</v>
          </cell>
          <cell r="AY169">
            <v>0</v>
          </cell>
          <cell r="AZ169">
            <v>0</v>
          </cell>
          <cell r="BA169">
            <v>248</v>
          </cell>
          <cell r="BB169">
            <v>196</v>
          </cell>
          <cell r="BC169">
            <v>196</v>
          </cell>
          <cell r="BD169">
            <v>0</v>
          </cell>
          <cell r="BE169">
            <v>1128</v>
          </cell>
          <cell r="BF169" t="str">
            <v/>
          </cell>
          <cell r="BG169" t="str">
            <v/>
          </cell>
          <cell r="BH169" t="str">
            <v/>
          </cell>
          <cell r="BI169" t="str">
            <v/>
          </cell>
          <cell r="BJ169" t="str">
            <v/>
          </cell>
          <cell r="BK169">
            <v>117500</v>
          </cell>
          <cell r="BL169" t="str">
            <v/>
          </cell>
          <cell r="BM169" t="str">
            <v/>
          </cell>
          <cell r="BN169">
            <v>89180</v>
          </cell>
          <cell r="BO169" t="str">
            <v/>
          </cell>
          <cell r="BP169" t="str">
            <v/>
          </cell>
          <cell r="BQ169">
            <v>12254</v>
          </cell>
          <cell r="BR169" t="str">
            <v/>
          </cell>
          <cell r="BS169" t="str">
            <v/>
          </cell>
          <cell r="BT169">
            <v>13071</v>
          </cell>
          <cell r="BU169" t="str">
            <v/>
          </cell>
          <cell r="BV169" t="str">
            <v/>
          </cell>
          <cell r="BW169" t="str">
            <v/>
          </cell>
          <cell r="BX169" t="str">
            <v/>
          </cell>
          <cell r="BY169" t="str">
            <v/>
          </cell>
          <cell r="BZ169">
            <v>301063</v>
          </cell>
          <cell r="CA169" t="str">
            <v/>
          </cell>
          <cell r="CB169" t="str">
            <v/>
          </cell>
          <cell r="CC169">
            <v>1321521</v>
          </cell>
          <cell r="CD169" t="str">
            <v/>
          </cell>
          <cell r="CE169" t="str">
            <v/>
          </cell>
          <cell r="CF169">
            <v>12260</v>
          </cell>
          <cell r="CG169" t="str">
            <v/>
          </cell>
          <cell r="CH169" t="str">
            <v/>
          </cell>
          <cell r="CI169">
            <v>3531651</v>
          </cell>
          <cell r="CJ169" t="str">
            <v/>
          </cell>
          <cell r="CK169" t="str">
            <v/>
          </cell>
          <cell r="CL169" t="str">
            <v>Skilled</v>
          </cell>
          <cell r="CM169" t="str">
            <v/>
          </cell>
          <cell r="CN169" t="str">
            <v>Labor</v>
          </cell>
          <cell r="CO169" t="str">
            <v/>
          </cell>
          <cell r="CP169" t="str">
            <v/>
          </cell>
          <cell r="CQ169" t="str">
            <v/>
          </cell>
          <cell r="CR169" t="str">
            <v/>
          </cell>
          <cell r="CS169" t="str">
            <v/>
          </cell>
          <cell r="CT169" t="str">
            <v/>
          </cell>
          <cell r="CU169" t="str">
            <v/>
          </cell>
          <cell r="CV169" t="str">
            <v>Municipal Office</v>
          </cell>
          <cell r="CW169" t="str">
            <v>Geeta Gurung</v>
          </cell>
          <cell r="CX169" t="str">
            <v>Chairman</v>
          </cell>
          <cell r="CY169">
            <v>9845056273</v>
          </cell>
          <cell r="CZ169" t="str">
            <v>Municipal Office</v>
          </cell>
          <cell r="DA169" t="str">
            <v>Kriti Kumar Shrestha</v>
          </cell>
          <cell r="DB169" t="str">
            <v>Deputy Chairman</v>
          </cell>
          <cell r="DC169">
            <v>9845146185</v>
          </cell>
          <cell r="DD169" t="str">
            <v>Municipal Office</v>
          </cell>
          <cell r="DE169" t="str">
            <v>Narahari Sapkota</v>
          </cell>
          <cell r="DF169" t="str">
            <v>Chief Adminstration Officer</v>
          </cell>
          <cell r="DG169">
            <v>9855050999</v>
          </cell>
          <cell r="DH169" t="str">
            <v>NRA/GMALI</v>
          </cell>
          <cell r="DI169" t="str">
            <v>Puskar Prasad Pokharel</v>
          </cell>
          <cell r="DJ169" t="str">
            <v>NRA Chief-District</v>
          </cell>
          <cell r="DK169">
            <v>9855083820</v>
          </cell>
          <cell r="DL169" t="str">
            <v>DLPIU-Building</v>
          </cell>
          <cell r="DM169" t="str">
            <v>Sudip Acharya</v>
          </cell>
          <cell r="DN169" t="str">
            <v>DUDBC.DLPIU Chief</v>
          </cell>
          <cell r="DO169">
            <v>9855071284</v>
          </cell>
          <cell r="DP169" t="str">
            <v>Municipal Office</v>
          </cell>
          <cell r="DQ169" t="str">
            <v>Rajan Ghimire</v>
          </cell>
          <cell r="DR169" t="str">
            <v>Focal Person</v>
          </cell>
          <cell r="DS169">
            <v>9855046874</v>
          </cell>
          <cell r="DT169" t="str">
            <v/>
          </cell>
          <cell r="DU169" t="str">
            <v/>
          </cell>
          <cell r="DV169" t="str">
            <v/>
          </cell>
          <cell r="DW169" t="str">
            <v/>
          </cell>
          <cell r="DX169" t="str">
            <v/>
          </cell>
          <cell r="DY169" t="str">
            <v/>
          </cell>
          <cell r="DZ169" t="str">
            <v/>
          </cell>
          <cell r="EA169" t="str">
            <v/>
          </cell>
          <cell r="EB169" t="str">
            <v/>
          </cell>
          <cell r="EC169" t="str">
            <v/>
          </cell>
          <cell r="ED169" t="str">
            <v/>
          </cell>
          <cell r="EE169" t="str">
            <v/>
          </cell>
          <cell r="EF169" t="str">
            <v/>
          </cell>
          <cell r="EG169" t="str">
            <v/>
          </cell>
          <cell r="EH169" t="str">
            <v/>
          </cell>
          <cell r="EI169" t="str">
            <v/>
          </cell>
          <cell r="EJ169">
            <v>0</v>
          </cell>
          <cell r="EK169">
            <v>0</v>
          </cell>
          <cell r="EL169">
            <v>0</v>
          </cell>
          <cell r="EM169">
            <v>0</v>
          </cell>
          <cell r="EN169">
            <v>0</v>
          </cell>
          <cell r="EO169">
            <v>0</v>
          </cell>
          <cell r="EP169" t="str">
            <v/>
          </cell>
          <cell r="EQ169" t="str">
            <v>Housing Recovery and Reconstruction Platform</v>
          </cell>
          <cell r="ER169" t="str">
            <v xml:space="preserve">Hari Prasad Thalang </v>
          </cell>
          <cell r="ES169" t="str">
            <v>District Coordinator</v>
          </cell>
          <cell r="ET169">
            <v>9851224505</v>
          </cell>
          <cell r="EU169" t="str">
            <v>Housing Recovery and Reconstruction Platform</v>
          </cell>
          <cell r="EV169" t="str">
            <v xml:space="preserve">Nirmal Nepali </v>
          </cell>
          <cell r="EW169" t="str">
            <v>DIstrict Information Management Officer</v>
          </cell>
          <cell r="EX169">
            <v>9848500348</v>
          </cell>
          <cell r="EY169" t="str">
            <v>Housing Recovery and Reconstruction Platform</v>
          </cell>
          <cell r="EZ169" t="str">
            <v>Kausal Bist</v>
          </cell>
          <cell r="FA169" t="str">
            <v>District Technical Officer</v>
          </cell>
          <cell r="FB169">
            <v>9849787273</v>
          </cell>
        </row>
        <row r="170">
          <cell r="A170">
            <v>35003</v>
          </cell>
          <cell r="B170" t="str">
            <v>Chitwan</v>
          </cell>
          <cell r="C170" t="str">
            <v>Kalika Nagarpalika</v>
          </cell>
          <cell r="D170">
            <v>1578</v>
          </cell>
          <cell r="E170">
            <v>987</v>
          </cell>
          <cell r="F170">
            <v>2565</v>
          </cell>
          <cell r="G170" t="str">
            <v>Stone and cement mortar masonry</v>
          </cell>
          <cell r="H170">
            <v>0.78</v>
          </cell>
          <cell r="I170">
            <v>1.59</v>
          </cell>
          <cell r="J170" t="str">
            <v>Stone and Mud Mortar Masonary</v>
          </cell>
          <cell r="K170">
            <v>27.49</v>
          </cell>
          <cell r="L170">
            <v>35.369999999999997</v>
          </cell>
          <cell r="M170" t="str">
            <v>Brick and Cement Mortar Masonary</v>
          </cell>
          <cell r="N170">
            <v>40.94</v>
          </cell>
          <cell r="O170">
            <v>37.97</v>
          </cell>
          <cell r="P170" t="str">
            <v>Brick and mud mortar Masonry</v>
          </cell>
          <cell r="Q170">
            <v>24.6</v>
          </cell>
          <cell r="R170">
            <v>13.49</v>
          </cell>
          <cell r="S170" t="str">
            <v>Reinforced cement concrete (RCC) frame</v>
          </cell>
          <cell r="T170">
            <v>3.55</v>
          </cell>
          <cell r="U170">
            <v>6.16</v>
          </cell>
          <cell r="V170" t="str">
            <v>Hybrid structure</v>
          </cell>
          <cell r="W170">
            <v>0</v>
          </cell>
          <cell r="X170">
            <v>0</v>
          </cell>
          <cell r="Y170" t="str">
            <v>Timber frame structure</v>
          </cell>
          <cell r="Z170">
            <v>2.0299999999999998</v>
          </cell>
          <cell r="AA170">
            <v>2.7</v>
          </cell>
          <cell r="AB170" t="str">
            <v>Hollow concrete block Masonry</v>
          </cell>
          <cell r="AC170">
            <v>0</v>
          </cell>
          <cell r="AD170">
            <v>0</v>
          </cell>
          <cell r="AE170" t="str">
            <v>Dry stone Masonry</v>
          </cell>
          <cell r="AF170">
            <v>0.23</v>
          </cell>
          <cell r="AG170">
            <v>0.27</v>
          </cell>
          <cell r="AH170" t="str">
            <v>Adobe structures</v>
          </cell>
          <cell r="AI170">
            <v>0.35</v>
          </cell>
          <cell r="AJ170">
            <v>2.0499999999999998</v>
          </cell>
          <cell r="AK170" t="str">
            <v>Bamboo</v>
          </cell>
          <cell r="AL170">
            <v>0.04</v>
          </cell>
          <cell r="AM170">
            <v>0.41</v>
          </cell>
          <cell r="AN170" t="str">
            <v>Compressed stabilized earth block (SCEB) Masonry</v>
          </cell>
          <cell r="AO170">
            <v>0</v>
          </cell>
          <cell r="AP170">
            <v>0</v>
          </cell>
          <cell r="AQ170" t="str">
            <v>Light steel frame structures</v>
          </cell>
          <cell r="AR170">
            <v>0</v>
          </cell>
          <cell r="AS170">
            <v>0</v>
          </cell>
          <cell r="AT170">
            <v>916</v>
          </cell>
          <cell r="AU170">
            <v>611</v>
          </cell>
          <cell r="AV170">
            <v>611</v>
          </cell>
          <cell r="AW170">
            <v>341</v>
          </cell>
          <cell r="AX170">
            <v>97</v>
          </cell>
          <cell r="AY170">
            <v>0</v>
          </cell>
          <cell r="AZ170">
            <v>0</v>
          </cell>
          <cell r="BA170">
            <v>42</v>
          </cell>
          <cell r="BB170">
            <v>27</v>
          </cell>
          <cell r="BC170">
            <v>27</v>
          </cell>
          <cell r="BD170">
            <v>0</v>
          </cell>
          <cell r="BE170">
            <v>1980</v>
          </cell>
          <cell r="BF170" t="str">
            <v/>
          </cell>
          <cell r="BG170" t="str">
            <v/>
          </cell>
          <cell r="BH170" t="str">
            <v/>
          </cell>
          <cell r="BI170" t="str">
            <v/>
          </cell>
          <cell r="BJ170" t="str">
            <v/>
          </cell>
          <cell r="BK170">
            <v>28695</v>
          </cell>
          <cell r="BL170" t="str">
            <v/>
          </cell>
          <cell r="BM170" t="str">
            <v/>
          </cell>
          <cell r="BN170">
            <v>16798</v>
          </cell>
          <cell r="BO170" t="str">
            <v/>
          </cell>
          <cell r="BP170" t="str">
            <v/>
          </cell>
          <cell r="BQ170">
            <v>2954</v>
          </cell>
          <cell r="BR170" t="str">
            <v/>
          </cell>
          <cell r="BS170" t="str">
            <v/>
          </cell>
          <cell r="BT170">
            <v>3005</v>
          </cell>
          <cell r="BU170" t="str">
            <v/>
          </cell>
          <cell r="BV170" t="str">
            <v/>
          </cell>
          <cell r="BW170" t="str">
            <v/>
          </cell>
          <cell r="BX170" t="str">
            <v/>
          </cell>
          <cell r="BY170" t="str">
            <v/>
          </cell>
          <cell r="BZ170">
            <v>63568</v>
          </cell>
          <cell r="CA170" t="str">
            <v/>
          </cell>
          <cell r="CB170" t="str">
            <v/>
          </cell>
          <cell r="CC170">
            <v>337926</v>
          </cell>
          <cell r="CD170" t="str">
            <v/>
          </cell>
          <cell r="CE170" t="str">
            <v/>
          </cell>
          <cell r="CF170">
            <v>2614</v>
          </cell>
          <cell r="CG170" t="str">
            <v/>
          </cell>
          <cell r="CH170" t="str">
            <v/>
          </cell>
          <cell r="CI170">
            <v>2106661</v>
          </cell>
          <cell r="CJ170" t="str">
            <v/>
          </cell>
          <cell r="CK170" t="str">
            <v/>
          </cell>
          <cell r="CL170" t="str">
            <v>Skilled</v>
          </cell>
          <cell r="CM170" t="str">
            <v/>
          </cell>
          <cell r="CN170" t="str">
            <v>Labor</v>
          </cell>
          <cell r="CO170" t="str">
            <v/>
          </cell>
          <cell r="CP170" t="str">
            <v/>
          </cell>
          <cell r="CQ170" t="str">
            <v/>
          </cell>
          <cell r="CR170" t="str">
            <v/>
          </cell>
          <cell r="CS170" t="str">
            <v/>
          </cell>
          <cell r="CT170" t="str">
            <v/>
          </cell>
          <cell r="CU170" t="str">
            <v/>
          </cell>
          <cell r="CV170" t="str">
            <v>Municipal Office</v>
          </cell>
          <cell r="CW170" t="str">
            <v>Khum Narayan Shrestha</v>
          </cell>
          <cell r="CX170" t="str">
            <v>Mayor</v>
          </cell>
          <cell r="CY170">
            <v>9843767995</v>
          </cell>
          <cell r="CZ170" t="str">
            <v>Municipal Office</v>
          </cell>
          <cell r="DA170" t="str">
            <v>Kamala Bhattrai</v>
          </cell>
          <cell r="DB170" t="str">
            <v>Deputy Mayor</v>
          </cell>
          <cell r="DC170">
            <v>9845276270</v>
          </cell>
          <cell r="DD170" t="str">
            <v>Municipal Office</v>
          </cell>
          <cell r="DE170" t="str">
            <v>Yega Puri</v>
          </cell>
          <cell r="DF170" t="str">
            <v>Chief Adminstration Officer</v>
          </cell>
          <cell r="DG170">
            <v>9855019111</v>
          </cell>
          <cell r="DH170" t="str">
            <v>NRA/GMALI</v>
          </cell>
          <cell r="DI170" t="str">
            <v>Puskar Prasad Pokharel</v>
          </cell>
          <cell r="DJ170" t="str">
            <v>NRA Chief-District</v>
          </cell>
          <cell r="DK170">
            <v>9855083820</v>
          </cell>
          <cell r="DL170" t="str">
            <v>DLPIU-Building</v>
          </cell>
          <cell r="DM170" t="str">
            <v>Sudip Acharya</v>
          </cell>
          <cell r="DN170" t="str">
            <v>DUDBC.DLPIU Chief</v>
          </cell>
          <cell r="DO170">
            <v>9855071284</v>
          </cell>
          <cell r="DP170" t="str">
            <v>Municipal Office</v>
          </cell>
          <cell r="DQ170" t="str">
            <v>Balram Luitel</v>
          </cell>
          <cell r="DR170" t="str">
            <v>Focal Person</v>
          </cell>
          <cell r="DS170">
            <v>9855059010</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v>0</v>
          </cell>
          <cell r="EK170">
            <v>0</v>
          </cell>
          <cell r="EL170">
            <v>0</v>
          </cell>
          <cell r="EM170">
            <v>0</v>
          </cell>
          <cell r="EN170">
            <v>0</v>
          </cell>
          <cell r="EO170">
            <v>0</v>
          </cell>
          <cell r="EP170" t="str">
            <v/>
          </cell>
          <cell r="EQ170" t="str">
            <v>Housing Recovery and Reconstruction Platform</v>
          </cell>
          <cell r="ER170" t="str">
            <v xml:space="preserve">Hari Prasad Thalang </v>
          </cell>
          <cell r="ES170" t="str">
            <v>District Coordinator</v>
          </cell>
          <cell r="ET170">
            <v>9851224505</v>
          </cell>
          <cell r="EU170" t="str">
            <v>Housing Recovery and Reconstruction Platform</v>
          </cell>
          <cell r="EV170" t="str">
            <v xml:space="preserve">Nirmal Nepali </v>
          </cell>
          <cell r="EW170" t="str">
            <v>DIstrict Information Management Officer</v>
          </cell>
          <cell r="EX170">
            <v>9848500348</v>
          </cell>
          <cell r="EY170" t="str">
            <v>Housing Recovery and Reconstruction Platform</v>
          </cell>
          <cell r="EZ170" t="str">
            <v>Kausal Bist</v>
          </cell>
          <cell r="FA170" t="str">
            <v>District Technical Officer</v>
          </cell>
          <cell r="FB170">
            <v>9849787273</v>
          </cell>
        </row>
        <row r="171">
          <cell r="A171">
            <v>35004</v>
          </cell>
          <cell r="B171" t="str">
            <v>Chitwan</v>
          </cell>
          <cell r="C171" t="str">
            <v>Khairahani Nagarpalika</v>
          </cell>
          <cell r="D171">
            <v>988</v>
          </cell>
          <cell r="E171">
            <v>578</v>
          </cell>
          <cell r="F171">
            <v>1566</v>
          </cell>
          <cell r="G171" t="str">
            <v>Stone and cement mortar masonry</v>
          </cell>
          <cell r="H171">
            <v>0.96</v>
          </cell>
          <cell r="I171">
            <v>1.59</v>
          </cell>
          <cell r="J171" t="str">
            <v>Stone and Mud Mortar Masonary</v>
          </cell>
          <cell r="K171">
            <v>0.89</v>
          </cell>
          <cell r="L171">
            <v>35.369999999999997</v>
          </cell>
          <cell r="M171" t="str">
            <v>Brick and Cement Mortar Masonary</v>
          </cell>
          <cell r="N171">
            <v>52.55</v>
          </cell>
          <cell r="O171">
            <v>37.97</v>
          </cell>
          <cell r="P171" t="str">
            <v>Brick and mud mortar Masonry</v>
          </cell>
          <cell r="Q171">
            <v>14.62</v>
          </cell>
          <cell r="R171">
            <v>13.49</v>
          </cell>
          <cell r="S171" t="str">
            <v>Reinforced cement concrete (RCC) frame</v>
          </cell>
          <cell r="T171">
            <v>13.6</v>
          </cell>
          <cell r="U171">
            <v>6.16</v>
          </cell>
          <cell r="V171" t="str">
            <v>Hybrid structure</v>
          </cell>
          <cell r="W171">
            <v>0</v>
          </cell>
          <cell r="X171">
            <v>0</v>
          </cell>
          <cell r="Y171" t="str">
            <v>Timber frame structure</v>
          </cell>
          <cell r="Z171">
            <v>2.11</v>
          </cell>
          <cell r="AA171">
            <v>2.7</v>
          </cell>
          <cell r="AB171" t="str">
            <v>Hollow concrete block Masonry</v>
          </cell>
          <cell r="AC171">
            <v>0</v>
          </cell>
          <cell r="AD171">
            <v>0</v>
          </cell>
          <cell r="AE171" t="str">
            <v>Dry stone Masonry</v>
          </cell>
          <cell r="AF171">
            <v>0.38</v>
          </cell>
          <cell r="AG171">
            <v>0.27</v>
          </cell>
          <cell r="AH171" t="str">
            <v>Adobe structures</v>
          </cell>
          <cell r="AI171">
            <v>14.62</v>
          </cell>
          <cell r="AJ171">
            <v>2.0499999999999998</v>
          </cell>
          <cell r="AK171" t="str">
            <v>Bamboo</v>
          </cell>
          <cell r="AL171">
            <v>0.26</v>
          </cell>
          <cell r="AM171">
            <v>0.41</v>
          </cell>
          <cell r="AN171" t="str">
            <v>Compressed stabilized earth block (SCEB) Masonry</v>
          </cell>
          <cell r="AO171">
            <v>0</v>
          </cell>
          <cell r="AP171">
            <v>0</v>
          </cell>
          <cell r="AQ171" t="str">
            <v>Light steel frame structures</v>
          </cell>
          <cell r="AR171">
            <v>0</v>
          </cell>
          <cell r="AS171">
            <v>0</v>
          </cell>
          <cell r="AT171">
            <v>559</v>
          </cell>
          <cell r="AU171">
            <v>523</v>
          </cell>
          <cell r="AV171">
            <v>523</v>
          </cell>
          <cell r="AW171">
            <v>237</v>
          </cell>
          <cell r="AX171">
            <v>178</v>
          </cell>
          <cell r="AY171">
            <v>0</v>
          </cell>
          <cell r="AZ171">
            <v>0</v>
          </cell>
          <cell r="BA171">
            <v>4</v>
          </cell>
          <cell r="BB171">
            <v>4</v>
          </cell>
          <cell r="BC171">
            <v>4</v>
          </cell>
          <cell r="BD171">
            <v>0</v>
          </cell>
          <cell r="BE171">
            <v>557</v>
          </cell>
          <cell r="BF171" t="str">
            <v/>
          </cell>
          <cell r="BG171" t="str">
            <v/>
          </cell>
          <cell r="BH171" t="str">
            <v/>
          </cell>
          <cell r="BI171" t="str">
            <v/>
          </cell>
          <cell r="BJ171" t="str">
            <v/>
          </cell>
          <cell r="BK171">
            <v>22824</v>
          </cell>
          <cell r="BL171" t="str">
            <v/>
          </cell>
          <cell r="BM171" t="str">
            <v/>
          </cell>
          <cell r="BN171">
            <v>7939</v>
          </cell>
          <cell r="BO171" t="str">
            <v/>
          </cell>
          <cell r="BP171" t="str">
            <v/>
          </cell>
          <cell r="BQ171">
            <v>2305</v>
          </cell>
          <cell r="BR171" t="str">
            <v/>
          </cell>
          <cell r="BS171" t="str">
            <v/>
          </cell>
          <cell r="BT171">
            <v>2171</v>
          </cell>
          <cell r="BU171" t="str">
            <v/>
          </cell>
          <cell r="BV171" t="str">
            <v/>
          </cell>
          <cell r="BW171" t="str">
            <v/>
          </cell>
          <cell r="BX171" t="str">
            <v/>
          </cell>
          <cell r="BY171" t="str">
            <v/>
          </cell>
          <cell r="BZ171">
            <v>37302</v>
          </cell>
          <cell r="CA171" t="str">
            <v/>
          </cell>
          <cell r="CB171" t="str">
            <v/>
          </cell>
          <cell r="CC171">
            <v>282070</v>
          </cell>
          <cell r="CD171" t="str">
            <v/>
          </cell>
          <cell r="CE171" t="str">
            <v/>
          </cell>
          <cell r="CF171">
            <v>1552</v>
          </cell>
          <cell r="CG171" t="str">
            <v/>
          </cell>
          <cell r="CH171" t="str">
            <v/>
          </cell>
          <cell r="CI171">
            <v>2658641</v>
          </cell>
          <cell r="CJ171" t="str">
            <v/>
          </cell>
          <cell r="CK171" t="str">
            <v/>
          </cell>
          <cell r="CL171" t="str">
            <v>Skilled</v>
          </cell>
          <cell r="CM171" t="str">
            <v/>
          </cell>
          <cell r="CN171" t="str">
            <v>Labor</v>
          </cell>
          <cell r="CO171" t="str">
            <v/>
          </cell>
          <cell r="CP171" t="str">
            <v/>
          </cell>
          <cell r="CQ171" t="str">
            <v/>
          </cell>
          <cell r="CR171" t="str">
            <v/>
          </cell>
          <cell r="CS171" t="str">
            <v/>
          </cell>
          <cell r="CT171" t="str">
            <v/>
          </cell>
          <cell r="CU171" t="str">
            <v/>
          </cell>
          <cell r="CV171" t="str">
            <v>Municipal Office</v>
          </cell>
          <cell r="CW171" t="str">
            <v>Lal Madi Chaudhary</v>
          </cell>
          <cell r="CX171" t="str">
            <v>Mayor</v>
          </cell>
          <cell r="CY171">
            <v>9855064807</v>
          </cell>
          <cell r="CZ171" t="str">
            <v>Municipal Office</v>
          </cell>
          <cell r="DA171" t="str">
            <v>Sunita Thapaliya</v>
          </cell>
          <cell r="DB171" t="str">
            <v>Deputy Mayor</v>
          </cell>
          <cell r="DC171">
            <v>9845055165</v>
          </cell>
          <cell r="DD171" t="str">
            <v>Municipal Office</v>
          </cell>
          <cell r="DE171" t="str">
            <v>Purshottam Sharma</v>
          </cell>
          <cell r="DF171" t="str">
            <v>Chief Adminstration Officer</v>
          </cell>
          <cell r="DG171">
            <v>9855015111</v>
          </cell>
          <cell r="DH171" t="str">
            <v>NRA/GMALI</v>
          </cell>
          <cell r="DI171" t="str">
            <v>Puskar Prasad Pokharel</v>
          </cell>
          <cell r="DJ171" t="str">
            <v>NRA Chief-District</v>
          </cell>
          <cell r="DK171">
            <v>9855083820</v>
          </cell>
          <cell r="DL171" t="str">
            <v>DLPIU-Building</v>
          </cell>
          <cell r="DM171" t="str">
            <v>Sudip Acharya</v>
          </cell>
          <cell r="DN171" t="str">
            <v>DUDBC.DLPIU Chief</v>
          </cell>
          <cell r="DO171">
            <v>9855071284</v>
          </cell>
          <cell r="DP171" t="str">
            <v>Municipal Office</v>
          </cell>
          <cell r="DQ171" t="str">
            <v>Prakash Chandra Poudel</v>
          </cell>
          <cell r="DR171" t="str">
            <v>Focal Person</v>
          </cell>
          <cell r="DS171">
            <v>9855061131</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v>0</v>
          </cell>
          <cell r="EK171">
            <v>0</v>
          </cell>
          <cell r="EL171">
            <v>0</v>
          </cell>
          <cell r="EM171">
            <v>0</v>
          </cell>
          <cell r="EN171">
            <v>0</v>
          </cell>
          <cell r="EO171">
            <v>0</v>
          </cell>
          <cell r="EP171" t="str">
            <v/>
          </cell>
          <cell r="EQ171" t="str">
            <v>Housing Recovery and Reconstruction Platform</v>
          </cell>
          <cell r="ER171" t="str">
            <v xml:space="preserve">Hari Prasad Thalang </v>
          </cell>
          <cell r="ES171" t="str">
            <v>District Coordinator</v>
          </cell>
          <cell r="ET171">
            <v>9851224505</v>
          </cell>
          <cell r="EU171" t="str">
            <v>Housing Recovery and Reconstruction Platform</v>
          </cell>
          <cell r="EV171" t="str">
            <v xml:space="preserve">Nirmal Nepali </v>
          </cell>
          <cell r="EW171" t="str">
            <v>DIstrict Information Management Officer</v>
          </cell>
          <cell r="EX171">
            <v>9848500348</v>
          </cell>
          <cell r="EY171" t="str">
            <v>Housing Recovery and Reconstruction Platform</v>
          </cell>
          <cell r="EZ171" t="str">
            <v>Kausal Bist</v>
          </cell>
          <cell r="FA171" t="str">
            <v>District Technical Officer</v>
          </cell>
          <cell r="FB171">
            <v>9849787273</v>
          </cell>
        </row>
        <row r="172">
          <cell r="A172">
            <v>35005</v>
          </cell>
          <cell r="B172" t="str">
            <v>Chitwan</v>
          </cell>
          <cell r="C172" t="str">
            <v>Madi Nagarpalika</v>
          </cell>
          <cell r="D172">
            <v>84</v>
          </cell>
          <cell r="E172">
            <v>39</v>
          </cell>
          <cell r="F172">
            <v>123</v>
          </cell>
          <cell r="G172" t="str">
            <v>Stone and cement mortar masonry</v>
          </cell>
          <cell r="H172">
            <v>5.69</v>
          </cell>
          <cell r="I172">
            <v>1.59</v>
          </cell>
          <cell r="J172" t="str">
            <v>Stone and Mud Mortar Masonary</v>
          </cell>
          <cell r="K172">
            <v>0.81</v>
          </cell>
          <cell r="L172">
            <v>35.369999999999997</v>
          </cell>
          <cell r="M172" t="str">
            <v>Brick and Cement Mortar Masonary</v>
          </cell>
          <cell r="N172">
            <v>36.590000000000003</v>
          </cell>
          <cell r="O172">
            <v>37.97</v>
          </cell>
          <cell r="P172" t="str">
            <v>Brick and mud mortar Masonry</v>
          </cell>
          <cell r="Q172">
            <v>45.53</v>
          </cell>
          <cell r="R172">
            <v>13.49</v>
          </cell>
          <cell r="S172" t="str">
            <v>Reinforced cement concrete (RCC) frame</v>
          </cell>
          <cell r="T172">
            <v>1.63</v>
          </cell>
          <cell r="U172">
            <v>6.16</v>
          </cell>
          <cell r="V172" t="str">
            <v>Hybrid structure</v>
          </cell>
          <cell r="W172">
            <v>0</v>
          </cell>
          <cell r="X172">
            <v>0</v>
          </cell>
          <cell r="Y172" t="str">
            <v>Timber frame structure</v>
          </cell>
          <cell r="Z172">
            <v>9.76</v>
          </cell>
          <cell r="AA172">
            <v>2.7</v>
          </cell>
          <cell r="AB172" t="str">
            <v>Hollow concrete block Masonry</v>
          </cell>
          <cell r="AC172">
            <v>0</v>
          </cell>
          <cell r="AD172">
            <v>0</v>
          </cell>
          <cell r="AE172" t="str">
            <v>Dry stone Masonry</v>
          </cell>
          <cell r="AF172">
            <v>0</v>
          </cell>
          <cell r="AG172">
            <v>0.27</v>
          </cell>
          <cell r="AH172" t="str">
            <v>Adobe structures</v>
          </cell>
          <cell r="AI172">
            <v>0</v>
          </cell>
          <cell r="AJ172">
            <v>2.0499999999999998</v>
          </cell>
          <cell r="AK172" t="str">
            <v>Bamboo</v>
          </cell>
          <cell r="AL172">
            <v>0</v>
          </cell>
          <cell r="AM172">
            <v>0.41</v>
          </cell>
          <cell r="AN172" t="str">
            <v>Compressed stabilized earth block (SCEB) Masonry</v>
          </cell>
          <cell r="AO172">
            <v>0</v>
          </cell>
          <cell r="AP172">
            <v>0</v>
          </cell>
          <cell r="AQ172" t="str">
            <v>Light steel frame structures</v>
          </cell>
          <cell r="AR172">
            <v>0</v>
          </cell>
          <cell r="AS172">
            <v>0</v>
          </cell>
          <cell r="AT172">
            <v>23</v>
          </cell>
          <cell r="AU172">
            <v>23</v>
          </cell>
          <cell r="AV172">
            <v>23</v>
          </cell>
          <cell r="AW172">
            <v>19</v>
          </cell>
          <cell r="AX172">
            <v>15</v>
          </cell>
          <cell r="AY172">
            <v>0</v>
          </cell>
          <cell r="AZ172">
            <v>0</v>
          </cell>
          <cell r="BA172">
            <v>15</v>
          </cell>
          <cell r="BB172">
            <v>13</v>
          </cell>
          <cell r="BC172">
            <v>13</v>
          </cell>
          <cell r="BD172">
            <v>0</v>
          </cell>
          <cell r="BE172">
            <v>21</v>
          </cell>
          <cell r="BF172" t="str">
            <v/>
          </cell>
          <cell r="BG172" t="str">
            <v/>
          </cell>
          <cell r="BH172" t="str">
            <v/>
          </cell>
          <cell r="BI172" t="str">
            <v/>
          </cell>
          <cell r="BJ172" t="str">
            <v/>
          </cell>
          <cell r="BK172">
            <v>780</v>
          </cell>
          <cell r="BL172" t="str">
            <v/>
          </cell>
          <cell r="BM172" t="str">
            <v/>
          </cell>
          <cell r="BN172">
            <v>612</v>
          </cell>
          <cell r="BO172" t="str">
            <v/>
          </cell>
          <cell r="BP172" t="str">
            <v/>
          </cell>
          <cell r="BQ172">
            <v>82</v>
          </cell>
          <cell r="BR172" t="str">
            <v/>
          </cell>
          <cell r="BS172" t="str">
            <v/>
          </cell>
          <cell r="BT172">
            <v>89</v>
          </cell>
          <cell r="BU172" t="str">
            <v/>
          </cell>
          <cell r="BV172" t="str">
            <v/>
          </cell>
          <cell r="BW172" t="str">
            <v/>
          </cell>
          <cell r="BX172" t="str">
            <v/>
          </cell>
          <cell r="BY172" t="str">
            <v/>
          </cell>
          <cell r="BZ172">
            <v>2338</v>
          </cell>
          <cell r="CA172" t="str">
            <v/>
          </cell>
          <cell r="CB172" t="str">
            <v/>
          </cell>
          <cell r="CC172">
            <v>9115</v>
          </cell>
          <cell r="CD172" t="str">
            <v/>
          </cell>
          <cell r="CE172" t="str">
            <v/>
          </cell>
          <cell r="CF172">
            <v>97</v>
          </cell>
          <cell r="CG172" t="str">
            <v/>
          </cell>
          <cell r="CH172" t="str">
            <v/>
          </cell>
          <cell r="CI172">
            <v>64523</v>
          </cell>
          <cell r="CJ172" t="str">
            <v/>
          </cell>
          <cell r="CK172" t="str">
            <v/>
          </cell>
          <cell r="CL172" t="str">
            <v>Skilled</v>
          </cell>
          <cell r="CM172" t="str">
            <v/>
          </cell>
          <cell r="CN172" t="str">
            <v>Labor</v>
          </cell>
          <cell r="CO172" t="str">
            <v/>
          </cell>
          <cell r="CP172" t="str">
            <v/>
          </cell>
          <cell r="CQ172" t="str">
            <v/>
          </cell>
          <cell r="CR172" t="str">
            <v/>
          </cell>
          <cell r="CS172" t="str">
            <v/>
          </cell>
          <cell r="CT172" t="str">
            <v/>
          </cell>
          <cell r="CU172" t="str">
            <v/>
          </cell>
          <cell r="CV172" t="str">
            <v>Municipal Office</v>
          </cell>
          <cell r="CW172" t="str">
            <v>Thakur Dhakal</v>
          </cell>
          <cell r="CX172" t="str">
            <v>Mayor</v>
          </cell>
          <cell r="CY172">
            <v>9855063665</v>
          </cell>
          <cell r="CZ172" t="str">
            <v>Municipal Office</v>
          </cell>
          <cell r="DA172" t="str">
            <v>Tara Kumari Mahato</v>
          </cell>
          <cell r="DB172" t="str">
            <v>Deputy Mayor</v>
          </cell>
          <cell r="DC172">
            <v>9855048306</v>
          </cell>
          <cell r="DD172" t="str">
            <v>Municipal Office</v>
          </cell>
          <cell r="DE172" t="str">
            <v>Hari Datta Kadel</v>
          </cell>
          <cell r="DF172" t="str">
            <v>Chief Adminstration Officer</v>
          </cell>
          <cell r="DG172">
            <v>9855055306</v>
          </cell>
          <cell r="DH172" t="str">
            <v>NRA/GMALI</v>
          </cell>
          <cell r="DI172" t="str">
            <v>Puskar Prasad Pokharel</v>
          </cell>
          <cell r="DJ172" t="str">
            <v>NRA Chief-District</v>
          </cell>
          <cell r="DK172">
            <v>9855083820</v>
          </cell>
          <cell r="DL172" t="str">
            <v>DLPIU-Building</v>
          </cell>
          <cell r="DM172" t="str">
            <v>Sudip Acharya</v>
          </cell>
          <cell r="DN172" t="str">
            <v>DUDBC.DLPIU Chief</v>
          </cell>
          <cell r="DO172">
            <v>9855071284</v>
          </cell>
          <cell r="DP172" t="str">
            <v>Municipal Office</v>
          </cell>
          <cell r="DQ172" t="str">
            <v>Santosh Subedi</v>
          </cell>
          <cell r="DR172" t="str">
            <v>Focal Person</v>
          </cell>
          <cell r="DS172">
            <v>9855046334</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v>0</v>
          </cell>
          <cell r="EK172">
            <v>0</v>
          </cell>
          <cell r="EL172">
            <v>0</v>
          </cell>
          <cell r="EM172">
            <v>0</v>
          </cell>
          <cell r="EN172">
            <v>0</v>
          </cell>
          <cell r="EO172">
            <v>0</v>
          </cell>
          <cell r="EP172" t="str">
            <v/>
          </cell>
          <cell r="EQ172" t="str">
            <v>Housing Recovery and Reconstruction Platform</v>
          </cell>
          <cell r="ER172" t="str">
            <v xml:space="preserve">Hari Prasad Thalang </v>
          </cell>
          <cell r="ES172" t="str">
            <v>District Coordinator</v>
          </cell>
          <cell r="ET172">
            <v>9851224505</v>
          </cell>
          <cell r="EU172" t="str">
            <v>Housing Recovery and Reconstruction Platform</v>
          </cell>
          <cell r="EV172" t="str">
            <v xml:space="preserve">Nirmal Nepali </v>
          </cell>
          <cell r="EW172" t="str">
            <v>DIstrict Information Management Officer</v>
          </cell>
          <cell r="EX172">
            <v>9848500348</v>
          </cell>
          <cell r="EY172" t="str">
            <v>Housing Recovery and Reconstruction Platform</v>
          </cell>
          <cell r="EZ172" t="str">
            <v>Kausal Bist</v>
          </cell>
          <cell r="FA172" t="str">
            <v>District Technical Officer</v>
          </cell>
          <cell r="FB172">
            <v>9849787273</v>
          </cell>
        </row>
        <row r="173">
          <cell r="A173">
            <v>35006</v>
          </cell>
          <cell r="B173" t="str">
            <v>Chitwan</v>
          </cell>
          <cell r="C173" t="str">
            <v>Rapti Nagarpalika</v>
          </cell>
          <cell r="D173">
            <v>1490</v>
          </cell>
          <cell r="E173">
            <v>2104</v>
          </cell>
          <cell r="F173">
            <v>3594</v>
          </cell>
          <cell r="G173" t="str">
            <v>Stone and cement mortar masonry</v>
          </cell>
          <cell r="H173">
            <v>2.76</v>
          </cell>
          <cell r="I173">
            <v>1.59</v>
          </cell>
          <cell r="J173" t="str">
            <v>Stone and Mud Mortar Masonary</v>
          </cell>
          <cell r="K173">
            <v>36.99</v>
          </cell>
          <cell r="L173">
            <v>35.369999999999997</v>
          </cell>
          <cell r="M173" t="str">
            <v>Brick and Cement Mortar Masonary</v>
          </cell>
          <cell r="N173">
            <v>37.380000000000003</v>
          </cell>
          <cell r="O173">
            <v>37.97</v>
          </cell>
          <cell r="P173" t="str">
            <v>Brick and mud mortar Masonry</v>
          </cell>
          <cell r="Q173">
            <v>12.9</v>
          </cell>
          <cell r="R173">
            <v>13.49</v>
          </cell>
          <cell r="S173" t="str">
            <v>Reinforced cement concrete (RCC) frame</v>
          </cell>
          <cell r="T173">
            <v>5.07</v>
          </cell>
          <cell r="U173">
            <v>6.16</v>
          </cell>
          <cell r="V173" t="str">
            <v>Hybrid structure</v>
          </cell>
          <cell r="W173">
            <v>0</v>
          </cell>
          <cell r="X173">
            <v>0</v>
          </cell>
          <cell r="Y173" t="str">
            <v>Timber frame structure</v>
          </cell>
          <cell r="Z173">
            <v>3.65</v>
          </cell>
          <cell r="AA173">
            <v>2.7</v>
          </cell>
          <cell r="AB173" t="str">
            <v>Hollow concrete block Masonry</v>
          </cell>
          <cell r="AC173">
            <v>0</v>
          </cell>
          <cell r="AD173">
            <v>0</v>
          </cell>
          <cell r="AE173" t="str">
            <v>Dry stone Masonry</v>
          </cell>
          <cell r="AF173">
            <v>0.19</v>
          </cell>
          <cell r="AG173">
            <v>0.27</v>
          </cell>
          <cell r="AH173" t="str">
            <v>Adobe structures</v>
          </cell>
          <cell r="AI173">
            <v>0.31</v>
          </cell>
          <cell r="AJ173">
            <v>2.0499999999999998</v>
          </cell>
          <cell r="AK173" t="str">
            <v>Bamboo</v>
          </cell>
          <cell r="AL173">
            <v>0.75</v>
          </cell>
          <cell r="AM173">
            <v>0.41</v>
          </cell>
          <cell r="AN173" t="str">
            <v>Compressed stabilized earth block (SCEB) Masonry</v>
          </cell>
          <cell r="AO173">
            <v>0</v>
          </cell>
          <cell r="AP173">
            <v>0</v>
          </cell>
          <cell r="AQ173" t="str">
            <v>Light steel frame structures</v>
          </cell>
          <cell r="AR173">
            <v>0</v>
          </cell>
          <cell r="AS173">
            <v>0</v>
          </cell>
          <cell r="AT173">
            <v>2043</v>
          </cell>
          <cell r="AU173">
            <v>1266</v>
          </cell>
          <cell r="AV173">
            <v>1266</v>
          </cell>
          <cell r="AW173">
            <v>676</v>
          </cell>
          <cell r="AX173">
            <v>278</v>
          </cell>
          <cell r="AY173">
            <v>0</v>
          </cell>
          <cell r="AZ173">
            <v>0</v>
          </cell>
          <cell r="BA173">
            <v>71</v>
          </cell>
          <cell r="BB173">
            <v>18</v>
          </cell>
          <cell r="BC173">
            <v>18</v>
          </cell>
          <cell r="BD173">
            <v>0</v>
          </cell>
          <cell r="BE173">
            <v>955</v>
          </cell>
          <cell r="BF173" t="str">
            <v/>
          </cell>
          <cell r="BG173" t="str">
            <v/>
          </cell>
          <cell r="BH173" t="str">
            <v/>
          </cell>
          <cell r="BI173" t="str">
            <v/>
          </cell>
          <cell r="BJ173" t="str">
            <v>Paribartan-N(Education)</v>
          </cell>
          <cell r="BK173">
            <v>38633</v>
          </cell>
          <cell r="BL173" t="str">
            <v/>
          </cell>
          <cell r="BM173" t="str">
            <v/>
          </cell>
          <cell r="BN173">
            <v>21200</v>
          </cell>
          <cell r="BO173" t="str">
            <v/>
          </cell>
          <cell r="BP173" t="str">
            <v/>
          </cell>
          <cell r="BQ173">
            <v>3970</v>
          </cell>
          <cell r="BR173" t="str">
            <v/>
          </cell>
          <cell r="BS173" t="str">
            <v/>
          </cell>
          <cell r="BT173">
            <v>4009</v>
          </cell>
          <cell r="BU173" t="str">
            <v/>
          </cell>
          <cell r="BV173" t="str">
            <v/>
          </cell>
          <cell r="BW173" t="str">
            <v/>
          </cell>
          <cell r="BX173" t="str">
            <v/>
          </cell>
          <cell r="BY173" t="str">
            <v/>
          </cell>
          <cell r="BZ173">
            <v>85424</v>
          </cell>
          <cell r="CA173" t="str">
            <v/>
          </cell>
          <cell r="CB173" t="str">
            <v/>
          </cell>
          <cell r="CC173">
            <v>462839</v>
          </cell>
          <cell r="CD173" t="str">
            <v/>
          </cell>
          <cell r="CE173" t="str">
            <v/>
          </cell>
          <cell r="CF173">
            <v>3536</v>
          </cell>
          <cell r="CG173" t="str">
            <v/>
          </cell>
          <cell r="CH173" t="str">
            <v/>
          </cell>
          <cell r="CI173">
            <v>3598113</v>
          </cell>
          <cell r="CJ173" t="str">
            <v/>
          </cell>
          <cell r="CK173" t="str">
            <v/>
          </cell>
          <cell r="CL173" t="str">
            <v>Skilled</v>
          </cell>
          <cell r="CM173" t="str">
            <v/>
          </cell>
          <cell r="CN173" t="str">
            <v>Labor</v>
          </cell>
          <cell r="CO173" t="str">
            <v/>
          </cell>
          <cell r="CP173" t="str">
            <v/>
          </cell>
          <cell r="CQ173" t="str">
            <v/>
          </cell>
          <cell r="CR173" t="str">
            <v/>
          </cell>
          <cell r="CS173" t="str">
            <v/>
          </cell>
          <cell r="CT173" t="str">
            <v/>
          </cell>
          <cell r="CU173" t="str">
            <v/>
          </cell>
          <cell r="CV173" t="str">
            <v>Municipal Office</v>
          </cell>
          <cell r="CW173" t="str">
            <v>Prava Baral</v>
          </cell>
          <cell r="CX173" t="str">
            <v>Mayor</v>
          </cell>
          <cell r="CY173">
            <v>9845376995</v>
          </cell>
          <cell r="CZ173" t="str">
            <v>Municipal Office</v>
          </cell>
          <cell r="DA173" t="str">
            <v>Iman Singh Lama</v>
          </cell>
          <cell r="DB173" t="str">
            <v>Deputy Mayor</v>
          </cell>
          <cell r="DC173">
            <v>9855055165</v>
          </cell>
          <cell r="DD173" t="str">
            <v>Municipal Office</v>
          </cell>
          <cell r="DE173" t="str">
            <v>Mittha Ram Humagain</v>
          </cell>
          <cell r="DF173" t="str">
            <v>Chief Adminstration Officer</v>
          </cell>
          <cell r="DG173">
            <v>9855043111</v>
          </cell>
          <cell r="DH173" t="str">
            <v>NRA/GMALI</v>
          </cell>
          <cell r="DI173" t="str">
            <v>Puskar Prasad Pokharel</v>
          </cell>
          <cell r="DJ173" t="str">
            <v>NRA Chief-District</v>
          </cell>
          <cell r="DK173">
            <v>9855083820</v>
          </cell>
          <cell r="DL173" t="str">
            <v>DLPIU-Building</v>
          </cell>
          <cell r="DM173" t="str">
            <v>Sudip Acharya</v>
          </cell>
          <cell r="DN173" t="str">
            <v>DUDBC.DLPIU Chief</v>
          </cell>
          <cell r="DO173">
            <v>9855071284</v>
          </cell>
          <cell r="DP173" t="str">
            <v>Municipal Office</v>
          </cell>
          <cell r="DQ173" t="str">
            <v>Chandra Kant Neupane</v>
          </cell>
          <cell r="DR173" t="str">
            <v>Focal Person</v>
          </cell>
          <cell r="DS173">
            <v>9845090373</v>
          </cell>
          <cell r="DT173" t="str">
            <v/>
          </cell>
          <cell r="DU173" t="str">
            <v/>
          </cell>
          <cell r="DV173" t="str">
            <v/>
          </cell>
          <cell r="DW173" t="str">
            <v/>
          </cell>
          <cell r="DX173" t="str">
            <v/>
          </cell>
          <cell r="DY173" t="str">
            <v/>
          </cell>
          <cell r="DZ173" t="str">
            <v/>
          </cell>
          <cell r="EA173" t="str">
            <v/>
          </cell>
          <cell r="EB173" t="str">
            <v/>
          </cell>
          <cell r="EC173" t="str">
            <v/>
          </cell>
          <cell r="ED173" t="str">
            <v/>
          </cell>
          <cell r="EE173" t="str">
            <v/>
          </cell>
          <cell r="EF173" t="str">
            <v/>
          </cell>
          <cell r="EG173" t="str">
            <v/>
          </cell>
          <cell r="EH173" t="str">
            <v/>
          </cell>
          <cell r="EI173" t="str">
            <v/>
          </cell>
          <cell r="EJ173">
            <v>0</v>
          </cell>
          <cell r="EK173">
            <v>0</v>
          </cell>
          <cell r="EL173">
            <v>0</v>
          </cell>
          <cell r="EM173">
            <v>0</v>
          </cell>
          <cell r="EN173">
            <v>0</v>
          </cell>
          <cell r="EO173">
            <v>0</v>
          </cell>
          <cell r="EP173" t="str">
            <v/>
          </cell>
          <cell r="EQ173" t="str">
            <v>Housing Recovery and Reconstruction Platform</v>
          </cell>
          <cell r="ER173" t="str">
            <v xml:space="preserve">Hari Prasad Thalang </v>
          </cell>
          <cell r="ES173" t="str">
            <v>District Coordinator</v>
          </cell>
          <cell r="ET173">
            <v>9851224505</v>
          </cell>
          <cell r="EU173" t="str">
            <v>Housing Recovery and Reconstruction Platform</v>
          </cell>
          <cell r="EV173" t="str">
            <v xml:space="preserve">Nirmal Nepali </v>
          </cell>
          <cell r="EW173" t="str">
            <v>DIstrict Information Management Officer</v>
          </cell>
          <cell r="EX173">
            <v>9848500348</v>
          </cell>
          <cell r="EY173" t="str">
            <v>Housing Recovery and Reconstruction Platform</v>
          </cell>
          <cell r="EZ173" t="str">
            <v>Kausal Bist</v>
          </cell>
          <cell r="FA173" t="str">
            <v>District Technical Officer</v>
          </cell>
          <cell r="FB173">
            <v>9849787273</v>
          </cell>
        </row>
        <row r="174">
          <cell r="A174">
            <v>35007</v>
          </cell>
          <cell r="B174" t="str">
            <v>Chitwan</v>
          </cell>
          <cell r="C174" t="str">
            <v>Ratnanagar Nagarpalika</v>
          </cell>
          <cell r="D174">
            <v>833</v>
          </cell>
          <cell r="E174">
            <v>930</v>
          </cell>
          <cell r="F174">
            <v>1763</v>
          </cell>
          <cell r="G174" t="str">
            <v>Stone and cement mortar masonry</v>
          </cell>
          <cell r="H174">
            <v>1.36</v>
          </cell>
          <cell r="I174">
            <v>1.59</v>
          </cell>
          <cell r="J174" t="str">
            <v>Stone and Mud Mortar Masonary</v>
          </cell>
          <cell r="K174">
            <v>3.35</v>
          </cell>
          <cell r="L174">
            <v>35.369999999999997</v>
          </cell>
          <cell r="M174" t="str">
            <v>Brick and Cement Mortar Masonary</v>
          </cell>
          <cell r="N174">
            <v>51.65</v>
          </cell>
          <cell r="O174">
            <v>37.97</v>
          </cell>
          <cell r="P174" t="str">
            <v>Brick and mud mortar Masonry</v>
          </cell>
          <cell r="Q174">
            <v>31.73</v>
          </cell>
          <cell r="R174">
            <v>13.49</v>
          </cell>
          <cell r="S174" t="str">
            <v>Reinforced cement concrete (RCC) frame</v>
          </cell>
          <cell r="T174">
            <v>10.61</v>
          </cell>
          <cell r="U174">
            <v>6.16</v>
          </cell>
          <cell r="V174" t="str">
            <v>Hybrid structure</v>
          </cell>
          <cell r="W174">
            <v>0</v>
          </cell>
          <cell r="X174">
            <v>0</v>
          </cell>
          <cell r="Y174" t="str">
            <v>Timber frame structure</v>
          </cell>
          <cell r="Z174">
            <v>0.34</v>
          </cell>
          <cell r="AA174">
            <v>2.7</v>
          </cell>
          <cell r="AB174" t="str">
            <v>Hollow concrete block Masonry</v>
          </cell>
          <cell r="AC174">
            <v>0</v>
          </cell>
          <cell r="AD174">
            <v>0</v>
          </cell>
          <cell r="AE174" t="str">
            <v>Dry stone Masonry</v>
          </cell>
          <cell r="AF174">
            <v>0.17</v>
          </cell>
          <cell r="AG174">
            <v>0.27</v>
          </cell>
          <cell r="AH174" t="str">
            <v>Adobe structures</v>
          </cell>
          <cell r="AI174">
            <v>0.56999999999999995</v>
          </cell>
          <cell r="AJ174">
            <v>2.0499999999999998</v>
          </cell>
          <cell r="AK174" t="str">
            <v>Bamboo</v>
          </cell>
          <cell r="AL174">
            <v>0.23</v>
          </cell>
          <cell r="AM174">
            <v>0.41</v>
          </cell>
          <cell r="AN174" t="str">
            <v>Compressed stabilized earth block (SCEB) Masonry</v>
          </cell>
          <cell r="AO174">
            <v>0</v>
          </cell>
          <cell r="AP174">
            <v>0</v>
          </cell>
          <cell r="AQ174" t="str">
            <v>Light steel frame structures</v>
          </cell>
          <cell r="AR174">
            <v>0</v>
          </cell>
          <cell r="AS174">
            <v>0</v>
          </cell>
          <cell r="AT174">
            <v>731</v>
          </cell>
          <cell r="AU174">
            <v>650</v>
          </cell>
          <cell r="AV174">
            <v>650</v>
          </cell>
          <cell r="AW174">
            <v>396</v>
          </cell>
          <cell r="AX174">
            <v>334</v>
          </cell>
          <cell r="AY174">
            <v>0</v>
          </cell>
          <cell r="AZ174">
            <v>0</v>
          </cell>
          <cell r="BA174">
            <v>175</v>
          </cell>
          <cell r="BB174">
            <v>164</v>
          </cell>
          <cell r="BC174">
            <v>164</v>
          </cell>
          <cell r="BD174">
            <v>0</v>
          </cell>
          <cell r="BE174">
            <v>1052</v>
          </cell>
          <cell r="BF174" t="str">
            <v/>
          </cell>
          <cell r="BG174" t="str">
            <v/>
          </cell>
          <cell r="BH174" t="str">
            <v/>
          </cell>
          <cell r="BI174" t="str">
            <v/>
          </cell>
          <cell r="BJ174" t="str">
            <v/>
          </cell>
          <cell r="BK174">
            <v>36398</v>
          </cell>
          <cell r="BL174" t="str">
            <v/>
          </cell>
          <cell r="BM174" t="str">
            <v/>
          </cell>
          <cell r="BN174">
            <v>12959</v>
          </cell>
          <cell r="BO174" t="str">
            <v/>
          </cell>
          <cell r="BP174" t="str">
            <v/>
          </cell>
          <cell r="BQ174">
            <v>3678</v>
          </cell>
          <cell r="BR174" t="str">
            <v/>
          </cell>
          <cell r="BS174" t="str">
            <v/>
          </cell>
          <cell r="BT174">
            <v>3475</v>
          </cell>
          <cell r="BU174" t="str">
            <v/>
          </cell>
          <cell r="BV174" t="str">
            <v/>
          </cell>
          <cell r="BW174" t="str">
            <v/>
          </cell>
          <cell r="BX174" t="str">
            <v/>
          </cell>
          <cell r="BY174" t="str">
            <v/>
          </cell>
          <cell r="BZ174">
            <v>60484</v>
          </cell>
          <cell r="CA174" t="str">
            <v/>
          </cell>
          <cell r="CB174" t="str">
            <v/>
          </cell>
          <cell r="CC174">
            <v>449441</v>
          </cell>
          <cell r="CD174" t="str">
            <v/>
          </cell>
          <cell r="CE174" t="str">
            <v/>
          </cell>
          <cell r="CF174">
            <v>2516</v>
          </cell>
          <cell r="CG174" t="str">
            <v/>
          </cell>
          <cell r="CH174" t="str">
            <v/>
          </cell>
          <cell r="CI174">
            <v>4226592</v>
          </cell>
          <cell r="CJ174" t="str">
            <v/>
          </cell>
          <cell r="CK174" t="str">
            <v/>
          </cell>
          <cell r="CL174" t="str">
            <v>Skilled</v>
          </cell>
          <cell r="CM174" t="str">
            <v/>
          </cell>
          <cell r="CN174" t="str">
            <v>Labor</v>
          </cell>
          <cell r="CO174" t="str">
            <v/>
          </cell>
          <cell r="CP174" t="str">
            <v/>
          </cell>
          <cell r="CQ174" t="str">
            <v/>
          </cell>
          <cell r="CR174" t="str">
            <v/>
          </cell>
          <cell r="CS174" t="str">
            <v/>
          </cell>
          <cell r="CT174" t="str">
            <v/>
          </cell>
          <cell r="CU174" t="str">
            <v/>
          </cell>
          <cell r="CV174" t="str">
            <v>Municipal Office</v>
          </cell>
          <cell r="CW174" t="str">
            <v>Narayan Ban</v>
          </cell>
          <cell r="CX174" t="str">
            <v>Mayor</v>
          </cell>
          <cell r="CY174">
            <v>9855024111</v>
          </cell>
          <cell r="CZ174" t="str">
            <v>Municipal Office</v>
          </cell>
          <cell r="DA174" t="str">
            <v>Bimal Duwadi</v>
          </cell>
          <cell r="DB174" t="str">
            <v>Deputy Mayor</v>
          </cell>
          <cell r="DC174">
            <v>9855060046</v>
          </cell>
          <cell r="DD174" t="str">
            <v>Municipal Office</v>
          </cell>
          <cell r="DE174" t="str">
            <v>Babulal Regmi</v>
          </cell>
          <cell r="DF174" t="str">
            <v>Chief Adminstration Officer</v>
          </cell>
          <cell r="DG174">
            <v>9855014111</v>
          </cell>
          <cell r="DH174" t="str">
            <v>NRA/GMALI</v>
          </cell>
          <cell r="DI174" t="str">
            <v>Puskar Prasad Pokharel</v>
          </cell>
          <cell r="DJ174" t="str">
            <v>NRA Chief-District</v>
          </cell>
          <cell r="DK174">
            <v>9855083820</v>
          </cell>
          <cell r="DL174" t="str">
            <v>DLPIU-Building</v>
          </cell>
          <cell r="DM174" t="str">
            <v>Sudip Acharya</v>
          </cell>
          <cell r="DN174" t="str">
            <v>DUDBC.DLPIU Chief</v>
          </cell>
          <cell r="DO174">
            <v>9855071284</v>
          </cell>
          <cell r="DP174" t="str">
            <v>Municipal Office</v>
          </cell>
          <cell r="DQ174" t="str">
            <v>Urmila Dahal</v>
          </cell>
          <cell r="DR174" t="str">
            <v>Focal Person</v>
          </cell>
          <cell r="DS174">
            <v>9845350559</v>
          </cell>
          <cell r="DT174" t="str">
            <v/>
          </cell>
          <cell r="DU174" t="str">
            <v/>
          </cell>
          <cell r="DV174" t="str">
            <v/>
          </cell>
          <cell r="DW174" t="str">
            <v/>
          </cell>
          <cell r="DX174" t="str">
            <v/>
          </cell>
          <cell r="DY174" t="str">
            <v/>
          </cell>
          <cell r="DZ174" t="str">
            <v/>
          </cell>
          <cell r="EA174" t="str">
            <v/>
          </cell>
          <cell r="EB174" t="str">
            <v/>
          </cell>
          <cell r="EC174" t="str">
            <v/>
          </cell>
          <cell r="ED174" t="str">
            <v/>
          </cell>
          <cell r="EE174" t="str">
            <v/>
          </cell>
          <cell r="EF174" t="str">
            <v/>
          </cell>
          <cell r="EG174" t="str">
            <v/>
          </cell>
          <cell r="EH174" t="str">
            <v/>
          </cell>
          <cell r="EI174" t="str">
            <v/>
          </cell>
          <cell r="EJ174">
            <v>0</v>
          </cell>
          <cell r="EK174">
            <v>0</v>
          </cell>
          <cell r="EL174">
            <v>0</v>
          </cell>
          <cell r="EM174">
            <v>0</v>
          </cell>
          <cell r="EN174">
            <v>0</v>
          </cell>
          <cell r="EO174">
            <v>0</v>
          </cell>
          <cell r="EP174" t="str">
            <v/>
          </cell>
          <cell r="EQ174" t="str">
            <v>Housing Recovery and Reconstruction Platform</v>
          </cell>
          <cell r="ER174" t="str">
            <v xml:space="preserve">Hari Prasad Thalang </v>
          </cell>
          <cell r="ES174" t="str">
            <v>District Coordinator</v>
          </cell>
          <cell r="ET174">
            <v>9851224505</v>
          </cell>
          <cell r="EU174" t="str">
            <v>Housing Recovery and Reconstruction Platform</v>
          </cell>
          <cell r="EV174" t="str">
            <v xml:space="preserve">Nirmal Nepali </v>
          </cell>
          <cell r="EW174" t="str">
            <v>DIstrict Information Management Officer</v>
          </cell>
          <cell r="EX174">
            <v>9848500348</v>
          </cell>
          <cell r="EY174" t="str">
            <v>Housing Recovery and Reconstruction Platform</v>
          </cell>
          <cell r="EZ174" t="str">
            <v>Kausal Bist</v>
          </cell>
          <cell r="FA174" t="str">
            <v>District Technical Officer</v>
          </cell>
          <cell r="FB174">
            <v>9849787273</v>
          </cell>
        </row>
        <row r="175">
          <cell r="A175">
            <v>36001</v>
          </cell>
          <cell r="B175" t="str">
            <v>Gorkha</v>
          </cell>
          <cell r="C175" t="str">
            <v>Aarughat Gaunpalika</v>
          </cell>
          <cell r="D175">
            <v>626</v>
          </cell>
          <cell r="E175">
            <v>6562</v>
          </cell>
          <cell r="F175">
            <v>7188</v>
          </cell>
          <cell r="G175" t="str">
            <v>Stone and cement mortar masonry</v>
          </cell>
          <cell r="H175">
            <v>0.69</v>
          </cell>
          <cell r="I175">
            <v>1.27</v>
          </cell>
          <cell r="J175" t="str">
            <v>Stone and Mud Mortar Masonary</v>
          </cell>
          <cell r="K175">
            <v>91.73</v>
          </cell>
          <cell r="L175">
            <v>82.76</v>
          </cell>
          <cell r="M175" t="str">
            <v>Brick and Cement Mortar Masonary</v>
          </cell>
          <cell r="N175">
            <v>1.36</v>
          </cell>
          <cell r="O175">
            <v>2.57</v>
          </cell>
          <cell r="P175" t="str">
            <v>Brick and mud mortar Masonry</v>
          </cell>
          <cell r="Q175">
            <v>0.27</v>
          </cell>
          <cell r="R175">
            <v>3</v>
          </cell>
          <cell r="S175" t="str">
            <v>Reinforced cement concrete (RCC) frame</v>
          </cell>
          <cell r="T175">
            <v>4.6500000000000004</v>
          </cell>
          <cell r="U175">
            <v>3.23</v>
          </cell>
          <cell r="V175" t="str">
            <v>Hybrid structure</v>
          </cell>
          <cell r="W175">
            <v>0</v>
          </cell>
          <cell r="X175">
            <v>0</v>
          </cell>
          <cell r="Y175" t="str">
            <v>Timber frame structure</v>
          </cell>
          <cell r="Z175">
            <v>1.05</v>
          </cell>
          <cell r="AA175">
            <v>0.88</v>
          </cell>
          <cell r="AB175" t="str">
            <v>Hollow concrete block Masonry</v>
          </cell>
          <cell r="AC175">
            <v>0</v>
          </cell>
          <cell r="AD175">
            <v>0</v>
          </cell>
          <cell r="AE175" t="str">
            <v>Dry stone Masonry</v>
          </cell>
          <cell r="AF175">
            <v>7.0000000000000007E-2</v>
          </cell>
          <cell r="AG175">
            <v>4.17</v>
          </cell>
          <cell r="AH175" t="str">
            <v>Adobe structures</v>
          </cell>
          <cell r="AI175">
            <v>0.14000000000000001</v>
          </cell>
          <cell r="AJ175">
            <v>1.79</v>
          </cell>
          <cell r="AK175" t="str">
            <v>Bamboo</v>
          </cell>
          <cell r="AL175">
            <v>0.06</v>
          </cell>
          <cell r="AM175">
            <v>0.34</v>
          </cell>
          <cell r="AN175" t="str">
            <v>Compressed stabilized earth block (SCEB) Masonry</v>
          </cell>
          <cell r="AO175">
            <v>0</v>
          </cell>
          <cell r="AP175">
            <v>0</v>
          </cell>
          <cell r="AQ175" t="str">
            <v>Light steel frame structures</v>
          </cell>
          <cell r="AR175">
            <v>0</v>
          </cell>
          <cell r="AS175">
            <v>0</v>
          </cell>
          <cell r="AT175">
            <v>6924</v>
          </cell>
          <cell r="AU175">
            <v>6615</v>
          </cell>
          <cell r="AV175">
            <v>6616</v>
          </cell>
          <cell r="AW175">
            <v>6110</v>
          </cell>
          <cell r="AX175">
            <v>5034</v>
          </cell>
          <cell r="AY175">
            <v>1076</v>
          </cell>
          <cell r="AZ175">
            <v>5034</v>
          </cell>
          <cell r="BA175">
            <v>171</v>
          </cell>
          <cell r="BB175">
            <v>31</v>
          </cell>
          <cell r="BC175">
            <v>31</v>
          </cell>
          <cell r="BD175" t="str">
            <v/>
          </cell>
          <cell r="BE175">
            <v>967</v>
          </cell>
          <cell r="BF175">
            <v>511</v>
          </cell>
          <cell r="BG175" t="str">
            <v/>
          </cell>
          <cell r="BH175" t="str">
            <v/>
          </cell>
          <cell r="BI175" t="str">
            <v>INF(Employment and Livelihood)</v>
          </cell>
          <cell r="BJ175" t="str">
            <v>CRS(Agriculture, Livestock Development and Irrigation,Employment and Livelihood,Rural Housing and Community Infrastructure,Water, Sanitation and Hygiene),FCA(Education),GNI(Health),HELVETAS(Rural Housing and Community Infrastructure),LIONS(Education),SAHAS(Rural Housing and Community Infrastructure),SCI(Education,Health,Rural Housing and Community Infrastructure,Social Protection)</v>
          </cell>
          <cell r="BK175">
            <v>166542</v>
          </cell>
          <cell r="BL175" t="str">
            <v>Y</v>
          </cell>
          <cell r="BM175">
            <v>1800</v>
          </cell>
          <cell r="BN175">
            <v>141795</v>
          </cell>
          <cell r="BO175" t="str">
            <v/>
          </cell>
          <cell r="BP175">
            <v>8000</v>
          </cell>
          <cell r="BQ175">
            <v>17506</v>
          </cell>
          <cell r="BR175" t="str">
            <v/>
          </cell>
          <cell r="BS175">
            <v>7000</v>
          </cell>
          <cell r="BT175">
            <v>19190</v>
          </cell>
          <cell r="BU175" t="str">
            <v/>
          </cell>
          <cell r="BV175" t="str">
            <v/>
          </cell>
          <cell r="BW175" t="str">
            <v/>
          </cell>
          <cell r="BX175" t="str">
            <v>Y</v>
          </cell>
          <cell r="BY175">
            <v>1000</v>
          </cell>
          <cell r="BZ175">
            <v>470708</v>
          </cell>
          <cell r="CA175" t="str">
            <v>N</v>
          </cell>
          <cell r="CB175">
            <v>1200</v>
          </cell>
          <cell r="CC175">
            <v>1843877</v>
          </cell>
          <cell r="CD175" t="str">
            <v/>
          </cell>
          <cell r="CE175" t="str">
            <v/>
          </cell>
          <cell r="CF175">
            <v>19171</v>
          </cell>
          <cell r="CG175" t="str">
            <v/>
          </cell>
          <cell r="CH175" t="str">
            <v/>
          </cell>
          <cell r="CI175">
            <v>3186234</v>
          </cell>
          <cell r="CJ175" t="str">
            <v/>
          </cell>
          <cell r="CK175">
            <v>20</v>
          </cell>
          <cell r="CL175" t="str">
            <v>Skilled</v>
          </cell>
          <cell r="CM175">
            <v>1500</v>
          </cell>
          <cell r="CN175" t="str">
            <v>Labor</v>
          </cell>
          <cell r="CO175">
            <v>900</v>
          </cell>
          <cell r="CP175" t="str">
            <v>294</v>
          </cell>
          <cell r="CQ175" t="str">
            <v/>
          </cell>
          <cell r="CR175" t="str">
            <v/>
          </cell>
          <cell r="CS175" t="str">
            <v/>
          </cell>
          <cell r="CT175" t="str">
            <v/>
          </cell>
          <cell r="CU175" t="str">
            <v/>
          </cell>
          <cell r="CV175" t="str">
            <v>Municipal Office</v>
          </cell>
          <cell r="CW175" t="str">
            <v>Purna Bahadur Dahal</v>
          </cell>
          <cell r="CX175" t="str">
            <v xml:space="preserve">Chairman </v>
          </cell>
          <cell r="CY175">
            <v>9846543034</v>
          </cell>
          <cell r="CZ175" t="str">
            <v>Municipal Office</v>
          </cell>
          <cell r="DA175" t="str">
            <v>Kalpana Nepali</v>
          </cell>
          <cell r="DB175" t="str">
            <v>Deputy Chairman</v>
          </cell>
          <cell r="DC175">
            <v>9846075455</v>
          </cell>
          <cell r="DD175" t="str">
            <v>Municipal Office</v>
          </cell>
          <cell r="DE175" t="str">
            <v>Eak Dev Khannal</v>
          </cell>
          <cell r="DF175" t="str">
            <v>Chief Adminstration Officer</v>
          </cell>
          <cell r="DG175">
            <v>9856010044</v>
          </cell>
          <cell r="DH175" t="str">
            <v>NRA/GMALI</v>
          </cell>
          <cell r="DI175" t="str">
            <v>Ram Sharan Acharya</v>
          </cell>
          <cell r="DJ175" t="str">
            <v>NRA Chief-District</v>
          </cell>
          <cell r="DK175">
            <v>9856042637</v>
          </cell>
          <cell r="DL175" t="str">
            <v>DLPIU-Building</v>
          </cell>
          <cell r="DM175" t="str">
            <v>Sunita Shrestha</v>
          </cell>
          <cell r="DN175" t="str">
            <v>DUDBC.DLPIU Chief</v>
          </cell>
          <cell r="DO175">
            <v>9841632087</v>
          </cell>
          <cell r="DP175" t="str">
            <v>Mincipal Office</v>
          </cell>
          <cell r="DQ175" t="str">
            <v>Nabaraj Khanal</v>
          </cell>
          <cell r="DR175" t="str">
            <v>Focal Person</v>
          </cell>
          <cell r="DS175">
            <v>9860841586</v>
          </cell>
          <cell r="DT175" t="str">
            <v>30</v>
          </cell>
          <cell r="DU175" t="str">
            <v/>
          </cell>
          <cell r="DV175" t="str">
            <v>25</v>
          </cell>
          <cell r="DW175" t="str">
            <v>200</v>
          </cell>
          <cell r="DX175" t="str">
            <v>10</v>
          </cell>
          <cell r="DY175" t="str">
            <v/>
          </cell>
          <cell r="DZ175">
            <v>7</v>
          </cell>
          <cell r="EA175" t="str">
            <v/>
          </cell>
          <cell r="EB175">
            <v>14</v>
          </cell>
          <cell r="EC175" t="str">
            <v/>
          </cell>
          <cell r="ED175">
            <v>7</v>
          </cell>
          <cell r="EE175" t="str">
            <v/>
          </cell>
          <cell r="EF175" t="str">
            <v>1016</v>
          </cell>
          <cell r="EG175" t="str">
            <v>1500</v>
          </cell>
          <cell r="EH175" t="str">
            <v>574</v>
          </cell>
          <cell r="EI175" t="str">
            <v>1000</v>
          </cell>
          <cell r="EJ175">
            <v>468</v>
          </cell>
          <cell r="EK175">
            <v>515</v>
          </cell>
          <cell r="EL175">
            <v>-47</v>
          </cell>
          <cell r="EM175">
            <v>711</v>
          </cell>
          <cell r="EN175">
            <v>637</v>
          </cell>
          <cell r="EO175">
            <v>74</v>
          </cell>
          <cell r="EP175" t="str">
            <v/>
          </cell>
          <cell r="EQ175" t="str">
            <v>Housing Recovery and Reconstruction Platform</v>
          </cell>
          <cell r="ER175" t="str">
            <v>Chandra Gurung</v>
          </cell>
          <cell r="ES175" t="str">
            <v>District Coordinator</v>
          </cell>
          <cell r="ET175">
            <v>9841478742</v>
          </cell>
          <cell r="EU175" t="str">
            <v>Housing Recovery and Reconstruction Platform</v>
          </cell>
          <cell r="EV175" t="str">
            <v>Birodh Kattel</v>
          </cell>
          <cell r="EW175" t="str">
            <v>DIstrict Information Management Officer</v>
          </cell>
          <cell r="EX175">
            <v>9841419970</v>
          </cell>
          <cell r="EY175" t="str">
            <v>Housing Recovery and Reconstruction Platform</v>
          </cell>
          <cell r="EZ175" t="str">
            <v>Atit Shrestha</v>
          </cell>
          <cell r="FA175" t="str">
            <v>District Technical Officer</v>
          </cell>
          <cell r="FB175">
            <v>9801328282</v>
          </cell>
        </row>
        <row r="176">
          <cell r="A176">
            <v>36002</v>
          </cell>
          <cell r="B176" t="str">
            <v>Gorkha</v>
          </cell>
          <cell r="C176" t="str">
            <v>Ajirkot Gaunpalika</v>
          </cell>
          <cell r="D176">
            <v>108</v>
          </cell>
          <cell r="E176">
            <v>4067</v>
          </cell>
          <cell r="F176">
            <v>4175</v>
          </cell>
          <cell r="G176" t="str">
            <v>Stone and cement mortar masonry</v>
          </cell>
          <cell r="H176">
            <v>0.12</v>
          </cell>
          <cell r="I176">
            <v>1.27</v>
          </cell>
          <cell r="J176" t="str">
            <v>Stone and Mud Mortar Masonary</v>
          </cell>
          <cell r="K176">
            <v>96.93</v>
          </cell>
          <cell r="L176">
            <v>82.76</v>
          </cell>
          <cell r="M176" t="str">
            <v>Brick and Cement Mortar Masonary</v>
          </cell>
          <cell r="N176">
            <v>0.12</v>
          </cell>
          <cell r="O176">
            <v>2.57</v>
          </cell>
          <cell r="P176" t="str">
            <v>Brick and mud mortar Masonry</v>
          </cell>
          <cell r="Q176">
            <v>0.02</v>
          </cell>
          <cell r="R176">
            <v>3</v>
          </cell>
          <cell r="S176" t="str">
            <v>Reinforced cement concrete (RCC) frame</v>
          </cell>
          <cell r="T176">
            <v>0.26</v>
          </cell>
          <cell r="U176">
            <v>3.23</v>
          </cell>
          <cell r="V176" t="str">
            <v>Hybrid structure</v>
          </cell>
          <cell r="W176">
            <v>0</v>
          </cell>
          <cell r="X176">
            <v>0</v>
          </cell>
          <cell r="Y176" t="str">
            <v>Timber frame structure</v>
          </cell>
          <cell r="Z176">
            <v>1.61</v>
          </cell>
          <cell r="AA176">
            <v>0.88</v>
          </cell>
          <cell r="AB176" t="str">
            <v>Hollow concrete block Masonry</v>
          </cell>
          <cell r="AC176">
            <v>0</v>
          </cell>
          <cell r="AD176">
            <v>0</v>
          </cell>
          <cell r="AE176" t="str">
            <v>Dry stone Masonry</v>
          </cell>
          <cell r="AF176">
            <v>0.22</v>
          </cell>
          <cell r="AG176">
            <v>4.17</v>
          </cell>
          <cell r="AH176" t="str">
            <v>Adobe structures</v>
          </cell>
          <cell r="AI176">
            <v>0.26</v>
          </cell>
          <cell r="AJ176">
            <v>1.79</v>
          </cell>
          <cell r="AK176" t="str">
            <v>Bamboo</v>
          </cell>
          <cell r="AL176">
            <v>0.46</v>
          </cell>
          <cell r="AM176">
            <v>0.34</v>
          </cell>
          <cell r="AN176" t="str">
            <v>Compressed stabilized earth block (SCEB) Masonry</v>
          </cell>
          <cell r="AO176">
            <v>0</v>
          </cell>
          <cell r="AP176">
            <v>0</v>
          </cell>
          <cell r="AQ176" t="str">
            <v>Light steel frame structures</v>
          </cell>
          <cell r="AR176">
            <v>0</v>
          </cell>
          <cell r="AS176">
            <v>0</v>
          </cell>
          <cell r="AT176">
            <v>4125</v>
          </cell>
          <cell r="AU176">
            <v>3951</v>
          </cell>
          <cell r="AV176">
            <v>3951</v>
          </cell>
          <cell r="AW176">
            <v>3745</v>
          </cell>
          <cell r="AX176">
            <v>3258</v>
          </cell>
          <cell r="AY176">
            <v>487</v>
          </cell>
          <cell r="AZ176">
            <v>3258</v>
          </cell>
          <cell r="BA176">
            <v>63</v>
          </cell>
          <cell r="BB176">
            <v>3</v>
          </cell>
          <cell r="BC176">
            <v>3</v>
          </cell>
          <cell r="BD176" t="str">
            <v/>
          </cell>
          <cell r="BE176">
            <v>452</v>
          </cell>
          <cell r="BF176">
            <v>207</v>
          </cell>
          <cell r="BG176" t="str">
            <v/>
          </cell>
          <cell r="BH176" t="str">
            <v/>
          </cell>
          <cell r="BI176" t="str">
            <v>CARE-N(Agriculture, Livestock Development and Irrigation,Disaster Risk Management,Gender Equality and Social Inclusion,Health,Rural Housing and Community Infrastructure,Water, Sanitation and Hygiene),INF(Employment and Livelihood,Rural Housing and Community Infrastructure)</v>
          </cell>
          <cell r="BJ176" t="str">
            <v>CW(Education,Rural Housing and Community Infrastructure),IMS(Agriculture, Livestock Development and Irrigation,Disaster Risk Management,Education,Employment and Livelihood,Environment and Forestry,Governance),IOM(Rural Housing and Community Infrastructure),JICA(Rural Housing and Community Infrastructure),LIONS(Education),NRA(Rural Housing and Community Infrastructure),WVIN(Agriculture, Livestock Development and Irrigation,Employment and Livelihood,Water, Sanitation and Hygiene)</v>
          </cell>
          <cell r="BK176">
            <v>87666</v>
          </cell>
          <cell r="BL176" t="str">
            <v/>
          </cell>
          <cell r="BM176" t="str">
            <v/>
          </cell>
          <cell r="BN176">
            <v>89720</v>
          </cell>
          <cell r="BO176" t="str">
            <v/>
          </cell>
          <cell r="BP176" t="str">
            <v/>
          </cell>
          <cell r="BQ176">
            <v>9361</v>
          </cell>
          <cell r="BR176" t="str">
            <v/>
          </cell>
          <cell r="BS176" t="str">
            <v/>
          </cell>
          <cell r="BT176">
            <v>10802</v>
          </cell>
          <cell r="BU176" t="str">
            <v/>
          </cell>
          <cell r="BV176" t="str">
            <v/>
          </cell>
          <cell r="BW176" t="str">
            <v/>
          </cell>
          <cell r="BX176" t="str">
            <v/>
          </cell>
          <cell r="BY176" t="str">
            <v/>
          </cell>
          <cell r="BZ176">
            <v>298752</v>
          </cell>
          <cell r="CA176" t="str">
            <v/>
          </cell>
          <cell r="CB176" t="str">
            <v/>
          </cell>
          <cell r="CC176">
            <v>952557</v>
          </cell>
          <cell r="CD176" t="str">
            <v/>
          </cell>
          <cell r="CE176" t="str">
            <v/>
          </cell>
          <cell r="CF176">
            <v>12218</v>
          </cell>
          <cell r="CG176" t="str">
            <v/>
          </cell>
          <cell r="CH176" t="str">
            <v/>
          </cell>
          <cell r="CI176">
            <v>1101540</v>
          </cell>
          <cell r="CJ176" t="str">
            <v/>
          </cell>
          <cell r="CK176" t="str">
            <v/>
          </cell>
          <cell r="CL176" t="str">
            <v>Skilled</v>
          </cell>
          <cell r="CM176" t="str">
            <v/>
          </cell>
          <cell r="CN176" t="str">
            <v>Labor</v>
          </cell>
          <cell r="CO176" t="str">
            <v/>
          </cell>
          <cell r="CP176" t="str">
            <v>261</v>
          </cell>
          <cell r="CQ176" t="str">
            <v/>
          </cell>
          <cell r="CR176" t="str">
            <v/>
          </cell>
          <cell r="CS176" t="str">
            <v/>
          </cell>
          <cell r="CT176" t="str">
            <v/>
          </cell>
          <cell r="CU176" t="str">
            <v/>
          </cell>
          <cell r="CV176" t="str">
            <v>Municipal Office</v>
          </cell>
          <cell r="CW176" t="str">
            <v>Phadindra Dhital</v>
          </cell>
          <cell r="CX176" t="str">
            <v xml:space="preserve">Chairman </v>
          </cell>
          <cell r="CY176">
            <v>9841710738</v>
          </cell>
          <cell r="CZ176" t="str">
            <v>Municipal Office</v>
          </cell>
          <cell r="DA176" t="str">
            <v>Chandra Maya Gurung</v>
          </cell>
          <cell r="DB176" t="str">
            <v>Deputy Chairman</v>
          </cell>
          <cell r="DC176">
            <v>9856040707</v>
          </cell>
          <cell r="DD176" t="str">
            <v>Municipal Office</v>
          </cell>
          <cell r="DE176" t="str">
            <v>Yubaraj Acharya</v>
          </cell>
          <cell r="DF176" t="str">
            <v>Chief Adminstration Officer</v>
          </cell>
          <cell r="DG176">
            <v>9856010055</v>
          </cell>
          <cell r="DH176" t="str">
            <v>NRA/GMALI</v>
          </cell>
          <cell r="DI176" t="str">
            <v>Ram Sharan Acharya</v>
          </cell>
          <cell r="DJ176" t="str">
            <v>NRA Chief-District</v>
          </cell>
          <cell r="DK176">
            <v>9856042637</v>
          </cell>
          <cell r="DL176" t="str">
            <v>DLPIU-Building</v>
          </cell>
          <cell r="DM176" t="str">
            <v>Sunita Shrestha</v>
          </cell>
          <cell r="DN176" t="str">
            <v>DUDBC.DLPIU Chief</v>
          </cell>
          <cell r="DO176">
            <v>9841632087</v>
          </cell>
          <cell r="DP176" t="str">
            <v>Mincipal Office</v>
          </cell>
          <cell r="DQ176" t="str">
            <v>Laxaman Neupane</v>
          </cell>
          <cell r="DR176" t="str">
            <v>Focal Person</v>
          </cell>
          <cell r="DS176">
            <v>9869003206</v>
          </cell>
          <cell r="DT176" t="str">
            <v/>
          </cell>
          <cell r="DU176" t="str">
            <v/>
          </cell>
          <cell r="DV176" t="str">
            <v/>
          </cell>
          <cell r="DW176" t="str">
            <v/>
          </cell>
          <cell r="DX176" t="str">
            <v/>
          </cell>
          <cell r="DY176" t="str">
            <v/>
          </cell>
          <cell r="DZ176">
            <v>5</v>
          </cell>
          <cell r="EA176" t="str">
            <v>0</v>
          </cell>
          <cell r="EB176">
            <v>4</v>
          </cell>
          <cell r="EC176" t="str">
            <v>1</v>
          </cell>
          <cell r="ED176">
            <v>4</v>
          </cell>
          <cell r="EE176" t="str">
            <v>1</v>
          </cell>
          <cell r="EF176" t="str">
            <v>100</v>
          </cell>
          <cell r="EG176" t="str">
            <v/>
          </cell>
          <cell r="EH176" t="str">
            <v/>
          </cell>
          <cell r="EI176" t="str">
            <v/>
          </cell>
          <cell r="EJ176">
            <v>297</v>
          </cell>
          <cell r="EK176">
            <v>300</v>
          </cell>
          <cell r="EL176">
            <v>-3</v>
          </cell>
          <cell r="EM176">
            <v>459</v>
          </cell>
          <cell r="EN176">
            <v>239</v>
          </cell>
          <cell r="EO176">
            <v>220</v>
          </cell>
          <cell r="EP176" t="str">
            <v/>
          </cell>
          <cell r="EQ176" t="str">
            <v>Housing Recovery and Reconstruction Platform</v>
          </cell>
          <cell r="ER176" t="str">
            <v>Chandra Gurung</v>
          </cell>
          <cell r="ES176" t="str">
            <v>District Coordinator</v>
          </cell>
          <cell r="ET176">
            <v>9841478742</v>
          </cell>
          <cell r="EU176" t="str">
            <v>Housing Recovery and Reconstruction Platform</v>
          </cell>
          <cell r="EV176" t="str">
            <v>Birodh Kattel</v>
          </cell>
          <cell r="EW176" t="str">
            <v>DIstrict Information Management Officer</v>
          </cell>
          <cell r="EX176">
            <v>9841419970</v>
          </cell>
          <cell r="EY176" t="str">
            <v>Housing Recovery and Reconstruction Platform</v>
          </cell>
          <cell r="EZ176" t="str">
            <v>Atit Shrestha</v>
          </cell>
          <cell r="FA176" t="str">
            <v>District Technical Officer</v>
          </cell>
          <cell r="FB176">
            <v>9801328282</v>
          </cell>
        </row>
        <row r="177">
          <cell r="A177">
            <v>36003</v>
          </cell>
          <cell r="B177" t="str">
            <v>Gorkha</v>
          </cell>
          <cell r="C177" t="str">
            <v>Bhimsen Gaunpalika</v>
          </cell>
          <cell r="D177">
            <v>508</v>
          </cell>
          <cell r="E177">
            <v>6250</v>
          </cell>
          <cell r="F177">
            <v>6758</v>
          </cell>
          <cell r="G177" t="str">
            <v>Stone and cement mortar masonry</v>
          </cell>
          <cell r="H177">
            <v>0.21</v>
          </cell>
          <cell r="I177">
            <v>1.27</v>
          </cell>
          <cell r="J177" t="str">
            <v>Stone and Mud Mortar Masonary</v>
          </cell>
          <cell r="K177">
            <v>95.67</v>
          </cell>
          <cell r="L177">
            <v>82.76</v>
          </cell>
          <cell r="M177" t="str">
            <v>Brick and Cement Mortar Masonary</v>
          </cell>
          <cell r="N177">
            <v>0.49</v>
          </cell>
          <cell r="O177">
            <v>2.57</v>
          </cell>
          <cell r="P177" t="str">
            <v>Brick and mud mortar Masonry</v>
          </cell>
          <cell r="Q177">
            <v>1.21</v>
          </cell>
          <cell r="R177">
            <v>3</v>
          </cell>
          <cell r="S177" t="str">
            <v>Reinforced cement concrete (RCC) frame</v>
          </cell>
          <cell r="T177">
            <v>1.23</v>
          </cell>
          <cell r="U177">
            <v>3.23</v>
          </cell>
          <cell r="V177" t="str">
            <v>Hybrid structure</v>
          </cell>
          <cell r="W177">
            <v>0</v>
          </cell>
          <cell r="X177">
            <v>0</v>
          </cell>
          <cell r="Y177" t="str">
            <v>Timber frame structure</v>
          </cell>
          <cell r="Z177">
            <v>0.59</v>
          </cell>
          <cell r="AA177">
            <v>0.88</v>
          </cell>
          <cell r="AB177" t="str">
            <v>Hollow concrete block Masonry</v>
          </cell>
          <cell r="AC177">
            <v>0</v>
          </cell>
          <cell r="AD177">
            <v>0</v>
          </cell>
          <cell r="AE177" t="str">
            <v>Dry stone Masonry</v>
          </cell>
          <cell r="AF177">
            <v>7.0000000000000007E-2</v>
          </cell>
          <cell r="AG177">
            <v>4.17</v>
          </cell>
          <cell r="AH177" t="str">
            <v>Adobe structures</v>
          </cell>
          <cell r="AI177">
            <v>0.16</v>
          </cell>
          <cell r="AJ177">
            <v>1.79</v>
          </cell>
          <cell r="AK177" t="str">
            <v>Bamboo</v>
          </cell>
          <cell r="AL177">
            <v>0.36</v>
          </cell>
          <cell r="AM177">
            <v>0.34</v>
          </cell>
          <cell r="AN177" t="str">
            <v>Compressed stabilized earth block (SCEB) Masonry</v>
          </cell>
          <cell r="AO177">
            <v>0</v>
          </cell>
          <cell r="AP177">
            <v>0</v>
          </cell>
          <cell r="AQ177" t="str">
            <v>Light steel frame structures</v>
          </cell>
          <cell r="AR177">
            <v>0</v>
          </cell>
          <cell r="AS177">
            <v>0</v>
          </cell>
          <cell r="AT177">
            <v>6835</v>
          </cell>
          <cell r="AU177">
            <v>6612</v>
          </cell>
          <cell r="AV177">
            <v>6612</v>
          </cell>
          <cell r="AW177">
            <v>6142</v>
          </cell>
          <cell r="AX177">
            <v>4860</v>
          </cell>
          <cell r="AY177">
            <v>1282</v>
          </cell>
          <cell r="AZ177">
            <v>4860</v>
          </cell>
          <cell r="BA177">
            <v>168</v>
          </cell>
          <cell r="BB177">
            <v>32</v>
          </cell>
          <cell r="BC177">
            <v>32</v>
          </cell>
          <cell r="BD177" t="str">
            <v/>
          </cell>
          <cell r="BE177">
            <v>941</v>
          </cell>
          <cell r="BF177">
            <v>604</v>
          </cell>
          <cell r="BG177">
            <v>100</v>
          </cell>
          <cell r="BH177">
            <v>70</v>
          </cell>
          <cell r="BI177" t="str">
            <v/>
          </cell>
          <cell r="BJ177" t="str">
            <v>CA(Rural Housing and Community Infrastructure,Water, Sanitation and Hygiene),CRS(Agriculture, Livestock Development and Irrigation,Employment and Livelihood,Rural Housing and Community Infrastructure,Water, Sanitation and Hygiene),DCA(Rural Housing and Community Infrastructure,Water, Sanitation and Hygiene),FCA(Education),JICA(Rural Housing and Community Infrastructure),NDS(Rural Housing and Community Infrastructure),NYF(Education,Rural Housing and Community Infrastructure),SCI(Education,Employment and Livelihood,Health,Rural Housing and Community Infrastructure,Social Protection,Water, Sanitation and Hygiene)</v>
          </cell>
          <cell r="BK177">
            <v>144862</v>
          </cell>
          <cell r="BL177" t="str">
            <v>Y</v>
          </cell>
          <cell r="BM177">
            <v>5000</v>
          </cell>
          <cell r="BN177">
            <v>146290</v>
          </cell>
          <cell r="BO177" t="str">
            <v>Y</v>
          </cell>
          <cell r="BP177">
            <v>14000</v>
          </cell>
          <cell r="BQ177">
            <v>15446</v>
          </cell>
          <cell r="BR177" t="str">
            <v>Y</v>
          </cell>
          <cell r="BS177">
            <v>10000</v>
          </cell>
          <cell r="BT177">
            <v>17745</v>
          </cell>
          <cell r="BU177" t="str">
            <v/>
          </cell>
          <cell r="BV177" t="str">
            <v/>
          </cell>
          <cell r="BW177" t="str">
            <v/>
          </cell>
          <cell r="BX177" t="str">
            <v>Y</v>
          </cell>
          <cell r="BY177">
            <v>900</v>
          </cell>
          <cell r="BZ177">
            <v>484993</v>
          </cell>
          <cell r="CA177" t="str">
            <v>Y</v>
          </cell>
          <cell r="CB177">
            <v>1000</v>
          </cell>
          <cell r="CC177">
            <v>1573658</v>
          </cell>
          <cell r="CD177" t="str">
            <v>Y</v>
          </cell>
          <cell r="CE177">
            <v>98</v>
          </cell>
          <cell r="CF177">
            <v>19817</v>
          </cell>
          <cell r="CG177" t="str">
            <v/>
          </cell>
          <cell r="CH177" t="str">
            <v/>
          </cell>
          <cell r="CI177">
            <v>1584962</v>
          </cell>
          <cell r="CJ177" t="str">
            <v>Y</v>
          </cell>
          <cell r="CK177">
            <v>20</v>
          </cell>
          <cell r="CL177" t="str">
            <v>Skilled</v>
          </cell>
          <cell r="CM177">
            <v>1000</v>
          </cell>
          <cell r="CN177" t="str">
            <v>Labor</v>
          </cell>
          <cell r="CO177">
            <v>700</v>
          </cell>
          <cell r="CP177" t="str">
            <v>330</v>
          </cell>
          <cell r="CQ177" t="str">
            <v/>
          </cell>
          <cell r="CR177" t="str">
            <v/>
          </cell>
          <cell r="CS177" t="str">
            <v/>
          </cell>
          <cell r="CT177" t="str">
            <v/>
          </cell>
          <cell r="CU177" t="str">
            <v/>
          </cell>
          <cell r="CV177" t="str">
            <v>Municipal Office</v>
          </cell>
          <cell r="CW177" t="str">
            <v>Ishwor Pandey</v>
          </cell>
          <cell r="CX177" t="str">
            <v xml:space="preserve">Chairman </v>
          </cell>
          <cell r="CY177">
            <v>9851099699</v>
          </cell>
          <cell r="CZ177" t="str">
            <v>Municipal Office</v>
          </cell>
          <cell r="DA177" t="str">
            <v>Binu Wagle</v>
          </cell>
          <cell r="DB177" t="str">
            <v>Deputy Chairman</v>
          </cell>
          <cell r="DC177">
            <v>9846088345</v>
          </cell>
          <cell r="DD177" t="str">
            <v>Municipal Office</v>
          </cell>
          <cell r="DE177" t="str">
            <v>Dhaneswor Paudel</v>
          </cell>
          <cell r="DF177" t="str">
            <v>Chief Adminstration Officer</v>
          </cell>
          <cell r="DG177">
            <v>9856010045</v>
          </cell>
          <cell r="DH177" t="str">
            <v>NRA/GMALI</v>
          </cell>
          <cell r="DI177" t="str">
            <v>Ram Sharan Acharya</v>
          </cell>
          <cell r="DJ177" t="str">
            <v>NRA Chief-District</v>
          </cell>
          <cell r="DK177">
            <v>9856042637</v>
          </cell>
          <cell r="DL177" t="str">
            <v>DLPIU-Building</v>
          </cell>
          <cell r="DM177" t="str">
            <v>Sunita Shrestha</v>
          </cell>
          <cell r="DN177" t="str">
            <v>DUDBC.DLPIU Chief</v>
          </cell>
          <cell r="DO177">
            <v>9841632087</v>
          </cell>
          <cell r="DP177" t="str">
            <v>Mincipal Office</v>
          </cell>
          <cell r="DQ177" t="str">
            <v>Binod Luitel</v>
          </cell>
          <cell r="DR177" t="str">
            <v>Focal Person</v>
          </cell>
          <cell r="DS177">
            <v>9841078175</v>
          </cell>
          <cell r="DT177" t="str">
            <v/>
          </cell>
          <cell r="DU177" t="str">
            <v/>
          </cell>
          <cell r="DV177" t="str">
            <v/>
          </cell>
          <cell r="DW177" t="str">
            <v/>
          </cell>
          <cell r="DX177" t="str">
            <v/>
          </cell>
          <cell r="DY177" t="str">
            <v/>
          </cell>
          <cell r="DZ177">
            <v>8</v>
          </cell>
          <cell r="EA177" t="str">
            <v/>
          </cell>
          <cell r="EB177">
            <v>6</v>
          </cell>
          <cell r="EC177" t="str">
            <v>2</v>
          </cell>
          <cell r="ED177">
            <v>4</v>
          </cell>
          <cell r="EE177" t="str">
            <v>4</v>
          </cell>
          <cell r="EF177" t="str">
            <v>200</v>
          </cell>
          <cell r="EG177" t="str">
            <v>300</v>
          </cell>
          <cell r="EH177" t="str">
            <v>200</v>
          </cell>
          <cell r="EI177" t="str">
            <v>500</v>
          </cell>
          <cell r="EJ177">
            <v>441</v>
          </cell>
          <cell r="EK177">
            <v>537</v>
          </cell>
          <cell r="EL177">
            <v>-96</v>
          </cell>
          <cell r="EM177">
            <v>702</v>
          </cell>
          <cell r="EN177">
            <v>320</v>
          </cell>
          <cell r="EO177">
            <v>382</v>
          </cell>
          <cell r="EP177" t="str">
            <v/>
          </cell>
          <cell r="EQ177" t="str">
            <v>Housing Recovery and Reconstruction Platform</v>
          </cell>
          <cell r="ER177" t="str">
            <v>Chandra Gurung</v>
          </cell>
          <cell r="ES177" t="str">
            <v>District Coordinator</v>
          </cell>
          <cell r="ET177">
            <v>9841478742</v>
          </cell>
          <cell r="EU177" t="str">
            <v>Housing Recovery and Reconstruction Platform</v>
          </cell>
          <cell r="EV177" t="str">
            <v>Birodh Kattel</v>
          </cell>
          <cell r="EW177" t="str">
            <v>DIstrict Information Management Officer</v>
          </cell>
          <cell r="EX177">
            <v>9841419970</v>
          </cell>
          <cell r="EY177" t="str">
            <v>Housing Recovery and Reconstruction Platform</v>
          </cell>
          <cell r="EZ177" t="str">
            <v>Atit Shrestha</v>
          </cell>
          <cell r="FA177" t="str">
            <v>District Technical Officer</v>
          </cell>
          <cell r="FB177">
            <v>9801328282</v>
          </cell>
        </row>
        <row r="178">
          <cell r="A178">
            <v>36004</v>
          </cell>
          <cell r="B178" t="str">
            <v>Gorkha</v>
          </cell>
          <cell r="C178" t="str">
            <v>Chum Nubri Gaunpalika</v>
          </cell>
          <cell r="D178">
            <v>111</v>
          </cell>
          <cell r="E178">
            <v>2639</v>
          </cell>
          <cell r="F178">
            <v>2750</v>
          </cell>
          <cell r="G178" t="str">
            <v>Stone and cement mortar masonry</v>
          </cell>
          <cell r="H178">
            <v>0.69</v>
          </cell>
          <cell r="I178">
            <v>1.27</v>
          </cell>
          <cell r="J178" t="str">
            <v>Stone and Mud Mortar Masonary</v>
          </cell>
          <cell r="K178">
            <v>39.54</v>
          </cell>
          <cell r="L178">
            <v>82.76</v>
          </cell>
          <cell r="M178" t="str">
            <v>Brick and Cement Mortar Masonary</v>
          </cell>
          <cell r="N178">
            <v>0.33</v>
          </cell>
          <cell r="O178">
            <v>2.57</v>
          </cell>
          <cell r="P178" t="str">
            <v>Brick and mud mortar Masonry</v>
          </cell>
          <cell r="Q178">
            <v>0.04</v>
          </cell>
          <cell r="R178">
            <v>3</v>
          </cell>
          <cell r="S178" t="str">
            <v>Reinforced cement concrete (RCC) frame</v>
          </cell>
          <cell r="T178">
            <v>0.22</v>
          </cell>
          <cell r="U178">
            <v>3.23</v>
          </cell>
          <cell r="V178" t="str">
            <v>Hybrid structure</v>
          </cell>
          <cell r="W178">
            <v>0</v>
          </cell>
          <cell r="X178">
            <v>0</v>
          </cell>
          <cell r="Y178" t="str">
            <v>Timber frame structure</v>
          </cell>
          <cell r="Z178">
            <v>1.2</v>
          </cell>
          <cell r="AA178">
            <v>0.88</v>
          </cell>
          <cell r="AB178" t="str">
            <v>Hollow concrete block Masonry</v>
          </cell>
          <cell r="AC178">
            <v>0</v>
          </cell>
          <cell r="AD178">
            <v>0</v>
          </cell>
          <cell r="AE178" t="str">
            <v>Dry stone Masonry</v>
          </cell>
          <cell r="AF178">
            <v>57.95</v>
          </cell>
          <cell r="AG178">
            <v>4.17</v>
          </cell>
          <cell r="AH178" t="str">
            <v>Adobe structures</v>
          </cell>
          <cell r="AI178">
            <v>0</v>
          </cell>
          <cell r="AJ178">
            <v>1.79</v>
          </cell>
          <cell r="AK178" t="str">
            <v>Bamboo</v>
          </cell>
          <cell r="AL178">
            <v>0.04</v>
          </cell>
          <cell r="AM178">
            <v>0.34</v>
          </cell>
          <cell r="AN178" t="str">
            <v>Compressed stabilized earth block (SCEB) Masonry</v>
          </cell>
          <cell r="AO178">
            <v>0</v>
          </cell>
          <cell r="AP178">
            <v>0</v>
          </cell>
          <cell r="AQ178" t="str">
            <v>Light steel frame structures</v>
          </cell>
          <cell r="AR178">
            <v>0</v>
          </cell>
          <cell r="AS178">
            <v>0</v>
          </cell>
          <cell r="AT178">
            <v>2275</v>
          </cell>
          <cell r="AU178">
            <v>1853</v>
          </cell>
          <cell r="AV178">
            <v>1853</v>
          </cell>
          <cell r="AW178">
            <v>1549</v>
          </cell>
          <cell r="AX178">
            <v>1216</v>
          </cell>
          <cell r="AY178">
            <v>333</v>
          </cell>
          <cell r="AZ178">
            <v>1216</v>
          </cell>
          <cell r="BA178">
            <v>49</v>
          </cell>
          <cell r="BB178" t="str">
            <v/>
          </cell>
          <cell r="BC178" t="str">
            <v/>
          </cell>
          <cell r="BD178" t="str">
            <v/>
          </cell>
          <cell r="BE178">
            <v>279</v>
          </cell>
          <cell r="BF178">
            <v>203</v>
          </cell>
          <cell r="BG178">
            <v>10</v>
          </cell>
          <cell r="BH178">
            <v>10</v>
          </cell>
          <cell r="BI178" t="str">
            <v/>
          </cell>
          <cell r="BJ178" t="str">
            <v>CRS(Rural Housing and Community Infrastructure)</v>
          </cell>
          <cell r="BK178">
            <v>17453</v>
          </cell>
          <cell r="BL178" t="str">
            <v/>
          </cell>
          <cell r="BM178" t="str">
            <v/>
          </cell>
          <cell r="BN178">
            <v>18163</v>
          </cell>
          <cell r="BO178" t="str">
            <v/>
          </cell>
          <cell r="BP178" t="str">
            <v/>
          </cell>
          <cell r="BQ178">
            <v>1866</v>
          </cell>
          <cell r="BR178" t="str">
            <v/>
          </cell>
          <cell r="BS178" t="str">
            <v/>
          </cell>
          <cell r="BT178">
            <v>2160</v>
          </cell>
          <cell r="BU178" t="str">
            <v/>
          </cell>
          <cell r="BV178" t="str">
            <v/>
          </cell>
          <cell r="BW178" t="str">
            <v/>
          </cell>
          <cell r="BX178" t="str">
            <v>Y</v>
          </cell>
          <cell r="BY178">
            <v>900</v>
          </cell>
          <cell r="BZ178">
            <v>59769</v>
          </cell>
          <cell r="CA178" t="str">
            <v>Y</v>
          </cell>
          <cell r="CB178">
            <v>900</v>
          </cell>
          <cell r="CC178">
            <v>188308</v>
          </cell>
          <cell r="CD178" t="str">
            <v/>
          </cell>
          <cell r="CE178" t="str">
            <v/>
          </cell>
          <cell r="CF178">
            <v>2441</v>
          </cell>
          <cell r="CG178" t="str">
            <v/>
          </cell>
          <cell r="CH178" t="str">
            <v/>
          </cell>
          <cell r="CI178">
            <v>96746</v>
          </cell>
          <cell r="CJ178" t="str">
            <v>N</v>
          </cell>
          <cell r="CK178" t="str">
            <v/>
          </cell>
          <cell r="CL178" t="str">
            <v>Skilled</v>
          </cell>
          <cell r="CM178">
            <v>2500</v>
          </cell>
          <cell r="CN178" t="str">
            <v>Labor</v>
          </cell>
          <cell r="CO178">
            <v>1200</v>
          </cell>
          <cell r="CP178" t="str">
            <v>58</v>
          </cell>
          <cell r="CQ178" t="str">
            <v/>
          </cell>
          <cell r="CR178" t="str">
            <v/>
          </cell>
          <cell r="CS178" t="str">
            <v/>
          </cell>
          <cell r="CT178" t="str">
            <v/>
          </cell>
          <cell r="CU178" t="str">
            <v/>
          </cell>
          <cell r="CV178" t="str">
            <v>Municipal Office</v>
          </cell>
          <cell r="CW178" t="str">
            <v>Dhan Bahadur Gurung</v>
          </cell>
          <cell r="CX178" t="str">
            <v xml:space="preserve">Chairman </v>
          </cell>
          <cell r="CY178">
            <v>9851015492</v>
          </cell>
          <cell r="CZ178" t="str">
            <v>Municipal Office</v>
          </cell>
          <cell r="DA178" t="str">
            <v>Kumari Gurung</v>
          </cell>
          <cell r="DB178" t="str">
            <v>Deputy Chairman</v>
          </cell>
          <cell r="DC178">
            <v>9756004044</v>
          </cell>
          <cell r="DD178" t="str">
            <v>Municipal Office</v>
          </cell>
          <cell r="DE178" t="str">
            <v>Pradip Giri</v>
          </cell>
          <cell r="DF178" t="str">
            <v>Chief Adminstration Officer</v>
          </cell>
          <cell r="DG178">
            <v>9841502456</v>
          </cell>
          <cell r="DH178" t="str">
            <v>NRA/GMALI</v>
          </cell>
          <cell r="DI178" t="str">
            <v>Ram Sharan Acharya</v>
          </cell>
          <cell r="DJ178" t="str">
            <v>NRA Chief-District</v>
          </cell>
          <cell r="DK178">
            <v>9856042637</v>
          </cell>
          <cell r="DL178" t="str">
            <v>DLPIU-Building</v>
          </cell>
          <cell r="DM178" t="str">
            <v>Sunita Shrestha</v>
          </cell>
          <cell r="DN178" t="str">
            <v>DUDBC.DLPIU Chief</v>
          </cell>
          <cell r="DO178">
            <v>9841632087</v>
          </cell>
          <cell r="DP178" t="str">
            <v>Mincipal Office</v>
          </cell>
          <cell r="DQ178" t="str">
            <v>Ajeet Tiwari</v>
          </cell>
          <cell r="DR178" t="str">
            <v>Focal Person</v>
          </cell>
          <cell r="DS178">
            <v>9849032790</v>
          </cell>
          <cell r="DT178" t="str">
            <v/>
          </cell>
          <cell r="DU178" t="str">
            <v/>
          </cell>
          <cell r="DV178" t="str">
            <v/>
          </cell>
          <cell r="DW178" t="str">
            <v/>
          </cell>
          <cell r="DX178" t="str">
            <v/>
          </cell>
          <cell r="DY178" t="str">
            <v/>
          </cell>
          <cell r="DZ178">
            <v>3</v>
          </cell>
          <cell r="EA178" t="str">
            <v>0</v>
          </cell>
          <cell r="EB178">
            <v>1</v>
          </cell>
          <cell r="EC178" t="str">
            <v>3</v>
          </cell>
          <cell r="ED178">
            <v>3</v>
          </cell>
          <cell r="EE178" t="str">
            <v>2</v>
          </cell>
          <cell r="EF178" t="str">
            <v/>
          </cell>
          <cell r="EG178" t="str">
            <v/>
          </cell>
          <cell r="EH178" t="str">
            <v/>
          </cell>
          <cell r="EI178" t="str">
            <v/>
          </cell>
          <cell r="EJ178">
            <v>157</v>
          </cell>
          <cell r="EK178">
            <v>280</v>
          </cell>
          <cell r="EL178">
            <v>-123</v>
          </cell>
          <cell r="EM178">
            <v>240</v>
          </cell>
          <cell r="EN178">
            <v>80</v>
          </cell>
          <cell r="EO178">
            <v>160</v>
          </cell>
          <cell r="EP178" t="str">
            <v/>
          </cell>
          <cell r="EQ178" t="str">
            <v>Housing Recovery and Reconstruction Platform</v>
          </cell>
          <cell r="ER178" t="str">
            <v>Chandra Gurung</v>
          </cell>
          <cell r="ES178" t="str">
            <v>District Coordinator</v>
          </cell>
          <cell r="ET178">
            <v>9841478742</v>
          </cell>
          <cell r="EU178" t="str">
            <v>Housing Recovery and Reconstruction Platform</v>
          </cell>
          <cell r="EV178" t="str">
            <v>Birodh Kattel</v>
          </cell>
          <cell r="EW178" t="str">
            <v>DIstrict Information Management Officer</v>
          </cell>
          <cell r="EX178">
            <v>9841419970</v>
          </cell>
          <cell r="EY178" t="str">
            <v>Housing Recovery and Reconstruction Platform</v>
          </cell>
          <cell r="EZ178" t="str">
            <v>Atit Shrestha</v>
          </cell>
          <cell r="FA178" t="str">
            <v>District Technical Officer</v>
          </cell>
          <cell r="FB178">
            <v>9801328282</v>
          </cell>
        </row>
        <row r="179">
          <cell r="A179">
            <v>36005</v>
          </cell>
          <cell r="B179" t="str">
            <v>Gorkha</v>
          </cell>
          <cell r="C179" t="str">
            <v>Dharche Gaunpalika</v>
          </cell>
          <cell r="D179">
            <v>389</v>
          </cell>
          <cell r="E179">
            <v>3294</v>
          </cell>
          <cell r="F179">
            <v>3683</v>
          </cell>
          <cell r="G179" t="str">
            <v>Stone and cement mortar masonry</v>
          </cell>
          <cell r="H179">
            <v>0.52</v>
          </cell>
          <cell r="I179">
            <v>1.27</v>
          </cell>
          <cell r="J179" t="str">
            <v>Stone and Mud Mortar Masonary</v>
          </cell>
          <cell r="K179">
            <v>63</v>
          </cell>
          <cell r="L179">
            <v>82.76</v>
          </cell>
          <cell r="M179" t="str">
            <v>Brick and Cement Mortar Masonary</v>
          </cell>
          <cell r="N179">
            <v>0.65</v>
          </cell>
          <cell r="O179">
            <v>2.57</v>
          </cell>
          <cell r="P179" t="str">
            <v>Brick and mud mortar Masonry</v>
          </cell>
          <cell r="Q179">
            <v>0.03</v>
          </cell>
          <cell r="R179">
            <v>3</v>
          </cell>
          <cell r="S179" t="str">
            <v>Reinforced cement concrete (RCC) frame</v>
          </cell>
          <cell r="T179">
            <v>0.44</v>
          </cell>
          <cell r="U179">
            <v>3.23</v>
          </cell>
          <cell r="V179" t="str">
            <v>Hybrid structure</v>
          </cell>
          <cell r="W179">
            <v>0</v>
          </cell>
          <cell r="X179">
            <v>0</v>
          </cell>
          <cell r="Y179" t="str">
            <v>Timber frame structure</v>
          </cell>
          <cell r="Z179">
            <v>1.71</v>
          </cell>
          <cell r="AA179">
            <v>0.88</v>
          </cell>
          <cell r="AB179" t="str">
            <v>Hollow concrete block Masonry</v>
          </cell>
          <cell r="AC179">
            <v>0</v>
          </cell>
          <cell r="AD179">
            <v>0</v>
          </cell>
          <cell r="AE179" t="str">
            <v>Dry stone Masonry</v>
          </cell>
          <cell r="AF179">
            <v>33.39</v>
          </cell>
          <cell r="AG179">
            <v>4.17</v>
          </cell>
          <cell r="AH179" t="str">
            <v>Adobe structures</v>
          </cell>
          <cell r="AI179">
            <v>0.11</v>
          </cell>
          <cell r="AJ179">
            <v>1.79</v>
          </cell>
          <cell r="AK179" t="str">
            <v>Bamboo</v>
          </cell>
          <cell r="AL179">
            <v>0.16</v>
          </cell>
          <cell r="AM179">
            <v>0.34</v>
          </cell>
          <cell r="AN179" t="str">
            <v>Compressed stabilized earth block (SCEB) Masonry</v>
          </cell>
          <cell r="AO179">
            <v>0</v>
          </cell>
          <cell r="AP179">
            <v>0</v>
          </cell>
          <cell r="AQ179" t="str">
            <v>Light steel frame structures</v>
          </cell>
          <cell r="AR179">
            <v>0</v>
          </cell>
          <cell r="AS179">
            <v>0</v>
          </cell>
          <cell r="AT179">
            <v>4169</v>
          </cell>
          <cell r="AU179">
            <v>3217</v>
          </cell>
          <cell r="AV179">
            <v>3220</v>
          </cell>
          <cell r="AW179">
            <v>2597</v>
          </cell>
          <cell r="AX179">
            <v>2099</v>
          </cell>
          <cell r="AY179">
            <v>498</v>
          </cell>
          <cell r="AZ179">
            <v>2099</v>
          </cell>
          <cell r="BA179">
            <v>280</v>
          </cell>
          <cell r="BB179">
            <v>29</v>
          </cell>
          <cell r="BC179">
            <v>29</v>
          </cell>
          <cell r="BD179" t="str">
            <v/>
          </cell>
          <cell r="BE179">
            <v>1121</v>
          </cell>
          <cell r="BF179">
            <v>1108</v>
          </cell>
          <cell r="BG179" t="str">
            <v/>
          </cell>
          <cell r="BH179" t="str">
            <v/>
          </cell>
          <cell r="BI179" t="str">
            <v>CARE-N(Agriculture, Livestock Development and Irrigation,Disaster Risk Management,Employment and Livelihood,Gender Equality and Social Inclusion,Health,Rural Housing and Community Infrastructure,Water, Sanitation and Hygiene),INF(Employment and Livelihood)</v>
          </cell>
          <cell r="BJ179" t="str">
            <v>CRS(Agriculture, Livestock Development and Irrigation,Employment and Livelihood,Rural Housing and Community Infrastructure,Water, Sanitation and Hygiene),FCA(Education),GHA(Education),MECS(Education),NRNA(Rural Housing and Community Infrastructure),OXFAM-GB(Rural Housing and Community Infrastructure),SCI(Rural Housing and Community Infrastructure),WFP(Employment and Livelihood)</v>
          </cell>
          <cell r="BK179">
            <v>54090</v>
          </cell>
          <cell r="BL179" t="str">
            <v/>
          </cell>
          <cell r="BM179" t="str">
            <v/>
          </cell>
          <cell r="BN179">
            <v>55574</v>
          </cell>
          <cell r="BO179" t="str">
            <v/>
          </cell>
          <cell r="BP179" t="str">
            <v/>
          </cell>
          <cell r="BQ179">
            <v>5774</v>
          </cell>
          <cell r="BR179" t="str">
            <v/>
          </cell>
          <cell r="BS179" t="str">
            <v/>
          </cell>
          <cell r="BT179">
            <v>6658</v>
          </cell>
          <cell r="BU179" t="str">
            <v/>
          </cell>
          <cell r="BV179" t="str">
            <v/>
          </cell>
          <cell r="BW179" t="str">
            <v/>
          </cell>
          <cell r="BX179" t="str">
            <v>Y</v>
          </cell>
          <cell r="BY179">
            <v>2200</v>
          </cell>
          <cell r="BZ179">
            <v>182394</v>
          </cell>
          <cell r="CA179" t="str">
            <v>Y</v>
          </cell>
          <cell r="CB179">
            <v>2400</v>
          </cell>
          <cell r="CC179">
            <v>583888</v>
          </cell>
          <cell r="CD179" t="str">
            <v>N</v>
          </cell>
          <cell r="CE179" t="str">
            <v/>
          </cell>
          <cell r="CF179">
            <v>7444</v>
          </cell>
          <cell r="CG179" t="str">
            <v/>
          </cell>
          <cell r="CH179" t="str">
            <v/>
          </cell>
          <cell r="CI179">
            <v>262940</v>
          </cell>
          <cell r="CJ179" t="str">
            <v>N</v>
          </cell>
          <cell r="CK179" t="str">
            <v/>
          </cell>
          <cell r="CL179" t="str">
            <v>Skilled</v>
          </cell>
          <cell r="CM179">
            <v>1500</v>
          </cell>
          <cell r="CN179" t="str">
            <v>Labor</v>
          </cell>
          <cell r="CO179">
            <v>1000</v>
          </cell>
          <cell r="CP179" t="str">
            <v>209</v>
          </cell>
          <cell r="CQ179" t="str">
            <v/>
          </cell>
          <cell r="CR179" t="str">
            <v/>
          </cell>
          <cell r="CS179" t="str">
            <v/>
          </cell>
          <cell r="CT179" t="str">
            <v/>
          </cell>
          <cell r="CU179" t="str">
            <v/>
          </cell>
          <cell r="CV179" t="str">
            <v>Municipal Office</v>
          </cell>
          <cell r="CW179" t="str">
            <v>Santa Bahadur Gurung</v>
          </cell>
          <cell r="CX179" t="str">
            <v xml:space="preserve">Chairman </v>
          </cell>
          <cell r="CY179">
            <v>9551019353</v>
          </cell>
          <cell r="CZ179" t="str">
            <v>Municipal Office</v>
          </cell>
          <cell r="DA179" t="str">
            <v>Ful Maya Gurung</v>
          </cell>
          <cell r="DB179" t="str">
            <v>Deputy Chairman</v>
          </cell>
          <cell r="DC179">
            <v>9846722405</v>
          </cell>
          <cell r="DD179" t="str">
            <v>Municipal Office</v>
          </cell>
          <cell r="DE179" t="str">
            <v>Babu Ram Pandey</v>
          </cell>
          <cell r="DF179" t="str">
            <v>Chief Adminstration Officer</v>
          </cell>
          <cell r="DG179">
            <v>9851164646</v>
          </cell>
          <cell r="DH179" t="str">
            <v>NRA/GMALI</v>
          </cell>
          <cell r="DI179" t="str">
            <v>Ram Sharan Acharya</v>
          </cell>
          <cell r="DJ179" t="str">
            <v>NRA Chief-District</v>
          </cell>
          <cell r="DK179">
            <v>9856042637</v>
          </cell>
          <cell r="DL179" t="str">
            <v>DLPIU-Building</v>
          </cell>
          <cell r="DM179" t="str">
            <v>Sunita Shrestha</v>
          </cell>
          <cell r="DN179" t="str">
            <v>DUDBC.DLPIU Chief</v>
          </cell>
          <cell r="DO179">
            <v>9841632087</v>
          </cell>
          <cell r="DP179" t="str">
            <v>Mincipal Office</v>
          </cell>
          <cell r="DQ179" t="str">
            <v>Baburam Pandey</v>
          </cell>
          <cell r="DR179" t="str">
            <v>Focal Person</v>
          </cell>
          <cell r="DS179">
            <v>9851164646</v>
          </cell>
          <cell r="DT179" t="str">
            <v/>
          </cell>
          <cell r="DU179" t="str">
            <v/>
          </cell>
          <cell r="DV179" t="str">
            <v/>
          </cell>
          <cell r="DW179" t="str">
            <v/>
          </cell>
          <cell r="DX179" t="str">
            <v/>
          </cell>
          <cell r="DY179" t="str">
            <v/>
          </cell>
          <cell r="DZ179" t="str">
            <v/>
          </cell>
          <cell r="EA179" t="str">
            <v/>
          </cell>
          <cell r="EB179" t="str">
            <v/>
          </cell>
          <cell r="EC179" t="str">
            <v/>
          </cell>
          <cell r="ED179" t="str">
            <v/>
          </cell>
          <cell r="EE179" t="str">
            <v/>
          </cell>
          <cell r="EF179" t="str">
            <v>1016</v>
          </cell>
          <cell r="EG179" t="str">
            <v>1500</v>
          </cell>
          <cell r="EH179" t="str">
            <v>574</v>
          </cell>
          <cell r="EI179" t="str">
            <v>1000</v>
          </cell>
          <cell r="EJ179">
            <v>243</v>
          </cell>
          <cell r="EK179">
            <v>242</v>
          </cell>
          <cell r="EL179">
            <v>1</v>
          </cell>
          <cell r="EM179">
            <v>378</v>
          </cell>
          <cell r="EN179">
            <v>50</v>
          </cell>
          <cell r="EO179">
            <v>328</v>
          </cell>
          <cell r="EP179" t="str">
            <v/>
          </cell>
          <cell r="EQ179" t="str">
            <v>Housing Recovery and Reconstruction Platform</v>
          </cell>
          <cell r="ER179" t="str">
            <v>Chandra Gurung</v>
          </cell>
          <cell r="ES179" t="str">
            <v>District Coordinator</v>
          </cell>
          <cell r="ET179">
            <v>9841478742</v>
          </cell>
          <cell r="EU179" t="str">
            <v>Housing Recovery and Reconstruction Platform</v>
          </cell>
          <cell r="EV179" t="str">
            <v>Birodh Kattel</v>
          </cell>
          <cell r="EW179" t="str">
            <v>DIstrict Information Management Officer</v>
          </cell>
          <cell r="EX179">
            <v>9841419970</v>
          </cell>
          <cell r="EY179" t="str">
            <v>Housing Recovery and Reconstruction Platform</v>
          </cell>
          <cell r="EZ179" t="str">
            <v>Atit Shrestha</v>
          </cell>
          <cell r="FA179" t="str">
            <v>District Technical Officer</v>
          </cell>
          <cell r="FB179">
            <v>9801328282</v>
          </cell>
        </row>
        <row r="180">
          <cell r="A180">
            <v>36006</v>
          </cell>
          <cell r="B180" t="str">
            <v>Gorkha</v>
          </cell>
          <cell r="C180" t="str">
            <v>Gandaki Gaunpalika</v>
          </cell>
          <cell r="D180">
            <v>1079</v>
          </cell>
          <cell r="E180">
            <v>5202</v>
          </cell>
          <cell r="F180">
            <v>6281</v>
          </cell>
          <cell r="G180" t="str">
            <v>Stone and cement mortar masonry</v>
          </cell>
          <cell r="H180">
            <v>0.37</v>
          </cell>
          <cell r="I180">
            <v>1.27</v>
          </cell>
          <cell r="J180" t="str">
            <v>Stone and Mud Mortar Masonary</v>
          </cell>
          <cell r="K180">
            <v>94.7</v>
          </cell>
          <cell r="L180">
            <v>82.76</v>
          </cell>
          <cell r="M180" t="str">
            <v>Brick and Cement Mortar Masonary</v>
          </cell>
          <cell r="N180">
            <v>3.17</v>
          </cell>
          <cell r="O180">
            <v>2.57</v>
          </cell>
          <cell r="P180" t="str">
            <v>Brick and mud mortar Masonry</v>
          </cell>
          <cell r="Q180">
            <v>0.06</v>
          </cell>
          <cell r="R180">
            <v>3</v>
          </cell>
          <cell r="S180" t="str">
            <v>Reinforced cement concrete (RCC) frame</v>
          </cell>
          <cell r="T180">
            <v>0.24</v>
          </cell>
          <cell r="U180">
            <v>3.23</v>
          </cell>
          <cell r="V180" t="str">
            <v>Hybrid structure</v>
          </cell>
          <cell r="W180">
            <v>0</v>
          </cell>
          <cell r="X180">
            <v>0</v>
          </cell>
          <cell r="Y180" t="str">
            <v>Timber frame structure</v>
          </cell>
          <cell r="Z180">
            <v>0.61</v>
          </cell>
          <cell r="AA180">
            <v>0.88</v>
          </cell>
          <cell r="AB180" t="str">
            <v>Hollow concrete block Masonry</v>
          </cell>
          <cell r="AC180">
            <v>0</v>
          </cell>
          <cell r="AD180">
            <v>0</v>
          </cell>
          <cell r="AE180" t="str">
            <v>Dry stone Masonry</v>
          </cell>
          <cell r="AF180">
            <v>0.02</v>
          </cell>
          <cell r="AG180">
            <v>4.17</v>
          </cell>
          <cell r="AH180" t="str">
            <v>Adobe structures</v>
          </cell>
          <cell r="AI180">
            <v>0.46</v>
          </cell>
          <cell r="AJ180">
            <v>1.79</v>
          </cell>
          <cell r="AK180" t="str">
            <v>Bamboo</v>
          </cell>
          <cell r="AL180">
            <v>0.37</v>
          </cell>
          <cell r="AM180">
            <v>0.34</v>
          </cell>
          <cell r="AN180" t="str">
            <v>Compressed stabilized earth block (SCEB) Masonry</v>
          </cell>
          <cell r="AO180">
            <v>0</v>
          </cell>
          <cell r="AP180">
            <v>0</v>
          </cell>
          <cell r="AQ180" t="str">
            <v>Light steel frame structures</v>
          </cell>
          <cell r="AR180">
            <v>0</v>
          </cell>
          <cell r="AS180">
            <v>0</v>
          </cell>
          <cell r="AT180">
            <v>5616</v>
          </cell>
          <cell r="AU180">
            <v>4816</v>
          </cell>
          <cell r="AV180">
            <v>4817</v>
          </cell>
          <cell r="AW180">
            <v>3975</v>
          </cell>
          <cell r="AX180">
            <v>2716</v>
          </cell>
          <cell r="AY180">
            <v>1259</v>
          </cell>
          <cell r="AZ180">
            <v>2716</v>
          </cell>
          <cell r="BA180">
            <v>441</v>
          </cell>
          <cell r="BB180">
            <v>29</v>
          </cell>
          <cell r="BC180">
            <v>29</v>
          </cell>
          <cell r="BD180" t="str">
            <v/>
          </cell>
          <cell r="BE180">
            <v>1390</v>
          </cell>
          <cell r="BF180">
            <v>1269</v>
          </cell>
          <cell r="BG180" t="str">
            <v/>
          </cell>
          <cell r="BH180" t="str">
            <v/>
          </cell>
          <cell r="BI180" t="str">
            <v/>
          </cell>
          <cell r="BJ180" t="str">
            <v>ACN(Rural Housing and Community Infrastructure),DCA(Agriculture, Livestock Development and Irrigation,Disaster Risk Management,Education,Employment and Livelihood,Health,Rural Housing and Community Infrastructure,Water, Sanitation and Hygiene),GON-PAF(Rural Housing and Community Infrastructure),HELVETAS(Rural Housing and Community Infrastructure),IOM(Rural Housing and Community Infrastructure),NRA(Rural Housing and Community Infrastructure),Sailung(Education),UNWOMEN(Rural Housing and Community Infrastructure)</v>
          </cell>
          <cell r="BK180">
            <v>79409</v>
          </cell>
          <cell r="BL180" t="str">
            <v/>
          </cell>
          <cell r="BM180" t="str">
            <v/>
          </cell>
          <cell r="BN180">
            <v>81037</v>
          </cell>
          <cell r="BO180" t="str">
            <v/>
          </cell>
          <cell r="BP180" t="str">
            <v/>
          </cell>
          <cell r="BQ180">
            <v>8476</v>
          </cell>
          <cell r="BR180" t="str">
            <v/>
          </cell>
          <cell r="BS180" t="str">
            <v/>
          </cell>
          <cell r="BT180">
            <v>9769</v>
          </cell>
          <cell r="BU180" t="str">
            <v/>
          </cell>
          <cell r="BV180" t="str">
            <v/>
          </cell>
          <cell r="BW180" t="str">
            <v/>
          </cell>
          <cell r="BX180" t="str">
            <v/>
          </cell>
          <cell r="BY180" t="str">
            <v/>
          </cell>
          <cell r="BZ180">
            <v>269081</v>
          </cell>
          <cell r="CA180" t="str">
            <v/>
          </cell>
          <cell r="CB180" t="str">
            <v/>
          </cell>
          <cell r="CC180">
            <v>862113</v>
          </cell>
          <cell r="CD180" t="str">
            <v/>
          </cell>
          <cell r="CE180" t="str">
            <v/>
          </cell>
          <cell r="CF180">
            <v>10999</v>
          </cell>
          <cell r="CG180" t="str">
            <v/>
          </cell>
          <cell r="CH180" t="str">
            <v/>
          </cell>
          <cell r="CI180">
            <v>892200</v>
          </cell>
          <cell r="CJ180" t="str">
            <v/>
          </cell>
          <cell r="CK180" t="str">
            <v/>
          </cell>
          <cell r="CL180" t="str">
            <v>Skilled</v>
          </cell>
          <cell r="CM180" t="str">
            <v/>
          </cell>
          <cell r="CN180" t="str">
            <v>Labor</v>
          </cell>
          <cell r="CO180" t="str">
            <v/>
          </cell>
          <cell r="CP180" t="str">
            <v>253</v>
          </cell>
          <cell r="CQ180" t="str">
            <v/>
          </cell>
          <cell r="CR180" t="str">
            <v/>
          </cell>
          <cell r="CS180" t="str">
            <v/>
          </cell>
          <cell r="CT180" t="str">
            <v/>
          </cell>
          <cell r="CU180" t="str">
            <v/>
          </cell>
          <cell r="CV180" t="str">
            <v>Municipal Office</v>
          </cell>
          <cell r="CW180" t="str">
            <v>Hom Bahadur Rana Magar</v>
          </cell>
          <cell r="CX180" t="str">
            <v xml:space="preserve">Chairman </v>
          </cell>
          <cell r="CY180">
            <v>9856040100</v>
          </cell>
          <cell r="CZ180" t="str">
            <v>Municipal Office</v>
          </cell>
          <cell r="DA180" t="str">
            <v>Lalita Adhikari</v>
          </cell>
          <cell r="DB180" t="str">
            <v>Deputy Chairman</v>
          </cell>
          <cell r="DC180">
            <v>9846070449</v>
          </cell>
          <cell r="DD180" t="str">
            <v>Municipal Office</v>
          </cell>
          <cell r="DE180" t="str">
            <v>Debraj Adhikari</v>
          </cell>
          <cell r="DF180" t="str">
            <v>Chief Adminstration Officer</v>
          </cell>
          <cell r="DG180">
            <v>9855068464</v>
          </cell>
          <cell r="DH180" t="str">
            <v>NRA/GMALI</v>
          </cell>
          <cell r="DI180" t="str">
            <v>Ram Sharan Acharya</v>
          </cell>
          <cell r="DJ180" t="str">
            <v>NRA Chief-District</v>
          </cell>
          <cell r="DK180">
            <v>9856042637</v>
          </cell>
          <cell r="DL180" t="str">
            <v>DLPIU-Building</v>
          </cell>
          <cell r="DM180" t="str">
            <v>Sunita Shrestha</v>
          </cell>
          <cell r="DN180" t="str">
            <v>DUDBC.DLPIU Chief</v>
          </cell>
          <cell r="DO180">
            <v>9841632087</v>
          </cell>
          <cell r="DP180" t="str">
            <v>Mincipal Office</v>
          </cell>
          <cell r="DQ180" t="str">
            <v>Manisha Gurung</v>
          </cell>
          <cell r="DR180" t="str">
            <v>Focal Person</v>
          </cell>
          <cell r="DS180">
            <v>9813212372</v>
          </cell>
          <cell r="DT180" t="str">
            <v/>
          </cell>
          <cell r="DU180" t="str">
            <v/>
          </cell>
          <cell r="DV180" t="str">
            <v/>
          </cell>
          <cell r="DW180" t="str">
            <v/>
          </cell>
          <cell r="DX180" t="str">
            <v/>
          </cell>
          <cell r="DY180" t="str">
            <v/>
          </cell>
          <cell r="DZ180" t="str">
            <v/>
          </cell>
          <cell r="EA180" t="str">
            <v/>
          </cell>
          <cell r="EB180" t="str">
            <v/>
          </cell>
          <cell r="EC180" t="str">
            <v/>
          </cell>
          <cell r="ED180" t="str">
            <v/>
          </cell>
          <cell r="EE180" t="str">
            <v/>
          </cell>
          <cell r="EF180" t="str">
            <v/>
          </cell>
          <cell r="EG180" t="str">
            <v/>
          </cell>
          <cell r="EH180" t="str">
            <v/>
          </cell>
          <cell r="EI180" t="str">
            <v/>
          </cell>
          <cell r="EJ180">
            <v>360</v>
          </cell>
          <cell r="EK180">
            <v>235</v>
          </cell>
          <cell r="EL180">
            <v>125</v>
          </cell>
          <cell r="EM180">
            <v>558</v>
          </cell>
          <cell r="EN180">
            <v>30</v>
          </cell>
          <cell r="EO180">
            <v>528</v>
          </cell>
          <cell r="EP180" t="str">
            <v/>
          </cell>
          <cell r="EQ180" t="str">
            <v>Housing Recovery and Reconstruction Platform</v>
          </cell>
          <cell r="ER180" t="str">
            <v>Chandra Gurung</v>
          </cell>
          <cell r="ES180" t="str">
            <v>District Coordinator</v>
          </cell>
          <cell r="ET180">
            <v>9841478742</v>
          </cell>
          <cell r="EU180" t="str">
            <v>Housing Recovery and Reconstruction Platform</v>
          </cell>
          <cell r="EV180" t="str">
            <v>Birodh Kattel</v>
          </cell>
          <cell r="EW180" t="str">
            <v>DIstrict Information Management Officer</v>
          </cell>
          <cell r="EX180">
            <v>9841419970</v>
          </cell>
          <cell r="EY180" t="str">
            <v>Housing Recovery and Reconstruction Platform</v>
          </cell>
          <cell r="EZ180" t="str">
            <v>Atit Shrestha</v>
          </cell>
          <cell r="FA180" t="str">
            <v>District Technical Officer</v>
          </cell>
          <cell r="FB180">
            <v>9801328282</v>
          </cell>
        </row>
        <row r="181">
          <cell r="A181">
            <v>36007</v>
          </cell>
          <cell r="B181" t="str">
            <v>Gorkha</v>
          </cell>
          <cell r="C181" t="str">
            <v>Gorkha Nagarpalika</v>
          </cell>
          <cell r="D181">
            <v>3966</v>
          </cell>
          <cell r="E181">
            <v>9141</v>
          </cell>
          <cell r="F181">
            <v>13107</v>
          </cell>
          <cell r="G181" t="str">
            <v>Stone and cement mortar masonry</v>
          </cell>
          <cell r="H181">
            <v>4.87</v>
          </cell>
          <cell r="I181">
            <v>1.27</v>
          </cell>
          <cell r="J181" t="str">
            <v>Stone and Mud Mortar Masonary</v>
          </cell>
          <cell r="K181">
            <v>71.37</v>
          </cell>
          <cell r="L181">
            <v>82.76</v>
          </cell>
          <cell r="M181" t="str">
            <v>Brick and Cement Mortar Masonary</v>
          </cell>
          <cell r="N181">
            <v>7.47</v>
          </cell>
          <cell r="O181">
            <v>2.57</v>
          </cell>
          <cell r="P181" t="str">
            <v>Brick and mud mortar Masonry</v>
          </cell>
          <cell r="Q181">
            <v>3.49</v>
          </cell>
          <cell r="R181">
            <v>3</v>
          </cell>
          <cell r="S181" t="str">
            <v>Reinforced cement concrete (RCC) frame</v>
          </cell>
          <cell r="T181">
            <v>10.43</v>
          </cell>
          <cell r="U181">
            <v>3.23</v>
          </cell>
          <cell r="V181" t="str">
            <v>Hybrid structure</v>
          </cell>
          <cell r="W181">
            <v>0</v>
          </cell>
          <cell r="X181">
            <v>0</v>
          </cell>
          <cell r="Y181" t="str">
            <v>Timber frame structure</v>
          </cell>
          <cell r="Z181">
            <v>0.5</v>
          </cell>
          <cell r="AA181">
            <v>0.88</v>
          </cell>
          <cell r="AB181" t="str">
            <v>Hollow concrete block Masonry</v>
          </cell>
          <cell r="AC181">
            <v>0</v>
          </cell>
          <cell r="AD181">
            <v>0</v>
          </cell>
          <cell r="AE181" t="str">
            <v>Dry stone Masonry</v>
          </cell>
          <cell r="AF181">
            <v>0.13</v>
          </cell>
          <cell r="AG181">
            <v>4.17</v>
          </cell>
          <cell r="AH181" t="str">
            <v>Adobe structures</v>
          </cell>
          <cell r="AI181">
            <v>1.47</v>
          </cell>
          <cell r="AJ181">
            <v>1.79</v>
          </cell>
          <cell r="AK181" t="str">
            <v>Bamboo</v>
          </cell>
          <cell r="AL181">
            <v>0.27</v>
          </cell>
          <cell r="AM181">
            <v>0.34</v>
          </cell>
          <cell r="AN181" t="str">
            <v>Compressed stabilized earth block (SCEB) Masonry</v>
          </cell>
          <cell r="AO181">
            <v>0</v>
          </cell>
          <cell r="AP181">
            <v>0</v>
          </cell>
          <cell r="AQ181" t="str">
            <v>Light steel frame structures</v>
          </cell>
          <cell r="AR181">
            <v>0</v>
          </cell>
          <cell r="AS181">
            <v>0</v>
          </cell>
          <cell r="AT181">
            <v>10156</v>
          </cell>
          <cell r="AU181">
            <v>9191</v>
          </cell>
          <cell r="AV181">
            <v>9198</v>
          </cell>
          <cell r="AW181">
            <v>7951</v>
          </cell>
          <cell r="AX181">
            <v>7126</v>
          </cell>
          <cell r="AY181">
            <v>825</v>
          </cell>
          <cell r="AZ181">
            <v>7126</v>
          </cell>
          <cell r="BA181">
            <v>1079</v>
          </cell>
          <cell r="BB181">
            <v>518</v>
          </cell>
          <cell r="BC181">
            <v>518</v>
          </cell>
          <cell r="BD181">
            <v>6</v>
          </cell>
          <cell r="BE181">
            <v>2496</v>
          </cell>
          <cell r="BF181">
            <v>2887</v>
          </cell>
          <cell r="BG181" t="str">
            <v/>
          </cell>
          <cell r="BH181" t="str">
            <v/>
          </cell>
          <cell r="BI181" t="str">
            <v>BC(Rural Housing and Community Infrastructure),INF(Education,Water, Sanitation and Hygiene),NRCS(Health)</v>
          </cell>
          <cell r="BJ181" t="str">
            <v>ACN(Rural Housing and Community Infrastructure),CARE-N(Rural Housing and Community Infrastructure),CRS(Agriculture, Livestock Development and Irrigation,Employment and Livelihood,Rural Housing and Community Infrastructure,Water, Sanitation and Hygiene),EAH-N(Education),FCA(Education),GON - DLPIU(Rural Housing and Community Infrastructure),IOM(Rural Housing and Community Infrastructure),JICA(Rural Housing and Community Infrastructure),LIONS(Education),NYF(Education),SCI(Health,Rural Housing and Community Infrastructure),UNDP(Rural Housing and Community Infrastructure)</v>
          </cell>
          <cell r="BK181">
            <v>220129</v>
          </cell>
          <cell r="BL181" t="str">
            <v>Y</v>
          </cell>
          <cell r="BM181" t="str">
            <v/>
          </cell>
          <cell r="BN181">
            <v>183023</v>
          </cell>
          <cell r="BO181" t="str">
            <v>Y</v>
          </cell>
          <cell r="BP181" t="str">
            <v/>
          </cell>
          <cell r="BQ181">
            <v>23104</v>
          </cell>
          <cell r="BR181" t="str">
            <v/>
          </cell>
          <cell r="BS181" t="str">
            <v/>
          </cell>
          <cell r="BT181">
            <v>25193</v>
          </cell>
          <cell r="BU181" t="str">
            <v/>
          </cell>
          <cell r="BV181" t="str">
            <v/>
          </cell>
          <cell r="BW181" t="str">
            <v/>
          </cell>
          <cell r="BX181" t="str">
            <v/>
          </cell>
          <cell r="BY181" t="str">
            <v/>
          </cell>
          <cell r="BZ181">
            <v>612398</v>
          </cell>
          <cell r="CA181" t="str">
            <v/>
          </cell>
          <cell r="CB181" t="str">
            <v/>
          </cell>
          <cell r="CC181">
            <v>2449271</v>
          </cell>
          <cell r="CD181" t="str">
            <v/>
          </cell>
          <cell r="CE181" t="str">
            <v/>
          </cell>
          <cell r="CF181">
            <v>24958</v>
          </cell>
          <cell r="CG181" t="str">
            <v/>
          </cell>
          <cell r="CH181" t="str">
            <v/>
          </cell>
          <cell r="CI181">
            <v>5159364</v>
          </cell>
          <cell r="CJ181" t="str">
            <v/>
          </cell>
          <cell r="CK181" t="str">
            <v/>
          </cell>
          <cell r="CL181" t="str">
            <v>Skilled</v>
          </cell>
          <cell r="CM181">
            <v>1200</v>
          </cell>
          <cell r="CN181" t="str">
            <v>Labor</v>
          </cell>
          <cell r="CO181">
            <v>700</v>
          </cell>
          <cell r="CP181" t="str">
            <v>256</v>
          </cell>
          <cell r="CQ181" t="str">
            <v/>
          </cell>
          <cell r="CR181" t="str">
            <v/>
          </cell>
          <cell r="CS181" t="str">
            <v/>
          </cell>
          <cell r="CT181" t="str">
            <v/>
          </cell>
          <cell r="CU181" t="str">
            <v/>
          </cell>
          <cell r="CV181" t="str">
            <v>Municipal Office</v>
          </cell>
          <cell r="CW181" t="str">
            <v>Rajan Raj Panta</v>
          </cell>
          <cell r="CX181" t="str">
            <v>Mayor</v>
          </cell>
          <cell r="CY181">
            <v>9856040338</v>
          </cell>
          <cell r="CZ181" t="str">
            <v>Municipal Office</v>
          </cell>
          <cell r="DA181" t="str">
            <v>Bina Kumari Shrestha</v>
          </cell>
          <cell r="DB181" t="str">
            <v>Deputy Mayor</v>
          </cell>
          <cell r="DC181">
            <v>9856075067</v>
          </cell>
          <cell r="DD181" t="str">
            <v>Municipal Office</v>
          </cell>
          <cell r="DE181" t="str">
            <v>Krishna Kumari Shrestha</v>
          </cell>
          <cell r="DF181" t="str">
            <v>Chief Adminstration Officer</v>
          </cell>
          <cell r="DG181">
            <v>9856018111</v>
          </cell>
          <cell r="DH181" t="str">
            <v>NRA/GMALI</v>
          </cell>
          <cell r="DI181" t="str">
            <v>Ram Sharan Acharya</v>
          </cell>
          <cell r="DJ181" t="str">
            <v>NRA Chief-District</v>
          </cell>
          <cell r="DK181">
            <v>9856042637</v>
          </cell>
          <cell r="DL181" t="str">
            <v>DLPIU-Building</v>
          </cell>
          <cell r="DM181" t="str">
            <v>Sunita Shrestha</v>
          </cell>
          <cell r="DN181" t="str">
            <v>DUDBC.DLPIU Chief</v>
          </cell>
          <cell r="DO181">
            <v>9841632087</v>
          </cell>
          <cell r="DP181" t="str">
            <v>Mincipal Office</v>
          </cell>
          <cell r="DQ181" t="str">
            <v>Shyam Kumar Yadav</v>
          </cell>
          <cell r="DR181" t="str">
            <v>Focal Person</v>
          </cell>
          <cell r="DS181">
            <v>9849663047</v>
          </cell>
          <cell r="DT181" t="str">
            <v>0</v>
          </cell>
          <cell r="DU181" t="str">
            <v>0</v>
          </cell>
          <cell r="DV181" t="str">
            <v/>
          </cell>
          <cell r="DW181" t="str">
            <v/>
          </cell>
          <cell r="DX181" t="str">
            <v/>
          </cell>
          <cell r="DY181" t="str">
            <v/>
          </cell>
          <cell r="DZ181">
            <v>12</v>
          </cell>
          <cell r="EA181" t="str">
            <v>2</v>
          </cell>
          <cell r="EB181">
            <v>9</v>
          </cell>
          <cell r="EC181" t="str">
            <v>5</v>
          </cell>
          <cell r="ED181">
            <v>9</v>
          </cell>
          <cell r="EE181" t="str">
            <v>5</v>
          </cell>
          <cell r="EF181" t="str">
            <v/>
          </cell>
          <cell r="EG181" t="str">
            <v/>
          </cell>
          <cell r="EH181" t="str">
            <v/>
          </cell>
          <cell r="EI181" t="str">
            <v/>
          </cell>
          <cell r="EJ181">
            <v>603</v>
          </cell>
          <cell r="EK181">
            <v>938</v>
          </cell>
          <cell r="EL181">
            <v>-335</v>
          </cell>
          <cell r="EM181">
            <v>957</v>
          </cell>
          <cell r="EN181">
            <v>336</v>
          </cell>
          <cell r="EO181">
            <v>621</v>
          </cell>
          <cell r="EP181" t="str">
            <v/>
          </cell>
          <cell r="EQ181" t="str">
            <v>Housing Recovery and Reconstruction Platform</v>
          </cell>
          <cell r="ER181" t="str">
            <v>Chandra Gurung</v>
          </cell>
          <cell r="ES181" t="str">
            <v>District Coordinator</v>
          </cell>
          <cell r="ET181">
            <v>9841478742</v>
          </cell>
          <cell r="EU181" t="str">
            <v>Housing Recovery and Reconstruction Platform</v>
          </cell>
          <cell r="EV181" t="str">
            <v>Birodh Kattel</v>
          </cell>
          <cell r="EW181" t="str">
            <v>DIstrict Information Management Officer</v>
          </cell>
          <cell r="EX181">
            <v>9841419970</v>
          </cell>
          <cell r="EY181" t="str">
            <v>Housing Recovery and Reconstruction Platform</v>
          </cell>
          <cell r="EZ181" t="str">
            <v>Atit Shrestha</v>
          </cell>
          <cell r="FA181" t="str">
            <v>District Technical Officer</v>
          </cell>
          <cell r="FB181">
            <v>9801328282</v>
          </cell>
        </row>
        <row r="182">
          <cell r="A182">
            <v>36008</v>
          </cell>
          <cell r="B182" t="str">
            <v>Gorkha</v>
          </cell>
          <cell r="C182" t="str">
            <v>Palungtar Nagarpalika</v>
          </cell>
          <cell r="D182">
            <v>2827</v>
          </cell>
          <cell r="E182">
            <v>8899</v>
          </cell>
          <cell r="F182">
            <v>11726</v>
          </cell>
          <cell r="G182" t="str">
            <v>Stone and cement mortar masonry</v>
          </cell>
          <cell r="H182">
            <v>0.57999999999999996</v>
          </cell>
          <cell r="I182">
            <v>1.27</v>
          </cell>
          <cell r="J182" t="str">
            <v>Stone and Mud Mortar Masonary</v>
          </cell>
          <cell r="K182">
            <v>70.72</v>
          </cell>
          <cell r="L182">
            <v>82.76</v>
          </cell>
          <cell r="M182" t="str">
            <v>Brick and Cement Mortar Masonary</v>
          </cell>
          <cell r="N182">
            <v>3.75</v>
          </cell>
          <cell r="O182">
            <v>2.57</v>
          </cell>
          <cell r="P182" t="str">
            <v>Brick and mud mortar Masonry</v>
          </cell>
          <cell r="Q182">
            <v>14.85</v>
          </cell>
          <cell r="R182">
            <v>3</v>
          </cell>
          <cell r="S182" t="str">
            <v>Reinforced cement concrete (RCC) frame</v>
          </cell>
          <cell r="T182">
            <v>3.46</v>
          </cell>
          <cell r="U182">
            <v>3.23</v>
          </cell>
          <cell r="V182" t="str">
            <v>Hybrid structure</v>
          </cell>
          <cell r="W182">
            <v>0</v>
          </cell>
          <cell r="X182">
            <v>0</v>
          </cell>
          <cell r="Y182" t="str">
            <v>Timber frame structure</v>
          </cell>
          <cell r="Z182">
            <v>1.1399999999999999</v>
          </cell>
          <cell r="AA182">
            <v>0.88</v>
          </cell>
          <cell r="AB182" t="str">
            <v>Hollow concrete block Masonry</v>
          </cell>
          <cell r="AC182">
            <v>0</v>
          </cell>
          <cell r="AD182">
            <v>0</v>
          </cell>
          <cell r="AE182" t="str">
            <v>Dry stone Masonry</v>
          </cell>
          <cell r="AF182">
            <v>7.0000000000000007E-2</v>
          </cell>
          <cell r="AG182">
            <v>4.17</v>
          </cell>
          <cell r="AH182" t="str">
            <v>Adobe structures</v>
          </cell>
          <cell r="AI182">
            <v>4.75</v>
          </cell>
          <cell r="AJ182">
            <v>1.79</v>
          </cell>
          <cell r="AK182" t="str">
            <v>Bamboo</v>
          </cell>
          <cell r="AL182">
            <v>0.68</v>
          </cell>
          <cell r="AM182">
            <v>0.34</v>
          </cell>
          <cell r="AN182" t="str">
            <v>Compressed stabilized earth block (SCEB) Masonry</v>
          </cell>
          <cell r="AO182">
            <v>0</v>
          </cell>
          <cell r="AP182">
            <v>0</v>
          </cell>
          <cell r="AQ182" t="str">
            <v>Light steel frame structures</v>
          </cell>
          <cell r="AR182">
            <v>0</v>
          </cell>
          <cell r="AS182">
            <v>0</v>
          </cell>
          <cell r="AT182">
            <v>9794</v>
          </cell>
          <cell r="AU182">
            <v>8425</v>
          </cell>
          <cell r="AV182">
            <v>8541</v>
          </cell>
          <cell r="AW182">
            <v>6829</v>
          </cell>
          <cell r="AX182">
            <v>5137</v>
          </cell>
          <cell r="AY182">
            <v>1692</v>
          </cell>
          <cell r="AZ182">
            <v>5137</v>
          </cell>
          <cell r="BA182">
            <v>1038</v>
          </cell>
          <cell r="BB182">
            <v>174</v>
          </cell>
          <cell r="BC182">
            <v>174</v>
          </cell>
          <cell r="BD182" t="str">
            <v/>
          </cell>
          <cell r="BE182">
            <v>3770</v>
          </cell>
          <cell r="BF182">
            <v>2088</v>
          </cell>
          <cell r="BG182">
            <v>500</v>
          </cell>
          <cell r="BH182">
            <v>500</v>
          </cell>
          <cell r="BI182" t="str">
            <v>CARE-N(Agriculture, Livestock Development and Irrigation,Disaster Risk Management,Gender Equality and Social Inclusion,Rural Housing and Community Infrastructure,Water, Sanitation and Hygiene),INF(Education,Rural Housing and Community Infrastructure),NRCS(Agriculture, Livestock Development and Irrigation,Education,Employment and Livelihood,Health,Rural Housing and Community Infrastructure,Water, Sanitation and Hygiene)</v>
          </cell>
          <cell r="BJ182" t="str">
            <v>BUN(Education),FCA(Education),GON - DLPIU(Rural Housing and Community Infrastructure),HT(Education),WVIN(Agriculture, Livestock Development and Irrigation,Disaster Risk Management,Education,Employment and Livelihood,Water, Sanitation and Hygiene)</v>
          </cell>
          <cell r="BK182">
            <v>153571</v>
          </cell>
          <cell r="BL182" t="str">
            <v>Y</v>
          </cell>
          <cell r="BM182">
            <v>4500</v>
          </cell>
          <cell r="BN182">
            <v>146776</v>
          </cell>
          <cell r="BO182" t="str">
            <v>Y</v>
          </cell>
          <cell r="BP182">
            <v>8000</v>
          </cell>
          <cell r="BQ182">
            <v>16299</v>
          </cell>
          <cell r="BR182" t="str">
            <v>Y</v>
          </cell>
          <cell r="BS182">
            <v>7000</v>
          </cell>
          <cell r="BT182">
            <v>18445</v>
          </cell>
          <cell r="BU182" t="str">
            <v/>
          </cell>
          <cell r="BV182" t="str">
            <v/>
          </cell>
          <cell r="BW182" t="str">
            <v/>
          </cell>
          <cell r="BX182" t="str">
            <v>Y</v>
          </cell>
          <cell r="BY182">
            <v>820</v>
          </cell>
          <cell r="BZ182">
            <v>489005</v>
          </cell>
          <cell r="CA182" t="str">
            <v>Y</v>
          </cell>
          <cell r="CB182">
            <v>920</v>
          </cell>
          <cell r="CC182">
            <v>1682154</v>
          </cell>
          <cell r="CD182" t="str">
            <v>Y</v>
          </cell>
          <cell r="CE182">
            <v>85</v>
          </cell>
          <cell r="CF182">
            <v>19974</v>
          </cell>
          <cell r="CG182" t="str">
            <v/>
          </cell>
          <cell r="CH182" t="str">
            <v/>
          </cell>
          <cell r="CI182">
            <v>2447309</v>
          </cell>
          <cell r="CJ182" t="str">
            <v>Y</v>
          </cell>
          <cell r="CK182">
            <v>15</v>
          </cell>
          <cell r="CL182" t="str">
            <v>Skilled</v>
          </cell>
          <cell r="CM182">
            <v>1000</v>
          </cell>
          <cell r="CN182" t="str">
            <v>Labor</v>
          </cell>
          <cell r="CO182">
            <v>800</v>
          </cell>
          <cell r="CP182" t="str">
            <v>175</v>
          </cell>
          <cell r="CQ182" t="str">
            <v/>
          </cell>
          <cell r="CR182" t="str">
            <v/>
          </cell>
          <cell r="CS182" t="str">
            <v/>
          </cell>
          <cell r="CT182" t="str">
            <v/>
          </cell>
          <cell r="CU182" t="str">
            <v/>
          </cell>
          <cell r="CV182" t="str">
            <v>Municipal Office</v>
          </cell>
          <cell r="CW182" t="str">
            <v>Dipakbabu Kandel</v>
          </cell>
          <cell r="CX182" t="str">
            <v>Mayor</v>
          </cell>
          <cell r="CY182">
            <v>9851174924</v>
          </cell>
          <cell r="CZ182" t="str">
            <v>Municipal Office</v>
          </cell>
          <cell r="DA182" t="str">
            <v>Pampha Basel</v>
          </cell>
          <cell r="DB182" t="str">
            <v>Deputy Mayor</v>
          </cell>
          <cell r="DC182">
            <v>9856074925</v>
          </cell>
          <cell r="DD182" t="str">
            <v>Municipal Office</v>
          </cell>
          <cell r="DE182" t="str">
            <v>Birendra Dev Bharati</v>
          </cell>
          <cell r="DF182" t="str">
            <v>Chief Adminstration Officer</v>
          </cell>
          <cell r="DG182">
            <v>9856061111</v>
          </cell>
          <cell r="DH182" t="str">
            <v>NRA/GMALI</v>
          </cell>
          <cell r="DI182" t="str">
            <v>Ram Sharan Acharya</v>
          </cell>
          <cell r="DJ182" t="str">
            <v>NRA Chief-District</v>
          </cell>
          <cell r="DK182">
            <v>9856042637</v>
          </cell>
          <cell r="DL182" t="str">
            <v>DLPIU-Building</v>
          </cell>
          <cell r="DM182" t="str">
            <v>Sunita Shrestha</v>
          </cell>
          <cell r="DN182" t="str">
            <v>DUDBC.DLPIU Chief</v>
          </cell>
          <cell r="DO182">
            <v>9841632087</v>
          </cell>
          <cell r="DP182" t="str">
            <v>Mincipal Office</v>
          </cell>
          <cell r="DQ182" t="str">
            <v>Jayendra Bhatta</v>
          </cell>
          <cell r="DR182" t="str">
            <v>Focal Person</v>
          </cell>
          <cell r="DS182">
            <v>9846251943</v>
          </cell>
          <cell r="DT182" t="str">
            <v>16</v>
          </cell>
          <cell r="DU182" t="str">
            <v/>
          </cell>
          <cell r="DV182" t="str">
            <v/>
          </cell>
          <cell r="DW182" t="str">
            <v/>
          </cell>
          <cell r="DX182" t="str">
            <v/>
          </cell>
          <cell r="DY182" t="str">
            <v/>
          </cell>
          <cell r="DZ182">
            <v>12</v>
          </cell>
          <cell r="EA182" t="str">
            <v/>
          </cell>
          <cell r="EB182">
            <v>8</v>
          </cell>
          <cell r="EC182" t="str">
            <v/>
          </cell>
          <cell r="ED182">
            <v>9</v>
          </cell>
          <cell r="EE182" t="str">
            <v/>
          </cell>
          <cell r="EF182" t="str">
            <v/>
          </cell>
          <cell r="EG182" t="str">
            <v/>
          </cell>
          <cell r="EH182" t="str">
            <v/>
          </cell>
          <cell r="EI182" t="str">
            <v/>
          </cell>
          <cell r="EJ182">
            <v>607</v>
          </cell>
          <cell r="EK182">
            <v>300</v>
          </cell>
          <cell r="EL182">
            <v>307</v>
          </cell>
          <cell r="EM182">
            <v>950</v>
          </cell>
          <cell r="EN182">
            <v>260</v>
          </cell>
          <cell r="EO182">
            <v>690</v>
          </cell>
          <cell r="EP182" t="str">
            <v/>
          </cell>
          <cell r="EQ182" t="str">
            <v>Housing Recovery and Reconstruction Platform</v>
          </cell>
          <cell r="ER182" t="str">
            <v>Chandra Gurung</v>
          </cell>
          <cell r="ES182" t="str">
            <v>District Coordinator</v>
          </cell>
          <cell r="ET182">
            <v>9841478742</v>
          </cell>
          <cell r="EU182" t="str">
            <v>Housing Recovery and Reconstruction Platform</v>
          </cell>
          <cell r="EV182" t="str">
            <v>Birodh Kattel</v>
          </cell>
          <cell r="EW182" t="str">
            <v>DIstrict Information Management Officer</v>
          </cell>
          <cell r="EX182">
            <v>9841419970</v>
          </cell>
          <cell r="EY182" t="str">
            <v>Housing Recovery and Reconstruction Platform</v>
          </cell>
          <cell r="EZ182" t="str">
            <v>Atit Shrestha</v>
          </cell>
          <cell r="FA182" t="str">
            <v>District Technical Officer</v>
          </cell>
          <cell r="FB182">
            <v>9801328282</v>
          </cell>
        </row>
        <row r="183">
          <cell r="A183">
            <v>36009</v>
          </cell>
          <cell r="B183" t="str">
            <v>Gorkha</v>
          </cell>
          <cell r="C183" t="str">
            <v>Sahid Lakhan Gaunpalika</v>
          </cell>
          <cell r="D183">
            <v>1411</v>
          </cell>
          <cell r="E183">
            <v>6490</v>
          </cell>
          <cell r="F183">
            <v>7901</v>
          </cell>
          <cell r="G183" t="str">
            <v>Stone and cement mortar masonry</v>
          </cell>
          <cell r="H183">
            <v>1.08</v>
          </cell>
          <cell r="I183">
            <v>1.27</v>
          </cell>
          <cell r="J183" t="str">
            <v>Stone and Mud Mortar Masonary</v>
          </cell>
          <cell r="K183">
            <v>92.11</v>
          </cell>
          <cell r="L183">
            <v>82.76</v>
          </cell>
          <cell r="M183" t="str">
            <v>Brick and Cement Mortar Masonary</v>
          </cell>
          <cell r="N183">
            <v>2.19</v>
          </cell>
          <cell r="O183">
            <v>2.57</v>
          </cell>
          <cell r="P183" t="str">
            <v>Brick and mud mortar Masonry</v>
          </cell>
          <cell r="Q183">
            <v>0.28000000000000003</v>
          </cell>
          <cell r="R183">
            <v>3</v>
          </cell>
          <cell r="S183" t="str">
            <v>Reinforced cement concrete (RCC) frame</v>
          </cell>
          <cell r="T183">
            <v>1.76</v>
          </cell>
          <cell r="U183">
            <v>3.23</v>
          </cell>
          <cell r="V183" t="str">
            <v>Hybrid structure</v>
          </cell>
          <cell r="W183">
            <v>0</v>
          </cell>
          <cell r="X183">
            <v>0</v>
          </cell>
          <cell r="Y183" t="str">
            <v>Timber frame structure</v>
          </cell>
          <cell r="Z183">
            <v>0.8</v>
          </cell>
          <cell r="AA183">
            <v>0.88</v>
          </cell>
          <cell r="AB183" t="str">
            <v>Hollow concrete block Masonry</v>
          </cell>
          <cell r="AC183">
            <v>0</v>
          </cell>
          <cell r="AD183">
            <v>0</v>
          </cell>
          <cell r="AE183" t="str">
            <v>Dry stone Masonry</v>
          </cell>
          <cell r="AF183">
            <v>0.24</v>
          </cell>
          <cell r="AG183">
            <v>4.17</v>
          </cell>
          <cell r="AH183" t="str">
            <v>Adobe structures</v>
          </cell>
          <cell r="AI183">
            <v>1.1299999999999999</v>
          </cell>
          <cell r="AJ183">
            <v>1.79</v>
          </cell>
          <cell r="AK183" t="str">
            <v>Bamboo</v>
          </cell>
          <cell r="AL183">
            <v>0.41</v>
          </cell>
          <cell r="AM183">
            <v>0.34</v>
          </cell>
          <cell r="AN183" t="str">
            <v>Compressed stabilized earth block (SCEB) Masonry</v>
          </cell>
          <cell r="AO183">
            <v>0</v>
          </cell>
          <cell r="AP183">
            <v>0</v>
          </cell>
          <cell r="AQ183" t="str">
            <v>Light steel frame structures</v>
          </cell>
          <cell r="AR183">
            <v>0</v>
          </cell>
          <cell r="AS183">
            <v>0</v>
          </cell>
          <cell r="AT183">
            <v>7061</v>
          </cell>
          <cell r="AU183">
            <v>6083</v>
          </cell>
          <cell r="AV183">
            <v>6087</v>
          </cell>
          <cell r="AW183">
            <v>5277</v>
          </cell>
          <cell r="AX183">
            <v>4390</v>
          </cell>
          <cell r="AY183">
            <v>887</v>
          </cell>
          <cell r="AZ183">
            <v>4390</v>
          </cell>
          <cell r="BA183">
            <v>836</v>
          </cell>
          <cell r="BB183">
            <v>28</v>
          </cell>
          <cell r="BC183">
            <v>28</v>
          </cell>
          <cell r="BD183" t="str">
            <v/>
          </cell>
          <cell r="BE183">
            <v>2283</v>
          </cell>
          <cell r="BF183">
            <v>2279</v>
          </cell>
          <cell r="BG183" t="str">
            <v/>
          </cell>
          <cell r="BH183" t="str">
            <v/>
          </cell>
          <cell r="BI183" t="str">
            <v/>
          </cell>
          <cell r="BJ183" t="str">
            <v>SCI(Education,Health,Rural Housing and Community Infrastructure,Social Protection)</v>
          </cell>
          <cell r="BK183">
            <v>126056</v>
          </cell>
          <cell r="BL183" t="str">
            <v/>
          </cell>
          <cell r="BM183" t="str">
            <v/>
          </cell>
          <cell r="BN183">
            <v>118434</v>
          </cell>
          <cell r="BO183" t="str">
            <v/>
          </cell>
          <cell r="BP183" t="str">
            <v/>
          </cell>
          <cell r="BQ183">
            <v>13367</v>
          </cell>
          <cell r="BR183" t="str">
            <v/>
          </cell>
          <cell r="BS183" t="str">
            <v/>
          </cell>
          <cell r="BT183">
            <v>15084</v>
          </cell>
          <cell r="BU183" t="str">
            <v/>
          </cell>
          <cell r="BV183" t="str">
            <v/>
          </cell>
          <cell r="BW183" t="str">
            <v/>
          </cell>
          <cell r="BX183" t="str">
            <v/>
          </cell>
          <cell r="BY183" t="str">
            <v/>
          </cell>
          <cell r="BZ183">
            <v>400561</v>
          </cell>
          <cell r="CA183" t="str">
            <v/>
          </cell>
          <cell r="CB183" t="str">
            <v/>
          </cell>
          <cell r="CC183">
            <v>1391367</v>
          </cell>
          <cell r="CD183" t="str">
            <v/>
          </cell>
          <cell r="CE183" t="str">
            <v/>
          </cell>
          <cell r="CF183">
            <v>16392</v>
          </cell>
          <cell r="CG183" t="str">
            <v/>
          </cell>
          <cell r="CH183" t="str">
            <v/>
          </cell>
          <cell r="CI183">
            <v>3018414</v>
          </cell>
          <cell r="CJ183" t="str">
            <v/>
          </cell>
          <cell r="CK183" t="str">
            <v/>
          </cell>
          <cell r="CL183" t="str">
            <v>Skilled</v>
          </cell>
          <cell r="CM183" t="str">
            <v/>
          </cell>
          <cell r="CN183" t="str">
            <v>Labor</v>
          </cell>
          <cell r="CO183" t="str">
            <v/>
          </cell>
          <cell r="CP183" t="str">
            <v>357</v>
          </cell>
          <cell r="CQ183" t="str">
            <v/>
          </cell>
          <cell r="CR183" t="str">
            <v/>
          </cell>
          <cell r="CS183" t="str">
            <v/>
          </cell>
          <cell r="CT183" t="str">
            <v/>
          </cell>
          <cell r="CU183" t="str">
            <v/>
          </cell>
          <cell r="CV183" t="str">
            <v>Municipal Office</v>
          </cell>
          <cell r="CW183" t="str">
            <v>Ramesh Thapa Magar</v>
          </cell>
          <cell r="CX183" t="str">
            <v xml:space="preserve">Chairman </v>
          </cell>
          <cell r="CY183">
            <v>9856040375</v>
          </cell>
          <cell r="CZ183" t="str">
            <v>Municipal Office</v>
          </cell>
          <cell r="DA183" t="str">
            <v>Indira Tiwari</v>
          </cell>
          <cell r="DB183" t="str">
            <v>Deputy Chairman</v>
          </cell>
          <cell r="DC183">
            <v>9846433515</v>
          </cell>
          <cell r="DD183" t="str">
            <v>Municipal Office</v>
          </cell>
          <cell r="DE183" t="str">
            <v>Jivan Ale Magar</v>
          </cell>
          <cell r="DF183" t="str">
            <v>Chief Adminstration Officer</v>
          </cell>
          <cell r="DG183">
            <v>9856010533</v>
          </cell>
          <cell r="DH183" t="str">
            <v>NRA/GMALI</v>
          </cell>
          <cell r="DI183" t="str">
            <v>Ram Sharan Acharya</v>
          </cell>
          <cell r="DJ183" t="str">
            <v>NRA Chief-District</v>
          </cell>
          <cell r="DK183">
            <v>9856042637</v>
          </cell>
          <cell r="DL183" t="str">
            <v>DLPIU-Building</v>
          </cell>
          <cell r="DM183" t="str">
            <v>Sunita Shrestha</v>
          </cell>
          <cell r="DN183" t="str">
            <v>DUDBC.DLPIU Chief</v>
          </cell>
          <cell r="DO183">
            <v>9841632087</v>
          </cell>
          <cell r="DP183" t="str">
            <v>Mincipal Office</v>
          </cell>
          <cell r="DQ183" t="str">
            <v>Sanu Kaji Basnet</v>
          </cell>
          <cell r="DR183" t="str">
            <v>Focal Person</v>
          </cell>
          <cell r="DS183">
            <v>9846075365</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v>423</v>
          </cell>
          <cell r="EK183">
            <v>560</v>
          </cell>
          <cell r="EL183">
            <v>-137</v>
          </cell>
          <cell r="EM183">
            <v>666</v>
          </cell>
          <cell r="EN183">
            <v>281</v>
          </cell>
          <cell r="EO183">
            <v>385</v>
          </cell>
          <cell r="EP183" t="str">
            <v/>
          </cell>
          <cell r="EQ183" t="str">
            <v>Housing Recovery and Reconstruction Platform</v>
          </cell>
          <cell r="ER183" t="str">
            <v>Chandra Gurung</v>
          </cell>
          <cell r="ES183" t="str">
            <v>District Coordinator</v>
          </cell>
          <cell r="ET183">
            <v>9841478742</v>
          </cell>
          <cell r="EU183" t="str">
            <v>Housing Recovery and Reconstruction Platform</v>
          </cell>
          <cell r="EV183" t="str">
            <v>Birodh Kattel</v>
          </cell>
          <cell r="EW183" t="str">
            <v>DIstrict Information Management Officer</v>
          </cell>
          <cell r="EX183">
            <v>9841419970</v>
          </cell>
          <cell r="EY183" t="str">
            <v>Housing Recovery and Reconstruction Platform</v>
          </cell>
          <cell r="EZ183" t="str">
            <v>Atit Shrestha</v>
          </cell>
          <cell r="FA183" t="str">
            <v>District Technical Officer</v>
          </cell>
          <cell r="FB183">
            <v>9801328282</v>
          </cell>
        </row>
        <row r="184">
          <cell r="A184">
            <v>36010</v>
          </cell>
          <cell r="B184" t="str">
            <v>Gorkha</v>
          </cell>
          <cell r="C184" t="str">
            <v>Siranchok Gaunpalika</v>
          </cell>
          <cell r="D184">
            <v>1365</v>
          </cell>
          <cell r="E184">
            <v>5838</v>
          </cell>
          <cell r="F184">
            <v>7203</v>
          </cell>
          <cell r="G184" t="str">
            <v>Stone and cement mortar masonry</v>
          </cell>
          <cell r="H184">
            <v>0.28999999999999998</v>
          </cell>
          <cell r="I184">
            <v>1.27</v>
          </cell>
          <cell r="J184" t="str">
            <v>Stone and Mud Mortar Masonary</v>
          </cell>
          <cell r="K184">
            <v>90.58</v>
          </cell>
          <cell r="L184">
            <v>82.76</v>
          </cell>
          <cell r="M184" t="str">
            <v>Brick and Cement Mortar Masonary</v>
          </cell>
          <cell r="N184">
            <v>0.51</v>
          </cell>
          <cell r="O184">
            <v>2.57</v>
          </cell>
          <cell r="P184" t="str">
            <v>Brick and mud mortar Masonry</v>
          </cell>
          <cell r="Q184">
            <v>0.19</v>
          </cell>
          <cell r="R184">
            <v>3</v>
          </cell>
          <cell r="S184" t="str">
            <v>Reinforced cement concrete (RCC) frame</v>
          </cell>
          <cell r="T184">
            <v>1.07</v>
          </cell>
          <cell r="U184">
            <v>3.23</v>
          </cell>
          <cell r="V184" t="str">
            <v>Hybrid structure</v>
          </cell>
          <cell r="W184">
            <v>0</v>
          </cell>
          <cell r="X184">
            <v>0</v>
          </cell>
          <cell r="Y184" t="str">
            <v>Timber frame structure</v>
          </cell>
          <cell r="Z184">
            <v>0.76</v>
          </cell>
          <cell r="AA184">
            <v>0.88</v>
          </cell>
          <cell r="AB184" t="str">
            <v>Hollow concrete block Masonry</v>
          </cell>
          <cell r="AC184">
            <v>0</v>
          </cell>
          <cell r="AD184">
            <v>0</v>
          </cell>
          <cell r="AE184" t="str">
            <v>Dry stone Masonry</v>
          </cell>
          <cell r="AF184">
            <v>0.06</v>
          </cell>
          <cell r="AG184">
            <v>4.17</v>
          </cell>
          <cell r="AH184" t="str">
            <v>Adobe structures</v>
          </cell>
          <cell r="AI184">
            <v>6.25</v>
          </cell>
          <cell r="AJ184">
            <v>1.79</v>
          </cell>
          <cell r="AK184" t="str">
            <v>Bamboo</v>
          </cell>
          <cell r="AL184">
            <v>0.28000000000000003</v>
          </cell>
          <cell r="AM184">
            <v>0.34</v>
          </cell>
          <cell r="AN184" t="str">
            <v>Compressed stabilized earth block (SCEB) Masonry</v>
          </cell>
          <cell r="AO184">
            <v>0</v>
          </cell>
          <cell r="AP184">
            <v>0</v>
          </cell>
          <cell r="AQ184" t="str">
            <v>Light steel frame structures</v>
          </cell>
          <cell r="AR184">
            <v>0</v>
          </cell>
          <cell r="AS184">
            <v>0</v>
          </cell>
          <cell r="AT184">
            <v>6833</v>
          </cell>
          <cell r="AU184">
            <v>5752</v>
          </cell>
          <cell r="AV184">
            <v>5828</v>
          </cell>
          <cell r="AW184">
            <v>5370</v>
          </cell>
          <cell r="AX184">
            <v>4462</v>
          </cell>
          <cell r="AY184">
            <v>908</v>
          </cell>
          <cell r="AZ184">
            <v>4462</v>
          </cell>
          <cell r="BA184">
            <v>904</v>
          </cell>
          <cell r="BB184">
            <v>20</v>
          </cell>
          <cell r="BC184">
            <v>20</v>
          </cell>
          <cell r="BD184">
            <v>1</v>
          </cell>
          <cell r="BE184">
            <v>2013</v>
          </cell>
          <cell r="BF184">
            <v>1038</v>
          </cell>
          <cell r="BG184" t="str">
            <v/>
          </cell>
          <cell r="BH184" t="str">
            <v/>
          </cell>
          <cell r="BI184" t="str">
            <v>CARE-N(Agriculture, Livestock Development and Irrigation,Disaster Risk Management,Gender Equality and Social Inclusion,Health,Rural Housing and Community Infrastructure,Water, Sanitation and Hygiene),INF(Employment and Livelihood,Government buildings,Rural Housing and Community Infrastructure),NRCS(Agriculture, Livestock Development and Irrigation,Education,Employment and Livelihood,Health,Rural Housing and Community Infrastructure,Water, Sanitation and Hygiene)</v>
          </cell>
          <cell r="BJ184" t="str">
            <v>ACN(Rural Housing and Community Infrastructure),JICA(Rural Housing and Community Infrastructure),LWR(Agriculture, Livestock Development and Irrigation,Disaster Risk Management,Rural Housing and Community Infrastructure),NYF(Education),WVIN(Employment and Livelihood,Water, Sanitation and Hygiene)</v>
          </cell>
          <cell r="BK184">
            <v>118548</v>
          </cell>
          <cell r="BL184" t="str">
            <v/>
          </cell>
          <cell r="BM184" t="str">
            <v/>
          </cell>
          <cell r="BN184">
            <v>120140</v>
          </cell>
          <cell r="BO184" t="str">
            <v/>
          </cell>
          <cell r="BP184" t="str">
            <v/>
          </cell>
          <cell r="BQ184">
            <v>12645</v>
          </cell>
          <cell r="BR184" t="str">
            <v/>
          </cell>
          <cell r="BS184" t="str">
            <v/>
          </cell>
          <cell r="BT184">
            <v>14543</v>
          </cell>
          <cell r="BU184" t="str">
            <v/>
          </cell>
          <cell r="BV184" t="str">
            <v/>
          </cell>
          <cell r="BW184" t="str">
            <v/>
          </cell>
          <cell r="BX184" t="str">
            <v/>
          </cell>
          <cell r="BY184" t="str">
            <v/>
          </cell>
          <cell r="BZ184">
            <v>398566</v>
          </cell>
          <cell r="CA184" t="str">
            <v/>
          </cell>
          <cell r="CB184" t="str">
            <v/>
          </cell>
          <cell r="CC184">
            <v>1287617</v>
          </cell>
          <cell r="CD184" t="str">
            <v/>
          </cell>
          <cell r="CE184" t="str">
            <v/>
          </cell>
          <cell r="CF184">
            <v>16288</v>
          </cell>
          <cell r="CG184" t="str">
            <v/>
          </cell>
          <cell r="CH184" t="str">
            <v/>
          </cell>
          <cell r="CI184">
            <v>1317235</v>
          </cell>
          <cell r="CJ184" t="str">
            <v/>
          </cell>
          <cell r="CK184" t="str">
            <v/>
          </cell>
          <cell r="CL184" t="str">
            <v>Skilled</v>
          </cell>
          <cell r="CM184" t="str">
            <v/>
          </cell>
          <cell r="CN184" t="str">
            <v>Labor</v>
          </cell>
          <cell r="CO184" t="str">
            <v/>
          </cell>
          <cell r="CP184" t="str">
            <v>304</v>
          </cell>
          <cell r="CQ184" t="str">
            <v/>
          </cell>
          <cell r="CR184" t="str">
            <v/>
          </cell>
          <cell r="CS184" t="str">
            <v/>
          </cell>
          <cell r="CT184" t="str">
            <v/>
          </cell>
          <cell r="CU184" t="str">
            <v/>
          </cell>
          <cell r="CV184" t="str">
            <v>Municipal Office</v>
          </cell>
          <cell r="CW184" t="str">
            <v>Raju Gurung</v>
          </cell>
          <cell r="CX184" t="str">
            <v xml:space="preserve">Chairman </v>
          </cell>
          <cell r="CY184">
            <v>9851040066</v>
          </cell>
          <cell r="CZ184" t="str">
            <v>Municipal Office</v>
          </cell>
          <cell r="DA184" t="str">
            <v>Rita Devkota</v>
          </cell>
          <cell r="DB184" t="str">
            <v>Deputy Chairman</v>
          </cell>
          <cell r="DC184">
            <v>9846377901</v>
          </cell>
          <cell r="DD184" t="str">
            <v>Municipal Office</v>
          </cell>
          <cell r="DE184" t="str">
            <v>Bhesh Bahadur Kunwar</v>
          </cell>
          <cell r="DF184" t="str">
            <v>Chief Adminstration Officer</v>
          </cell>
          <cell r="DG184">
            <v>9856066210</v>
          </cell>
          <cell r="DH184" t="str">
            <v>NRA/GMALI</v>
          </cell>
          <cell r="DI184" t="str">
            <v>Ram Sharan Acharya</v>
          </cell>
          <cell r="DJ184" t="str">
            <v>NRA Chief-District</v>
          </cell>
          <cell r="DK184">
            <v>9856042637</v>
          </cell>
          <cell r="DL184" t="str">
            <v>DLPIU-Building</v>
          </cell>
          <cell r="DM184" t="str">
            <v>Sunita Shrestha</v>
          </cell>
          <cell r="DN184" t="str">
            <v>DUDBC.DLPIU Chief</v>
          </cell>
          <cell r="DO184">
            <v>9841632087</v>
          </cell>
          <cell r="DP184" t="str">
            <v>Mincipal Office</v>
          </cell>
          <cell r="DQ184" t="str">
            <v>Ahamaddin Miya</v>
          </cell>
          <cell r="DR184" t="str">
            <v>Focal Person</v>
          </cell>
          <cell r="DS184">
            <v>9856040588</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v>405</v>
          </cell>
          <cell r="EK184">
            <v>703</v>
          </cell>
          <cell r="EL184">
            <v>-298</v>
          </cell>
          <cell r="EM184">
            <v>621</v>
          </cell>
          <cell r="EN184">
            <v>340</v>
          </cell>
          <cell r="EO184">
            <v>281</v>
          </cell>
          <cell r="EP184" t="str">
            <v/>
          </cell>
          <cell r="EQ184" t="str">
            <v>Housing Recovery and Reconstruction Platform</v>
          </cell>
          <cell r="ER184" t="str">
            <v>Chandra Gurung</v>
          </cell>
          <cell r="ES184" t="str">
            <v>District Coordinator</v>
          </cell>
          <cell r="ET184">
            <v>9841478742</v>
          </cell>
          <cell r="EU184" t="str">
            <v>Housing Recovery and Reconstruction Platform</v>
          </cell>
          <cell r="EV184" t="str">
            <v>Birodh Kattel</v>
          </cell>
          <cell r="EW184" t="str">
            <v>DIstrict Information Management Officer</v>
          </cell>
          <cell r="EX184">
            <v>9841419970</v>
          </cell>
          <cell r="EY184" t="str">
            <v>Housing Recovery and Reconstruction Platform</v>
          </cell>
          <cell r="EZ184" t="str">
            <v>Atit Shrestha</v>
          </cell>
          <cell r="FA184" t="str">
            <v>District Technical Officer</v>
          </cell>
          <cell r="FB184">
            <v>9801328282</v>
          </cell>
        </row>
        <row r="185">
          <cell r="A185">
            <v>36011</v>
          </cell>
          <cell r="B185" t="str">
            <v>Gorkha</v>
          </cell>
          <cell r="C185" t="str">
            <v>Sulikot Gaunpalika</v>
          </cell>
          <cell r="D185">
            <v>516</v>
          </cell>
          <cell r="E185">
            <v>6786</v>
          </cell>
          <cell r="F185">
            <v>7302</v>
          </cell>
          <cell r="G185" t="str">
            <v>Stone and cement mortar masonry</v>
          </cell>
          <cell r="H185">
            <v>0.66</v>
          </cell>
          <cell r="I185">
            <v>1.27</v>
          </cell>
          <cell r="J185" t="str">
            <v>Stone and Mud Mortar Masonary</v>
          </cell>
          <cell r="K185">
            <v>91.8</v>
          </cell>
          <cell r="L185">
            <v>82.76</v>
          </cell>
          <cell r="M185" t="str">
            <v>Brick and Cement Mortar Masonary</v>
          </cell>
          <cell r="N185">
            <v>0.1</v>
          </cell>
          <cell r="O185">
            <v>2.57</v>
          </cell>
          <cell r="P185" t="str">
            <v>Brick and mud mortar Masonry</v>
          </cell>
          <cell r="Q185">
            <v>0</v>
          </cell>
          <cell r="R185">
            <v>3</v>
          </cell>
          <cell r="S185" t="str">
            <v>Reinforced cement concrete (RCC) frame</v>
          </cell>
          <cell r="T185">
            <v>0.99</v>
          </cell>
          <cell r="U185">
            <v>3.23</v>
          </cell>
          <cell r="V185" t="str">
            <v>Hybrid structure</v>
          </cell>
          <cell r="W185">
            <v>0</v>
          </cell>
          <cell r="X185">
            <v>0</v>
          </cell>
          <cell r="Y185" t="str">
            <v>Timber frame structure</v>
          </cell>
          <cell r="Z185">
            <v>0.69</v>
          </cell>
          <cell r="AA185">
            <v>0.88</v>
          </cell>
          <cell r="AB185" t="str">
            <v>Hollow concrete block Masonry</v>
          </cell>
          <cell r="AC185">
            <v>0</v>
          </cell>
          <cell r="AD185">
            <v>0</v>
          </cell>
          <cell r="AE185" t="str">
            <v>Dry stone Masonry</v>
          </cell>
          <cell r="AF185">
            <v>4.9800000000000004</v>
          </cell>
          <cell r="AG185">
            <v>4.17</v>
          </cell>
          <cell r="AH185" t="str">
            <v>Adobe structures</v>
          </cell>
          <cell r="AI185">
            <v>0.53</v>
          </cell>
          <cell r="AJ185">
            <v>1.79</v>
          </cell>
          <cell r="AK185" t="str">
            <v>Bamboo</v>
          </cell>
          <cell r="AL185">
            <v>0.26</v>
          </cell>
          <cell r="AM185">
            <v>0.34</v>
          </cell>
          <cell r="AN185" t="str">
            <v>Compressed stabilized earth block (SCEB) Masonry</v>
          </cell>
          <cell r="AO185">
            <v>0</v>
          </cell>
          <cell r="AP185">
            <v>0</v>
          </cell>
          <cell r="AQ185" t="str">
            <v>Light steel frame structures</v>
          </cell>
          <cell r="AR185">
            <v>0</v>
          </cell>
          <cell r="AS185">
            <v>0</v>
          </cell>
          <cell r="AT185">
            <v>7200</v>
          </cell>
          <cell r="AU185">
            <v>6826</v>
          </cell>
          <cell r="AV185">
            <v>6827</v>
          </cell>
          <cell r="AW185">
            <v>6548</v>
          </cell>
          <cell r="AX185">
            <v>5954</v>
          </cell>
          <cell r="AY185">
            <v>594</v>
          </cell>
          <cell r="AZ185">
            <v>5954</v>
          </cell>
          <cell r="BA185">
            <v>177</v>
          </cell>
          <cell r="BB185">
            <v>1</v>
          </cell>
          <cell r="BC185">
            <v>1</v>
          </cell>
          <cell r="BD185">
            <v>0</v>
          </cell>
          <cell r="BE185">
            <v>901</v>
          </cell>
          <cell r="BF185">
            <v>1047</v>
          </cell>
          <cell r="BG185" t="str">
            <v/>
          </cell>
          <cell r="BH185" t="str">
            <v/>
          </cell>
          <cell r="BI185" t="str">
            <v>CARE-N(Agriculture, Livestock Development and Irrigation,Disaster Risk Management,Employment and Livelihood,Gender Equality and Social Inclusion,Health,Rural Housing and Community Infrastructure,Water, Sanitation and Hygiene),INF(Employment and Livelihood),NRCS(Agriculture, Livestock Development and Irrigation,Education,Employment and Livelihood,Health,Rural Housing and Community Infrastructure,Water, Sanitation and Hygiene)</v>
          </cell>
          <cell r="BJ185" t="str">
            <v>FCA(Education),HELVETAS(Rural Housing and Community Infrastructure),JICA(Rural Housing and Community Infrastructure),NRA(Rural Housing and Community Infrastructure),NYF(Rural Housing and Community Infrastructure),SCI(Disaster Risk Management,Education,Employment and Livelihood,Health,Rural Housing and Community Infrastructure,Social Protection,Water, Sanitation and Hygiene)</v>
          </cell>
          <cell r="BK185">
            <v>156675</v>
          </cell>
          <cell r="BL185" t="str">
            <v>Y</v>
          </cell>
          <cell r="BM185">
            <v>4500</v>
          </cell>
          <cell r="BN185">
            <v>156010</v>
          </cell>
          <cell r="BO185" t="str">
            <v>Y</v>
          </cell>
          <cell r="BP185">
            <v>10000</v>
          </cell>
          <cell r="BQ185">
            <v>16692</v>
          </cell>
          <cell r="BR185" t="str">
            <v>Y</v>
          </cell>
          <cell r="BS185">
            <v>12000</v>
          </cell>
          <cell r="BT185">
            <v>19121</v>
          </cell>
          <cell r="BU185" t="str">
            <v>N</v>
          </cell>
          <cell r="BV185" t="str">
            <v/>
          </cell>
          <cell r="BW185" t="str">
            <v/>
          </cell>
          <cell r="BX185" t="str">
            <v>Y</v>
          </cell>
          <cell r="BY185">
            <v>1200</v>
          </cell>
          <cell r="BZ185">
            <v>522007</v>
          </cell>
          <cell r="CA185" t="str">
            <v>Y</v>
          </cell>
          <cell r="CB185">
            <v>1300</v>
          </cell>
          <cell r="CC185">
            <v>1711250</v>
          </cell>
          <cell r="CD185" t="str">
            <v>Y</v>
          </cell>
          <cell r="CE185">
            <v>107</v>
          </cell>
          <cell r="CF185">
            <v>21352</v>
          </cell>
          <cell r="CG185" t="str">
            <v/>
          </cell>
          <cell r="CH185" t="str">
            <v/>
          </cell>
          <cell r="CI185">
            <v>2553984</v>
          </cell>
          <cell r="CJ185" t="str">
            <v>Y</v>
          </cell>
          <cell r="CK185">
            <v>21</v>
          </cell>
          <cell r="CL185" t="str">
            <v>Skilled</v>
          </cell>
          <cell r="CM185" t="str">
            <v/>
          </cell>
          <cell r="CN185" t="str">
            <v>Labor</v>
          </cell>
          <cell r="CO185" t="str">
            <v/>
          </cell>
          <cell r="CP185" t="str">
            <v>302</v>
          </cell>
          <cell r="CQ185" t="str">
            <v/>
          </cell>
          <cell r="CR185" t="str">
            <v/>
          </cell>
          <cell r="CS185" t="str">
            <v/>
          </cell>
          <cell r="CT185" t="str">
            <v/>
          </cell>
          <cell r="CU185" t="str">
            <v/>
          </cell>
          <cell r="CV185" t="str">
            <v>Municipal Office</v>
          </cell>
          <cell r="CW185" t="str">
            <v>Bishnu Prasad  Bhatta</v>
          </cell>
          <cell r="CX185" t="str">
            <v xml:space="preserve">Chairman </v>
          </cell>
          <cell r="CY185">
            <v>9856040873</v>
          </cell>
          <cell r="CZ185" t="str">
            <v>Municipal Office</v>
          </cell>
          <cell r="DA185" t="str">
            <v>Son Maya Gurung</v>
          </cell>
          <cell r="DB185" t="str">
            <v>Deputy Chairman</v>
          </cell>
          <cell r="DC185">
            <v>9860647837</v>
          </cell>
          <cell r="DD185" t="str">
            <v>Municipal Office</v>
          </cell>
          <cell r="DE185" t="str">
            <v>Shiv Bahadur Gurung</v>
          </cell>
          <cell r="DF185" t="str">
            <v>Chief Adminstration Officer</v>
          </cell>
          <cell r="DG185">
            <v>986010060</v>
          </cell>
          <cell r="DH185" t="str">
            <v>NRA/GMALI</v>
          </cell>
          <cell r="DI185" t="str">
            <v>Ram Sharan Acharya</v>
          </cell>
          <cell r="DJ185" t="str">
            <v>NRA Chief-District</v>
          </cell>
          <cell r="DK185">
            <v>9856042637</v>
          </cell>
          <cell r="DL185" t="str">
            <v>DLPIU-Building</v>
          </cell>
          <cell r="DM185" t="str">
            <v>Sunita Shrestha</v>
          </cell>
          <cell r="DN185" t="str">
            <v>DUDBC.DLPIU Chief</v>
          </cell>
          <cell r="DO185">
            <v>9841632087</v>
          </cell>
          <cell r="DP185" t="str">
            <v>Mincipal Office</v>
          </cell>
          <cell r="DQ185" t="str">
            <v>Ganesh Paneru</v>
          </cell>
          <cell r="DR185" t="str">
            <v>Focal Person</v>
          </cell>
          <cell r="DS185">
            <v>9849621304</v>
          </cell>
          <cell r="DT185" t="str">
            <v/>
          </cell>
          <cell r="DU185" t="str">
            <v/>
          </cell>
          <cell r="DV185" t="str">
            <v/>
          </cell>
          <cell r="DW185" t="str">
            <v/>
          </cell>
          <cell r="DX185" t="str">
            <v/>
          </cell>
          <cell r="DY185" t="str">
            <v/>
          </cell>
          <cell r="DZ185" t="str">
            <v/>
          </cell>
          <cell r="EA185" t="str">
            <v/>
          </cell>
          <cell r="EB185" t="str">
            <v/>
          </cell>
          <cell r="EC185" t="str">
            <v/>
          </cell>
          <cell r="ED185" t="str">
            <v/>
          </cell>
          <cell r="EE185" t="str">
            <v/>
          </cell>
          <cell r="EF185" t="str">
            <v/>
          </cell>
          <cell r="EG185" t="str">
            <v/>
          </cell>
          <cell r="EH185" t="str">
            <v/>
          </cell>
          <cell r="EI185" t="str">
            <v/>
          </cell>
          <cell r="EJ185">
            <v>486</v>
          </cell>
          <cell r="EK185">
            <v>824</v>
          </cell>
          <cell r="EL185">
            <v>-338</v>
          </cell>
          <cell r="EM185">
            <v>756</v>
          </cell>
          <cell r="EN185">
            <v>609</v>
          </cell>
          <cell r="EO185">
            <v>147</v>
          </cell>
          <cell r="EP185" t="str">
            <v/>
          </cell>
          <cell r="EQ185" t="str">
            <v>Housing Recovery and Reconstruction Platform</v>
          </cell>
          <cell r="ER185" t="str">
            <v>Chandra Gurung</v>
          </cell>
          <cell r="ES185" t="str">
            <v>District Coordinator</v>
          </cell>
          <cell r="ET185">
            <v>9841478742</v>
          </cell>
          <cell r="EU185" t="str">
            <v>Housing Recovery and Reconstruction Platform</v>
          </cell>
          <cell r="EV185" t="str">
            <v>Birodh Kattel</v>
          </cell>
          <cell r="EW185" t="str">
            <v>DIstrict Information Management Officer</v>
          </cell>
          <cell r="EX185">
            <v>9841419970</v>
          </cell>
          <cell r="EY185" t="str">
            <v>Housing Recovery and Reconstruction Platform</v>
          </cell>
          <cell r="EZ185" t="str">
            <v>Atit Shrestha</v>
          </cell>
          <cell r="FA185" t="str">
            <v>District Technical Officer</v>
          </cell>
          <cell r="FB185">
            <v>9801328282</v>
          </cell>
        </row>
        <row r="186">
          <cell r="A186">
            <v>37001</v>
          </cell>
          <cell r="B186" t="str">
            <v>Lamjung</v>
          </cell>
          <cell r="C186" t="str">
            <v>Besishahar Nagarpalika</v>
          </cell>
          <cell r="D186">
            <v>1444</v>
          </cell>
          <cell r="E186">
            <v>1407</v>
          </cell>
          <cell r="F186">
            <v>2851</v>
          </cell>
          <cell r="G186" t="str">
            <v>Stone and cement mortar masonry</v>
          </cell>
          <cell r="H186">
            <v>2.81</v>
          </cell>
          <cell r="I186">
            <v>1.63</v>
          </cell>
          <cell r="J186" t="str">
            <v>Stone and Mud Mortar Masonary</v>
          </cell>
          <cell r="K186">
            <v>90.49</v>
          </cell>
          <cell r="L186">
            <v>86.02</v>
          </cell>
          <cell r="M186" t="str">
            <v>Brick and Cement Mortar Masonary</v>
          </cell>
          <cell r="N186">
            <v>5.44</v>
          </cell>
          <cell r="O186">
            <v>3.02</v>
          </cell>
          <cell r="P186" t="str">
            <v>Brick and mud mortar Masonry</v>
          </cell>
          <cell r="Q186">
            <v>0.18</v>
          </cell>
          <cell r="R186">
            <v>1.49</v>
          </cell>
          <cell r="S186" t="str">
            <v>Reinforced cement concrete (RCC) frame</v>
          </cell>
          <cell r="T186">
            <v>0.56000000000000005</v>
          </cell>
          <cell r="U186">
            <v>2.72</v>
          </cell>
          <cell r="V186" t="str">
            <v>Hybrid structure</v>
          </cell>
          <cell r="W186">
            <v>0</v>
          </cell>
          <cell r="X186">
            <v>0</v>
          </cell>
          <cell r="Y186" t="str">
            <v>Timber frame structure</v>
          </cell>
          <cell r="Z186">
            <v>0.18</v>
          </cell>
          <cell r="AA186">
            <v>0.25</v>
          </cell>
          <cell r="AB186" t="str">
            <v>Hollow concrete block Masonry</v>
          </cell>
          <cell r="AC186">
            <v>0</v>
          </cell>
          <cell r="AD186">
            <v>0</v>
          </cell>
          <cell r="AE186" t="str">
            <v>Dry stone Masonry</v>
          </cell>
          <cell r="AF186">
            <v>0</v>
          </cell>
          <cell r="AG186">
            <v>0.37</v>
          </cell>
          <cell r="AH186" t="str">
            <v>Adobe structures</v>
          </cell>
          <cell r="AI186">
            <v>0.25</v>
          </cell>
          <cell r="AJ186">
            <v>4.38</v>
          </cell>
          <cell r="AK186" t="str">
            <v>Bamboo</v>
          </cell>
          <cell r="AL186">
            <v>0.11</v>
          </cell>
          <cell r="AM186">
            <v>0.13</v>
          </cell>
          <cell r="AN186" t="str">
            <v>Compressed stabilized earth block (SCEB) Masonry</v>
          </cell>
          <cell r="AO186">
            <v>0</v>
          </cell>
          <cell r="AP186">
            <v>0</v>
          </cell>
          <cell r="AQ186" t="str">
            <v>Light steel frame structures</v>
          </cell>
          <cell r="AR186">
            <v>0</v>
          </cell>
          <cell r="AS186">
            <v>0</v>
          </cell>
          <cell r="AT186">
            <v>1308</v>
          </cell>
          <cell r="AU186">
            <v>1096</v>
          </cell>
          <cell r="AV186">
            <v>1096</v>
          </cell>
          <cell r="AW186">
            <v>224</v>
          </cell>
          <cell r="AX186">
            <v>4</v>
          </cell>
          <cell r="AY186" t="str">
            <v/>
          </cell>
          <cell r="AZ186" t="str">
            <v/>
          </cell>
          <cell r="BA186">
            <v>11</v>
          </cell>
          <cell r="BB186" t="str">
            <v/>
          </cell>
          <cell r="BC186" t="str">
            <v/>
          </cell>
          <cell r="BD186" t="str">
            <v/>
          </cell>
          <cell r="BE186" t="str">
            <v/>
          </cell>
          <cell r="BF186" t="str">
            <v/>
          </cell>
          <cell r="BG186" t="str">
            <v/>
          </cell>
          <cell r="BH186" t="str">
            <v/>
          </cell>
          <cell r="BI186" t="str">
            <v/>
          </cell>
          <cell r="BJ186" t="str">
            <v>WVIN(Education)</v>
          </cell>
          <cell r="BK186">
            <v>33441</v>
          </cell>
          <cell r="BL186" t="str">
            <v/>
          </cell>
          <cell r="BM186" t="str">
            <v/>
          </cell>
          <cell r="BN186">
            <v>30243</v>
          </cell>
          <cell r="BO186" t="str">
            <v/>
          </cell>
          <cell r="BP186" t="str">
            <v/>
          </cell>
          <cell r="BQ186">
            <v>3536</v>
          </cell>
          <cell r="BR186" t="str">
            <v/>
          </cell>
          <cell r="BS186" t="str">
            <v/>
          </cell>
          <cell r="BT186">
            <v>3951</v>
          </cell>
          <cell r="BU186" t="str">
            <v/>
          </cell>
          <cell r="BV186" t="str">
            <v/>
          </cell>
          <cell r="BW186" t="str">
            <v/>
          </cell>
          <cell r="BX186" t="str">
            <v/>
          </cell>
          <cell r="BY186" t="str">
            <v/>
          </cell>
          <cell r="BZ186">
            <v>102864</v>
          </cell>
          <cell r="CA186" t="str">
            <v/>
          </cell>
          <cell r="CB186" t="str">
            <v/>
          </cell>
          <cell r="CC186">
            <v>371296</v>
          </cell>
          <cell r="CD186" t="str">
            <v/>
          </cell>
          <cell r="CE186" t="str">
            <v/>
          </cell>
          <cell r="CF186">
            <v>4210</v>
          </cell>
          <cell r="CG186" t="str">
            <v/>
          </cell>
          <cell r="CH186" t="str">
            <v/>
          </cell>
          <cell r="CI186">
            <v>933774</v>
          </cell>
          <cell r="CJ186" t="str">
            <v/>
          </cell>
          <cell r="CK186" t="str">
            <v/>
          </cell>
          <cell r="CL186" t="str">
            <v>Skilled</v>
          </cell>
          <cell r="CM186" t="str">
            <v/>
          </cell>
          <cell r="CN186" t="str">
            <v>Labor</v>
          </cell>
          <cell r="CO186" t="str">
            <v/>
          </cell>
          <cell r="CP186" t="str">
            <v/>
          </cell>
          <cell r="CQ186" t="str">
            <v/>
          </cell>
          <cell r="CR186" t="str">
            <v/>
          </cell>
          <cell r="CS186" t="str">
            <v/>
          </cell>
          <cell r="CT186" t="str">
            <v/>
          </cell>
          <cell r="CU186" t="str">
            <v/>
          </cell>
          <cell r="CV186" t="str">
            <v>Municipal Office</v>
          </cell>
          <cell r="CW186" t="str">
            <v/>
          </cell>
          <cell r="CX186" t="str">
            <v>Mayor</v>
          </cell>
          <cell r="CY186" t="str">
            <v/>
          </cell>
          <cell r="CZ186" t="str">
            <v>Municipal Office</v>
          </cell>
          <cell r="DA186" t="str">
            <v/>
          </cell>
          <cell r="DB186" t="str">
            <v>Deputy Mayor</v>
          </cell>
          <cell r="DC186" t="str">
            <v/>
          </cell>
          <cell r="DD186" t="str">
            <v>Municipal Office</v>
          </cell>
          <cell r="DE186" t="str">
            <v/>
          </cell>
          <cell r="DF186" t="str">
            <v>Chief Adminstration Officer</v>
          </cell>
          <cell r="DG186" t="str">
            <v/>
          </cell>
          <cell r="DH186" t="str">
            <v>NRA/GMALI</v>
          </cell>
          <cell r="DI186" t="str">
            <v>Usesh Shrestha</v>
          </cell>
          <cell r="DJ186" t="str">
            <v>NRA Chief-District</v>
          </cell>
          <cell r="DK186">
            <v>9856046960</v>
          </cell>
          <cell r="DL186" t="str">
            <v>DLPIU-Building</v>
          </cell>
          <cell r="DM186" t="str">
            <v/>
          </cell>
          <cell r="DN186" t="str">
            <v>DUDBC.DLPIU Chief</v>
          </cell>
          <cell r="DO186" t="str">
            <v/>
          </cell>
          <cell r="DP186" t="str">
            <v>Municipal Office</v>
          </cell>
          <cell r="DQ186" t="str">
            <v>Anoj Chiluwal</v>
          </cell>
          <cell r="DR186" t="str">
            <v>Focal Person</v>
          </cell>
          <cell r="DS186">
            <v>9849543694</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v>0</v>
          </cell>
          <cell r="EK186">
            <v>0</v>
          </cell>
          <cell r="EL186">
            <v>0</v>
          </cell>
          <cell r="EM186">
            <v>0</v>
          </cell>
          <cell r="EN186">
            <v>0</v>
          </cell>
          <cell r="EO186">
            <v>0</v>
          </cell>
          <cell r="EP186" t="str">
            <v/>
          </cell>
          <cell r="EQ186" t="str">
            <v>Housing Recovery and Reconstruction Platform</v>
          </cell>
          <cell r="ER186" t="str">
            <v/>
          </cell>
          <cell r="ES186" t="str">
            <v>District Coordinator</v>
          </cell>
          <cell r="ET186" t="str">
            <v/>
          </cell>
          <cell r="EU186" t="str">
            <v>Housing Recovery and Reconstruction Platform</v>
          </cell>
          <cell r="EV186" t="str">
            <v/>
          </cell>
          <cell r="EW186" t="str">
            <v>DIstrict Information Management Officer</v>
          </cell>
          <cell r="EX186" t="str">
            <v/>
          </cell>
          <cell r="EY186" t="str">
            <v>Housing Recovery and Reconstruction Platform</v>
          </cell>
          <cell r="EZ186" t="str">
            <v/>
          </cell>
          <cell r="FA186" t="str">
            <v>District Technical Officer</v>
          </cell>
          <cell r="FB186" t="str">
            <v/>
          </cell>
        </row>
        <row r="187">
          <cell r="A187">
            <v>37002</v>
          </cell>
          <cell r="B187" t="str">
            <v>Lamjung</v>
          </cell>
          <cell r="C187" t="str">
            <v>Dordi Gaunpalika</v>
          </cell>
          <cell r="D187">
            <v>1043</v>
          </cell>
          <cell r="E187">
            <v>2332</v>
          </cell>
          <cell r="F187">
            <v>3375</v>
          </cell>
          <cell r="G187" t="str">
            <v>Stone and cement mortar masonry</v>
          </cell>
          <cell r="H187">
            <v>1.43</v>
          </cell>
          <cell r="I187">
            <v>1.63</v>
          </cell>
          <cell r="J187" t="str">
            <v>Stone and Mud Mortar Masonary</v>
          </cell>
          <cell r="K187">
            <v>94.78</v>
          </cell>
          <cell r="L187">
            <v>86.02</v>
          </cell>
          <cell r="M187" t="str">
            <v>Brick and Cement Mortar Masonary</v>
          </cell>
          <cell r="N187">
            <v>0.72</v>
          </cell>
          <cell r="O187">
            <v>3.02</v>
          </cell>
          <cell r="P187" t="str">
            <v>Brick and mud mortar Masonry</v>
          </cell>
          <cell r="Q187">
            <v>0.03</v>
          </cell>
          <cell r="R187">
            <v>1.49</v>
          </cell>
          <cell r="S187" t="str">
            <v>Reinforced cement concrete (RCC) frame</v>
          </cell>
          <cell r="T187">
            <v>0.42</v>
          </cell>
          <cell r="U187">
            <v>2.72</v>
          </cell>
          <cell r="V187" t="str">
            <v>Hybrid structure</v>
          </cell>
          <cell r="W187">
            <v>0</v>
          </cell>
          <cell r="X187">
            <v>0</v>
          </cell>
          <cell r="Y187" t="str">
            <v>Timber frame structure</v>
          </cell>
          <cell r="Z187">
            <v>0.03</v>
          </cell>
          <cell r="AA187">
            <v>0.25</v>
          </cell>
          <cell r="AB187" t="str">
            <v>Hollow concrete block Masonry</v>
          </cell>
          <cell r="AC187">
            <v>0</v>
          </cell>
          <cell r="AD187">
            <v>0</v>
          </cell>
          <cell r="AE187" t="str">
            <v>Dry stone Masonry</v>
          </cell>
          <cell r="AF187">
            <v>0.83</v>
          </cell>
          <cell r="AG187">
            <v>0.37</v>
          </cell>
          <cell r="AH187" t="str">
            <v>Adobe structures</v>
          </cell>
          <cell r="AI187">
            <v>1.52</v>
          </cell>
          <cell r="AJ187">
            <v>4.38</v>
          </cell>
          <cell r="AK187" t="str">
            <v>Bamboo</v>
          </cell>
          <cell r="AL187">
            <v>0.24</v>
          </cell>
          <cell r="AM187">
            <v>0.13</v>
          </cell>
          <cell r="AN187" t="str">
            <v>Compressed stabilized earth block (SCEB) Masonry</v>
          </cell>
          <cell r="AO187">
            <v>0</v>
          </cell>
          <cell r="AP187">
            <v>0</v>
          </cell>
          <cell r="AQ187" t="str">
            <v>Light steel frame structures</v>
          </cell>
          <cell r="AR187">
            <v>0</v>
          </cell>
          <cell r="AS187">
            <v>0</v>
          </cell>
          <cell r="AT187">
            <v>2239</v>
          </cell>
          <cell r="AU187">
            <v>1362</v>
          </cell>
          <cell r="AV187">
            <v>1362</v>
          </cell>
          <cell r="AW187">
            <v>230</v>
          </cell>
          <cell r="AX187">
            <v>0</v>
          </cell>
          <cell r="AY187" t="str">
            <v/>
          </cell>
          <cell r="AZ187" t="str">
            <v/>
          </cell>
          <cell r="BA187">
            <v>25</v>
          </cell>
          <cell r="BB187" t="str">
            <v/>
          </cell>
          <cell r="BC187" t="str">
            <v/>
          </cell>
          <cell r="BD187" t="str">
            <v/>
          </cell>
          <cell r="BE187" t="str">
            <v/>
          </cell>
          <cell r="BF187" t="str">
            <v/>
          </cell>
          <cell r="BG187" t="str">
            <v/>
          </cell>
          <cell r="BH187" t="str">
            <v/>
          </cell>
          <cell r="BI187" t="str">
            <v/>
          </cell>
          <cell r="BJ187" t="str">
            <v/>
          </cell>
          <cell r="BK187">
            <v>39607</v>
          </cell>
          <cell r="BL187" t="str">
            <v/>
          </cell>
          <cell r="BM187" t="str">
            <v/>
          </cell>
          <cell r="BN187">
            <v>39191</v>
          </cell>
          <cell r="BO187" t="str">
            <v/>
          </cell>
          <cell r="BP187" t="str">
            <v/>
          </cell>
          <cell r="BQ187">
            <v>4219</v>
          </cell>
          <cell r="BR187" t="str">
            <v/>
          </cell>
          <cell r="BS187" t="str">
            <v/>
          </cell>
          <cell r="BT187">
            <v>4830</v>
          </cell>
          <cell r="BU187" t="str">
            <v/>
          </cell>
          <cell r="BV187" t="str">
            <v/>
          </cell>
          <cell r="BW187" t="str">
            <v/>
          </cell>
          <cell r="BX187" t="str">
            <v/>
          </cell>
          <cell r="BY187" t="str">
            <v/>
          </cell>
          <cell r="BZ187">
            <v>132393</v>
          </cell>
          <cell r="CA187" t="str">
            <v/>
          </cell>
          <cell r="CB187" t="str">
            <v/>
          </cell>
          <cell r="CC187">
            <v>434590</v>
          </cell>
          <cell r="CD187" t="str">
            <v/>
          </cell>
          <cell r="CE187" t="str">
            <v/>
          </cell>
          <cell r="CF187">
            <v>5422</v>
          </cell>
          <cell r="CG187" t="str">
            <v/>
          </cell>
          <cell r="CH187" t="str">
            <v/>
          </cell>
          <cell r="CI187">
            <v>849242</v>
          </cell>
          <cell r="CJ187" t="str">
            <v/>
          </cell>
          <cell r="CK187" t="str">
            <v/>
          </cell>
          <cell r="CL187" t="str">
            <v>Skilled</v>
          </cell>
          <cell r="CM187" t="str">
            <v/>
          </cell>
          <cell r="CN187" t="str">
            <v>Labor</v>
          </cell>
          <cell r="CO187" t="str">
            <v/>
          </cell>
          <cell r="CP187" t="str">
            <v/>
          </cell>
          <cell r="CQ187" t="str">
            <v/>
          </cell>
          <cell r="CR187" t="str">
            <v/>
          </cell>
          <cell r="CS187" t="str">
            <v/>
          </cell>
          <cell r="CT187" t="str">
            <v/>
          </cell>
          <cell r="CU187" t="str">
            <v/>
          </cell>
          <cell r="CV187" t="str">
            <v>Municipal Office</v>
          </cell>
          <cell r="CW187" t="str">
            <v/>
          </cell>
          <cell r="CX187" t="str">
            <v>Chairman</v>
          </cell>
          <cell r="CY187" t="str">
            <v/>
          </cell>
          <cell r="CZ187" t="str">
            <v>Municipal Office</v>
          </cell>
          <cell r="DA187" t="str">
            <v/>
          </cell>
          <cell r="DB187" t="str">
            <v>Deputy Chairman</v>
          </cell>
          <cell r="DC187" t="str">
            <v/>
          </cell>
          <cell r="DD187" t="str">
            <v>Municipal Office</v>
          </cell>
          <cell r="DE187" t="str">
            <v/>
          </cell>
          <cell r="DF187" t="str">
            <v>Chief Adminstration Officer</v>
          </cell>
          <cell r="DG187" t="str">
            <v/>
          </cell>
          <cell r="DH187" t="str">
            <v>NRA/GMALI</v>
          </cell>
          <cell r="DI187" t="str">
            <v>Usesh Shrestha</v>
          </cell>
          <cell r="DJ187" t="str">
            <v>NRA Chief-District</v>
          </cell>
          <cell r="DK187">
            <v>9856046960</v>
          </cell>
          <cell r="DL187" t="str">
            <v>DLPIU-Building</v>
          </cell>
          <cell r="DM187" t="str">
            <v/>
          </cell>
          <cell r="DN187" t="str">
            <v>DUDBC.DLPIU Chief</v>
          </cell>
          <cell r="DO187" t="str">
            <v/>
          </cell>
          <cell r="DP187" t="str">
            <v>Municipal Office</v>
          </cell>
          <cell r="DQ187" t="str">
            <v/>
          </cell>
          <cell r="DR187" t="str">
            <v>Focal Person</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v>0</v>
          </cell>
          <cell r="EK187">
            <v>0</v>
          </cell>
          <cell r="EL187">
            <v>0</v>
          </cell>
          <cell r="EM187">
            <v>0</v>
          </cell>
          <cell r="EN187">
            <v>0</v>
          </cell>
          <cell r="EO187">
            <v>0</v>
          </cell>
          <cell r="EP187" t="str">
            <v/>
          </cell>
          <cell r="EQ187" t="str">
            <v>Housing Recovery and Reconstruction Platform</v>
          </cell>
          <cell r="ER187" t="str">
            <v/>
          </cell>
          <cell r="ES187" t="str">
            <v>District Coordinator</v>
          </cell>
          <cell r="ET187" t="str">
            <v/>
          </cell>
          <cell r="EU187" t="str">
            <v>Housing Recovery and Reconstruction Platform</v>
          </cell>
          <cell r="EV187" t="str">
            <v/>
          </cell>
          <cell r="EW187" t="str">
            <v>DIstrict Information Management Officer</v>
          </cell>
          <cell r="EX187" t="str">
            <v/>
          </cell>
          <cell r="EY187" t="str">
            <v>Housing Recovery and Reconstruction Platform</v>
          </cell>
          <cell r="EZ187" t="str">
            <v/>
          </cell>
          <cell r="FA187" t="str">
            <v>District Technical Officer</v>
          </cell>
          <cell r="FB187" t="str">
            <v/>
          </cell>
        </row>
        <row r="188">
          <cell r="A188">
            <v>37003</v>
          </cell>
          <cell r="B188" t="str">
            <v>Lamjung</v>
          </cell>
          <cell r="C188" t="str">
            <v>Dudhpokhari Gaunpalika</v>
          </cell>
          <cell r="D188">
            <v>203</v>
          </cell>
          <cell r="E188">
            <v>2464</v>
          </cell>
          <cell r="F188">
            <v>2667</v>
          </cell>
          <cell r="G188" t="str">
            <v>Stone and cement mortar masonry</v>
          </cell>
          <cell r="H188">
            <v>0.23</v>
          </cell>
          <cell r="I188">
            <v>1.63</v>
          </cell>
          <cell r="J188" t="str">
            <v>Stone and Mud Mortar Masonary</v>
          </cell>
          <cell r="K188">
            <v>98.76</v>
          </cell>
          <cell r="L188">
            <v>86.02</v>
          </cell>
          <cell r="M188" t="str">
            <v>Brick and Cement Mortar Masonary</v>
          </cell>
          <cell r="N188">
            <v>0</v>
          </cell>
          <cell r="O188">
            <v>3.02</v>
          </cell>
          <cell r="P188" t="str">
            <v>Brick and mud mortar Masonry</v>
          </cell>
          <cell r="Q188">
            <v>0.11</v>
          </cell>
          <cell r="R188">
            <v>1.49</v>
          </cell>
          <cell r="S188" t="str">
            <v>Reinforced cement concrete (RCC) frame</v>
          </cell>
          <cell r="T188">
            <v>0.04</v>
          </cell>
          <cell r="U188">
            <v>2.72</v>
          </cell>
          <cell r="V188" t="str">
            <v>Hybrid structure</v>
          </cell>
          <cell r="W188">
            <v>0</v>
          </cell>
          <cell r="X188">
            <v>0</v>
          </cell>
          <cell r="Y188" t="str">
            <v>Timber frame structure</v>
          </cell>
          <cell r="Z188">
            <v>0.23</v>
          </cell>
          <cell r="AA188">
            <v>0.25</v>
          </cell>
          <cell r="AB188" t="str">
            <v>Hollow concrete block Masonry</v>
          </cell>
          <cell r="AC188">
            <v>0</v>
          </cell>
          <cell r="AD188">
            <v>0</v>
          </cell>
          <cell r="AE188" t="str">
            <v>Dry stone Masonry</v>
          </cell>
          <cell r="AF188">
            <v>0.41</v>
          </cell>
          <cell r="AG188">
            <v>0.37</v>
          </cell>
          <cell r="AH188" t="str">
            <v>Adobe structures</v>
          </cell>
          <cell r="AI188">
            <v>0.19</v>
          </cell>
          <cell r="AJ188">
            <v>4.38</v>
          </cell>
          <cell r="AK188" t="str">
            <v>Bamboo</v>
          </cell>
          <cell r="AL188">
            <v>0.04</v>
          </cell>
          <cell r="AM188">
            <v>0.13</v>
          </cell>
          <cell r="AN188" t="str">
            <v>Compressed stabilized earth block (SCEB) Masonry</v>
          </cell>
          <cell r="AO188">
            <v>0</v>
          </cell>
          <cell r="AP188">
            <v>0</v>
          </cell>
          <cell r="AQ188" t="str">
            <v>Light steel frame structures</v>
          </cell>
          <cell r="AR188">
            <v>0</v>
          </cell>
          <cell r="AS188">
            <v>0</v>
          </cell>
          <cell r="AT188">
            <v>2437</v>
          </cell>
          <cell r="AU188">
            <v>1976</v>
          </cell>
          <cell r="AV188">
            <v>1976</v>
          </cell>
          <cell r="AW188">
            <v>833</v>
          </cell>
          <cell r="AX188">
            <v>2</v>
          </cell>
          <cell r="AY188" t="str">
            <v/>
          </cell>
          <cell r="AZ188" t="str">
            <v/>
          </cell>
          <cell r="BA188">
            <v>6</v>
          </cell>
          <cell r="BB188" t="str">
            <v/>
          </cell>
          <cell r="BC188" t="str">
            <v/>
          </cell>
          <cell r="BD188" t="str">
            <v/>
          </cell>
          <cell r="BE188" t="str">
            <v/>
          </cell>
          <cell r="BF188" t="str">
            <v/>
          </cell>
          <cell r="BG188" t="str">
            <v/>
          </cell>
          <cell r="BH188" t="str">
            <v/>
          </cell>
          <cell r="BI188" t="str">
            <v/>
          </cell>
          <cell r="BJ188" t="str">
            <v>LWR(Agriculture, Livestock Development and Irrigation,Disaster Risk Management,Rural Housing and Community Infrastructure)</v>
          </cell>
          <cell r="BK188">
            <v>56143</v>
          </cell>
          <cell r="BL188" t="str">
            <v/>
          </cell>
          <cell r="BM188" t="str">
            <v/>
          </cell>
          <cell r="BN188">
            <v>58356</v>
          </cell>
          <cell r="BO188" t="str">
            <v/>
          </cell>
          <cell r="BP188" t="str">
            <v/>
          </cell>
          <cell r="BQ188">
            <v>6002</v>
          </cell>
          <cell r="BR188" t="str">
            <v/>
          </cell>
          <cell r="BS188" t="str">
            <v/>
          </cell>
          <cell r="BT188">
            <v>6951</v>
          </cell>
          <cell r="BU188" t="str">
            <v/>
          </cell>
          <cell r="BV188" t="str">
            <v/>
          </cell>
          <cell r="BW188" t="str">
            <v/>
          </cell>
          <cell r="BX188" t="str">
            <v/>
          </cell>
          <cell r="BY188" t="str">
            <v/>
          </cell>
          <cell r="BZ188">
            <v>192976</v>
          </cell>
          <cell r="CA188" t="str">
            <v/>
          </cell>
          <cell r="CB188" t="str">
            <v/>
          </cell>
          <cell r="CC188">
            <v>607101</v>
          </cell>
          <cell r="CD188" t="str">
            <v/>
          </cell>
          <cell r="CE188" t="str">
            <v/>
          </cell>
          <cell r="CF188">
            <v>7886</v>
          </cell>
          <cell r="CG188" t="str">
            <v/>
          </cell>
          <cell r="CH188" t="str">
            <v/>
          </cell>
          <cell r="CI188">
            <v>459252</v>
          </cell>
          <cell r="CJ188" t="str">
            <v/>
          </cell>
          <cell r="CK188" t="str">
            <v/>
          </cell>
          <cell r="CL188" t="str">
            <v>Skilled</v>
          </cell>
          <cell r="CM188" t="str">
            <v/>
          </cell>
          <cell r="CN188" t="str">
            <v>Labor</v>
          </cell>
          <cell r="CO188" t="str">
            <v/>
          </cell>
          <cell r="CP188" t="str">
            <v/>
          </cell>
          <cell r="CQ188" t="str">
            <v/>
          </cell>
          <cell r="CR188" t="str">
            <v/>
          </cell>
          <cell r="CS188" t="str">
            <v/>
          </cell>
          <cell r="CT188" t="str">
            <v/>
          </cell>
          <cell r="CU188" t="str">
            <v/>
          </cell>
          <cell r="CV188" t="str">
            <v>Municipal Office</v>
          </cell>
          <cell r="CW188" t="str">
            <v/>
          </cell>
          <cell r="CX188" t="str">
            <v>Chairman</v>
          </cell>
          <cell r="CY188" t="str">
            <v/>
          </cell>
          <cell r="CZ188" t="str">
            <v>Municipal Office</v>
          </cell>
          <cell r="DA188" t="str">
            <v/>
          </cell>
          <cell r="DB188" t="str">
            <v>Deputy Chairman</v>
          </cell>
          <cell r="DC188" t="str">
            <v/>
          </cell>
          <cell r="DD188" t="str">
            <v>Municipal Office</v>
          </cell>
          <cell r="DE188" t="str">
            <v/>
          </cell>
          <cell r="DF188" t="str">
            <v>Chief Adminstration Officer</v>
          </cell>
          <cell r="DG188" t="str">
            <v/>
          </cell>
          <cell r="DH188" t="str">
            <v>NRA/GMALI</v>
          </cell>
          <cell r="DI188" t="str">
            <v>Usesh Shrestha</v>
          </cell>
          <cell r="DJ188" t="str">
            <v>NRA Chief-District</v>
          </cell>
          <cell r="DK188">
            <v>9856046960</v>
          </cell>
          <cell r="DL188" t="str">
            <v>DLPIU-Building</v>
          </cell>
          <cell r="DM188" t="str">
            <v/>
          </cell>
          <cell r="DN188" t="str">
            <v>DUDBC.DLPIU Chief</v>
          </cell>
          <cell r="DO188" t="str">
            <v/>
          </cell>
          <cell r="DP188" t="str">
            <v>Municipal Office</v>
          </cell>
          <cell r="DQ188" t="str">
            <v>Milan Nepali</v>
          </cell>
          <cell r="DR188" t="str">
            <v>Focal Person</v>
          </cell>
          <cell r="DS188">
            <v>984478095</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v>0</v>
          </cell>
          <cell r="EK188">
            <v>0</v>
          </cell>
          <cell r="EL188">
            <v>0</v>
          </cell>
          <cell r="EM188">
            <v>0</v>
          </cell>
          <cell r="EN188">
            <v>0</v>
          </cell>
          <cell r="EO188">
            <v>0</v>
          </cell>
          <cell r="EP188" t="str">
            <v/>
          </cell>
          <cell r="EQ188" t="str">
            <v>Housing Recovery and Reconstruction Platform</v>
          </cell>
          <cell r="ER188" t="str">
            <v/>
          </cell>
          <cell r="ES188" t="str">
            <v>District Coordinator</v>
          </cell>
          <cell r="ET188" t="str">
            <v/>
          </cell>
          <cell r="EU188" t="str">
            <v>Housing Recovery and Reconstruction Platform</v>
          </cell>
          <cell r="EV188" t="str">
            <v/>
          </cell>
          <cell r="EW188" t="str">
            <v>DIstrict Information Management Officer</v>
          </cell>
          <cell r="EX188" t="str">
            <v/>
          </cell>
          <cell r="EY188" t="str">
            <v>Housing Recovery and Reconstruction Platform</v>
          </cell>
          <cell r="EZ188" t="str">
            <v/>
          </cell>
          <cell r="FA188" t="str">
            <v>District Technical Officer</v>
          </cell>
          <cell r="FB188" t="str">
            <v/>
          </cell>
        </row>
        <row r="189">
          <cell r="A189">
            <v>37004</v>
          </cell>
          <cell r="B189" t="str">
            <v>Lamjung</v>
          </cell>
          <cell r="C189" t="str">
            <v>Kwholasothar Gaunpalika</v>
          </cell>
          <cell r="D189">
            <v>347</v>
          </cell>
          <cell r="E189">
            <v>393</v>
          </cell>
          <cell r="F189">
            <v>740</v>
          </cell>
          <cell r="G189" t="str">
            <v>Stone and cement mortar masonry</v>
          </cell>
          <cell r="H189">
            <v>0.68</v>
          </cell>
          <cell r="I189">
            <v>1.63</v>
          </cell>
          <cell r="J189" t="str">
            <v>Stone and Mud Mortar Masonary</v>
          </cell>
          <cell r="K189">
            <v>61.35</v>
          </cell>
          <cell r="L189">
            <v>86.02</v>
          </cell>
          <cell r="M189" t="str">
            <v>Brick and Cement Mortar Masonary</v>
          </cell>
          <cell r="N189">
            <v>0</v>
          </cell>
          <cell r="O189">
            <v>3.02</v>
          </cell>
          <cell r="P189" t="str">
            <v>Brick and mud mortar Masonry</v>
          </cell>
          <cell r="Q189">
            <v>0</v>
          </cell>
          <cell r="R189">
            <v>1.49</v>
          </cell>
          <cell r="S189" t="str">
            <v>Reinforced cement concrete (RCC) frame</v>
          </cell>
          <cell r="T189">
            <v>0</v>
          </cell>
          <cell r="U189">
            <v>2.72</v>
          </cell>
          <cell r="V189" t="str">
            <v>Hybrid structure</v>
          </cell>
          <cell r="W189">
            <v>0</v>
          </cell>
          <cell r="X189">
            <v>0</v>
          </cell>
          <cell r="Y189" t="str">
            <v>Timber frame structure</v>
          </cell>
          <cell r="Z189">
            <v>0.27</v>
          </cell>
          <cell r="AA189">
            <v>0.25</v>
          </cell>
          <cell r="AB189" t="str">
            <v>Hollow concrete block Masonry</v>
          </cell>
          <cell r="AC189">
            <v>0</v>
          </cell>
          <cell r="AD189">
            <v>0</v>
          </cell>
          <cell r="AE189" t="str">
            <v>Dry stone Masonry</v>
          </cell>
          <cell r="AF189">
            <v>0</v>
          </cell>
          <cell r="AG189">
            <v>0.37</v>
          </cell>
          <cell r="AH189" t="str">
            <v>Adobe structures</v>
          </cell>
          <cell r="AI189">
            <v>37.700000000000003</v>
          </cell>
          <cell r="AJ189">
            <v>4.38</v>
          </cell>
          <cell r="AK189" t="str">
            <v>Bamboo</v>
          </cell>
          <cell r="AL189">
            <v>0</v>
          </cell>
          <cell r="AM189">
            <v>0.13</v>
          </cell>
          <cell r="AN189" t="str">
            <v>Compressed stabilized earth block (SCEB) Masonry</v>
          </cell>
          <cell r="AO189">
            <v>0</v>
          </cell>
          <cell r="AP189">
            <v>0</v>
          </cell>
          <cell r="AQ189" t="str">
            <v>Light steel frame structures</v>
          </cell>
          <cell r="AR189">
            <v>0</v>
          </cell>
          <cell r="AS189">
            <v>0</v>
          </cell>
          <cell r="AT189">
            <v>316</v>
          </cell>
          <cell r="AU189">
            <v>295</v>
          </cell>
          <cell r="AV189">
            <v>295</v>
          </cell>
          <cell r="AW189">
            <v>34</v>
          </cell>
          <cell r="AX189">
            <v>0</v>
          </cell>
          <cell r="AY189" t="str">
            <v/>
          </cell>
          <cell r="AZ189" t="str">
            <v/>
          </cell>
          <cell r="BA189">
            <v>72</v>
          </cell>
          <cell r="BB189" t="str">
            <v/>
          </cell>
          <cell r="BC189" t="str">
            <v/>
          </cell>
          <cell r="BD189" t="str">
            <v/>
          </cell>
          <cell r="BE189" t="str">
            <v/>
          </cell>
          <cell r="BF189" t="str">
            <v/>
          </cell>
          <cell r="BG189" t="str">
            <v/>
          </cell>
          <cell r="BH189" t="str">
            <v/>
          </cell>
          <cell r="BI189" t="str">
            <v/>
          </cell>
          <cell r="BJ189" t="str">
            <v/>
          </cell>
          <cell r="BK189">
            <v>8404</v>
          </cell>
          <cell r="BL189" t="str">
            <v/>
          </cell>
          <cell r="BM189" t="str">
            <v/>
          </cell>
          <cell r="BN189">
            <v>8640</v>
          </cell>
          <cell r="BO189" t="str">
            <v/>
          </cell>
          <cell r="BP189" t="str">
            <v/>
          </cell>
          <cell r="BQ189">
            <v>898</v>
          </cell>
          <cell r="BR189" t="str">
            <v/>
          </cell>
          <cell r="BS189" t="str">
            <v/>
          </cell>
          <cell r="BT189">
            <v>1037</v>
          </cell>
          <cell r="BU189" t="str">
            <v/>
          </cell>
          <cell r="BV189" t="str">
            <v/>
          </cell>
          <cell r="BW189" t="str">
            <v/>
          </cell>
          <cell r="BX189" t="str">
            <v/>
          </cell>
          <cell r="BY189" t="str">
            <v/>
          </cell>
          <cell r="BZ189">
            <v>28776</v>
          </cell>
          <cell r="CA189" t="str">
            <v/>
          </cell>
          <cell r="CB189" t="str">
            <v/>
          </cell>
          <cell r="CC189">
            <v>91277</v>
          </cell>
          <cell r="CD189" t="str">
            <v/>
          </cell>
          <cell r="CE189" t="str">
            <v/>
          </cell>
          <cell r="CF189">
            <v>1177</v>
          </cell>
          <cell r="CG189" t="str">
            <v/>
          </cell>
          <cell r="CH189" t="str">
            <v/>
          </cell>
          <cell r="CI189">
            <v>104939</v>
          </cell>
          <cell r="CJ189" t="str">
            <v/>
          </cell>
          <cell r="CK189" t="str">
            <v/>
          </cell>
          <cell r="CL189" t="str">
            <v>Skilled</v>
          </cell>
          <cell r="CM189" t="str">
            <v/>
          </cell>
          <cell r="CN189" t="str">
            <v>Labor</v>
          </cell>
          <cell r="CO189" t="str">
            <v/>
          </cell>
          <cell r="CP189" t="str">
            <v/>
          </cell>
          <cell r="CQ189" t="str">
            <v/>
          </cell>
          <cell r="CR189" t="str">
            <v/>
          </cell>
          <cell r="CS189" t="str">
            <v/>
          </cell>
          <cell r="CT189" t="str">
            <v/>
          </cell>
          <cell r="CU189" t="str">
            <v/>
          </cell>
          <cell r="CV189" t="str">
            <v>Municipal Office</v>
          </cell>
          <cell r="CW189" t="str">
            <v/>
          </cell>
          <cell r="CX189" t="str">
            <v>Chairman</v>
          </cell>
          <cell r="CY189" t="str">
            <v/>
          </cell>
          <cell r="CZ189" t="str">
            <v>Municipal Office</v>
          </cell>
          <cell r="DA189" t="str">
            <v/>
          </cell>
          <cell r="DB189" t="str">
            <v>Deputy Chairman</v>
          </cell>
          <cell r="DC189" t="str">
            <v/>
          </cell>
          <cell r="DD189" t="str">
            <v>Municipal Office</v>
          </cell>
          <cell r="DE189" t="str">
            <v/>
          </cell>
          <cell r="DF189" t="str">
            <v>Chief Adminstration Officer</v>
          </cell>
          <cell r="DG189" t="str">
            <v/>
          </cell>
          <cell r="DH189" t="str">
            <v>NRA/GMALI</v>
          </cell>
          <cell r="DI189" t="str">
            <v>Usesh Shrestha</v>
          </cell>
          <cell r="DJ189" t="str">
            <v>NRA Chief-District</v>
          </cell>
          <cell r="DK189">
            <v>9856046960</v>
          </cell>
          <cell r="DL189" t="str">
            <v>DLPIU-Building</v>
          </cell>
          <cell r="DM189" t="str">
            <v/>
          </cell>
          <cell r="DN189" t="str">
            <v>DUDBC.DLPIU Chief</v>
          </cell>
          <cell r="DO189" t="str">
            <v/>
          </cell>
          <cell r="DP189" t="str">
            <v>Municipal Office</v>
          </cell>
          <cell r="DQ189" t="str">
            <v/>
          </cell>
          <cell r="DR189" t="str">
            <v>Focal Person</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v>0</v>
          </cell>
          <cell r="EK189">
            <v>0</v>
          </cell>
          <cell r="EL189">
            <v>0</v>
          </cell>
          <cell r="EM189">
            <v>0</v>
          </cell>
          <cell r="EN189">
            <v>0</v>
          </cell>
          <cell r="EO189">
            <v>0</v>
          </cell>
          <cell r="EP189" t="str">
            <v/>
          </cell>
          <cell r="EQ189" t="str">
            <v>Housing Recovery and Reconstruction Platform</v>
          </cell>
          <cell r="ER189" t="str">
            <v/>
          </cell>
          <cell r="ES189" t="str">
            <v>District Coordinator</v>
          </cell>
          <cell r="ET189" t="str">
            <v/>
          </cell>
          <cell r="EU189" t="str">
            <v>Housing Recovery and Reconstruction Platform</v>
          </cell>
          <cell r="EV189" t="str">
            <v/>
          </cell>
          <cell r="EW189" t="str">
            <v>DIstrict Information Management Officer</v>
          </cell>
          <cell r="EX189" t="str">
            <v/>
          </cell>
          <cell r="EY189" t="str">
            <v>Housing Recovery and Reconstruction Platform</v>
          </cell>
          <cell r="EZ189" t="str">
            <v/>
          </cell>
          <cell r="FA189" t="str">
            <v>District Technical Officer</v>
          </cell>
          <cell r="FB189" t="str">
            <v/>
          </cell>
        </row>
        <row r="190">
          <cell r="A190">
            <v>37005</v>
          </cell>
          <cell r="B190" t="str">
            <v>Lamjung</v>
          </cell>
          <cell r="C190" t="str">
            <v>MadhyaNepal Nagarpalika</v>
          </cell>
          <cell r="D190">
            <v>757</v>
          </cell>
          <cell r="E190">
            <v>1589</v>
          </cell>
          <cell r="F190">
            <v>2346</v>
          </cell>
          <cell r="G190" t="str">
            <v>Stone and cement mortar masonry</v>
          </cell>
          <cell r="H190">
            <v>2.64</v>
          </cell>
          <cell r="I190">
            <v>1.63</v>
          </cell>
          <cell r="J190" t="str">
            <v>Stone and Mud Mortar Masonary</v>
          </cell>
          <cell r="K190">
            <v>92.75</v>
          </cell>
          <cell r="L190">
            <v>86.02</v>
          </cell>
          <cell r="M190" t="str">
            <v>Brick and Cement Mortar Masonary</v>
          </cell>
          <cell r="N190">
            <v>2.4300000000000002</v>
          </cell>
          <cell r="O190">
            <v>3.02</v>
          </cell>
          <cell r="P190" t="str">
            <v>Brick and mud mortar Masonry</v>
          </cell>
          <cell r="Q190">
            <v>0.38</v>
          </cell>
          <cell r="R190">
            <v>1.49</v>
          </cell>
          <cell r="S190" t="str">
            <v>Reinforced cement concrete (RCC) frame</v>
          </cell>
          <cell r="T190">
            <v>0.77</v>
          </cell>
          <cell r="U190">
            <v>2.72</v>
          </cell>
          <cell r="V190" t="str">
            <v>Hybrid structure</v>
          </cell>
          <cell r="W190">
            <v>0</v>
          </cell>
          <cell r="X190">
            <v>0</v>
          </cell>
          <cell r="Y190" t="str">
            <v>Timber frame structure</v>
          </cell>
          <cell r="Z190">
            <v>0.09</v>
          </cell>
          <cell r="AA190">
            <v>0.25</v>
          </cell>
          <cell r="AB190" t="str">
            <v>Hollow concrete block Masonry</v>
          </cell>
          <cell r="AC190">
            <v>0</v>
          </cell>
          <cell r="AD190">
            <v>0</v>
          </cell>
          <cell r="AE190" t="str">
            <v>Dry stone Masonry</v>
          </cell>
          <cell r="AF190">
            <v>0.09</v>
          </cell>
          <cell r="AG190">
            <v>0.37</v>
          </cell>
          <cell r="AH190" t="str">
            <v>Adobe structures</v>
          </cell>
          <cell r="AI190">
            <v>0.85</v>
          </cell>
          <cell r="AJ190">
            <v>4.38</v>
          </cell>
          <cell r="AK190" t="str">
            <v>Bamboo</v>
          </cell>
          <cell r="AL190">
            <v>0</v>
          </cell>
          <cell r="AM190">
            <v>0.13</v>
          </cell>
          <cell r="AN190" t="str">
            <v>Compressed stabilized earth block (SCEB) Masonry</v>
          </cell>
          <cell r="AO190">
            <v>0</v>
          </cell>
          <cell r="AP190">
            <v>0</v>
          </cell>
          <cell r="AQ190" t="str">
            <v>Light steel frame structures</v>
          </cell>
          <cell r="AR190">
            <v>0</v>
          </cell>
          <cell r="AS190">
            <v>0</v>
          </cell>
          <cell r="AT190">
            <v>1505</v>
          </cell>
          <cell r="AU190">
            <v>1754</v>
          </cell>
          <cell r="AV190">
            <v>1754</v>
          </cell>
          <cell r="AW190">
            <v>318</v>
          </cell>
          <cell r="AX190">
            <v>0</v>
          </cell>
          <cell r="AY190" t="str">
            <v/>
          </cell>
          <cell r="AZ190" t="str">
            <v/>
          </cell>
          <cell r="BA190">
            <v>54</v>
          </cell>
          <cell r="BB190" t="str">
            <v/>
          </cell>
          <cell r="BC190" t="str">
            <v/>
          </cell>
          <cell r="BD190" t="str">
            <v/>
          </cell>
          <cell r="BE190" t="str">
            <v/>
          </cell>
          <cell r="BF190" t="str">
            <v/>
          </cell>
          <cell r="BG190" t="str">
            <v/>
          </cell>
          <cell r="BH190" t="str">
            <v/>
          </cell>
          <cell r="BI190" t="str">
            <v/>
          </cell>
          <cell r="BJ190" t="str">
            <v/>
          </cell>
          <cell r="BK190">
            <v>46809</v>
          </cell>
          <cell r="BL190" t="str">
            <v/>
          </cell>
          <cell r="BM190" t="str">
            <v/>
          </cell>
          <cell r="BN190">
            <v>48276</v>
          </cell>
          <cell r="BO190" t="str">
            <v/>
          </cell>
          <cell r="BP190" t="str">
            <v/>
          </cell>
          <cell r="BQ190">
            <v>5001</v>
          </cell>
          <cell r="BR190" t="str">
            <v/>
          </cell>
          <cell r="BS190" t="str">
            <v/>
          </cell>
          <cell r="BT190">
            <v>5784</v>
          </cell>
          <cell r="BU190" t="str">
            <v/>
          </cell>
          <cell r="BV190" t="str">
            <v/>
          </cell>
          <cell r="BW190" t="str">
            <v/>
          </cell>
          <cell r="BX190" t="str">
            <v/>
          </cell>
          <cell r="BY190" t="str">
            <v/>
          </cell>
          <cell r="BZ190">
            <v>160549</v>
          </cell>
          <cell r="CA190" t="str">
            <v/>
          </cell>
          <cell r="CB190" t="str">
            <v/>
          </cell>
          <cell r="CC190">
            <v>507876</v>
          </cell>
          <cell r="CD190" t="str">
            <v/>
          </cell>
          <cell r="CE190" t="str">
            <v/>
          </cell>
          <cell r="CF190">
            <v>6566</v>
          </cell>
          <cell r="CG190" t="str">
            <v/>
          </cell>
          <cell r="CH190" t="str">
            <v/>
          </cell>
          <cell r="CI190">
            <v>540108</v>
          </cell>
          <cell r="CJ190" t="str">
            <v/>
          </cell>
          <cell r="CK190" t="str">
            <v/>
          </cell>
          <cell r="CL190" t="str">
            <v>Skilled</v>
          </cell>
          <cell r="CM190" t="str">
            <v/>
          </cell>
          <cell r="CN190" t="str">
            <v>Labor</v>
          </cell>
          <cell r="CO190" t="str">
            <v/>
          </cell>
          <cell r="CP190" t="str">
            <v/>
          </cell>
          <cell r="CQ190" t="str">
            <v/>
          </cell>
          <cell r="CR190" t="str">
            <v/>
          </cell>
          <cell r="CS190" t="str">
            <v/>
          </cell>
          <cell r="CT190" t="str">
            <v/>
          </cell>
          <cell r="CU190" t="str">
            <v/>
          </cell>
          <cell r="CV190" t="str">
            <v>Municipal Office</v>
          </cell>
          <cell r="CW190" t="str">
            <v/>
          </cell>
          <cell r="CX190" t="str">
            <v>Mayor</v>
          </cell>
          <cell r="CY190" t="str">
            <v/>
          </cell>
          <cell r="CZ190" t="str">
            <v>Municipal Office</v>
          </cell>
          <cell r="DA190" t="str">
            <v/>
          </cell>
          <cell r="DB190" t="str">
            <v>Deputy Mayor</v>
          </cell>
          <cell r="DC190" t="str">
            <v/>
          </cell>
          <cell r="DD190" t="str">
            <v>Municipal Office</v>
          </cell>
          <cell r="DE190" t="str">
            <v/>
          </cell>
          <cell r="DF190" t="str">
            <v>Chief Adminstration Officer</v>
          </cell>
          <cell r="DG190" t="str">
            <v/>
          </cell>
          <cell r="DH190" t="str">
            <v>NRA/GMALI</v>
          </cell>
          <cell r="DI190" t="str">
            <v>Usesh Shrestha</v>
          </cell>
          <cell r="DJ190" t="str">
            <v>NRA Chief-District</v>
          </cell>
          <cell r="DK190">
            <v>9856046960</v>
          </cell>
          <cell r="DL190" t="str">
            <v>DLPIU-Building</v>
          </cell>
          <cell r="DM190" t="str">
            <v/>
          </cell>
          <cell r="DN190" t="str">
            <v>DUDBC.DLPIU Chief</v>
          </cell>
          <cell r="DO190" t="str">
            <v/>
          </cell>
          <cell r="DP190" t="str">
            <v>Municipal Office</v>
          </cell>
          <cell r="DQ190" t="str">
            <v/>
          </cell>
          <cell r="DR190" t="str">
            <v>Focal Person</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v>0</v>
          </cell>
          <cell r="EK190">
            <v>0</v>
          </cell>
          <cell r="EL190">
            <v>0</v>
          </cell>
          <cell r="EM190">
            <v>0</v>
          </cell>
          <cell r="EN190">
            <v>0</v>
          </cell>
          <cell r="EO190">
            <v>0</v>
          </cell>
          <cell r="EP190" t="str">
            <v/>
          </cell>
          <cell r="EQ190" t="str">
            <v>Housing Recovery and Reconstruction Platform</v>
          </cell>
          <cell r="ER190" t="str">
            <v/>
          </cell>
          <cell r="ES190" t="str">
            <v>District Coordinator</v>
          </cell>
          <cell r="ET190" t="str">
            <v/>
          </cell>
          <cell r="EU190" t="str">
            <v>Housing Recovery and Reconstruction Platform</v>
          </cell>
          <cell r="EV190" t="str">
            <v/>
          </cell>
          <cell r="EW190" t="str">
            <v>DIstrict Information Management Officer</v>
          </cell>
          <cell r="EX190" t="str">
            <v/>
          </cell>
          <cell r="EY190" t="str">
            <v>Housing Recovery and Reconstruction Platform</v>
          </cell>
          <cell r="EZ190" t="str">
            <v/>
          </cell>
          <cell r="FA190" t="str">
            <v>District Technical Officer</v>
          </cell>
          <cell r="FB190" t="str">
            <v/>
          </cell>
        </row>
        <row r="191">
          <cell r="A191">
            <v>37006</v>
          </cell>
          <cell r="B191" t="str">
            <v>Lamjung</v>
          </cell>
          <cell r="C191" t="str">
            <v>Marsyangdi Gaunpalika</v>
          </cell>
          <cell r="D191">
            <v>812</v>
          </cell>
          <cell r="E191">
            <v>1124</v>
          </cell>
          <cell r="F191">
            <v>1936</v>
          </cell>
          <cell r="G191" t="str">
            <v>Stone and cement mortar masonry</v>
          </cell>
          <cell r="H191">
            <v>3.21</v>
          </cell>
          <cell r="I191">
            <v>1.63</v>
          </cell>
          <cell r="J191" t="str">
            <v>Stone and Mud Mortar Masonary</v>
          </cell>
          <cell r="K191">
            <v>76.19</v>
          </cell>
          <cell r="L191">
            <v>86.02</v>
          </cell>
          <cell r="M191" t="str">
            <v>Brick and Cement Mortar Masonary</v>
          </cell>
          <cell r="N191">
            <v>0.88</v>
          </cell>
          <cell r="O191">
            <v>3.02</v>
          </cell>
          <cell r="P191" t="str">
            <v>Brick and mud mortar Masonry</v>
          </cell>
          <cell r="Q191">
            <v>0.1</v>
          </cell>
          <cell r="R191">
            <v>1.49</v>
          </cell>
          <cell r="S191" t="str">
            <v>Reinforced cement concrete (RCC) frame</v>
          </cell>
          <cell r="T191">
            <v>0</v>
          </cell>
          <cell r="U191">
            <v>2.72</v>
          </cell>
          <cell r="V191" t="str">
            <v>Hybrid structure</v>
          </cell>
          <cell r="W191">
            <v>0</v>
          </cell>
          <cell r="X191">
            <v>0</v>
          </cell>
          <cell r="Y191" t="str">
            <v>Timber frame structure</v>
          </cell>
          <cell r="Z191">
            <v>0.78</v>
          </cell>
          <cell r="AA191">
            <v>0.25</v>
          </cell>
          <cell r="AB191" t="str">
            <v>Hollow concrete block Masonry</v>
          </cell>
          <cell r="AC191">
            <v>0</v>
          </cell>
          <cell r="AD191">
            <v>0</v>
          </cell>
          <cell r="AE191" t="str">
            <v>Dry stone Masonry</v>
          </cell>
          <cell r="AF191">
            <v>1.45</v>
          </cell>
          <cell r="AG191">
            <v>0.37</v>
          </cell>
          <cell r="AH191" t="str">
            <v>Adobe structures</v>
          </cell>
          <cell r="AI191">
            <v>17.34</v>
          </cell>
          <cell r="AJ191">
            <v>4.38</v>
          </cell>
          <cell r="AK191" t="str">
            <v>Bamboo</v>
          </cell>
          <cell r="AL191">
            <v>0.05</v>
          </cell>
          <cell r="AM191">
            <v>0.13</v>
          </cell>
          <cell r="AN191" t="str">
            <v>Compressed stabilized earth block (SCEB) Masonry</v>
          </cell>
          <cell r="AO191">
            <v>0</v>
          </cell>
          <cell r="AP191">
            <v>0</v>
          </cell>
          <cell r="AQ191" t="str">
            <v>Light steel frame structures</v>
          </cell>
          <cell r="AR191">
            <v>0</v>
          </cell>
          <cell r="AS191">
            <v>0</v>
          </cell>
          <cell r="AT191">
            <v>922</v>
          </cell>
          <cell r="AU191">
            <v>773</v>
          </cell>
          <cell r="AV191">
            <v>773</v>
          </cell>
          <cell r="AW191">
            <v>162</v>
          </cell>
          <cell r="AX191">
            <v>0</v>
          </cell>
          <cell r="AY191" t="str">
            <v/>
          </cell>
          <cell r="AZ191" t="str">
            <v/>
          </cell>
          <cell r="BA191">
            <v>176</v>
          </cell>
          <cell r="BB191" t="str">
            <v/>
          </cell>
          <cell r="BC191" t="str">
            <v/>
          </cell>
          <cell r="BD191" t="str">
            <v/>
          </cell>
          <cell r="BE191" t="str">
            <v/>
          </cell>
          <cell r="BF191" t="str">
            <v/>
          </cell>
          <cell r="BG191" t="str">
            <v/>
          </cell>
          <cell r="BH191" t="str">
            <v/>
          </cell>
          <cell r="BI191" t="str">
            <v/>
          </cell>
          <cell r="BJ191" t="str">
            <v/>
          </cell>
          <cell r="BK191">
            <v>22931</v>
          </cell>
          <cell r="BL191" t="str">
            <v/>
          </cell>
          <cell r="BM191" t="str">
            <v/>
          </cell>
          <cell r="BN191">
            <v>22178</v>
          </cell>
          <cell r="BO191" t="str">
            <v/>
          </cell>
          <cell r="BP191" t="str">
            <v/>
          </cell>
          <cell r="BQ191">
            <v>2438</v>
          </cell>
          <cell r="BR191" t="str">
            <v/>
          </cell>
          <cell r="BS191" t="str">
            <v/>
          </cell>
          <cell r="BT191">
            <v>2774</v>
          </cell>
          <cell r="BU191" t="str">
            <v/>
          </cell>
          <cell r="BV191" t="str">
            <v/>
          </cell>
          <cell r="BW191" t="str">
            <v/>
          </cell>
          <cell r="BX191" t="str">
            <v/>
          </cell>
          <cell r="BY191" t="str">
            <v/>
          </cell>
          <cell r="BZ191">
            <v>75099</v>
          </cell>
          <cell r="CA191" t="str">
            <v/>
          </cell>
          <cell r="CB191" t="str">
            <v/>
          </cell>
          <cell r="CC191">
            <v>252463</v>
          </cell>
          <cell r="CD191" t="str">
            <v/>
          </cell>
          <cell r="CE191" t="str">
            <v/>
          </cell>
          <cell r="CF191">
            <v>3075</v>
          </cell>
          <cell r="CG191" t="str">
            <v/>
          </cell>
          <cell r="CH191" t="str">
            <v/>
          </cell>
          <cell r="CI191">
            <v>538551</v>
          </cell>
          <cell r="CJ191" t="str">
            <v/>
          </cell>
          <cell r="CK191" t="str">
            <v/>
          </cell>
          <cell r="CL191" t="str">
            <v>Skilled</v>
          </cell>
          <cell r="CM191" t="str">
            <v/>
          </cell>
          <cell r="CN191" t="str">
            <v>Labor</v>
          </cell>
          <cell r="CO191" t="str">
            <v/>
          </cell>
          <cell r="CP191" t="str">
            <v/>
          </cell>
          <cell r="CQ191" t="str">
            <v/>
          </cell>
          <cell r="CR191" t="str">
            <v/>
          </cell>
          <cell r="CS191" t="str">
            <v/>
          </cell>
          <cell r="CT191" t="str">
            <v/>
          </cell>
          <cell r="CU191" t="str">
            <v/>
          </cell>
          <cell r="CV191" t="str">
            <v>Municipal Office</v>
          </cell>
          <cell r="CW191" t="str">
            <v/>
          </cell>
          <cell r="CX191" t="str">
            <v>Chairman</v>
          </cell>
          <cell r="CY191" t="str">
            <v/>
          </cell>
          <cell r="CZ191" t="str">
            <v>Municipal Office</v>
          </cell>
          <cell r="DA191" t="str">
            <v/>
          </cell>
          <cell r="DB191" t="str">
            <v>Deputy Chairman</v>
          </cell>
          <cell r="DC191" t="str">
            <v/>
          </cell>
          <cell r="DD191" t="str">
            <v>Municipal Office</v>
          </cell>
          <cell r="DE191" t="str">
            <v/>
          </cell>
          <cell r="DF191" t="str">
            <v>Chief Adminstration Officer</v>
          </cell>
          <cell r="DG191" t="str">
            <v/>
          </cell>
          <cell r="DH191" t="str">
            <v>NRA/GMALI</v>
          </cell>
          <cell r="DI191" t="str">
            <v>Usesh Shrestha</v>
          </cell>
          <cell r="DJ191" t="str">
            <v>NRA Chief-District</v>
          </cell>
          <cell r="DK191">
            <v>9856046960</v>
          </cell>
          <cell r="DL191" t="str">
            <v>DLPIU-Building</v>
          </cell>
          <cell r="DM191" t="str">
            <v/>
          </cell>
          <cell r="DN191" t="str">
            <v>DUDBC.DLPIU Chief</v>
          </cell>
          <cell r="DO191" t="str">
            <v/>
          </cell>
          <cell r="DP191" t="str">
            <v>Municipal Office</v>
          </cell>
          <cell r="DQ191" t="str">
            <v>Pradip Kumar Barakoti</v>
          </cell>
          <cell r="DR191" t="str">
            <v>Focal Person</v>
          </cell>
          <cell r="DS191">
            <v>9841910630</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v>0</v>
          </cell>
          <cell r="EK191">
            <v>0</v>
          </cell>
          <cell r="EL191">
            <v>0</v>
          </cell>
          <cell r="EM191">
            <v>0</v>
          </cell>
          <cell r="EN191">
            <v>0</v>
          </cell>
          <cell r="EO191">
            <v>0</v>
          </cell>
          <cell r="EP191" t="str">
            <v/>
          </cell>
          <cell r="EQ191" t="str">
            <v>Housing Recovery and Reconstruction Platform</v>
          </cell>
          <cell r="ER191" t="str">
            <v/>
          </cell>
          <cell r="ES191" t="str">
            <v>District Coordinator</v>
          </cell>
          <cell r="ET191" t="str">
            <v/>
          </cell>
          <cell r="EU191" t="str">
            <v>Housing Recovery and Reconstruction Platform</v>
          </cell>
          <cell r="EV191" t="str">
            <v/>
          </cell>
          <cell r="EW191" t="str">
            <v>DIstrict Information Management Officer</v>
          </cell>
          <cell r="EX191" t="str">
            <v/>
          </cell>
          <cell r="EY191" t="str">
            <v>Housing Recovery and Reconstruction Platform</v>
          </cell>
          <cell r="EZ191" t="str">
            <v/>
          </cell>
          <cell r="FA191" t="str">
            <v>District Technical Officer</v>
          </cell>
          <cell r="FB191" t="str">
            <v/>
          </cell>
        </row>
        <row r="192">
          <cell r="A192">
            <v>37007</v>
          </cell>
          <cell r="B192" t="str">
            <v>Lamjung</v>
          </cell>
          <cell r="C192" t="str">
            <v>Rainas Nagarpalika</v>
          </cell>
          <cell r="D192">
            <v>1180</v>
          </cell>
          <cell r="E192">
            <v>3182</v>
          </cell>
          <cell r="F192">
            <v>4362</v>
          </cell>
          <cell r="G192" t="str">
            <v>Stone and cement mortar masonry</v>
          </cell>
          <cell r="H192">
            <v>0.73</v>
          </cell>
          <cell r="I192">
            <v>1.63</v>
          </cell>
          <cell r="J192" t="str">
            <v>Stone and Mud Mortar Masonary</v>
          </cell>
          <cell r="K192">
            <v>87.79</v>
          </cell>
          <cell r="L192">
            <v>86.02</v>
          </cell>
          <cell r="M192" t="str">
            <v>Brick and Cement Mortar Masonary</v>
          </cell>
          <cell r="N192">
            <v>1.86</v>
          </cell>
          <cell r="O192">
            <v>3.02</v>
          </cell>
          <cell r="P192" t="str">
            <v>Brick and mud mortar Masonry</v>
          </cell>
          <cell r="Q192">
            <v>6.68</v>
          </cell>
          <cell r="R192">
            <v>1.49</v>
          </cell>
          <cell r="S192" t="str">
            <v>Reinforced cement concrete (RCC) frame</v>
          </cell>
          <cell r="T192">
            <v>1.28</v>
          </cell>
          <cell r="U192">
            <v>2.72</v>
          </cell>
          <cell r="V192" t="str">
            <v>Hybrid structure</v>
          </cell>
          <cell r="W192">
            <v>0</v>
          </cell>
          <cell r="X192">
            <v>0</v>
          </cell>
          <cell r="Y192" t="str">
            <v>Timber frame structure</v>
          </cell>
          <cell r="Z192">
            <v>0.46</v>
          </cell>
          <cell r="AA192">
            <v>0.25</v>
          </cell>
          <cell r="AB192" t="str">
            <v>Hollow concrete block Masonry</v>
          </cell>
          <cell r="AC192">
            <v>0</v>
          </cell>
          <cell r="AD192">
            <v>0</v>
          </cell>
          <cell r="AE192" t="str">
            <v>Dry stone Masonry</v>
          </cell>
          <cell r="AF192">
            <v>0.18</v>
          </cell>
          <cell r="AG192">
            <v>0.37</v>
          </cell>
          <cell r="AH192" t="str">
            <v>Adobe structures</v>
          </cell>
          <cell r="AI192">
            <v>0.67</v>
          </cell>
          <cell r="AJ192">
            <v>4.38</v>
          </cell>
          <cell r="AK192" t="str">
            <v>Bamboo</v>
          </cell>
          <cell r="AL192">
            <v>0.34</v>
          </cell>
          <cell r="AM192">
            <v>0.13</v>
          </cell>
          <cell r="AN192" t="str">
            <v>Compressed stabilized earth block (SCEB) Masonry</v>
          </cell>
          <cell r="AO192">
            <v>0</v>
          </cell>
          <cell r="AP192">
            <v>0</v>
          </cell>
          <cell r="AQ192" t="str">
            <v>Light steel frame structures</v>
          </cell>
          <cell r="AR192">
            <v>0</v>
          </cell>
          <cell r="AS192">
            <v>0</v>
          </cell>
          <cell r="AT192">
            <v>2989</v>
          </cell>
          <cell r="AU192">
            <v>2106</v>
          </cell>
          <cell r="AV192">
            <v>2106</v>
          </cell>
          <cell r="AW192">
            <v>675</v>
          </cell>
          <cell r="AX192">
            <v>2</v>
          </cell>
          <cell r="AY192" t="str">
            <v/>
          </cell>
          <cell r="AZ192" t="str">
            <v/>
          </cell>
          <cell r="BA192">
            <v>105</v>
          </cell>
          <cell r="BB192" t="str">
            <v/>
          </cell>
          <cell r="BC192" t="str">
            <v/>
          </cell>
          <cell r="BD192" t="str">
            <v/>
          </cell>
          <cell r="BE192" t="str">
            <v/>
          </cell>
          <cell r="BF192" t="str">
            <v/>
          </cell>
          <cell r="BG192" t="str">
            <v/>
          </cell>
          <cell r="BH192" t="str">
            <v/>
          </cell>
          <cell r="BI192" t="str">
            <v/>
          </cell>
          <cell r="BJ192" t="str">
            <v>CHOICE(Education)</v>
          </cell>
          <cell r="BK192">
            <v>63767</v>
          </cell>
          <cell r="BL192" t="str">
            <v/>
          </cell>
          <cell r="BM192" t="str">
            <v/>
          </cell>
          <cell r="BN192">
            <v>61274</v>
          </cell>
          <cell r="BO192" t="str">
            <v/>
          </cell>
          <cell r="BP192" t="str">
            <v/>
          </cell>
          <cell r="BQ192">
            <v>6770</v>
          </cell>
          <cell r="BR192" t="str">
            <v/>
          </cell>
          <cell r="BS192" t="str">
            <v/>
          </cell>
          <cell r="BT192">
            <v>7669</v>
          </cell>
          <cell r="BU192" t="str">
            <v/>
          </cell>
          <cell r="BV192" t="str">
            <v/>
          </cell>
          <cell r="BW192" t="str">
            <v/>
          </cell>
          <cell r="BX192" t="str">
            <v/>
          </cell>
          <cell r="BY192" t="str">
            <v/>
          </cell>
          <cell r="BZ192">
            <v>203347</v>
          </cell>
          <cell r="CA192" t="str">
            <v/>
          </cell>
          <cell r="CB192" t="str">
            <v/>
          </cell>
          <cell r="CC192">
            <v>696991</v>
          </cell>
          <cell r="CD192" t="str">
            <v/>
          </cell>
          <cell r="CE192" t="str">
            <v/>
          </cell>
          <cell r="CF192">
            <v>8302</v>
          </cell>
          <cell r="CG192" t="str">
            <v/>
          </cell>
          <cell r="CH192" t="str">
            <v/>
          </cell>
          <cell r="CI192">
            <v>879292</v>
          </cell>
          <cell r="CJ192" t="str">
            <v/>
          </cell>
          <cell r="CK192" t="str">
            <v/>
          </cell>
          <cell r="CL192" t="str">
            <v>Skilled</v>
          </cell>
          <cell r="CM192" t="str">
            <v/>
          </cell>
          <cell r="CN192" t="str">
            <v>Labor</v>
          </cell>
          <cell r="CO192" t="str">
            <v/>
          </cell>
          <cell r="CP192" t="str">
            <v/>
          </cell>
          <cell r="CQ192" t="str">
            <v/>
          </cell>
          <cell r="CR192" t="str">
            <v/>
          </cell>
          <cell r="CS192" t="str">
            <v/>
          </cell>
          <cell r="CT192" t="str">
            <v/>
          </cell>
          <cell r="CU192" t="str">
            <v/>
          </cell>
          <cell r="CV192" t="str">
            <v>Municipal Office</v>
          </cell>
          <cell r="CW192" t="str">
            <v/>
          </cell>
          <cell r="CX192" t="str">
            <v>Mayor</v>
          </cell>
          <cell r="CY192" t="str">
            <v/>
          </cell>
          <cell r="CZ192" t="str">
            <v>Municipal Office</v>
          </cell>
          <cell r="DA192" t="str">
            <v/>
          </cell>
          <cell r="DB192" t="str">
            <v>Deputy Mayor</v>
          </cell>
          <cell r="DC192" t="str">
            <v/>
          </cell>
          <cell r="DD192" t="str">
            <v>Municipal Office</v>
          </cell>
          <cell r="DE192" t="str">
            <v/>
          </cell>
          <cell r="DF192" t="str">
            <v>Chief Adminstration Officer</v>
          </cell>
          <cell r="DG192" t="str">
            <v/>
          </cell>
          <cell r="DH192" t="str">
            <v>NRA/GMALI</v>
          </cell>
          <cell r="DI192" t="str">
            <v>Usesh Shrestha</v>
          </cell>
          <cell r="DJ192" t="str">
            <v>NRA Chief-District</v>
          </cell>
          <cell r="DK192">
            <v>9856046960</v>
          </cell>
          <cell r="DL192" t="str">
            <v>DLPIU-Building</v>
          </cell>
          <cell r="DM192" t="str">
            <v/>
          </cell>
          <cell r="DN192" t="str">
            <v>DUDBC.DLPIU Chief</v>
          </cell>
          <cell r="DO192" t="str">
            <v/>
          </cell>
          <cell r="DP192" t="str">
            <v>Municipal Office</v>
          </cell>
          <cell r="DQ192" t="str">
            <v>Maya Nand Chaudhary</v>
          </cell>
          <cell r="DR192" t="str">
            <v>Focal Person</v>
          </cell>
          <cell r="DS192">
            <v>9840203446</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v>0</v>
          </cell>
          <cell r="EK192">
            <v>0</v>
          </cell>
          <cell r="EL192">
            <v>0</v>
          </cell>
          <cell r="EM192">
            <v>0</v>
          </cell>
          <cell r="EN192">
            <v>0</v>
          </cell>
          <cell r="EO192">
            <v>0</v>
          </cell>
          <cell r="EP192" t="str">
            <v/>
          </cell>
          <cell r="EQ192" t="str">
            <v>Housing Recovery and Reconstruction Platform</v>
          </cell>
          <cell r="ER192" t="str">
            <v/>
          </cell>
          <cell r="ES192" t="str">
            <v>District Coordinator</v>
          </cell>
          <cell r="ET192" t="str">
            <v/>
          </cell>
          <cell r="EU192" t="str">
            <v>Housing Recovery and Reconstruction Platform</v>
          </cell>
          <cell r="EV192" t="str">
            <v/>
          </cell>
          <cell r="EW192" t="str">
            <v>DIstrict Information Management Officer</v>
          </cell>
          <cell r="EX192" t="str">
            <v/>
          </cell>
          <cell r="EY192" t="str">
            <v>Housing Recovery and Reconstruction Platform</v>
          </cell>
          <cell r="EZ192" t="str">
            <v/>
          </cell>
          <cell r="FA192" t="str">
            <v>District Technical Officer</v>
          </cell>
          <cell r="FB192" t="str">
            <v/>
          </cell>
        </row>
        <row r="193">
          <cell r="A193">
            <v>37008</v>
          </cell>
          <cell r="B193" t="str">
            <v>Lamjung</v>
          </cell>
          <cell r="C193" t="str">
            <v>Sundarbazar Nagarpalika</v>
          </cell>
          <cell r="D193">
            <v>1630</v>
          </cell>
          <cell r="E193">
            <v>2454</v>
          </cell>
          <cell r="F193">
            <v>4084</v>
          </cell>
          <cell r="G193" t="str">
            <v>Stone and cement mortar masonry</v>
          </cell>
          <cell r="H193">
            <v>1.69</v>
          </cell>
          <cell r="I193">
            <v>1.63</v>
          </cell>
          <cell r="J193" t="str">
            <v>Stone and Mud Mortar Masonary</v>
          </cell>
          <cell r="K193">
            <v>70.760000000000005</v>
          </cell>
          <cell r="L193">
            <v>86.02</v>
          </cell>
          <cell r="M193" t="str">
            <v>Brick and Cement Mortar Masonary</v>
          </cell>
          <cell r="N193">
            <v>8.33</v>
          </cell>
          <cell r="O193">
            <v>3.02</v>
          </cell>
          <cell r="P193" t="str">
            <v>Brick and mud mortar Masonry</v>
          </cell>
          <cell r="Q193">
            <v>0.51</v>
          </cell>
          <cell r="R193">
            <v>1.49</v>
          </cell>
          <cell r="S193" t="str">
            <v>Reinforced cement concrete (RCC) frame</v>
          </cell>
          <cell r="T193">
            <v>12.32</v>
          </cell>
          <cell r="U193">
            <v>2.72</v>
          </cell>
          <cell r="V193" t="str">
            <v>Hybrid structure</v>
          </cell>
          <cell r="W193">
            <v>0</v>
          </cell>
          <cell r="X193">
            <v>0</v>
          </cell>
          <cell r="Y193" t="str">
            <v>Timber frame structure</v>
          </cell>
          <cell r="Z193">
            <v>0.1</v>
          </cell>
          <cell r="AA193">
            <v>0.25</v>
          </cell>
          <cell r="AB193" t="str">
            <v>Hollow concrete block Masonry</v>
          </cell>
          <cell r="AC193">
            <v>0</v>
          </cell>
          <cell r="AD193">
            <v>0</v>
          </cell>
          <cell r="AE193" t="str">
            <v>Dry stone Masonry</v>
          </cell>
          <cell r="AF193">
            <v>0.12</v>
          </cell>
          <cell r="AG193">
            <v>0.37</v>
          </cell>
          <cell r="AH193" t="str">
            <v>Adobe structures</v>
          </cell>
          <cell r="AI193">
            <v>6.15</v>
          </cell>
          <cell r="AJ193">
            <v>4.38</v>
          </cell>
          <cell r="AK193" t="str">
            <v>Bamboo</v>
          </cell>
          <cell r="AL193">
            <v>0.02</v>
          </cell>
          <cell r="AM193">
            <v>0.13</v>
          </cell>
          <cell r="AN193" t="str">
            <v>Compressed stabilized earth block (SCEB) Masonry</v>
          </cell>
          <cell r="AO193">
            <v>0</v>
          </cell>
          <cell r="AP193">
            <v>0</v>
          </cell>
          <cell r="AQ193" t="str">
            <v>Light steel frame structures</v>
          </cell>
          <cell r="AR193">
            <v>0</v>
          </cell>
          <cell r="AS193">
            <v>0</v>
          </cell>
          <cell r="AT193">
            <v>2257</v>
          </cell>
          <cell r="AU193">
            <v>2825</v>
          </cell>
          <cell r="AV193">
            <v>2825</v>
          </cell>
          <cell r="AW193">
            <v>710</v>
          </cell>
          <cell r="AX193">
            <v>1</v>
          </cell>
          <cell r="AY193" t="str">
            <v/>
          </cell>
          <cell r="AZ193" t="str">
            <v/>
          </cell>
          <cell r="BA193">
            <v>90</v>
          </cell>
          <cell r="BB193" t="str">
            <v/>
          </cell>
          <cell r="BC193" t="str">
            <v/>
          </cell>
          <cell r="BD193" t="str">
            <v/>
          </cell>
          <cell r="BE193" t="str">
            <v/>
          </cell>
          <cell r="BF193" t="str">
            <v/>
          </cell>
          <cell r="BG193" t="str">
            <v/>
          </cell>
          <cell r="BH193" t="str">
            <v/>
          </cell>
          <cell r="BI193" t="str">
            <v/>
          </cell>
          <cell r="BJ193" t="str">
            <v>WVIN(Education)</v>
          </cell>
          <cell r="BK193">
            <v>102119</v>
          </cell>
          <cell r="BL193" t="str">
            <v/>
          </cell>
          <cell r="BM193" t="str">
            <v/>
          </cell>
          <cell r="BN193">
            <v>78295</v>
          </cell>
          <cell r="BO193" t="str">
            <v/>
          </cell>
          <cell r="BP193" t="str">
            <v/>
          </cell>
          <cell r="BQ193">
            <v>10659</v>
          </cell>
          <cell r="BR193" t="str">
            <v/>
          </cell>
          <cell r="BS193" t="str">
            <v/>
          </cell>
          <cell r="BT193">
            <v>11404</v>
          </cell>
          <cell r="BU193" t="str">
            <v/>
          </cell>
          <cell r="BV193" t="str">
            <v/>
          </cell>
          <cell r="BW193" t="str">
            <v/>
          </cell>
          <cell r="BX193" t="str">
            <v/>
          </cell>
          <cell r="BY193" t="str">
            <v/>
          </cell>
          <cell r="BZ193">
            <v>265415</v>
          </cell>
          <cell r="CA193" t="str">
            <v/>
          </cell>
          <cell r="CB193" t="str">
            <v/>
          </cell>
          <cell r="CC193">
            <v>1149048</v>
          </cell>
          <cell r="CD193" t="str">
            <v/>
          </cell>
          <cell r="CE193" t="str">
            <v/>
          </cell>
          <cell r="CF193">
            <v>10817</v>
          </cell>
          <cell r="CG193" t="str">
            <v/>
          </cell>
          <cell r="CH193" t="str">
            <v/>
          </cell>
          <cell r="CI193">
            <v>3207115</v>
          </cell>
          <cell r="CJ193" t="str">
            <v/>
          </cell>
          <cell r="CK193" t="str">
            <v/>
          </cell>
          <cell r="CL193" t="str">
            <v>Skilled</v>
          </cell>
          <cell r="CM193" t="str">
            <v/>
          </cell>
          <cell r="CN193" t="str">
            <v>Labor</v>
          </cell>
          <cell r="CO193" t="str">
            <v/>
          </cell>
          <cell r="CP193" t="str">
            <v/>
          </cell>
          <cell r="CQ193" t="str">
            <v/>
          </cell>
          <cell r="CR193" t="str">
            <v/>
          </cell>
          <cell r="CS193" t="str">
            <v/>
          </cell>
          <cell r="CT193" t="str">
            <v/>
          </cell>
          <cell r="CU193" t="str">
            <v/>
          </cell>
          <cell r="CV193" t="str">
            <v>Municipal Office</v>
          </cell>
          <cell r="CW193" t="str">
            <v/>
          </cell>
          <cell r="CX193" t="str">
            <v>Mayor</v>
          </cell>
          <cell r="CY193" t="str">
            <v/>
          </cell>
          <cell r="CZ193" t="str">
            <v>Municipal Office</v>
          </cell>
          <cell r="DA193" t="str">
            <v/>
          </cell>
          <cell r="DB193" t="str">
            <v>Deputy Mayor</v>
          </cell>
          <cell r="DC193" t="str">
            <v/>
          </cell>
          <cell r="DD193" t="str">
            <v>Municipal Office</v>
          </cell>
          <cell r="DE193" t="str">
            <v/>
          </cell>
          <cell r="DF193" t="str">
            <v>Chief Adminstration Officer</v>
          </cell>
          <cell r="DG193" t="str">
            <v/>
          </cell>
          <cell r="DH193" t="str">
            <v>NRA/GMALI</v>
          </cell>
          <cell r="DI193" t="str">
            <v>Usesh Shrestha</v>
          </cell>
          <cell r="DJ193" t="str">
            <v>NRA Chief-District</v>
          </cell>
          <cell r="DK193">
            <v>9856046960</v>
          </cell>
          <cell r="DL193" t="str">
            <v>DLPIU-Building</v>
          </cell>
          <cell r="DM193" t="str">
            <v/>
          </cell>
          <cell r="DN193" t="str">
            <v>DUDBC.DLPIU Chief</v>
          </cell>
          <cell r="DO193" t="str">
            <v/>
          </cell>
          <cell r="DP193" t="str">
            <v>Municipal Office</v>
          </cell>
          <cell r="DQ193" t="str">
            <v>Mithilesh Yadav</v>
          </cell>
          <cell r="DR193" t="str">
            <v>Focal Person</v>
          </cell>
          <cell r="DS193">
            <v>9847001248</v>
          </cell>
          <cell r="DT193" t="str">
            <v/>
          </cell>
          <cell r="DU193" t="str">
            <v/>
          </cell>
          <cell r="DV193" t="str">
            <v/>
          </cell>
          <cell r="DW193" t="str">
            <v/>
          </cell>
          <cell r="DX193" t="str">
            <v/>
          </cell>
          <cell r="DY193" t="str">
            <v/>
          </cell>
          <cell r="DZ193" t="str">
            <v/>
          </cell>
          <cell r="EA193" t="str">
            <v/>
          </cell>
          <cell r="EB193" t="str">
            <v/>
          </cell>
          <cell r="EC193" t="str">
            <v/>
          </cell>
          <cell r="ED193" t="str">
            <v/>
          </cell>
          <cell r="EE193" t="str">
            <v/>
          </cell>
          <cell r="EF193" t="str">
            <v/>
          </cell>
          <cell r="EG193" t="str">
            <v/>
          </cell>
          <cell r="EH193" t="str">
            <v/>
          </cell>
          <cell r="EI193" t="str">
            <v/>
          </cell>
          <cell r="EJ193">
            <v>0</v>
          </cell>
          <cell r="EK193">
            <v>0</v>
          </cell>
          <cell r="EL193">
            <v>0</v>
          </cell>
          <cell r="EM193">
            <v>0</v>
          </cell>
          <cell r="EN193">
            <v>0</v>
          </cell>
          <cell r="EO193">
            <v>0</v>
          </cell>
          <cell r="EP193" t="str">
            <v/>
          </cell>
          <cell r="EQ193" t="str">
            <v>Housing Recovery and Reconstruction Platform</v>
          </cell>
          <cell r="ER193" t="str">
            <v/>
          </cell>
          <cell r="ES193" t="str">
            <v>District Coordinator</v>
          </cell>
          <cell r="ET193" t="str">
            <v/>
          </cell>
          <cell r="EU193" t="str">
            <v>Housing Recovery and Reconstruction Platform</v>
          </cell>
          <cell r="EV193" t="str">
            <v/>
          </cell>
          <cell r="EW193" t="str">
            <v>DIstrict Information Management Officer</v>
          </cell>
          <cell r="EX193" t="str">
            <v/>
          </cell>
          <cell r="EY193" t="str">
            <v>Housing Recovery and Reconstruction Platform</v>
          </cell>
          <cell r="EZ193" t="str">
            <v/>
          </cell>
          <cell r="FA193" t="str">
            <v>District Technical Officer</v>
          </cell>
          <cell r="FB193" t="str">
            <v/>
          </cell>
        </row>
        <row r="194">
          <cell r="A194">
            <v>38001</v>
          </cell>
          <cell r="B194" t="str">
            <v>Tanahun</v>
          </cell>
          <cell r="C194" t="str">
            <v>Anbukhaireni Gaunpalika</v>
          </cell>
          <cell r="D194">
            <v>315</v>
          </cell>
          <cell r="E194">
            <v>735</v>
          </cell>
          <cell r="F194">
            <v>1050</v>
          </cell>
          <cell r="G194" t="str">
            <v>Stone and cement mortar masonry</v>
          </cell>
          <cell r="H194">
            <v>1.52</v>
          </cell>
          <cell r="I194">
            <v>2.69</v>
          </cell>
          <cell r="J194" t="str">
            <v>Stone and Mud Mortar Masonary</v>
          </cell>
          <cell r="K194">
            <v>93.24</v>
          </cell>
          <cell r="L194">
            <v>88.78</v>
          </cell>
          <cell r="M194" t="str">
            <v>Brick and Cement Mortar Masonary</v>
          </cell>
          <cell r="N194">
            <v>3.14</v>
          </cell>
          <cell r="O194">
            <v>3.44</v>
          </cell>
          <cell r="P194" t="str">
            <v>Brick and mud mortar Masonry</v>
          </cell>
          <cell r="Q194">
            <v>0.48</v>
          </cell>
          <cell r="R194">
            <v>1.46</v>
          </cell>
          <cell r="S194" t="str">
            <v>Reinforced cement concrete (RCC) frame</v>
          </cell>
          <cell r="T194">
            <v>0</v>
          </cell>
          <cell r="U194">
            <v>2.38</v>
          </cell>
          <cell r="V194" t="str">
            <v>Hybrid structure</v>
          </cell>
          <cell r="W194">
            <v>0</v>
          </cell>
          <cell r="X194">
            <v>0</v>
          </cell>
          <cell r="Y194" t="str">
            <v>Timber frame structure</v>
          </cell>
          <cell r="Z194">
            <v>0.19</v>
          </cell>
          <cell r="AA194">
            <v>0.37</v>
          </cell>
          <cell r="AB194" t="str">
            <v>Hollow concrete block Masonry</v>
          </cell>
          <cell r="AC194">
            <v>0</v>
          </cell>
          <cell r="AD194">
            <v>0</v>
          </cell>
          <cell r="AE194" t="str">
            <v>Dry stone Masonry</v>
          </cell>
          <cell r="AF194">
            <v>1.1399999999999999</v>
          </cell>
          <cell r="AG194">
            <v>0.32</v>
          </cell>
          <cell r="AH194" t="str">
            <v>Adobe structures</v>
          </cell>
          <cell r="AI194">
            <v>0.28999999999999998</v>
          </cell>
          <cell r="AJ194">
            <v>0.47</v>
          </cell>
          <cell r="AK194" t="str">
            <v>Bamboo</v>
          </cell>
          <cell r="AL194">
            <v>0</v>
          </cell>
          <cell r="AM194">
            <v>0.08</v>
          </cell>
          <cell r="AN194" t="str">
            <v>Compressed stabilized earth block (SCEB) Masonry</v>
          </cell>
          <cell r="AO194">
            <v>0</v>
          </cell>
          <cell r="AP194">
            <v>0</v>
          </cell>
          <cell r="AQ194" t="str">
            <v>Light steel frame structures</v>
          </cell>
          <cell r="AR194">
            <v>0</v>
          </cell>
          <cell r="AS194">
            <v>0</v>
          </cell>
          <cell r="AT194">
            <v>722</v>
          </cell>
          <cell r="AU194">
            <v>837</v>
          </cell>
          <cell r="AV194">
            <v>837</v>
          </cell>
          <cell r="AW194">
            <v>141</v>
          </cell>
          <cell r="AX194">
            <v>0</v>
          </cell>
          <cell r="AY194" t="str">
            <v/>
          </cell>
          <cell r="AZ194" t="str">
            <v/>
          </cell>
          <cell r="BA194">
            <v>162</v>
          </cell>
          <cell r="BB194" t="str">
            <v/>
          </cell>
          <cell r="BC194" t="str">
            <v/>
          </cell>
          <cell r="BD194" t="str">
            <v/>
          </cell>
          <cell r="BE194" t="str">
            <v/>
          </cell>
          <cell r="BF194" t="str">
            <v/>
          </cell>
          <cell r="BG194" t="str">
            <v/>
          </cell>
          <cell r="BH194" t="str">
            <v/>
          </cell>
          <cell r="BI194" t="str">
            <v/>
          </cell>
          <cell r="BJ194" t="str">
            <v/>
          </cell>
          <cell r="BK194">
            <v>29870</v>
          </cell>
          <cell r="BL194" t="str">
            <v>Y</v>
          </cell>
          <cell r="BM194" t="str">
            <v/>
          </cell>
          <cell r="BN194">
            <v>23191</v>
          </cell>
          <cell r="BO194" t="str">
            <v/>
          </cell>
          <cell r="BP194" t="str">
            <v/>
          </cell>
          <cell r="BQ194">
            <v>3122</v>
          </cell>
          <cell r="BR194" t="str">
            <v/>
          </cell>
          <cell r="BS194" t="str">
            <v/>
          </cell>
          <cell r="BT194">
            <v>3354</v>
          </cell>
          <cell r="BU194" t="str">
            <v/>
          </cell>
          <cell r="BV194" t="str">
            <v/>
          </cell>
          <cell r="BW194" t="str">
            <v/>
          </cell>
          <cell r="BX194" t="str">
            <v/>
          </cell>
          <cell r="BY194" t="str">
            <v/>
          </cell>
          <cell r="BZ194">
            <v>79432</v>
          </cell>
          <cell r="CA194" t="str">
            <v/>
          </cell>
          <cell r="CB194" t="str">
            <v/>
          </cell>
          <cell r="CC194">
            <v>336850</v>
          </cell>
          <cell r="CD194" t="str">
            <v/>
          </cell>
          <cell r="CE194" t="str">
            <v/>
          </cell>
          <cell r="CF194">
            <v>3243</v>
          </cell>
          <cell r="CG194" t="str">
            <v/>
          </cell>
          <cell r="CH194" t="str">
            <v/>
          </cell>
          <cell r="CI194">
            <v>1052181</v>
          </cell>
          <cell r="CJ194" t="str">
            <v/>
          </cell>
          <cell r="CK194" t="str">
            <v/>
          </cell>
          <cell r="CL194" t="str">
            <v>Skilled</v>
          </cell>
          <cell r="CM194" t="str">
            <v/>
          </cell>
          <cell r="CN194" t="str">
            <v>Labor</v>
          </cell>
          <cell r="CO194" t="str">
            <v/>
          </cell>
          <cell r="CP194" t="str">
            <v/>
          </cell>
          <cell r="CQ194" t="str">
            <v/>
          </cell>
          <cell r="CR194" t="str">
            <v/>
          </cell>
          <cell r="CS194" t="str">
            <v/>
          </cell>
          <cell r="CT194" t="str">
            <v/>
          </cell>
          <cell r="CU194" t="str">
            <v/>
          </cell>
          <cell r="CV194" t="str">
            <v>Municipal Office</v>
          </cell>
          <cell r="CW194" t="str">
            <v/>
          </cell>
          <cell r="CX194" t="str">
            <v>Chairman</v>
          </cell>
          <cell r="CY194" t="str">
            <v/>
          </cell>
          <cell r="CZ194" t="str">
            <v>Municipal Office</v>
          </cell>
          <cell r="DA194" t="str">
            <v/>
          </cell>
          <cell r="DB194" t="str">
            <v>Deputy Chairman</v>
          </cell>
          <cell r="DC194" t="str">
            <v/>
          </cell>
          <cell r="DD194" t="str">
            <v>Municipal Office</v>
          </cell>
          <cell r="DE194" t="str">
            <v/>
          </cell>
          <cell r="DF194" t="str">
            <v>Chief Adminstration Officer</v>
          </cell>
          <cell r="DG194">
            <v>9856063718</v>
          </cell>
          <cell r="DH194" t="str">
            <v>NRA/GMALI</v>
          </cell>
          <cell r="DI194" t="str">
            <v>Dipendra Kumar Rohita</v>
          </cell>
          <cell r="DJ194" t="str">
            <v>NRA Chief-District</v>
          </cell>
          <cell r="DK194" t="str">
            <v/>
          </cell>
          <cell r="DL194" t="str">
            <v>DLPIU-Building</v>
          </cell>
          <cell r="DM194" t="str">
            <v/>
          </cell>
          <cell r="DN194" t="str">
            <v>DUDBC.DLPIU Chief</v>
          </cell>
          <cell r="DO194" t="str">
            <v/>
          </cell>
          <cell r="DP194" t="str">
            <v>Municipal Office</v>
          </cell>
          <cell r="DQ194" t="str">
            <v>Anil Bhujel</v>
          </cell>
          <cell r="DR194" t="str">
            <v>Focal Person</v>
          </cell>
          <cell r="DS194">
            <v>9846467053</v>
          </cell>
          <cell r="DT194" t="str">
            <v/>
          </cell>
          <cell r="DU194" t="str">
            <v/>
          </cell>
          <cell r="DV194" t="str">
            <v/>
          </cell>
          <cell r="DW194" t="str">
            <v/>
          </cell>
          <cell r="DX194" t="str">
            <v/>
          </cell>
          <cell r="DY194" t="str">
            <v/>
          </cell>
          <cell r="DZ194" t="str">
            <v/>
          </cell>
          <cell r="EA194" t="str">
            <v/>
          </cell>
          <cell r="EB194" t="str">
            <v/>
          </cell>
          <cell r="EC194" t="str">
            <v/>
          </cell>
          <cell r="ED194" t="str">
            <v/>
          </cell>
          <cell r="EE194" t="str">
            <v/>
          </cell>
          <cell r="EF194" t="str">
            <v/>
          </cell>
          <cell r="EG194" t="str">
            <v/>
          </cell>
          <cell r="EH194" t="str">
            <v/>
          </cell>
          <cell r="EI194" t="str">
            <v/>
          </cell>
          <cell r="EJ194">
            <v>0</v>
          </cell>
          <cell r="EK194">
            <v>0</v>
          </cell>
          <cell r="EL194">
            <v>0</v>
          </cell>
          <cell r="EM194">
            <v>0</v>
          </cell>
          <cell r="EN194">
            <v>0</v>
          </cell>
          <cell r="EO194">
            <v>0</v>
          </cell>
          <cell r="EP194" t="str">
            <v/>
          </cell>
          <cell r="EQ194" t="str">
            <v>Housing Recovery and Reconstruction Platform</v>
          </cell>
          <cell r="ER194" t="str">
            <v/>
          </cell>
          <cell r="ES194" t="str">
            <v>District Coordinator</v>
          </cell>
          <cell r="ET194" t="str">
            <v/>
          </cell>
          <cell r="EU194" t="str">
            <v>Housing Recovery and Reconstruction Platform</v>
          </cell>
          <cell r="EV194" t="str">
            <v/>
          </cell>
          <cell r="EW194" t="str">
            <v>DIstrict Information Management Officer</v>
          </cell>
          <cell r="EX194" t="str">
            <v/>
          </cell>
          <cell r="EY194" t="str">
            <v>Housing Recovery and Reconstruction Platform</v>
          </cell>
          <cell r="EZ194" t="str">
            <v/>
          </cell>
          <cell r="FA194" t="str">
            <v>District Technical Officer</v>
          </cell>
          <cell r="FB194" t="str">
            <v/>
          </cell>
        </row>
        <row r="195">
          <cell r="A195">
            <v>38002</v>
          </cell>
          <cell r="B195" t="str">
            <v>Tanahun</v>
          </cell>
          <cell r="C195" t="str">
            <v>Bandipur Gaunpalika</v>
          </cell>
          <cell r="D195">
            <v>157</v>
          </cell>
          <cell r="E195">
            <v>1069</v>
          </cell>
          <cell r="F195">
            <v>1226</v>
          </cell>
          <cell r="G195" t="str">
            <v>Stone and cement mortar masonry</v>
          </cell>
          <cell r="H195">
            <v>2.04</v>
          </cell>
          <cell r="I195">
            <v>2.69</v>
          </cell>
          <cell r="J195" t="str">
            <v>Stone and Mud Mortar Masonary</v>
          </cell>
          <cell r="K195">
            <v>89.56</v>
          </cell>
          <cell r="L195">
            <v>88.78</v>
          </cell>
          <cell r="M195" t="str">
            <v>Brick and Cement Mortar Masonary</v>
          </cell>
          <cell r="N195">
            <v>2.2799999999999998</v>
          </cell>
          <cell r="O195">
            <v>3.44</v>
          </cell>
          <cell r="P195" t="str">
            <v>Brick and mud mortar Masonry</v>
          </cell>
          <cell r="Q195">
            <v>1.88</v>
          </cell>
          <cell r="R195">
            <v>1.46</v>
          </cell>
          <cell r="S195" t="str">
            <v>Reinforced cement concrete (RCC) frame</v>
          </cell>
          <cell r="T195">
            <v>1.06</v>
          </cell>
          <cell r="U195">
            <v>2.38</v>
          </cell>
          <cell r="V195" t="str">
            <v>Hybrid structure</v>
          </cell>
          <cell r="W195">
            <v>0</v>
          </cell>
          <cell r="X195">
            <v>0</v>
          </cell>
          <cell r="Y195" t="str">
            <v>Timber frame structure</v>
          </cell>
          <cell r="Z195">
            <v>0.08</v>
          </cell>
          <cell r="AA195">
            <v>0.37</v>
          </cell>
          <cell r="AB195" t="str">
            <v>Hollow concrete block Masonry</v>
          </cell>
          <cell r="AC195">
            <v>0</v>
          </cell>
          <cell r="AD195">
            <v>0</v>
          </cell>
          <cell r="AE195" t="str">
            <v>Dry stone Masonry</v>
          </cell>
          <cell r="AF195">
            <v>0</v>
          </cell>
          <cell r="AG195">
            <v>0.32</v>
          </cell>
          <cell r="AH195" t="str">
            <v>Adobe structures</v>
          </cell>
          <cell r="AI195">
            <v>3.1</v>
          </cell>
          <cell r="AJ195">
            <v>0.47</v>
          </cell>
          <cell r="AK195" t="str">
            <v>Bamboo</v>
          </cell>
          <cell r="AL195">
            <v>0</v>
          </cell>
          <cell r="AM195">
            <v>0.08</v>
          </cell>
          <cell r="AN195" t="str">
            <v>Compressed stabilized earth block (SCEB) Masonry</v>
          </cell>
          <cell r="AO195">
            <v>0</v>
          </cell>
          <cell r="AP195">
            <v>0</v>
          </cell>
          <cell r="AQ195" t="str">
            <v>Light steel frame structures</v>
          </cell>
          <cell r="AR195">
            <v>0</v>
          </cell>
          <cell r="AS195">
            <v>0</v>
          </cell>
          <cell r="AT195">
            <v>996</v>
          </cell>
          <cell r="AU195">
            <v>687</v>
          </cell>
          <cell r="AV195">
            <v>687</v>
          </cell>
          <cell r="AW195">
            <v>228</v>
          </cell>
          <cell r="AX195">
            <v>0</v>
          </cell>
          <cell r="AY195" t="str">
            <v/>
          </cell>
          <cell r="AZ195" t="str">
            <v/>
          </cell>
          <cell r="BA195">
            <v>66</v>
          </cell>
          <cell r="BB195" t="str">
            <v/>
          </cell>
          <cell r="BC195" t="str">
            <v/>
          </cell>
          <cell r="BD195" t="str">
            <v/>
          </cell>
          <cell r="BE195" t="str">
            <v/>
          </cell>
          <cell r="BF195" t="str">
            <v/>
          </cell>
          <cell r="BG195" t="str">
            <v/>
          </cell>
          <cell r="BH195" t="str">
            <v/>
          </cell>
          <cell r="BI195" t="str">
            <v/>
          </cell>
          <cell r="BJ195" t="str">
            <v/>
          </cell>
          <cell r="BK195">
            <v>20061</v>
          </cell>
          <cell r="BL195" t="str">
            <v/>
          </cell>
          <cell r="BM195" t="str">
            <v/>
          </cell>
          <cell r="BN195">
            <v>19953</v>
          </cell>
          <cell r="BO195" t="str">
            <v/>
          </cell>
          <cell r="BP195" t="str">
            <v/>
          </cell>
          <cell r="BQ195">
            <v>2137</v>
          </cell>
          <cell r="BR195" t="str">
            <v/>
          </cell>
          <cell r="BS195" t="str">
            <v/>
          </cell>
          <cell r="BT195">
            <v>2448</v>
          </cell>
          <cell r="BU195" t="str">
            <v/>
          </cell>
          <cell r="BV195" t="str">
            <v/>
          </cell>
          <cell r="BW195" t="str">
            <v/>
          </cell>
          <cell r="BX195" t="str">
            <v/>
          </cell>
          <cell r="BY195" t="str">
            <v/>
          </cell>
          <cell r="BZ195">
            <v>66910</v>
          </cell>
          <cell r="CA195" t="str">
            <v/>
          </cell>
          <cell r="CB195" t="str">
            <v/>
          </cell>
          <cell r="CC195">
            <v>219339</v>
          </cell>
          <cell r="CD195" t="str">
            <v/>
          </cell>
          <cell r="CE195" t="str">
            <v/>
          </cell>
          <cell r="CF195">
            <v>2738</v>
          </cell>
          <cell r="CG195" t="str">
            <v/>
          </cell>
          <cell r="CH195" t="str">
            <v/>
          </cell>
          <cell r="CI195">
            <v>350481</v>
          </cell>
          <cell r="CJ195" t="str">
            <v/>
          </cell>
          <cell r="CK195" t="str">
            <v/>
          </cell>
          <cell r="CL195" t="str">
            <v>Skilled</v>
          </cell>
          <cell r="CM195" t="str">
            <v/>
          </cell>
          <cell r="CN195" t="str">
            <v>Labor</v>
          </cell>
          <cell r="CO195" t="str">
            <v/>
          </cell>
          <cell r="CP195" t="str">
            <v/>
          </cell>
          <cell r="CQ195" t="str">
            <v/>
          </cell>
          <cell r="CR195" t="str">
            <v/>
          </cell>
          <cell r="CS195" t="str">
            <v/>
          </cell>
          <cell r="CT195" t="str">
            <v/>
          </cell>
          <cell r="CU195" t="str">
            <v/>
          </cell>
          <cell r="CV195" t="str">
            <v>Municipal Office</v>
          </cell>
          <cell r="CW195" t="str">
            <v/>
          </cell>
          <cell r="CX195" t="str">
            <v>Chairman</v>
          </cell>
          <cell r="CY195" t="str">
            <v/>
          </cell>
          <cell r="CZ195" t="str">
            <v>Municipal Office</v>
          </cell>
          <cell r="DA195" t="str">
            <v/>
          </cell>
          <cell r="DB195" t="str">
            <v>Deputy Chairman</v>
          </cell>
          <cell r="DC195" t="str">
            <v/>
          </cell>
          <cell r="DD195" t="str">
            <v>Municipal Office</v>
          </cell>
          <cell r="DE195" t="str">
            <v/>
          </cell>
          <cell r="DF195" t="str">
            <v>Chief Adminstration Officer</v>
          </cell>
          <cell r="DG195">
            <v>9856063718</v>
          </cell>
          <cell r="DH195" t="str">
            <v>NRA/GMALI</v>
          </cell>
          <cell r="DI195" t="str">
            <v>Dipendra Kumar Rohita</v>
          </cell>
          <cell r="DJ195" t="str">
            <v>NRA Chief-District</v>
          </cell>
          <cell r="DK195" t="str">
            <v/>
          </cell>
          <cell r="DL195" t="str">
            <v>DLPIU-Building</v>
          </cell>
          <cell r="DM195" t="str">
            <v/>
          </cell>
          <cell r="DN195" t="str">
            <v>DUDBC.DLPIU Chief</v>
          </cell>
          <cell r="DO195" t="str">
            <v/>
          </cell>
          <cell r="DP195" t="str">
            <v>Municipal Office</v>
          </cell>
          <cell r="DQ195" t="str">
            <v>Muhar Rawal</v>
          </cell>
          <cell r="DR195" t="str">
            <v>Focal Person</v>
          </cell>
          <cell r="DS195">
            <v>9841933856</v>
          </cell>
          <cell r="DT195" t="str">
            <v/>
          </cell>
          <cell r="DU195" t="str">
            <v/>
          </cell>
          <cell r="DV195" t="str">
            <v/>
          </cell>
          <cell r="DW195" t="str">
            <v/>
          </cell>
          <cell r="DX195" t="str">
            <v/>
          </cell>
          <cell r="DY195" t="str">
            <v/>
          </cell>
          <cell r="DZ195" t="str">
            <v/>
          </cell>
          <cell r="EA195" t="str">
            <v/>
          </cell>
          <cell r="EB195" t="str">
            <v/>
          </cell>
          <cell r="EC195" t="str">
            <v/>
          </cell>
          <cell r="ED195" t="str">
            <v/>
          </cell>
          <cell r="EE195" t="str">
            <v/>
          </cell>
          <cell r="EF195" t="str">
            <v/>
          </cell>
          <cell r="EG195" t="str">
            <v/>
          </cell>
          <cell r="EH195" t="str">
            <v/>
          </cell>
          <cell r="EI195" t="str">
            <v/>
          </cell>
          <cell r="EJ195">
            <v>0</v>
          </cell>
          <cell r="EK195">
            <v>0</v>
          </cell>
          <cell r="EL195">
            <v>0</v>
          </cell>
          <cell r="EM195">
            <v>0</v>
          </cell>
          <cell r="EN195">
            <v>0</v>
          </cell>
          <cell r="EO195">
            <v>0</v>
          </cell>
          <cell r="EP195" t="str">
            <v/>
          </cell>
          <cell r="EQ195" t="str">
            <v>Housing Recovery and Reconstruction Platform</v>
          </cell>
          <cell r="ER195" t="str">
            <v/>
          </cell>
          <cell r="ES195" t="str">
            <v>District Coordinator</v>
          </cell>
          <cell r="ET195" t="str">
            <v/>
          </cell>
          <cell r="EU195" t="str">
            <v>Housing Recovery and Reconstruction Platform</v>
          </cell>
          <cell r="EV195" t="str">
            <v/>
          </cell>
          <cell r="EW195" t="str">
            <v>DIstrict Information Management Officer</v>
          </cell>
          <cell r="EX195" t="str">
            <v/>
          </cell>
          <cell r="EY195" t="str">
            <v>Housing Recovery and Reconstruction Platform</v>
          </cell>
          <cell r="EZ195" t="str">
            <v/>
          </cell>
          <cell r="FA195" t="str">
            <v>District Technical Officer</v>
          </cell>
          <cell r="FB195" t="str">
            <v/>
          </cell>
        </row>
        <row r="196">
          <cell r="A196">
            <v>38003</v>
          </cell>
          <cell r="B196" t="str">
            <v>Tanahun</v>
          </cell>
          <cell r="C196" t="str">
            <v>Bhanu Nagarpalika</v>
          </cell>
          <cell r="D196">
            <v>2947</v>
          </cell>
          <cell r="E196">
            <v>4593</v>
          </cell>
          <cell r="F196">
            <v>7540</v>
          </cell>
          <cell r="G196" t="str">
            <v>Stone and cement mortar masonry</v>
          </cell>
          <cell r="H196">
            <v>1.69</v>
          </cell>
          <cell r="I196">
            <v>2.69</v>
          </cell>
          <cell r="J196" t="str">
            <v>Stone and Mud Mortar Masonary</v>
          </cell>
          <cell r="K196">
            <v>87.16</v>
          </cell>
          <cell r="L196">
            <v>88.78</v>
          </cell>
          <cell r="M196" t="str">
            <v>Brick and Cement Mortar Masonary</v>
          </cell>
          <cell r="N196">
            <v>3.06</v>
          </cell>
          <cell r="O196">
            <v>3.44</v>
          </cell>
          <cell r="P196" t="str">
            <v>Brick and mud mortar Masonry</v>
          </cell>
          <cell r="Q196">
            <v>2.84</v>
          </cell>
          <cell r="R196">
            <v>1.46</v>
          </cell>
          <cell r="S196" t="str">
            <v>Reinforced cement concrete (RCC) frame</v>
          </cell>
          <cell r="T196">
            <v>3.84</v>
          </cell>
          <cell r="U196">
            <v>2.38</v>
          </cell>
          <cell r="V196" t="str">
            <v>Hybrid structure</v>
          </cell>
          <cell r="W196">
            <v>0</v>
          </cell>
          <cell r="X196">
            <v>0</v>
          </cell>
          <cell r="Y196" t="str">
            <v>Timber frame structure</v>
          </cell>
          <cell r="Z196">
            <v>0.56999999999999995</v>
          </cell>
          <cell r="AA196">
            <v>0.37</v>
          </cell>
          <cell r="AB196" t="str">
            <v>Hollow concrete block Masonry</v>
          </cell>
          <cell r="AC196">
            <v>0</v>
          </cell>
          <cell r="AD196">
            <v>0</v>
          </cell>
          <cell r="AE196" t="str">
            <v>Dry stone Masonry</v>
          </cell>
          <cell r="AF196">
            <v>0.4</v>
          </cell>
          <cell r="AG196">
            <v>0.32</v>
          </cell>
          <cell r="AH196" t="str">
            <v>Adobe structures</v>
          </cell>
          <cell r="AI196">
            <v>0.36</v>
          </cell>
          <cell r="AJ196">
            <v>0.47</v>
          </cell>
          <cell r="AK196" t="str">
            <v>Bamboo</v>
          </cell>
          <cell r="AL196">
            <v>0.08</v>
          </cell>
          <cell r="AM196">
            <v>0.08</v>
          </cell>
          <cell r="AN196" t="str">
            <v>Compressed stabilized earth block (SCEB) Masonry</v>
          </cell>
          <cell r="AO196">
            <v>0</v>
          </cell>
          <cell r="AP196">
            <v>0</v>
          </cell>
          <cell r="AQ196" t="str">
            <v>Light steel frame structures</v>
          </cell>
          <cell r="AR196">
            <v>0</v>
          </cell>
          <cell r="AS196">
            <v>0</v>
          </cell>
          <cell r="AT196">
            <v>4378</v>
          </cell>
          <cell r="AU196">
            <v>3790</v>
          </cell>
          <cell r="AV196">
            <v>3790</v>
          </cell>
          <cell r="AW196">
            <v>338</v>
          </cell>
          <cell r="AX196">
            <v>0</v>
          </cell>
          <cell r="AY196" t="str">
            <v/>
          </cell>
          <cell r="AZ196" t="str">
            <v/>
          </cell>
          <cell r="BA196">
            <v>76</v>
          </cell>
          <cell r="BB196" t="str">
            <v/>
          </cell>
          <cell r="BC196" t="str">
            <v/>
          </cell>
          <cell r="BD196" t="str">
            <v/>
          </cell>
          <cell r="BE196" t="str">
            <v/>
          </cell>
          <cell r="BF196" t="str">
            <v/>
          </cell>
          <cell r="BG196" t="str">
            <v/>
          </cell>
          <cell r="BH196" t="str">
            <v/>
          </cell>
          <cell r="BI196" t="str">
            <v/>
          </cell>
          <cell r="BJ196" t="str">
            <v/>
          </cell>
          <cell r="BK196">
            <v>111017</v>
          </cell>
          <cell r="BL196" t="str">
            <v/>
          </cell>
          <cell r="BM196" t="str">
            <v/>
          </cell>
          <cell r="BN196">
            <v>108717</v>
          </cell>
          <cell r="BO196" t="str">
            <v/>
          </cell>
          <cell r="BP196" t="str">
            <v/>
          </cell>
          <cell r="BQ196">
            <v>11813</v>
          </cell>
          <cell r="BR196" t="str">
            <v/>
          </cell>
          <cell r="BS196" t="str">
            <v/>
          </cell>
          <cell r="BT196">
            <v>13479</v>
          </cell>
          <cell r="BU196" t="str">
            <v/>
          </cell>
          <cell r="BV196" t="str">
            <v/>
          </cell>
          <cell r="BW196" t="str">
            <v/>
          </cell>
          <cell r="BX196" t="str">
            <v/>
          </cell>
          <cell r="BY196" t="str">
            <v/>
          </cell>
          <cell r="BZ196">
            <v>365976</v>
          </cell>
          <cell r="CA196" t="str">
            <v/>
          </cell>
          <cell r="CB196" t="str">
            <v/>
          </cell>
          <cell r="CC196">
            <v>1217784</v>
          </cell>
          <cell r="CD196" t="str">
            <v/>
          </cell>
          <cell r="CE196" t="str">
            <v/>
          </cell>
          <cell r="CF196">
            <v>14978</v>
          </cell>
          <cell r="CG196" t="str">
            <v/>
          </cell>
          <cell r="CH196" t="str">
            <v/>
          </cell>
          <cell r="CI196">
            <v>2227123</v>
          </cell>
          <cell r="CJ196" t="str">
            <v/>
          </cell>
          <cell r="CK196" t="str">
            <v/>
          </cell>
          <cell r="CL196" t="str">
            <v>Skilled</v>
          </cell>
          <cell r="CM196" t="str">
            <v/>
          </cell>
          <cell r="CN196" t="str">
            <v>Labor</v>
          </cell>
          <cell r="CO196" t="str">
            <v/>
          </cell>
          <cell r="CP196" t="str">
            <v/>
          </cell>
          <cell r="CQ196" t="str">
            <v/>
          </cell>
          <cell r="CR196" t="str">
            <v/>
          </cell>
          <cell r="CS196" t="str">
            <v/>
          </cell>
          <cell r="CT196" t="str">
            <v/>
          </cell>
          <cell r="CU196" t="str">
            <v/>
          </cell>
          <cell r="CV196" t="str">
            <v>Municipal Office</v>
          </cell>
          <cell r="CW196" t="str">
            <v/>
          </cell>
          <cell r="CX196" t="str">
            <v>Mayor</v>
          </cell>
          <cell r="CY196" t="str">
            <v/>
          </cell>
          <cell r="CZ196" t="str">
            <v>Municipal Office</v>
          </cell>
          <cell r="DA196" t="str">
            <v/>
          </cell>
          <cell r="DB196" t="str">
            <v>Deputy Mayor</v>
          </cell>
          <cell r="DC196" t="str">
            <v/>
          </cell>
          <cell r="DD196" t="str">
            <v>Municipal Office</v>
          </cell>
          <cell r="DE196" t="str">
            <v/>
          </cell>
          <cell r="DF196" t="str">
            <v>Chief Adminstration Officer</v>
          </cell>
          <cell r="DG196">
            <v>9856063718</v>
          </cell>
          <cell r="DH196" t="str">
            <v>NRA/GMALI</v>
          </cell>
          <cell r="DI196" t="str">
            <v>Dipendra Kumar Rohita</v>
          </cell>
          <cell r="DJ196" t="str">
            <v>NRA Chief-District</v>
          </cell>
          <cell r="DK196" t="str">
            <v/>
          </cell>
          <cell r="DL196" t="str">
            <v>DLPIU-Building</v>
          </cell>
          <cell r="DM196" t="str">
            <v/>
          </cell>
          <cell r="DN196" t="str">
            <v>DUDBC.DLPIU Chief</v>
          </cell>
          <cell r="DO196" t="str">
            <v/>
          </cell>
          <cell r="DP196" t="str">
            <v>Municipal Office</v>
          </cell>
          <cell r="DQ196" t="str">
            <v>Radha Hamal</v>
          </cell>
          <cell r="DR196" t="str">
            <v>Focal Person</v>
          </cell>
          <cell r="DS196">
            <v>9861598814</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v>0</v>
          </cell>
          <cell r="EK196">
            <v>0</v>
          </cell>
          <cell r="EL196">
            <v>0</v>
          </cell>
          <cell r="EM196">
            <v>0</v>
          </cell>
          <cell r="EN196">
            <v>0</v>
          </cell>
          <cell r="EO196">
            <v>0</v>
          </cell>
          <cell r="EP196" t="str">
            <v/>
          </cell>
          <cell r="EQ196" t="str">
            <v>Housing Recovery and Reconstruction Platform</v>
          </cell>
          <cell r="ER196" t="str">
            <v/>
          </cell>
          <cell r="ES196" t="str">
            <v>District Coordinator</v>
          </cell>
          <cell r="ET196" t="str">
            <v/>
          </cell>
          <cell r="EU196" t="str">
            <v>Housing Recovery and Reconstruction Platform</v>
          </cell>
          <cell r="EV196" t="str">
            <v/>
          </cell>
          <cell r="EW196" t="str">
            <v>DIstrict Information Management Officer</v>
          </cell>
          <cell r="EX196" t="str">
            <v/>
          </cell>
          <cell r="EY196" t="str">
            <v>Housing Recovery and Reconstruction Platform</v>
          </cell>
          <cell r="EZ196" t="str">
            <v/>
          </cell>
          <cell r="FA196" t="str">
            <v>District Technical Officer</v>
          </cell>
          <cell r="FB196" t="str">
            <v/>
          </cell>
        </row>
        <row r="197">
          <cell r="A197">
            <v>38004</v>
          </cell>
          <cell r="B197" t="str">
            <v>Tanahun</v>
          </cell>
          <cell r="C197" t="str">
            <v>Bhimad Nagarpalika</v>
          </cell>
          <cell r="D197">
            <v>1439</v>
          </cell>
          <cell r="E197">
            <v>1241</v>
          </cell>
          <cell r="F197">
            <v>2680</v>
          </cell>
          <cell r="G197" t="str">
            <v>Stone and cement mortar masonry</v>
          </cell>
          <cell r="H197">
            <v>3.88</v>
          </cell>
          <cell r="I197">
            <v>2.69</v>
          </cell>
          <cell r="J197" t="str">
            <v>Stone and Mud Mortar Masonary</v>
          </cell>
          <cell r="K197">
            <v>91.3</v>
          </cell>
          <cell r="L197">
            <v>88.78</v>
          </cell>
          <cell r="M197" t="str">
            <v>Brick and Cement Mortar Masonary</v>
          </cell>
          <cell r="N197">
            <v>3.7</v>
          </cell>
          <cell r="O197">
            <v>3.44</v>
          </cell>
          <cell r="P197" t="str">
            <v>Brick and mud mortar Masonry</v>
          </cell>
          <cell r="Q197">
            <v>7.0000000000000007E-2</v>
          </cell>
          <cell r="R197">
            <v>1.46</v>
          </cell>
          <cell r="S197" t="str">
            <v>Reinforced cement concrete (RCC) frame</v>
          </cell>
          <cell r="T197">
            <v>0.9</v>
          </cell>
          <cell r="U197">
            <v>2.38</v>
          </cell>
          <cell r="V197" t="str">
            <v>Hybrid structure</v>
          </cell>
          <cell r="W197">
            <v>0</v>
          </cell>
          <cell r="X197">
            <v>0</v>
          </cell>
          <cell r="Y197" t="str">
            <v>Timber frame structure</v>
          </cell>
          <cell r="Z197">
            <v>0.04</v>
          </cell>
          <cell r="AA197">
            <v>0.37</v>
          </cell>
          <cell r="AB197" t="str">
            <v>Hollow concrete block Masonry</v>
          </cell>
          <cell r="AC197">
            <v>0</v>
          </cell>
          <cell r="AD197">
            <v>0</v>
          </cell>
          <cell r="AE197" t="str">
            <v>Dry stone Masonry</v>
          </cell>
          <cell r="AF197">
            <v>0.04</v>
          </cell>
          <cell r="AG197">
            <v>0.32</v>
          </cell>
          <cell r="AH197" t="str">
            <v>Adobe structures</v>
          </cell>
          <cell r="AI197">
            <v>0.04</v>
          </cell>
          <cell r="AJ197">
            <v>0.47</v>
          </cell>
          <cell r="AK197" t="str">
            <v>Bamboo</v>
          </cell>
          <cell r="AL197">
            <v>0.04</v>
          </cell>
          <cell r="AM197">
            <v>0.08</v>
          </cell>
          <cell r="AN197" t="str">
            <v>Compressed stabilized earth block (SCEB) Masonry</v>
          </cell>
          <cell r="AO197">
            <v>0</v>
          </cell>
          <cell r="AP197">
            <v>0</v>
          </cell>
          <cell r="AQ197" t="str">
            <v>Light steel frame structures</v>
          </cell>
          <cell r="AR197">
            <v>0</v>
          </cell>
          <cell r="AS197">
            <v>0</v>
          </cell>
          <cell r="AT197">
            <v>1125</v>
          </cell>
          <cell r="AU197">
            <v>957</v>
          </cell>
          <cell r="AV197">
            <v>957</v>
          </cell>
          <cell r="AW197">
            <v>19</v>
          </cell>
          <cell r="AX197">
            <v>0</v>
          </cell>
          <cell r="AY197" t="str">
            <v/>
          </cell>
          <cell r="AZ197" t="str">
            <v/>
          </cell>
          <cell r="BA197">
            <v>168</v>
          </cell>
          <cell r="BB197" t="str">
            <v/>
          </cell>
          <cell r="BC197" t="str">
            <v/>
          </cell>
          <cell r="BD197" t="str">
            <v/>
          </cell>
          <cell r="BE197" t="str">
            <v/>
          </cell>
          <cell r="BF197" t="str">
            <v/>
          </cell>
          <cell r="BG197" t="str">
            <v/>
          </cell>
          <cell r="BH197" t="str">
            <v/>
          </cell>
          <cell r="BI197" t="str">
            <v/>
          </cell>
          <cell r="BJ197" t="str">
            <v>DSCBD(Education)</v>
          </cell>
          <cell r="BK197">
            <v>28188</v>
          </cell>
          <cell r="BL197" t="str">
            <v/>
          </cell>
          <cell r="BM197" t="str">
            <v/>
          </cell>
          <cell r="BN197">
            <v>27634</v>
          </cell>
          <cell r="BO197" t="str">
            <v/>
          </cell>
          <cell r="BP197" t="str">
            <v/>
          </cell>
          <cell r="BQ197">
            <v>3000</v>
          </cell>
          <cell r="BR197" t="str">
            <v/>
          </cell>
          <cell r="BS197" t="str">
            <v/>
          </cell>
          <cell r="BT197">
            <v>3424</v>
          </cell>
          <cell r="BU197" t="str">
            <v/>
          </cell>
          <cell r="BV197" t="str">
            <v/>
          </cell>
          <cell r="BW197" t="str">
            <v/>
          </cell>
          <cell r="BX197" t="str">
            <v/>
          </cell>
          <cell r="BY197" t="str">
            <v/>
          </cell>
          <cell r="BZ197">
            <v>93070</v>
          </cell>
          <cell r="CA197" t="str">
            <v/>
          </cell>
          <cell r="CB197" t="str">
            <v/>
          </cell>
          <cell r="CC197">
            <v>309232</v>
          </cell>
          <cell r="CD197" t="str">
            <v/>
          </cell>
          <cell r="CE197" t="str">
            <v/>
          </cell>
          <cell r="CF197">
            <v>3809</v>
          </cell>
          <cell r="CG197" t="str">
            <v/>
          </cell>
          <cell r="CH197" t="str">
            <v/>
          </cell>
          <cell r="CI197">
            <v>571542</v>
          </cell>
          <cell r="CJ197" t="str">
            <v/>
          </cell>
          <cell r="CK197" t="str">
            <v/>
          </cell>
          <cell r="CL197" t="str">
            <v>Skilled</v>
          </cell>
          <cell r="CM197" t="str">
            <v/>
          </cell>
          <cell r="CN197" t="str">
            <v>Labor</v>
          </cell>
          <cell r="CO197" t="str">
            <v/>
          </cell>
          <cell r="CP197" t="str">
            <v/>
          </cell>
          <cell r="CQ197" t="str">
            <v/>
          </cell>
          <cell r="CR197" t="str">
            <v/>
          </cell>
          <cell r="CS197" t="str">
            <v/>
          </cell>
          <cell r="CT197" t="str">
            <v/>
          </cell>
          <cell r="CU197" t="str">
            <v/>
          </cell>
          <cell r="CV197" t="str">
            <v>Municipal Office</v>
          </cell>
          <cell r="CW197" t="str">
            <v/>
          </cell>
          <cell r="CX197" t="str">
            <v>Mayor</v>
          </cell>
          <cell r="CY197" t="str">
            <v/>
          </cell>
          <cell r="CZ197" t="str">
            <v>Municipal Office</v>
          </cell>
          <cell r="DA197" t="str">
            <v/>
          </cell>
          <cell r="DB197" t="str">
            <v>Deputy Mayor</v>
          </cell>
          <cell r="DC197" t="str">
            <v/>
          </cell>
          <cell r="DD197" t="str">
            <v>Municipal Office</v>
          </cell>
          <cell r="DE197" t="str">
            <v/>
          </cell>
          <cell r="DF197" t="str">
            <v>Chief Adminstration Officer</v>
          </cell>
          <cell r="DG197">
            <v>9856063718</v>
          </cell>
          <cell r="DH197" t="str">
            <v>NRA/GMALI</v>
          </cell>
          <cell r="DI197" t="str">
            <v>Dipendra Kumar Rohita</v>
          </cell>
          <cell r="DJ197" t="str">
            <v>NRA Chief-District</v>
          </cell>
          <cell r="DK197" t="str">
            <v/>
          </cell>
          <cell r="DL197" t="str">
            <v>DLPIU-Building</v>
          </cell>
          <cell r="DM197" t="str">
            <v/>
          </cell>
          <cell r="DN197" t="str">
            <v>DUDBC.DLPIU Chief</v>
          </cell>
          <cell r="DO197" t="str">
            <v/>
          </cell>
          <cell r="DP197" t="str">
            <v>Municipal Office</v>
          </cell>
          <cell r="DQ197" t="str">
            <v>Roshan Tiwari</v>
          </cell>
          <cell r="DR197" t="str">
            <v>Focal Person</v>
          </cell>
          <cell r="DS197">
            <v>9846285221</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v>0</v>
          </cell>
          <cell r="EK197">
            <v>0</v>
          </cell>
          <cell r="EL197">
            <v>0</v>
          </cell>
          <cell r="EM197">
            <v>0</v>
          </cell>
          <cell r="EN197">
            <v>0</v>
          </cell>
          <cell r="EO197">
            <v>0</v>
          </cell>
          <cell r="EP197" t="str">
            <v/>
          </cell>
          <cell r="EQ197" t="str">
            <v>Housing Recovery and Reconstruction Platform</v>
          </cell>
          <cell r="ER197" t="str">
            <v/>
          </cell>
          <cell r="ES197" t="str">
            <v>District Coordinator</v>
          </cell>
          <cell r="ET197" t="str">
            <v/>
          </cell>
          <cell r="EU197" t="str">
            <v>Housing Recovery and Reconstruction Platform</v>
          </cell>
          <cell r="EV197" t="str">
            <v/>
          </cell>
          <cell r="EW197" t="str">
            <v>DIstrict Information Management Officer</v>
          </cell>
          <cell r="EX197" t="str">
            <v/>
          </cell>
          <cell r="EY197" t="str">
            <v>Housing Recovery and Reconstruction Platform</v>
          </cell>
          <cell r="EZ197" t="str">
            <v/>
          </cell>
          <cell r="FA197" t="str">
            <v>District Technical Officer</v>
          </cell>
          <cell r="FB197" t="str">
            <v/>
          </cell>
        </row>
        <row r="198">
          <cell r="A198">
            <v>38005</v>
          </cell>
          <cell r="B198" t="str">
            <v>Tanahun</v>
          </cell>
          <cell r="C198" t="str">
            <v>Byas Nagarpalika</v>
          </cell>
          <cell r="D198">
            <v>2417</v>
          </cell>
          <cell r="E198">
            <v>2209</v>
          </cell>
          <cell r="F198">
            <v>4626</v>
          </cell>
          <cell r="G198" t="str">
            <v>Stone and cement mortar masonry</v>
          </cell>
          <cell r="H198">
            <v>3.03</v>
          </cell>
          <cell r="I198">
            <v>2.69</v>
          </cell>
          <cell r="J198" t="str">
            <v>Stone and Mud Mortar Masonary</v>
          </cell>
          <cell r="K198">
            <v>83.94</v>
          </cell>
          <cell r="L198">
            <v>88.78</v>
          </cell>
          <cell r="M198" t="str">
            <v>Brick and Cement Mortar Masonary</v>
          </cell>
          <cell r="N198">
            <v>5.27</v>
          </cell>
          <cell r="O198">
            <v>3.44</v>
          </cell>
          <cell r="P198" t="str">
            <v>Brick and mud mortar Masonry</v>
          </cell>
          <cell r="Q198">
            <v>1.75</v>
          </cell>
          <cell r="R198">
            <v>1.46</v>
          </cell>
          <cell r="S198" t="str">
            <v>Reinforced cement concrete (RCC) frame</v>
          </cell>
          <cell r="T198">
            <v>4.0199999999999996</v>
          </cell>
          <cell r="U198">
            <v>2.38</v>
          </cell>
          <cell r="V198" t="str">
            <v>Hybrid structure</v>
          </cell>
          <cell r="W198">
            <v>0</v>
          </cell>
          <cell r="X198">
            <v>0</v>
          </cell>
          <cell r="Y198" t="str">
            <v>Timber frame structure</v>
          </cell>
          <cell r="Z198">
            <v>0.5</v>
          </cell>
          <cell r="AA198">
            <v>0.37</v>
          </cell>
          <cell r="AB198" t="str">
            <v>Hollow concrete block Masonry</v>
          </cell>
          <cell r="AC198">
            <v>0</v>
          </cell>
          <cell r="AD198">
            <v>0</v>
          </cell>
          <cell r="AE198" t="str">
            <v>Dry stone Masonry</v>
          </cell>
          <cell r="AF198">
            <v>0.67</v>
          </cell>
          <cell r="AG198">
            <v>0.32</v>
          </cell>
          <cell r="AH198" t="str">
            <v>Adobe structures</v>
          </cell>
          <cell r="AI198">
            <v>0.69</v>
          </cell>
          <cell r="AJ198">
            <v>0.47</v>
          </cell>
          <cell r="AK198" t="str">
            <v>Bamboo</v>
          </cell>
          <cell r="AL198">
            <v>0.13</v>
          </cell>
          <cell r="AM198">
            <v>0.08</v>
          </cell>
          <cell r="AN198" t="str">
            <v>Compressed stabilized earth block (SCEB) Masonry</v>
          </cell>
          <cell r="AO198">
            <v>0</v>
          </cell>
          <cell r="AP198">
            <v>0</v>
          </cell>
          <cell r="AQ198" t="str">
            <v>Light steel frame structures</v>
          </cell>
          <cell r="AR198">
            <v>0</v>
          </cell>
          <cell r="AS198">
            <v>0</v>
          </cell>
          <cell r="AT198">
            <v>2008</v>
          </cell>
          <cell r="AU198">
            <v>2231</v>
          </cell>
          <cell r="AV198">
            <v>2231</v>
          </cell>
          <cell r="AW198">
            <v>480</v>
          </cell>
          <cell r="AX198">
            <v>0</v>
          </cell>
          <cell r="AY198" t="str">
            <v/>
          </cell>
          <cell r="AZ198" t="str">
            <v/>
          </cell>
          <cell r="BA198">
            <v>146</v>
          </cell>
          <cell r="BB198" t="str">
            <v/>
          </cell>
          <cell r="BC198" t="str">
            <v/>
          </cell>
          <cell r="BD198" t="str">
            <v/>
          </cell>
          <cell r="BE198" t="str">
            <v/>
          </cell>
          <cell r="BF198" t="str">
            <v/>
          </cell>
          <cell r="BG198" t="str">
            <v/>
          </cell>
          <cell r="BH198" t="str">
            <v/>
          </cell>
          <cell r="BI198" t="str">
            <v/>
          </cell>
          <cell r="BJ198" t="str">
            <v/>
          </cell>
          <cell r="BK198">
            <v>69395</v>
          </cell>
          <cell r="BL198" t="str">
            <v/>
          </cell>
          <cell r="BM198" t="str">
            <v/>
          </cell>
          <cell r="BN198">
            <v>62750</v>
          </cell>
          <cell r="BO198" t="str">
            <v/>
          </cell>
          <cell r="BP198" t="str">
            <v/>
          </cell>
          <cell r="BQ198">
            <v>7337</v>
          </cell>
          <cell r="BR198" t="str">
            <v/>
          </cell>
          <cell r="BS198" t="str">
            <v/>
          </cell>
          <cell r="BT198">
            <v>8198</v>
          </cell>
          <cell r="BU198" t="str">
            <v/>
          </cell>
          <cell r="BV198" t="str">
            <v/>
          </cell>
          <cell r="BW198" t="str">
            <v/>
          </cell>
          <cell r="BX198" t="str">
            <v/>
          </cell>
          <cell r="BY198" t="str">
            <v/>
          </cell>
          <cell r="BZ198">
            <v>213507</v>
          </cell>
          <cell r="CA198" t="str">
            <v/>
          </cell>
          <cell r="CB198" t="str">
            <v/>
          </cell>
          <cell r="CC198">
            <v>770599</v>
          </cell>
          <cell r="CD198" t="str">
            <v/>
          </cell>
          <cell r="CE198" t="str">
            <v/>
          </cell>
          <cell r="CF198">
            <v>8738</v>
          </cell>
          <cell r="CG198" t="str">
            <v/>
          </cell>
          <cell r="CH198" t="str">
            <v/>
          </cell>
          <cell r="CI198">
            <v>1949817</v>
          </cell>
          <cell r="CJ198" t="str">
            <v/>
          </cell>
          <cell r="CK198" t="str">
            <v/>
          </cell>
          <cell r="CL198" t="str">
            <v>Skilled</v>
          </cell>
          <cell r="CM198" t="str">
            <v/>
          </cell>
          <cell r="CN198" t="str">
            <v>Labor</v>
          </cell>
          <cell r="CO198" t="str">
            <v/>
          </cell>
          <cell r="CP198" t="str">
            <v/>
          </cell>
          <cell r="CQ198" t="str">
            <v/>
          </cell>
          <cell r="CR198" t="str">
            <v/>
          </cell>
          <cell r="CS198" t="str">
            <v/>
          </cell>
          <cell r="CT198" t="str">
            <v/>
          </cell>
          <cell r="CU198" t="str">
            <v/>
          </cell>
          <cell r="CV198" t="str">
            <v>Municipal Office</v>
          </cell>
          <cell r="CW198" t="str">
            <v/>
          </cell>
          <cell r="CX198" t="str">
            <v>Mayor</v>
          </cell>
          <cell r="CY198" t="str">
            <v/>
          </cell>
          <cell r="CZ198" t="str">
            <v>Municipal Office</v>
          </cell>
          <cell r="DA198" t="str">
            <v/>
          </cell>
          <cell r="DB198" t="str">
            <v>Deputy Mayor</v>
          </cell>
          <cell r="DC198" t="str">
            <v/>
          </cell>
          <cell r="DD198" t="str">
            <v>Municipal Office</v>
          </cell>
          <cell r="DE198" t="str">
            <v/>
          </cell>
          <cell r="DF198" t="str">
            <v>Chief Adminstration Officer</v>
          </cell>
          <cell r="DG198">
            <v>9856063718</v>
          </cell>
          <cell r="DH198" t="str">
            <v>NRA/GMALI</v>
          </cell>
          <cell r="DI198" t="str">
            <v>Dipendra Kumar Rohita</v>
          </cell>
          <cell r="DJ198" t="str">
            <v>NRA Chief-District</v>
          </cell>
          <cell r="DK198" t="str">
            <v/>
          </cell>
          <cell r="DL198" t="str">
            <v>DLPIU-Building</v>
          </cell>
          <cell r="DM198" t="str">
            <v/>
          </cell>
          <cell r="DN198" t="str">
            <v>DUDBC.DLPIU Chief</v>
          </cell>
          <cell r="DO198" t="str">
            <v/>
          </cell>
          <cell r="DP198" t="str">
            <v>Municipal Office</v>
          </cell>
          <cell r="DQ198" t="str">
            <v>Sunil Rana</v>
          </cell>
          <cell r="DR198" t="str">
            <v>Focal Person</v>
          </cell>
          <cell r="DS198">
            <v>9804174409</v>
          </cell>
          <cell r="DT198" t="str">
            <v/>
          </cell>
          <cell r="DU198" t="str">
            <v/>
          </cell>
          <cell r="DV198" t="str">
            <v/>
          </cell>
          <cell r="DW198" t="str">
            <v/>
          </cell>
          <cell r="DX198" t="str">
            <v/>
          </cell>
          <cell r="DY198" t="str">
            <v/>
          </cell>
          <cell r="DZ198" t="str">
            <v/>
          </cell>
          <cell r="EA198" t="str">
            <v/>
          </cell>
          <cell r="EB198" t="str">
            <v/>
          </cell>
          <cell r="EC198" t="str">
            <v/>
          </cell>
          <cell r="ED198" t="str">
            <v/>
          </cell>
          <cell r="EE198" t="str">
            <v/>
          </cell>
          <cell r="EF198" t="str">
            <v/>
          </cell>
          <cell r="EG198" t="str">
            <v/>
          </cell>
          <cell r="EH198" t="str">
            <v/>
          </cell>
          <cell r="EI198" t="str">
            <v/>
          </cell>
          <cell r="EJ198">
            <v>0</v>
          </cell>
          <cell r="EK198">
            <v>0</v>
          </cell>
          <cell r="EL198">
            <v>0</v>
          </cell>
          <cell r="EM198">
            <v>0</v>
          </cell>
          <cell r="EN198">
            <v>0</v>
          </cell>
          <cell r="EO198">
            <v>0</v>
          </cell>
          <cell r="EP198" t="str">
            <v/>
          </cell>
          <cell r="EQ198" t="str">
            <v>Housing Recovery and Reconstruction Platform</v>
          </cell>
          <cell r="ER198" t="str">
            <v/>
          </cell>
          <cell r="ES198" t="str">
            <v>District Coordinator</v>
          </cell>
          <cell r="ET198" t="str">
            <v/>
          </cell>
          <cell r="EU198" t="str">
            <v>Housing Recovery and Reconstruction Platform</v>
          </cell>
          <cell r="EV198" t="str">
            <v/>
          </cell>
          <cell r="EW198" t="str">
            <v>DIstrict Information Management Officer</v>
          </cell>
          <cell r="EX198" t="str">
            <v/>
          </cell>
          <cell r="EY198" t="str">
            <v>Housing Recovery and Reconstruction Platform</v>
          </cell>
          <cell r="EZ198" t="str">
            <v/>
          </cell>
          <cell r="FA198" t="str">
            <v>District Technical Officer</v>
          </cell>
          <cell r="FB198" t="str">
            <v/>
          </cell>
        </row>
        <row r="199">
          <cell r="A199">
            <v>38006</v>
          </cell>
          <cell r="B199" t="str">
            <v>Tanahun</v>
          </cell>
          <cell r="C199" t="str">
            <v>Devghat Gaunpalika</v>
          </cell>
          <cell r="D199">
            <v>324</v>
          </cell>
          <cell r="E199">
            <v>636</v>
          </cell>
          <cell r="F199">
            <v>960</v>
          </cell>
          <cell r="G199" t="str">
            <v>Stone and cement mortar masonry</v>
          </cell>
          <cell r="H199">
            <v>2.29</v>
          </cell>
          <cell r="I199">
            <v>2.69</v>
          </cell>
          <cell r="J199" t="str">
            <v>Stone and Mud Mortar Masonary</v>
          </cell>
          <cell r="K199">
            <v>81.88</v>
          </cell>
          <cell r="L199">
            <v>88.78</v>
          </cell>
          <cell r="M199" t="str">
            <v>Brick and Cement Mortar Masonary</v>
          </cell>
          <cell r="N199">
            <v>10.83</v>
          </cell>
          <cell r="O199">
            <v>3.44</v>
          </cell>
          <cell r="P199" t="str">
            <v>Brick and mud mortar Masonry</v>
          </cell>
          <cell r="Q199">
            <v>1.04</v>
          </cell>
          <cell r="R199">
            <v>1.46</v>
          </cell>
          <cell r="S199" t="str">
            <v>Reinforced cement concrete (RCC) frame</v>
          </cell>
          <cell r="T199">
            <v>1.77</v>
          </cell>
          <cell r="U199">
            <v>2.38</v>
          </cell>
          <cell r="V199" t="str">
            <v>Hybrid structure</v>
          </cell>
          <cell r="W199">
            <v>0</v>
          </cell>
          <cell r="X199">
            <v>0</v>
          </cell>
          <cell r="Y199" t="str">
            <v>Timber frame structure</v>
          </cell>
          <cell r="Z199">
            <v>1.88</v>
          </cell>
          <cell r="AA199">
            <v>0.37</v>
          </cell>
          <cell r="AB199" t="str">
            <v>Hollow concrete block Masonry</v>
          </cell>
          <cell r="AC199">
            <v>0</v>
          </cell>
          <cell r="AD199">
            <v>0</v>
          </cell>
          <cell r="AE199" t="str">
            <v>Dry stone Masonry</v>
          </cell>
          <cell r="AF199">
            <v>0.1</v>
          </cell>
          <cell r="AG199">
            <v>0.32</v>
          </cell>
          <cell r="AH199" t="str">
            <v>Adobe structures</v>
          </cell>
          <cell r="AI199">
            <v>0</v>
          </cell>
          <cell r="AJ199">
            <v>0.47</v>
          </cell>
          <cell r="AK199" t="str">
            <v>Bamboo</v>
          </cell>
          <cell r="AL199">
            <v>0.21</v>
          </cell>
          <cell r="AM199">
            <v>0.08</v>
          </cell>
          <cell r="AN199" t="str">
            <v>Compressed stabilized earth block (SCEB) Masonry</v>
          </cell>
          <cell r="AO199">
            <v>0</v>
          </cell>
          <cell r="AP199">
            <v>0</v>
          </cell>
          <cell r="AQ199" t="str">
            <v>Light steel frame structures</v>
          </cell>
          <cell r="AR199">
            <v>0</v>
          </cell>
          <cell r="AS199">
            <v>0</v>
          </cell>
          <cell r="AT199">
            <v>607</v>
          </cell>
          <cell r="AU199">
            <v>193</v>
          </cell>
          <cell r="AV199">
            <v>193</v>
          </cell>
          <cell r="AW199">
            <v>60</v>
          </cell>
          <cell r="AX199">
            <v>0</v>
          </cell>
          <cell r="AY199" t="str">
            <v/>
          </cell>
          <cell r="AZ199" t="str">
            <v/>
          </cell>
          <cell r="BA199">
            <v>25</v>
          </cell>
          <cell r="BB199" t="str">
            <v/>
          </cell>
          <cell r="BC199" t="str">
            <v/>
          </cell>
          <cell r="BD199" t="str">
            <v/>
          </cell>
          <cell r="BE199" t="str">
            <v/>
          </cell>
          <cell r="BF199" t="str">
            <v/>
          </cell>
          <cell r="BG199" t="str">
            <v/>
          </cell>
          <cell r="BH199" t="str">
            <v/>
          </cell>
          <cell r="BI199" t="str">
            <v/>
          </cell>
          <cell r="BJ199" t="str">
            <v/>
          </cell>
          <cell r="BK199">
            <v>6076</v>
          </cell>
          <cell r="BL199" t="str">
            <v/>
          </cell>
          <cell r="BM199" t="str">
            <v/>
          </cell>
          <cell r="BN199">
            <v>5096</v>
          </cell>
          <cell r="BO199" t="str">
            <v/>
          </cell>
          <cell r="BP199" t="str">
            <v/>
          </cell>
          <cell r="BQ199">
            <v>640</v>
          </cell>
          <cell r="BR199" t="str">
            <v/>
          </cell>
          <cell r="BS199" t="str">
            <v/>
          </cell>
          <cell r="BT199">
            <v>704</v>
          </cell>
          <cell r="BU199" t="str">
            <v/>
          </cell>
          <cell r="BV199" t="str">
            <v/>
          </cell>
          <cell r="BW199" t="str">
            <v/>
          </cell>
          <cell r="BX199" t="str">
            <v/>
          </cell>
          <cell r="BY199" t="str">
            <v/>
          </cell>
          <cell r="BZ199">
            <v>18073</v>
          </cell>
          <cell r="CA199" t="str">
            <v/>
          </cell>
          <cell r="CB199" t="str">
            <v/>
          </cell>
          <cell r="CC199">
            <v>68916</v>
          </cell>
          <cell r="CD199" t="str">
            <v/>
          </cell>
          <cell r="CE199" t="str">
            <v/>
          </cell>
          <cell r="CF199">
            <v>743</v>
          </cell>
          <cell r="CG199" t="str">
            <v/>
          </cell>
          <cell r="CH199" t="str">
            <v/>
          </cell>
          <cell r="CI199">
            <v>297073</v>
          </cell>
          <cell r="CJ199" t="str">
            <v/>
          </cell>
          <cell r="CK199" t="str">
            <v/>
          </cell>
          <cell r="CL199" t="str">
            <v>Skilled</v>
          </cell>
          <cell r="CM199" t="str">
            <v/>
          </cell>
          <cell r="CN199" t="str">
            <v>Labor</v>
          </cell>
          <cell r="CO199" t="str">
            <v/>
          </cell>
          <cell r="CP199" t="str">
            <v/>
          </cell>
          <cell r="CQ199" t="str">
            <v/>
          </cell>
          <cell r="CR199" t="str">
            <v/>
          </cell>
          <cell r="CS199" t="str">
            <v/>
          </cell>
          <cell r="CT199" t="str">
            <v/>
          </cell>
          <cell r="CU199" t="str">
            <v/>
          </cell>
          <cell r="CV199" t="str">
            <v>Municipal Office</v>
          </cell>
          <cell r="CW199" t="str">
            <v/>
          </cell>
          <cell r="CX199" t="str">
            <v>Chairman</v>
          </cell>
          <cell r="CY199" t="str">
            <v/>
          </cell>
          <cell r="CZ199" t="str">
            <v>Municipal Office</v>
          </cell>
          <cell r="DA199" t="str">
            <v/>
          </cell>
          <cell r="DB199" t="str">
            <v>Deputy Chairman</v>
          </cell>
          <cell r="DC199" t="str">
            <v/>
          </cell>
          <cell r="DD199" t="str">
            <v>Municipal Office</v>
          </cell>
          <cell r="DE199" t="str">
            <v/>
          </cell>
          <cell r="DF199" t="str">
            <v>Chief Adminstration Officer</v>
          </cell>
          <cell r="DG199">
            <v>9856063718</v>
          </cell>
          <cell r="DH199" t="str">
            <v>NRA/GMALI</v>
          </cell>
          <cell r="DI199" t="str">
            <v>Dipendra Kumar Rohita</v>
          </cell>
          <cell r="DJ199" t="str">
            <v>NRA Chief-District</v>
          </cell>
          <cell r="DK199" t="str">
            <v/>
          </cell>
          <cell r="DL199" t="str">
            <v>DLPIU-Building</v>
          </cell>
          <cell r="DM199" t="str">
            <v/>
          </cell>
          <cell r="DN199" t="str">
            <v>DUDBC.DLPIU Chief</v>
          </cell>
          <cell r="DO199" t="str">
            <v/>
          </cell>
          <cell r="DP199" t="str">
            <v>Municipal Office</v>
          </cell>
          <cell r="DQ199" t="str">
            <v/>
          </cell>
          <cell r="DR199" t="str">
            <v>Focal Person</v>
          </cell>
          <cell r="DS199" t="str">
            <v/>
          </cell>
          <cell r="DT199" t="str">
            <v/>
          </cell>
          <cell r="DU199" t="str">
            <v/>
          </cell>
          <cell r="DV199" t="str">
            <v/>
          </cell>
          <cell r="DW199" t="str">
            <v/>
          </cell>
          <cell r="DX199" t="str">
            <v/>
          </cell>
          <cell r="DY199" t="str">
            <v/>
          </cell>
          <cell r="DZ199" t="str">
            <v/>
          </cell>
          <cell r="EA199" t="str">
            <v/>
          </cell>
          <cell r="EB199" t="str">
            <v/>
          </cell>
          <cell r="EC199" t="str">
            <v/>
          </cell>
          <cell r="ED199" t="str">
            <v/>
          </cell>
          <cell r="EE199" t="str">
            <v/>
          </cell>
          <cell r="EF199" t="str">
            <v/>
          </cell>
          <cell r="EG199" t="str">
            <v/>
          </cell>
          <cell r="EH199" t="str">
            <v/>
          </cell>
          <cell r="EI199" t="str">
            <v/>
          </cell>
          <cell r="EJ199">
            <v>0</v>
          </cell>
          <cell r="EK199">
            <v>0</v>
          </cell>
          <cell r="EL199">
            <v>0</v>
          </cell>
          <cell r="EM199">
            <v>0</v>
          </cell>
          <cell r="EN199">
            <v>0</v>
          </cell>
          <cell r="EO199">
            <v>0</v>
          </cell>
          <cell r="EP199" t="str">
            <v/>
          </cell>
          <cell r="EQ199" t="str">
            <v>Housing Recovery and Reconstruction Platform</v>
          </cell>
          <cell r="ER199" t="str">
            <v/>
          </cell>
          <cell r="ES199" t="str">
            <v>District Coordinator</v>
          </cell>
          <cell r="ET199" t="str">
            <v/>
          </cell>
          <cell r="EU199" t="str">
            <v>Housing Recovery and Reconstruction Platform</v>
          </cell>
          <cell r="EV199" t="str">
            <v/>
          </cell>
          <cell r="EW199" t="str">
            <v>DIstrict Information Management Officer</v>
          </cell>
          <cell r="EX199" t="str">
            <v/>
          </cell>
          <cell r="EY199" t="str">
            <v>Housing Recovery and Reconstruction Platform</v>
          </cell>
          <cell r="EZ199" t="str">
            <v/>
          </cell>
          <cell r="FA199" t="str">
            <v>District Technical Officer</v>
          </cell>
          <cell r="FB199" t="str">
            <v/>
          </cell>
        </row>
        <row r="200">
          <cell r="A200">
            <v>38007</v>
          </cell>
          <cell r="B200" t="str">
            <v>Tanahun</v>
          </cell>
          <cell r="C200" t="str">
            <v>Ghiring Gaunpalika</v>
          </cell>
          <cell r="D200">
            <v>655</v>
          </cell>
          <cell r="E200">
            <v>314</v>
          </cell>
          <cell r="F200">
            <v>969</v>
          </cell>
          <cell r="G200" t="str">
            <v>Stone and cement mortar masonry</v>
          </cell>
          <cell r="H200">
            <v>0.72</v>
          </cell>
          <cell r="I200">
            <v>2.69</v>
          </cell>
          <cell r="J200" t="str">
            <v>Stone and Mud Mortar Masonary</v>
          </cell>
          <cell r="K200">
            <v>96.28</v>
          </cell>
          <cell r="L200">
            <v>88.78</v>
          </cell>
          <cell r="M200" t="str">
            <v>Brick and Cement Mortar Masonary</v>
          </cell>
          <cell r="N200">
            <v>0.52</v>
          </cell>
          <cell r="O200">
            <v>3.44</v>
          </cell>
          <cell r="P200" t="str">
            <v>Brick and mud mortar Masonry</v>
          </cell>
          <cell r="Q200">
            <v>1.86</v>
          </cell>
          <cell r="R200">
            <v>1.46</v>
          </cell>
          <cell r="S200" t="str">
            <v>Reinforced cement concrete (RCC) frame</v>
          </cell>
          <cell r="T200">
            <v>0.62</v>
          </cell>
          <cell r="U200">
            <v>2.38</v>
          </cell>
          <cell r="V200" t="str">
            <v>Hybrid structure</v>
          </cell>
          <cell r="W200">
            <v>0</v>
          </cell>
          <cell r="X200">
            <v>0</v>
          </cell>
          <cell r="Y200" t="str">
            <v>Timber frame structure</v>
          </cell>
          <cell r="Z200">
            <v>0</v>
          </cell>
          <cell r="AA200">
            <v>0.37</v>
          </cell>
          <cell r="AB200" t="str">
            <v>Hollow concrete block Masonry</v>
          </cell>
          <cell r="AC200">
            <v>0</v>
          </cell>
          <cell r="AD200">
            <v>0</v>
          </cell>
          <cell r="AE200" t="str">
            <v>Dry stone Masonry</v>
          </cell>
          <cell r="AF200">
            <v>0</v>
          </cell>
          <cell r="AG200">
            <v>0.32</v>
          </cell>
          <cell r="AH200" t="str">
            <v>Adobe structures</v>
          </cell>
          <cell r="AI200">
            <v>0</v>
          </cell>
          <cell r="AJ200">
            <v>0.47</v>
          </cell>
          <cell r="AK200" t="str">
            <v>Bamboo</v>
          </cell>
          <cell r="AL200">
            <v>0</v>
          </cell>
          <cell r="AM200">
            <v>0.08</v>
          </cell>
          <cell r="AN200" t="str">
            <v>Compressed stabilized earth block (SCEB) Masonry</v>
          </cell>
          <cell r="AO200">
            <v>0</v>
          </cell>
          <cell r="AP200">
            <v>0</v>
          </cell>
          <cell r="AQ200" t="str">
            <v>Light steel frame structures</v>
          </cell>
          <cell r="AR200">
            <v>0</v>
          </cell>
          <cell r="AS200">
            <v>0</v>
          </cell>
          <cell r="AT200">
            <v>298</v>
          </cell>
          <cell r="AU200">
            <v>257</v>
          </cell>
          <cell r="AV200">
            <v>257</v>
          </cell>
          <cell r="AW200">
            <v>30</v>
          </cell>
          <cell r="AX200">
            <v>0</v>
          </cell>
          <cell r="AY200" t="str">
            <v/>
          </cell>
          <cell r="AZ200" t="str">
            <v/>
          </cell>
          <cell r="BA200">
            <v>1</v>
          </cell>
          <cell r="BB200" t="str">
            <v/>
          </cell>
          <cell r="BC200" t="str">
            <v/>
          </cell>
          <cell r="BD200" t="str">
            <v/>
          </cell>
          <cell r="BE200" t="str">
            <v/>
          </cell>
          <cell r="BF200" t="str">
            <v/>
          </cell>
          <cell r="BG200" t="str">
            <v/>
          </cell>
          <cell r="BH200" t="str">
            <v/>
          </cell>
          <cell r="BI200" t="str">
            <v/>
          </cell>
          <cell r="BJ200" t="str">
            <v/>
          </cell>
          <cell r="BK200">
            <v>7209</v>
          </cell>
          <cell r="BL200" t="str">
            <v/>
          </cell>
          <cell r="BM200" t="str">
            <v/>
          </cell>
          <cell r="BN200">
            <v>7645</v>
          </cell>
          <cell r="BO200" t="str">
            <v/>
          </cell>
          <cell r="BP200" t="str">
            <v/>
          </cell>
          <cell r="BQ200">
            <v>772</v>
          </cell>
          <cell r="BR200" t="str">
            <v/>
          </cell>
          <cell r="BS200" t="str">
            <v/>
          </cell>
          <cell r="BT200">
            <v>898</v>
          </cell>
          <cell r="BU200" t="str">
            <v/>
          </cell>
          <cell r="BV200" t="str">
            <v/>
          </cell>
          <cell r="BW200" t="str">
            <v/>
          </cell>
          <cell r="BX200" t="str">
            <v/>
          </cell>
          <cell r="BY200" t="str">
            <v/>
          </cell>
          <cell r="BZ200">
            <v>25093</v>
          </cell>
          <cell r="CA200" t="str">
            <v/>
          </cell>
          <cell r="CB200" t="str">
            <v/>
          </cell>
          <cell r="CC200">
            <v>77509</v>
          </cell>
          <cell r="CD200" t="str">
            <v/>
          </cell>
          <cell r="CE200" t="str">
            <v/>
          </cell>
          <cell r="CF200">
            <v>1025</v>
          </cell>
          <cell r="CG200" t="str">
            <v/>
          </cell>
          <cell r="CH200" t="str">
            <v/>
          </cell>
          <cell r="CI200">
            <v>22884</v>
          </cell>
          <cell r="CJ200" t="str">
            <v/>
          </cell>
          <cell r="CK200" t="str">
            <v/>
          </cell>
          <cell r="CL200" t="str">
            <v>Skilled</v>
          </cell>
          <cell r="CM200" t="str">
            <v/>
          </cell>
          <cell r="CN200" t="str">
            <v>Labor</v>
          </cell>
          <cell r="CO200" t="str">
            <v/>
          </cell>
          <cell r="CP200" t="str">
            <v/>
          </cell>
          <cell r="CQ200" t="str">
            <v/>
          </cell>
          <cell r="CR200" t="str">
            <v/>
          </cell>
          <cell r="CS200" t="str">
            <v/>
          </cell>
          <cell r="CT200" t="str">
            <v/>
          </cell>
          <cell r="CU200" t="str">
            <v/>
          </cell>
          <cell r="CV200" t="str">
            <v>Municipal Office</v>
          </cell>
          <cell r="CW200" t="str">
            <v/>
          </cell>
          <cell r="CX200" t="str">
            <v>Chairman</v>
          </cell>
          <cell r="CY200" t="str">
            <v/>
          </cell>
          <cell r="CZ200" t="str">
            <v>Municipal Office</v>
          </cell>
          <cell r="DA200" t="str">
            <v/>
          </cell>
          <cell r="DB200" t="str">
            <v>Deputy Chairman</v>
          </cell>
          <cell r="DC200" t="str">
            <v/>
          </cell>
          <cell r="DD200" t="str">
            <v>Municipal Office</v>
          </cell>
          <cell r="DE200" t="str">
            <v/>
          </cell>
          <cell r="DF200" t="str">
            <v>Chief Adminstration Officer</v>
          </cell>
          <cell r="DG200">
            <v>9856063718</v>
          </cell>
          <cell r="DH200" t="str">
            <v>NRA/GMALI</v>
          </cell>
          <cell r="DI200" t="str">
            <v>Dipendra Kumar Rohita</v>
          </cell>
          <cell r="DJ200" t="str">
            <v>NRA Chief-District</v>
          </cell>
          <cell r="DK200" t="str">
            <v/>
          </cell>
          <cell r="DL200" t="str">
            <v>DLPIU-Building</v>
          </cell>
          <cell r="DM200" t="str">
            <v/>
          </cell>
          <cell r="DN200" t="str">
            <v>DUDBC.DLPIU Chief</v>
          </cell>
          <cell r="DO200" t="str">
            <v/>
          </cell>
          <cell r="DP200" t="str">
            <v>Municipal Office</v>
          </cell>
          <cell r="DQ200" t="str">
            <v>Regan Thapa</v>
          </cell>
          <cell r="DR200" t="str">
            <v>Focal Person</v>
          </cell>
          <cell r="DS200">
            <v>9856000075</v>
          </cell>
          <cell r="DT200" t="str">
            <v/>
          </cell>
          <cell r="DU200" t="str">
            <v/>
          </cell>
          <cell r="DV200" t="str">
            <v/>
          </cell>
          <cell r="DW200" t="str">
            <v/>
          </cell>
          <cell r="DX200" t="str">
            <v/>
          </cell>
          <cell r="DY200" t="str">
            <v/>
          </cell>
          <cell r="DZ200" t="str">
            <v/>
          </cell>
          <cell r="EA200" t="str">
            <v/>
          </cell>
          <cell r="EB200" t="str">
            <v/>
          </cell>
          <cell r="EC200" t="str">
            <v/>
          </cell>
          <cell r="ED200" t="str">
            <v/>
          </cell>
          <cell r="EE200" t="str">
            <v/>
          </cell>
          <cell r="EF200" t="str">
            <v/>
          </cell>
          <cell r="EG200" t="str">
            <v/>
          </cell>
          <cell r="EH200" t="str">
            <v/>
          </cell>
          <cell r="EI200" t="str">
            <v/>
          </cell>
          <cell r="EJ200">
            <v>0</v>
          </cell>
          <cell r="EK200">
            <v>0</v>
          </cell>
          <cell r="EL200">
            <v>0</v>
          </cell>
          <cell r="EM200">
            <v>0</v>
          </cell>
          <cell r="EN200">
            <v>0</v>
          </cell>
          <cell r="EO200">
            <v>0</v>
          </cell>
          <cell r="EP200" t="str">
            <v/>
          </cell>
          <cell r="EQ200" t="str">
            <v>Housing Recovery and Reconstruction Platform</v>
          </cell>
          <cell r="ER200" t="str">
            <v/>
          </cell>
          <cell r="ES200" t="str">
            <v>District Coordinator</v>
          </cell>
          <cell r="ET200" t="str">
            <v/>
          </cell>
          <cell r="EU200" t="str">
            <v>Housing Recovery and Reconstruction Platform</v>
          </cell>
          <cell r="EV200" t="str">
            <v/>
          </cell>
          <cell r="EW200" t="str">
            <v>DIstrict Information Management Officer</v>
          </cell>
          <cell r="EX200" t="str">
            <v/>
          </cell>
          <cell r="EY200" t="str">
            <v>Housing Recovery and Reconstruction Platform</v>
          </cell>
          <cell r="EZ200" t="str">
            <v/>
          </cell>
          <cell r="FA200" t="str">
            <v>District Technical Officer</v>
          </cell>
          <cell r="FB200" t="str">
            <v/>
          </cell>
        </row>
        <row r="201">
          <cell r="A201">
            <v>38008</v>
          </cell>
          <cell r="B201" t="str">
            <v>Tanahun</v>
          </cell>
          <cell r="C201" t="str">
            <v>Myagde Gaunpalika</v>
          </cell>
          <cell r="D201">
            <v>452</v>
          </cell>
          <cell r="E201">
            <v>1425</v>
          </cell>
          <cell r="F201">
            <v>1877</v>
          </cell>
          <cell r="G201" t="str">
            <v>Stone and cement mortar masonry</v>
          </cell>
          <cell r="H201">
            <v>1.81</v>
          </cell>
          <cell r="I201">
            <v>2.69</v>
          </cell>
          <cell r="J201" t="str">
            <v>Stone and Mud Mortar Masonary</v>
          </cell>
          <cell r="K201">
            <v>93.02</v>
          </cell>
          <cell r="L201">
            <v>88.78</v>
          </cell>
          <cell r="M201" t="str">
            <v>Brick and Cement Mortar Masonary</v>
          </cell>
          <cell r="N201">
            <v>2.2400000000000002</v>
          </cell>
          <cell r="O201">
            <v>3.44</v>
          </cell>
          <cell r="P201" t="str">
            <v>Brick and mud mortar Masonry</v>
          </cell>
          <cell r="Q201">
            <v>0.69</v>
          </cell>
          <cell r="R201">
            <v>1.46</v>
          </cell>
          <cell r="S201" t="str">
            <v>Reinforced cement concrete (RCC) frame</v>
          </cell>
          <cell r="T201">
            <v>1.86</v>
          </cell>
          <cell r="U201">
            <v>2.38</v>
          </cell>
          <cell r="V201" t="str">
            <v>Hybrid structure</v>
          </cell>
          <cell r="W201">
            <v>0</v>
          </cell>
          <cell r="X201">
            <v>0</v>
          </cell>
          <cell r="Y201" t="str">
            <v>Timber frame structure</v>
          </cell>
          <cell r="Z201">
            <v>0.05</v>
          </cell>
          <cell r="AA201">
            <v>0.37</v>
          </cell>
          <cell r="AB201" t="str">
            <v>Hollow concrete block Masonry</v>
          </cell>
          <cell r="AC201">
            <v>0</v>
          </cell>
          <cell r="AD201">
            <v>0</v>
          </cell>
          <cell r="AE201" t="str">
            <v>Dry stone Masonry</v>
          </cell>
          <cell r="AF201">
            <v>0.16</v>
          </cell>
          <cell r="AG201">
            <v>0.32</v>
          </cell>
          <cell r="AH201" t="str">
            <v>Adobe structures</v>
          </cell>
          <cell r="AI201">
            <v>0.16</v>
          </cell>
          <cell r="AJ201">
            <v>0.47</v>
          </cell>
          <cell r="AK201" t="str">
            <v>Bamboo</v>
          </cell>
          <cell r="AL201">
            <v>0</v>
          </cell>
          <cell r="AM201">
            <v>0.08</v>
          </cell>
          <cell r="AN201" t="str">
            <v>Compressed stabilized earth block (SCEB) Masonry</v>
          </cell>
          <cell r="AO201">
            <v>0</v>
          </cell>
          <cell r="AP201">
            <v>0</v>
          </cell>
          <cell r="AQ201" t="str">
            <v>Light steel frame structures</v>
          </cell>
          <cell r="AR201">
            <v>0</v>
          </cell>
          <cell r="AS201">
            <v>0</v>
          </cell>
          <cell r="AT201">
            <v>1336</v>
          </cell>
          <cell r="AU201">
            <v>855</v>
          </cell>
          <cell r="AV201">
            <v>855</v>
          </cell>
          <cell r="AW201">
            <v>119</v>
          </cell>
          <cell r="AX201">
            <v>0</v>
          </cell>
          <cell r="AY201" t="str">
            <v/>
          </cell>
          <cell r="AZ201" t="str">
            <v/>
          </cell>
          <cell r="BA201">
            <v>38</v>
          </cell>
          <cell r="BB201" t="str">
            <v/>
          </cell>
          <cell r="BC201" t="str">
            <v/>
          </cell>
          <cell r="BD201" t="str">
            <v/>
          </cell>
          <cell r="BE201" t="str">
            <v/>
          </cell>
          <cell r="BF201" t="str">
            <v/>
          </cell>
          <cell r="BG201" t="str">
            <v/>
          </cell>
          <cell r="BH201" t="str">
            <v/>
          </cell>
          <cell r="BI201" t="str">
            <v/>
          </cell>
          <cell r="BJ201" t="str">
            <v/>
          </cell>
          <cell r="BK201">
            <v>24875</v>
          </cell>
          <cell r="BL201" t="str">
            <v/>
          </cell>
          <cell r="BM201" t="str">
            <v/>
          </cell>
          <cell r="BN201">
            <v>25092</v>
          </cell>
          <cell r="BO201" t="str">
            <v/>
          </cell>
          <cell r="BP201" t="str">
            <v/>
          </cell>
          <cell r="BQ201">
            <v>2653</v>
          </cell>
          <cell r="BR201" t="str">
            <v/>
          </cell>
          <cell r="BS201" t="str">
            <v/>
          </cell>
          <cell r="BT201">
            <v>3048</v>
          </cell>
          <cell r="BU201" t="str">
            <v/>
          </cell>
          <cell r="BV201" t="str">
            <v/>
          </cell>
          <cell r="BW201" t="str">
            <v/>
          </cell>
          <cell r="BX201" t="str">
            <v/>
          </cell>
          <cell r="BY201" t="str">
            <v/>
          </cell>
          <cell r="BZ201">
            <v>83482</v>
          </cell>
          <cell r="CA201" t="str">
            <v/>
          </cell>
          <cell r="CB201" t="str">
            <v/>
          </cell>
          <cell r="CC201">
            <v>270660</v>
          </cell>
          <cell r="CD201" t="str">
            <v/>
          </cell>
          <cell r="CE201" t="str">
            <v/>
          </cell>
          <cell r="CF201">
            <v>3413</v>
          </cell>
          <cell r="CG201" t="str">
            <v/>
          </cell>
          <cell r="CH201" t="str">
            <v/>
          </cell>
          <cell r="CI201">
            <v>318872</v>
          </cell>
          <cell r="CJ201" t="str">
            <v/>
          </cell>
          <cell r="CK201" t="str">
            <v/>
          </cell>
          <cell r="CL201" t="str">
            <v>Skilled</v>
          </cell>
          <cell r="CM201" t="str">
            <v/>
          </cell>
          <cell r="CN201" t="str">
            <v>Labor</v>
          </cell>
          <cell r="CO201" t="str">
            <v/>
          </cell>
          <cell r="CP201" t="str">
            <v/>
          </cell>
          <cell r="CQ201" t="str">
            <v/>
          </cell>
          <cell r="CR201" t="str">
            <v/>
          </cell>
          <cell r="CS201" t="str">
            <v/>
          </cell>
          <cell r="CT201" t="str">
            <v/>
          </cell>
          <cell r="CU201" t="str">
            <v/>
          </cell>
          <cell r="CV201" t="str">
            <v>Municipal Office</v>
          </cell>
          <cell r="CW201" t="str">
            <v/>
          </cell>
          <cell r="CX201" t="str">
            <v>Chairman</v>
          </cell>
          <cell r="CY201" t="str">
            <v/>
          </cell>
          <cell r="CZ201" t="str">
            <v>Municipal Office</v>
          </cell>
          <cell r="DA201" t="str">
            <v/>
          </cell>
          <cell r="DB201" t="str">
            <v>Deputy Chairman</v>
          </cell>
          <cell r="DC201" t="str">
            <v/>
          </cell>
          <cell r="DD201" t="str">
            <v>Municipal Office</v>
          </cell>
          <cell r="DE201" t="str">
            <v/>
          </cell>
          <cell r="DF201" t="str">
            <v>Chief Adminstration Officer</v>
          </cell>
          <cell r="DG201">
            <v>9856063718</v>
          </cell>
          <cell r="DH201" t="str">
            <v>NRA/GMALI</v>
          </cell>
          <cell r="DI201" t="str">
            <v>Dipendra Kumar Rohita</v>
          </cell>
          <cell r="DJ201" t="str">
            <v>NRA Chief-District</v>
          </cell>
          <cell r="DK201" t="str">
            <v/>
          </cell>
          <cell r="DL201" t="str">
            <v>DLPIU-Building</v>
          </cell>
          <cell r="DM201" t="str">
            <v/>
          </cell>
          <cell r="DN201" t="str">
            <v>DUDBC.DLPIU Chief</v>
          </cell>
          <cell r="DO201" t="str">
            <v/>
          </cell>
          <cell r="DP201" t="str">
            <v>Municipal Office</v>
          </cell>
          <cell r="DQ201" t="str">
            <v>Pujan Shrestha</v>
          </cell>
          <cell r="DR201" t="str">
            <v>Focal Person</v>
          </cell>
          <cell r="DS201">
            <v>9841392912</v>
          </cell>
          <cell r="DT201" t="str">
            <v/>
          </cell>
          <cell r="DU201" t="str">
            <v/>
          </cell>
          <cell r="DV201" t="str">
            <v/>
          </cell>
          <cell r="DW201" t="str">
            <v/>
          </cell>
          <cell r="DX201" t="str">
            <v/>
          </cell>
          <cell r="DY201" t="str">
            <v/>
          </cell>
          <cell r="DZ201" t="str">
            <v/>
          </cell>
          <cell r="EA201" t="str">
            <v/>
          </cell>
          <cell r="EB201" t="str">
            <v/>
          </cell>
          <cell r="EC201" t="str">
            <v/>
          </cell>
          <cell r="ED201" t="str">
            <v/>
          </cell>
          <cell r="EE201" t="str">
            <v/>
          </cell>
          <cell r="EF201" t="str">
            <v/>
          </cell>
          <cell r="EG201" t="str">
            <v/>
          </cell>
          <cell r="EH201" t="str">
            <v/>
          </cell>
          <cell r="EI201" t="str">
            <v/>
          </cell>
          <cell r="EJ201">
            <v>0</v>
          </cell>
          <cell r="EK201">
            <v>0</v>
          </cell>
          <cell r="EL201">
            <v>0</v>
          </cell>
          <cell r="EM201">
            <v>0</v>
          </cell>
          <cell r="EN201">
            <v>0</v>
          </cell>
          <cell r="EO201">
            <v>0</v>
          </cell>
          <cell r="EP201" t="str">
            <v/>
          </cell>
          <cell r="EQ201" t="str">
            <v>Housing Recovery and Reconstruction Platform</v>
          </cell>
          <cell r="ER201" t="str">
            <v/>
          </cell>
          <cell r="ES201" t="str">
            <v>District Coordinator</v>
          </cell>
          <cell r="ET201" t="str">
            <v/>
          </cell>
          <cell r="EU201" t="str">
            <v>Housing Recovery and Reconstruction Platform</v>
          </cell>
          <cell r="EV201" t="str">
            <v/>
          </cell>
          <cell r="EW201" t="str">
            <v>DIstrict Information Management Officer</v>
          </cell>
          <cell r="EX201" t="str">
            <v/>
          </cell>
          <cell r="EY201" t="str">
            <v>Housing Recovery and Reconstruction Platform</v>
          </cell>
          <cell r="EZ201" t="str">
            <v/>
          </cell>
          <cell r="FA201" t="str">
            <v>District Technical Officer</v>
          </cell>
          <cell r="FB201" t="str">
            <v/>
          </cell>
        </row>
        <row r="202">
          <cell r="A202">
            <v>38009</v>
          </cell>
          <cell r="B202" t="str">
            <v>Tanahun</v>
          </cell>
          <cell r="C202" t="str">
            <v>Rhishing Gaunpalika</v>
          </cell>
          <cell r="D202">
            <v>1162</v>
          </cell>
          <cell r="E202">
            <v>609</v>
          </cell>
          <cell r="F202">
            <v>1771</v>
          </cell>
          <cell r="G202" t="str">
            <v>Stone and cement mortar masonry</v>
          </cell>
          <cell r="H202">
            <v>0.28000000000000003</v>
          </cell>
          <cell r="I202">
            <v>2.69</v>
          </cell>
          <cell r="J202" t="str">
            <v>Stone and Mud Mortar Masonary</v>
          </cell>
          <cell r="K202">
            <v>96.89</v>
          </cell>
          <cell r="L202">
            <v>88.78</v>
          </cell>
          <cell r="M202" t="str">
            <v>Brick and Cement Mortar Masonary</v>
          </cell>
          <cell r="N202">
            <v>1.41</v>
          </cell>
          <cell r="O202">
            <v>3.44</v>
          </cell>
          <cell r="P202" t="str">
            <v>Brick and mud mortar Masonry</v>
          </cell>
          <cell r="Q202">
            <v>0.28000000000000003</v>
          </cell>
          <cell r="R202">
            <v>1.46</v>
          </cell>
          <cell r="S202" t="str">
            <v>Reinforced cement concrete (RCC) frame</v>
          </cell>
          <cell r="T202">
            <v>0.4</v>
          </cell>
          <cell r="U202">
            <v>2.38</v>
          </cell>
          <cell r="V202" t="str">
            <v>Hybrid structure</v>
          </cell>
          <cell r="W202">
            <v>0</v>
          </cell>
          <cell r="X202">
            <v>0</v>
          </cell>
          <cell r="Y202" t="str">
            <v>Timber frame structure</v>
          </cell>
          <cell r="Z202">
            <v>0.23</v>
          </cell>
          <cell r="AA202">
            <v>0.37</v>
          </cell>
          <cell r="AB202" t="str">
            <v>Hollow concrete block Masonry</v>
          </cell>
          <cell r="AC202">
            <v>0</v>
          </cell>
          <cell r="AD202">
            <v>0</v>
          </cell>
          <cell r="AE202" t="str">
            <v>Dry stone Masonry</v>
          </cell>
          <cell r="AF202">
            <v>0</v>
          </cell>
          <cell r="AG202">
            <v>0.32</v>
          </cell>
          <cell r="AH202" t="str">
            <v>Adobe structures</v>
          </cell>
          <cell r="AI202">
            <v>0.23</v>
          </cell>
          <cell r="AJ202">
            <v>0.47</v>
          </cell>
          <cell r="AK202" t="str">
            <v>Bamboo</v>
          </cell>
          <cell r="AL202">
            <v>0.28000000000000003</v>
          </cell>
          <cell r="AM202">
            <v>0.08</v>
          </cell>
          <cell r="AN202" t="str">
            <v>Compressed stabilized earth block (SCEB) Masonry</v>
          </cell>
          <cell r="AO202">
            <v>0</v>
          </cell>
          <cell r="AP202">
            <v>0</v>
          </cell>
          <cell r="AQ202" t="str">
            <v>Light steel frame structures</v>
          </cell>
          <cell r="AR202">
            <v>0</v>
          </cell>
          <cell r="AS202">
            <v>0</v>
          </cell>
          <cell r="AT202">
            <v>531</v>
          </cell>
          <cell r="AU202">
            <v>545</v>
          </cell>
          <cell r="AV202">
            <v>545</v>
          </cell>
          <cell r="AW202">
            <v>52</v>
          </cell>
          <cell r="AX202">
            <v>0</v>
          </cell>
          <cell r="AY202" t="str">
            <v/>
          </cell>
          <cell r="AZ202" t="str">
            <v/>
          </cell>
          <cell r="BA202">
            <v>36</v>
          </cell>
          <cell r="BB202" t="str">
            <v/>
          </cell>
          <cell r="BC202" t="str">
            <v/>
          </cell>
          <cell r="BD202" t="str">
            <v/>
          </cell>
          <cell r="BE202" t="str">
            <v/>
          </cell>
          <cell r="BF202" t="str">
            <v/>
          </cell>
          <cell r="BG202" t="str">
            <v/>
          </cell>
          <cell r="BH202" t="str">
            <v/>
          </cell>
          <cell r="BI202" t="str">
            <v/>
          </cell>
          <cell r="BJ202" t="str">
            <v/>
          </cell>
          <cell r="BK202">
            <v>16243</v>
          </cell>
          <cell r="BL202" t="str">
            <v/>
          </cell>
          <cell r="BM202" t="str">
            <v/>
          </cell>
          <cell r="BN202">
            <v>15735</v>
          </cell>
          <cell r="BO202" t="str">
            <v/>
          </cell>
          <cell r="BP202" t="str">
            <v/>
          </cell>
          <cell r="BQ202">
            <v>1727</v>
          </cell>
          <cell r="BR202" t="str">
            <v/>
          </cell>
          <cell r="BS202" t="str">
            <v/>
          </cell>
          <cell r="BT202">
            <v>1965</v>
          </cell>
          <cell r="BU202" t="str">
            <v/>
          </cell>
          <cell r="BV202" t="str">
            <v/>
          </cell>
          <cell r="BW202" t="str">
            <v/>
          </cell>
          <cell r="BX202" t="str">
            <v/>
          </cell>
          <cell r="BY202" t="str">
            <v/>
          </cell>
          <cell r="BZ202">
            <v>53084</v>
          </cell>
          <cell r="CA202" t="str">
            <v/>
          </cell>
          <cell r="CB202" t="str">
            <v/>
          </cell>
          <cell r="CC202">
            <v>178534</v>
          </cell>
          <cell r="CD202" t="str">
            <v/>
          </cell>
          <cell r="CE202" t="str">
            <v/>
          </cell>
          <cell r="CF202">
            <v>2173</v>
          </cell>
          <cell r="CG202" t="str">
            <v/>
          </cell>
          <cell r="CH202" t="str">
            <v/>
          </cell>
          <cell r="CI202">
            <v>350430</v>
          </cell>
          <cell r="CJ202" t="str">
            <v/>
          </cell>
          <cell r="CK202" t="str">
            <v/>
          </cell>
          <cell r="CL202" t="str">
            <v>Skilled</v>
          </cell>
          <cell r="CM202" t="str">
            <v/>
          </cell>
          <cell r="CN202" t="str">
            <v>Labor</v>
          </cell>
          <cell r="CO202" t="str">
            <v/>
          </cell>
          <cell r="CP202" t="str">
            <v/>
          </cell>
          <cell r="CQ202" t="str">
            <v/>
          </cell>
          <cell r="CR202" t="str">
            <v/>
          </cell>
          <cell r="CS202" t="str">
            <v/>
          </cell>
          <cell r="CT202" t="str">
            <v/>
          </cell>
          <cell r="CU202" t="str">
            <v/>
          </cell>
          <cell r="CV202" t="str">
            <v>Municipal Office</v>
          </cell>
          <cell r="CW202" t="str">
            <v/>
          </cell>
          <cell r="CX202" t="str">
            <v>Chairman</v>
          </cell>
          <cell r="CY202" t="str">
            <v/>
          </cell>
          <cell r="CZ202" t="str">
            <v>Municipal Office</v>
          </cell>
          <cell r="DA202" t="str">
            <v/>
          </cell>
          <cell r="DB202" t="str">
            <v>Deputy Chairman</v>
          </cell>
          <cell r="DC202" t="str">
            <v/>
          </cell>
          <cell r="DD202" t="str">
            <v>Municipal Office</v>
          </cell>
          <cell r="DE202" t="str">
            <v/>
          </cell>
          <cell r="DF202" t="str">
            <v>Chief Adminstration Officer</v>
          </cell>
          <cell r="DG202">
            <v>9856063718</v>
          </cell>
          <cell r="DH202" t="str">
            <v>NRA/GMALI</v>
          </cell>
          <cell r="DI202" t="str">
            <v>Dipendra Kumar Rohita</v>
          </cell>
          <cell r="DJ202" t="str">
            <v>NRA Chief-District</v>
          </cell>
          <cell r="DK202" t="str">
            <v/>
          </cell>
          <cell r="DL202" t="str">
            <v>DLPIU-Building</v>
          </cell>
          <cell r="DM202" t="str">
            <v/>
          </cell>
          <cell r="DN202" t="str">
            <v>DUDBC.DLPIU Chief</v>
          </cell>
          <cell r="DO202" t="str">
            <v/>
          </cell>
          <cell r="DP202" t="str">
            <v>Municipal Office</v>
          </cell>
          <cell r="DQ202" t="str">
            <v>Safal Paudel</v>
          </cell>
          <cell r="DR202" t="str">
            <v>Focal Person</v>
          </cell>
          <cell r="DS202">
            <v>9856016932</v>
          </cell>
          <cell r="DT202" t="str">
            <v/>
          </cell>
          <cell r="DU202" t="str">
            <v/>
          </cell>
          <cell r="DV202" t="str">
            <v/>
          </cell>
          <cell r="DW202" t="str">
            <v/>
          </cell>
          <cell r="DX202" t="str">
            <v/>
          </cell>
          <cell r="DY202" t="str">
            <v/>
          </cell>
          <cell r="DZ202" t="str">
            <v/>
          </cell>
          <cell r="EA202" t="str">
            <v/>
          </cell>
          <cell r="EB202" t="str">
            <v/>
          </cell>
          <cell r="EC202" t="str">
            <v/>
          </cell>
          <cell r="ED202" t="str">
            <v/>
          </cell>
          <cell r="EE202" t="str">
            <v/>
          </cell>
          <cell r="EF202" t="str">
            <v/>
          </cell>
          <cell r="EG202" t="str">
            <v/>
          </cell>
          <cell r="EH202" t="str">
            <v/>
          </cell>
          <cell r="EI202" t="str">
            <v/>
          </cell>
          <cell r="EJ202">
            <v>0</v>
          </cell>
          <cell r="EK202">
            <v>0</v>
          </cell>
          <cell r="EL202">
            <v>0</v>
          </cell>
          <cell r="EM202">
            <v>0</v>
          </cell>
          <cell r="EN202">
            <v>0</v>
          </cell>
          <cell r="EO202">
            <v>0</v>
          </cell>
          <cell r="EP202" t="str">
            <v/>
          </cell>
          <cell r="EQ202" t="str">
            <v>Housing Recovery and Reconstruction Platform</v>
          </cell>
          <cell r="ER202" t="str">
            <v/>
          </cell>
          <cell r="ES202" t="str">
            <v>District Coordinator</v>
          </cell>
          <cell r="ET202" t="str">
            <v/>
          </cell>
          <cell r="EU202" t="str">
            <v>Housing Recovery and Reconstruction Platform</v>
          </cell>
          <cell r="EV202" t="str">
            <v/>
          </cell>
          <cell r="EW202" t="str">
            <v>DIstrict Information Management Officer</v>
          </cell>
          <cell r="EX202" t="str">
            <v/>
          </cell>
          <cell r="EY202" t="str">
            <v>Housing Recovery and Reconstruction Platform</v>
          </cell>
          <cell r="EZ202" t="str">
            <v/>
          </cell>
          <cell r="FA202" t="str">
            <v>District Technical Officer</v>
          </cell>
          <cell r="FB202" t="str">
            <v/>
          </cell>
        </row>
        <row r="203">
          <cell r="A203">
            <v>38010</v>
          </cell>
          <cell r="B203" t="str">
            <v>Tanahun</v>
          </cell>
          <cell r="C203" t="str">
            <v>Shuklagandaki Nagarpalika</v>
          </cell>
          <cell r="D203">
            <v>871</v>
          </cell>
          <cell r="E203">
            <v>1966</v>
          </cell>
          <cell r="F203">
            <v>2837</v>
          </cell>
          <cell r="G203" t="str">
            <v>Stone and cement mortar masonry</v>
          </cell>
          <cell r="H203">
            <v>7.3</v>
          </cell>
          <cell r="I203">
            <v>2.69</v>
          </cell>
          <cell r="J203" t="str">
            <v>Stone and Mud Mortar Masonary</v>
          </cell>
          <cell r="K203">
            <v>88.54</v>
          </cell>
          <cell r="L203">
            <v>88.78</v>
          </cell>
          <cell r="M203" t="str">
            <v>Brick and Cement Mortar Masonary</v>
          </cell>
          <cell r="N203">
            <v>2.4300000000000002</v>
          </cell>
          <cell r="O203">
            <v>3.44</v>
          </cell>
          <cell r="P203" t="str">
            <v>Brick and mud mortar Masonry</v>
          </cell>
          <cell r="Q203">
            <v>0.04</v>
          </cell>
          <cell r="R203">
            <v>1.46</v>
          </cell>
          <cell r="S203" t="str">
            <v>Reinforced cement concrete (RCC) frame</v>
          </cell>
          <cell r="T203">
            <v>1.0900000000000001</v>
          </cell>
          <cell r="U203">
            <v>2.38</v>
          </cell>
          <cell r="V203" t="str">
            <v>Hybrid structure</v>
          </cell>
          <cell r="W203">
            <v>0</v>
          </cell>
          <cell r="X203">
            <v>0</v>
          </cell>
          <cell r="Y203" t="str">
            <v>Timber frame structure</v>
          </cell>
          <cell r="Z203">
            <v>0.04</v>
          </cell>
          <cell r="AA203">
            <v>0.37</v>
          </cell>
          <cell r="AB203" t="str">
            <v>Hollow concrete block Masonry</v>
          </cell>
          <cell r="AC203">
            <v>0</v>
          </cell>
          <cell r="AD203">
            <v>0</v>
          </cell>
          <cell r="AE203" t="str">
            <v>Dry stone Masonry</v>
          </cell>
          <cell r="AF203">
            <v>0.11</v>
          </cell>
          <cell r="AG203">
            <v>0.32</v>
          </cell>
          <cell r="AH203" t="str">
            <v>Adobe structures</v>
          </cell>
          <cell r="AI203">
            <v>0.46</v>
          </cell>
          <cell r="AJ203">
            <v>0.47</v>
          </cell>
          <cell r="AK203" t="str">
            <v>Bamboo</v>
          </cell>
          <cell r="AL203">
            <v>0</v>
          </cell>
          <cell r="AM203">
            <v>0.08</v>
          </cell>
          <cell r="AN203" t="str">
            <v>Compressed stabilized earth block (SCEB) Masonry</v>
          </cell>
          <cell r="AO203">
            <v>0</v>
          </cell>
          <cell r="AP203">
            <v>0</v>
          </cell>
          <cell r="AQ203" t="str">
            <v>Light steel frame structures</v>
          </cell>
          <cell r="AR203">
            <v>0</v>
          </cell>
          <cell r="AS203">
            <v>0</v>
          </cell>
          <cell r="AT203">
            <v>1859</v>
          </cell>
          <cell r="AU203">
            <v>1907</v>
          </cell>
          <cell r="AV203">
            <v>1907</v>
          </cell>
          <cell r="AW203">
            <v>219</v>
          </cell>
          <cell r="AX203">
            <v>0</v>
          </cell>
          <cell r="AY203" t="str">
            <v/>
          </cell>
          <cell r="AZ203" t="str">
            <v/>
          </cell>
          <cell r="BA203">
            <v>24</v>
          </cell>
          <cell r="BB203" t="str">
            <v/>
          </cell>
          <cell r="BC203" t="str">
            <v/>
          </cell>
          <cell r="BD203" t="str">
            <v/>
          </cell>
          <cell r="BE203" t="str">
            <v/>
          </cell>
          <cell r="BF203" t="str">
            <v/>
          </cell>
          <cell r="BG203" t="str">
            <v/>
          </cell>
          <cell r="BH203" t="str">
            <v/>
          </cell>
          <cell r="BI203" t="str">
            <v/>
          </cell>
          <cell r="BJ203" t="str">
            <v/>
          </cell>
          <cell r="BK203">
            <v>224973</v>
          </cell>
          <cell r="BL203" t="str">
            <v/>
          </cell>
          <cell r="BM203" t="str">
            <v/>
          </cell>
          <cell r="BN203">
            <v>12953</v>
          </cell>
          <cell r="BO203" t="str">
            <v/>
          </cell>
          <cell r="BP203" t="str">
            <v/>
          </cell>
          <cell r="BQ203">
            <v>22066</v>
          </cell>
          <cell r="BR203" t="str">
            <v/>
          </cell>
          <cell r="BS203" t="str">
            <v/>
          </cell>
          <cell r="BT203">
            <v>18274</v>
          </cell>
          <cell r="BU203" t="str">
            <v/>
          </cell>
          <cell r="BV203" t="str">
            <v/>
          </cell>
          <cell r="BW203" t="str">
            <v/>
          </cell>
          <cell r="BX203" t="str">
            <v/>
          </cell>
          <cell r="BY203" t="str">
            <v/>
          </cell>
          <cell r="BZ203">
            <v>133293</v>
          </cell>
          <cell r="CA203" t="str">
            <v/>
          </cell>
          <cell r="CB203" t="str">
            <v/>
          </cell>
          <cell r="CC203">
            <v>2840115</v>
          </cell>
          <cell r="CD203" t="str">
            <v/>
          </cell>
          <cell r="CE203" t="str">
            <v/>
          </cell>
          <cell r="CF203">
            <v>5445</v>
          </cell>
          <cell r="CG203" t="str">
            <v/>
          </cell>
          <cell r="CH203" t="str">
            <v/>
          </cell>
          <cell r="CI203">
            <v>26606208</v>
          </cell>
          <cell r="CJ203" t="str">
            <v/>
          </cell>
          <cell r="CK203" t="str">
            <v/>
          </cell>
          <cell r="CL203" t="str">
            <v>Skilled</v>
          </cell>
          <cell r="CM203" t="str">
            <v/>
          </cell>
          <cell r="CN203" t="str">
            <v>Labor</v>
          </cell>
          <cell r="CO203" t="str">
            <v/>
          </cell>
          <cell r="CP203" t="str">
            <v/>
          </cell>
          <cell r="CQ203" t="str">
            <v/>
          </cell>
          <cell r="CR203" t="str">
            <v/>
          </cell>
          <cell r="CS203" t="str">
            <v/>
          </cell>
          <cell r="CT203" t="str">
            <v/>
          </cell>
          <cell r="CU203" t="str">
            <v/>
          </cell>
          <cell r="CV203" t="str">
            <v>Municipal Office</v>
          </cell>
          <cell r="CW203" t="str">
            <v/>
          </cell>
          <cell r="CX203" t="str">
            <v>Mayor</v>
          </cell>
          <cell r="CY203" t="str">
            <v/>
          </cell>
          <cell r="CZ203" t="str">
            <v>Municipal Office</v>
          </cell>
          <cell r="DA203" t="str">
            <v/>
          </cell>
          <cell r="DB203" t="str">
            <v>Deputy Mayor</v>
          </cell>
          <cell r="DC203" t="str">
            <v/>
          </cell>
          <cell r="DD203" t="str">
            <v>Municipal Office</v>
          </cell>
          <cell r="DE203" t="str">
            <v/>
          </cell>
          <cell r="DF203" t="str">
            <v>Chief Adminstration Officer</v>
          </cell>
          <cell r="DG203">
            <v>9856063718</v>
          </cell>
          <cell r="DH203" t="str">
            <v>NRA/GMALI</v>
          </cell>
          <cell r="DI203" t="str">
            <v>Dipendra Kumar Rohita</v>
          </cell>
          <cell r="DJ203" t="str">
            <v>NRA Chief-District</v>
          </cell>
          <cell r="DK203" t="str">
            <v/>
          </cell>
          <cell r="DL203" t="str">
            <v>DLPIU-Building</v>
          </cell>
          <cell r="DM203" t="str">
            <v/>
          </cell>
          <cell r="DN203" t="str">
            <v>DUDBC.DLPIU Chief</v>
          </cell>
          <cell r="DO203" t="str">
            <v/>
          </cell>
          <cell r="DP203" t="str">
            <v>Municipal Office</v>
          </cell>
          <cell r="DQ203" t="str">
            <v>Chitra Prasad Poudel</v>
          </cell>
          <cell r="DR203" t="str">
            <v>Focal Person</v>
          </cell>
          <cell r="DS203">
            <v>9851273064</v>
          </cell>
          <cell r="DT203" t="str">
            <v/>
          </cell>
          <cell r="DU203" t="str">
            <v/>
          </cell>
          <cell r="DV203" t="str">
            <v/>
          </cell>
          <cell r="DW203" t="str">
            <v/>
          </cell>
          <cell r="DX203" t="str">
            <v/>
          </cell>
          <cell r="DY203" t="str">
            <v/>
          </cell>
          <cell r="DZ203" t="str">
            <v/>
          </cell>
          <cell r="EA203" t="str">
            <v/>
          </cell>
          <cell r="EB203" t="str">
            <v/>
          </cell>
          <cell r="EC203" t="str">
            <v/>
          </cell>
          <cell r="ED203" t="str">
            <v/>
          </cell>
          <cell r="EE203" t="str">
            <v/>
          </cell>
          <cell r="EF203" t="str">
            <v/>
          </cell>
          <cell r="EG203" t="str">
            <v/>
          </cell>
          <cell r="EH203" t="str">
            <v/>
          </cell>
          <cell r="EI203" t="str">
            <v/>
          </cell>
          <cell r="EJ203">
            <v>0</v>
          </cell>
          <cell r="EK203">
            <v>0</v>
          </cell>
          <cell r="EL203">
            <v>0</v>
          </cell>
          <cell r="EM203">
            <v>0</v>
          </cell>
          <cell r="EN203">
            <v>0</v>
          </cell>
          <cell r="EO203">
            <v>0</v>
          </cell>
          <cell r="EP203" t="str">
            <v/>
          </cell>
          <cell r="EQ203" t="str">
            <v>Housing Recovery and Reconstruction Platform</v>
          </cell>
          <cell r="ER203" t="str">
            <v/>
          </cell>
          <cell r="ES203" t="str">
            <v>District Coordinator</v>
          </cell>
          <cell r="ET203" t="str">
            <v/>
          </cell>
          <cell r="EU203" t="str">
            <v>Housing Recovery and Reconstruction Platform</v>
          </cell>
          <cell r="EV203" t="str">
            <v/>
          </cell>
          <cell r="EW203" t="str">
            <v>DIstrict Information Management Officer</v>
          </cell>
          <cell r="EX203" t="str">
            <v/>
          </cell>
          <cell r="EY203" t="str">
            <v>Housing Recovery and Reconstruction Platform</v>
          </cell>
          <cell r="EZ203" t="str">
            <v/>
          </cell>
          <cell r="FA203" t="str">
            <v>District Technical Officer</v>
          </cell>
          <cell r="FB203" t="str">
            <v/>
          </cell>
        </row>
        <row r="204">
          <cell r="A204">
            <v>39001</v>
          </cell>
          <cell r="B204" t="str">
            <v>Syangja</v>
          </cell>
          <cell r="C204" t="str">
            <v>Aandhikhola Gaunpalika</v>
          </cell>
          <cell r="D204">
            <v>636</v>
          </cell>
          <cell r="E204">
            <v>879</v>
          </cell>
          <cell r="F204">
            <v>1515</v>
          </cell>
          <cell r="G204" t="str">
            <v>Stone and cement mortar masonry</v>
          </cell>
          <cell r="H204">
            <v>0.53</v>
          </cell>
          <cell r="I204">
            <v>1.88</v>
          </cell>
          <cell r="J204" t="str">
            <v>Stone and Mud Mortar Masonary</v>
          </cell>
          <cell r="K204">
            <v>98.41</v>
          </cell>
          <cell r="L204">
            <v>89.38</v>
          </cell>
          <cell r="M204" t="str">
            <v>Brick and Cement Mortar Masonary</v>
          </cell>
          <cell r="N204">
            <v>0.59</v>
          </cell>
          <cell r="O204">
            <v>0.66</v>
          </cell>
          <cell r="P204" t="str">
            <v>Brick and mud mortar Masonry</v>
          </cell>
          <cell r="Q204">
            <v>0</v>
          </cell>
          <cell r="R204">
            <v>2.4700000000000002</v>
          </cell>
          <cell r="S204" t="str">
            <v>Reinforced cement concrete (RCC) frame</v>
          </cell>
          <cell r="T204">
            <v>0.4</v>
          </cell>
          <cell r="U204">
            <v>0.93</v>
          </cell>
          <cell r="V204" t="str">
            <v>Hybrid structure</v>
          </cell>
          <cell r="W204">
            <v>0</v>
          </cell>
          <cell r="X204">
            <v>0</v>
          </cell>
          <cell r="Y204" t="str">
            <v>Timber frame structure</v>
          </cell>
          <cell r="Z204">
            <v>0</v>
          </cell>
          <cell r="AA204">
            <v>0.06</v>
          </cell>
          <cell r="AB204" t="str">
            <v>Hollow concrete block Masonry</v>
          </cell>
          <cell r="AC204">
            <v>0</v>
          </cell>
          <cell r="AD204">
            <v>0</v>
          </cell>
          <cell r="AE204" t="str">
            <v>Dry stone Masonry</v>
          </cell>
          <cell r="AF204">
            <v>0</v>
          </cell>
          <cell r="AG204">
            <v>0.14000000000000001</v>
          </cell>
          <cell r="AH204" t="str">
            <v>Adobe structures</v>
          </cell>
          <cell r="AI204">
            <v>0</v>
          </cell>
          <cell r="AJ204">
            <v>4.37</v>
          </cell>
          <cell r="AK204" t="str">
            <v>Bamboo</v>
          </cell>
          <cell r="AL204">
            <v>7.0000000000000007E-2</v>
          </cell>
          <cell r="AM204">
            <v>0.14000000000000001</v>
          </cell>
          <cell r="AN204" t="str">
            <v>Compressed stabilized earth block (SCEB) Masonry</v>
          </cell>
          <cell r="AO204">
            <v>0</v>
          </cell>
          <cell r="AP204">
            <v>0</v>
          </cell>
          <cell r="AQ204" t="str">
            <v>Light steel frame structures</v>
          </cell>
          <cell r="AR204">
            <v>0</v>
          </cell>
          <cell r="AS204">
            <v>0</v>
          </cell>
          <cell r="AT204">
            <v>843</v>
          </cell>
          <cell r="AU204">
            <v>901</v>
          </cell>
          <cell r="AV204">
            <v>901</v>
          </cell>
          <cell r="AW204">
            <v>94</v>
          </cell>
          <cell r="AX204">
            <v>0</v>
          </cell>
          <cell r="AY204" t="str">
            <v/>
          </cell>
          <cell r="AZ204" t="str">
            <v/>
          </cell>
          <cell r="BA204">
            <v>71</v>
          </cell>
          <cell r="BB204" t="str">
            <v/>
          </cell>
          <cell r="BC204" t="str">
            <v/>
          </cell>
          <cell r="BD204" t="str">
            <v/>
          </cell>
          <cell r="BE204" t="str">
            <v/>
          </cell>
          <cell r="BF204" t="str">
            <v/>
          </cell>
          <cell r="BG204" t="str">
            <v/>
          </cell>
          <cell r="BH204" t="str">
            <v/>
          </cell>
          <cell r="BI204" t="str">
            <v/>
          </cell>
          <cell r="BJ204" t="str">
            <v/>
          </cell>
          <cell r="BK204">
            <v>26285</v>
          </cell>
          <cell r="BL204" t="str">
            <v/>
          </cell>
          <cell r="BM204" t="str">
            <v/>
          </cell>
          <cell r="BN204">
            <v>26691</v>
          </cell>
          <cell r="BO204" t="str">
            <v/>
          </cell>
          <cell r="BP204" t="str">
            <v/>
          </cell>
          <cell r="BQ204">
            <v>2803</v>
          </cell>
          <cell r="BR204" t="str">
            <v/>
          </cell>
          <cell r="BS204" t="str">
            <v/>
          </cell>
          <cell r="BT204">
            <v>3223</v>
          </cell>
          <cell r="BU204" t="str">
            <v/>
          </cell>
          <cell r="BV204" t="str">
            <v/>
          </cell>
          <cell r="BW204" t="str">
            <v/>
          </cell>
          <cell r="BX204" t="str">
            <v/>
          </cell>
          <cell r="BY204" t="str">
            <v/>
          </cell>
          <cell r="BZ204">
            <v>87968</v>
          </cell>
          <cell r="CA204" t="str">
            <v/>
          </cell>
          <cell r="CB204" t="str">
            <v/>
          </cell>
          <cell r="CC204">
            <v>284650</v>
          </cell>
          <cell r="CD204" t="str">
            <v/>
          </cell>
          <cell r="CE204" t="str">
            <v/>
          </cell>
          <cell r="CF204">
            <v>3592</v>
          </cell>
          <cell r="CG204" t="str">
            <v/>
          </cell>
          <cell r="CH204" t="str">
            <v/>
          </cell>
          <cell r="CI204">
            <v>200837</v>
          </cell>
          <cell r="CJ204" t="str">
            <v/>
          </cell>
          <cell r="CK204" t="str">
            <v/>
          </cell>
          <cell r="CL204" t="str">
            <v>Skilled</v>
          </cell>
          <cell r="CM204" t="str">
            <v/>
          </cell>
          <cell r="CN204" t="str">
            <v>Labor</v>
          </cell>
          <cell r="CO204" t="str">
            <v/>
          </cell>
          <cell r="CP204" t="str">
            <v/>
          </cell>
          <cell r="CQ204" t="str">
            <v/>
          </cell>
          <cell r="CR204" t="str">
            <v/>
          </cell>
          <cell r="CS204" t="str">
            <v/>
          </cell>
          <cell r="CT204" t="str">
            <v/>
          </cell>
          <cell r="CU204" t="str">
            <v/>
          </cell>
          <cell r="CV204" t="str">
            <v>Municipal Office</v>
          </cell>
          <cell r="CW204" t="str">
            <v/>
          </cell>
          <cell r="CX204" t="str">
            <v xml:space="preserve">Chairman </v>
          </cell>
          <cell r="CY204" t="str">
            <v/>
          </cell>
          <cell r="CZ204" t="str">
            <v>Municipal Office</v>
          </cell>
          <cell r="DA204" t="str">
            <v/>
          </cell>
          <cell r="DB204" t="str">
            <v>Deputy Chairman</v>
          </cell>
          <cell r="DC204" t="str">
            <v/>
          </cell>
          <cell r="DD204" t="str">
            <v>Municipal Office</v>
          </cell>
          <cell r="DE204" t="str">
            <v/>
          </cell>
          <cell r="DF204" t="str">
            <v>Chief Adminstration Officer</v>
          </cell>
          <cell r="DG204" t="str">
            <v/>
          </cell>
          <cell r="DH204" t="str">
            <v>NRA/GMALI</v>
          </cell>
          <cell r="DI204" t="str">
            <v>Prabin Dhakal</v>
          </cell>
          <cell r="DJ204" t="str">
            <v>NRA Chief-District</v>
          </cell>
          <cell r="DK204">
            <v>9856040060</v>
          </cell>
          <cell r="DL204" t="str">
            <v>DLPIU-Building</v>
          </cell>
          <cell r="DM204" t="str">
            <v/>
          </cell>
          <cell r="DN204" t="str">
            <v>DUDBC.DLPIU Chief</v>
          </cell>
          <cell r="DO204" t="str">
            <v/>
          </cell>
          <cell r="DP204" t="str">
            <v>Municipal Office</v>
          </cell>
          <cell r="DQ204" t="str">
            <v>Sagar Acharya</v>
          </cell>
          <cell r="DR204" t="str">
            <v>Focal Person</v>
          </cell>
          <cell r="DS204">
            <v>9846398345</v>
          </cell>
          <cell r="DT204" t="str">
            <v/>
          </cell>
          <cell r="DU204" t="str">
            <v/>
          </cell>
          <cell r="DV204" t="str">
            <v/>
          </cell>
          <cell r="DW204" t="str">
            <v/>
          </cell>
          <cell r="DX204" t="str">
            <v/>
          </cell>
          <cell r="DY204" t="str">
            <v/>
          </cell>
          <cell r="DZ204" t="str">
            <v/>
          </cell>
          <cell r="EA204" t="str">
            <v/>
          </cell>
          <cell r="EB204" t="str">
            <v/>
          </cell>
          <cell r="EC204" t="str">
            <v/>
          </cell>
          <cell r="ED204" t="str">
            <v/>
          </cell>
          <cell r="EE204" t="str">
            <v/>
          </cell>
          <cell r="EF204" t="str">
            <v/>
          </cell>
          <cell r="EG204" t="str">
            <v/>
          </cell>
          <cell r="EH204" t="str">
            <v/>
          </cell>
          <cell r="EI204" t="str">
            <v/>
          </cell>
          <cell r="EJ204">
            <v>0</v>
          </cell>
          <cell r="EK204">
            <v>0</v>
          </cell>
          <cell r="EL204">
            <v>0</v>
          </cell>
          <cell r="EM204">
            <v>0</v>
          </cell>
          <cell r="EN204">
            <v>0</v>
          </cell>
          <cell r="EO204">
            <v>0</v>
          </cell>
          <cell r="EP204" t="str">
            <v/>
          </cell>
          <cell r="EQ204" t="str">
            <v>Housing Recovery and Reconstruction Platform</v>
          </cell>
          <cell r="ER204" t="str">
            <v/>
          </cell>
          <cell r="ES204" t="str">
            <v>District Coordinator</v>
          </cell>
          <cell r="ET204" t="str">
            <v/>
          </cell>
          <cell r="EU204" t="str">
            <v>Housing Recovery and Reconstruction Platform</v>
          </cell>
          <cell r="EV204" t="str">
            <v/>
          </cell>
          <cell r="EW204" t="str">
            <v>DIstrict Information Management Officer</v>
          </cell>
          <cell r="EX204" t="str">
            <v/>
          </cell>
          <cell r="EY204" t="str">
            <v>Housing Recovery and Reconstruction Platform</v>
          </cell>
          <cell r="EZ204" t="str">
            <v/>
          </cell>
          <cell r="FA204" t="str">
            <v>District Technical Officer</v>
          </cell>
          <cell r="FB204" t="str">
            <v/>
          </cell>
        </row>
        <row r="205">
          <cell r="A205">
            <v>39002</v>
          </cell>
          <cell r="B205" t="str">
            <v>Syangja</v>
          </cell>
          <cell r="C205" t="str">
            <v>Arjunchaupari Gaunpalika</v>
          </cell>
          <cell r="D205">
            <v>222</v>
          </cell>
          <cell r="E205">
            <v>581</v>
          </cell>
          <cell r="F205">
            <v>803</v>
          </cell>
          <cell r="G205" t="str">
            <v>Stone and cement mortar masonry</v>
          </cell>
          <cell r="H205">
            <v>1.25</v>
          </cell>
          <cell r="I205">
            <v>1.88</v>
          </cell>
          <cell r="J205" t="str">
            <v>Stone and Mud Mortar Masonary</v>
          </cell>
          <cell r="K205">
            <v>97.14</v>
          </cell>
          <cell r="L205">
            <v>89.38</v>
          </cell>
          <cell r="M205" t="str">
            <v>Brick and Cement Mortar Masonary</v>
          </cell>
          <cell r="N205">
            <v>0.25</v>
          </cell>
          <cell r="O205">
            <v>0.66</v>
          </cell>
          <cell r="P205" t="str">
            <v>Brick and mud mortar Masonry</v>
          </cell>
          <cell r="Q205">
            <v>0</v>
          </cell>
          <cell r="R205">
            <v>2.4700000000000002</v>
          </cell>
          <cell r="S205" t="str">
            <v>Reinforced cement concrete (RCC) frame</v>
          </cell>
          <cell r="T205">
            <v>0.12</v>
          </cell>
          <cell r="U205">
            <v>0.93</v>
          </cell>
          <cell r="V205" t="str">
            <v>Hybrid structure</v>
          </cell>
          <cell r="W205">
            <v>0</v>
          </cell>
          <cell r="X205">
            <v>0</v>
          </cell>
          <cell r="Y205" t="str">
            <v>Timber frame structure</v>
          </cell>
          <cell r="Z205">
            <v>0</v>
          </cell>
          <cell r="AA205">
            <v>0.06</v>
          </cell>
          <cell r="AB205" t="str">
            <v>Hollow concrete block Masonry</v>
          </cell>
          <cell r="AC205">
            <v>0</v>
          </cell>
          <cell r="AD205">
            <v>0</v>
          </cell>
          <cell r="AE205" t="str">
            <v>Dry stone Masonry</v>
          </cell>
          <cell r="AF205">
            <v>0.37</v>
          </cell>
          <cell r="AG205">
            <v>0.14000000000000001</v>
          </cell>
          <cell r="AH205" t="str">
            <v>Adobe structures</v>
          </cell>
          <cell r="AI205">
            <v>0.87</v>
          </cell>
          <cell r="AJ205">
            <v>4.37</v>
          </cell>
          <cell r="AK205" t="str">
            <v>Bamboo</v>
          </cell>
          <cell r="AL205">
            <v>0</v>
          </cell>
          <cell r="AM205">
            <v>0.14000000000000001</v>
          </cell>
          <cell r="AN205" t="str">
            <v>Compressed stabilized earth block (SCEB) Masonry</v>
          </cell>
          <cell r="AO205">
            <v>0</v>
          </cell>
          <cell r="AP205">
            <v>0</v>
          </cell>
          <cell r="AQ205" t="str">
            <v>Light steel frame structures</v>
          </cell>
          <cell r="AR205">
            <v>0</v>
          </cell>
          <cell r="AS205">
            <v>0</v>
          </cell>
          <cell r="AT205">
            <v>531</v>
          </cell>
          <cell r="AU205">
            <v>253</v>
          </cell>
          <cell r="AV205">
            <v>253</v>
          </cell>
          <cell r="AW205">
            <v>95</v>
          </cell>
          <cell r="AX205">
            <v>0</v>
          </cell>
          <cell r="AY205" t="str">
            <v/>
          </cell>
          <cell r="AZ205" t="str">
            <v/>
          </cell>
          <cell r="BA205">
            <v>65</v>
          </cell>
          <cell r="BB205" t="str">
            <v/>
          </cell>
          <cell r="BC205" t="str">
            <v/>
          </cell>
          <cell r="BD205" t="str">
            <v/>
          </cell>
          <cell r="BE205" t="str">
            <v/>
          </cell>
          <cell r="BF205" t="str">
            <v/>
          </cell>
          <cell r="BG205" t="str">
            <v/>
          </cell>
          <cell r="BH205" t="str">
            <v/>
          </cell>
          <cell r="BI205" t="str">
            <v/>
          </cell>
          <cell r="BJ205" t="str">
            <v/>
          </cell>
          <cell r="BK205">
            <v>6635</v>
          </cell>
          <cell r="BL205" t="str">
            <v/>
          </cell>
          <cell r="BM205" t="str">
            <v/>
          </cell>
          <cell r="BN205">
            <v>4804</v>
          </cell>
          <cell r="BO205" t="str">
            <v/>
          </cell>
          <cell r="BP205" t="str">
            <v/>
          </cell>
          <cell r="BQ205">
            <v>689</v>
          </cell>
          <cell r="BR205" t="str">
            <v/>
          </cell>
          <cell r="BS205" t="str">
            <v/>
          </cell>
          <cell r="BT205">
            <v>725</v>
          </cell>
          <cell r="BU205" t="str">
            <v/>
          </cell>
          <cell r="BV205" t="str">
            <v/>
          </cell>
          <cell r="BW205" t="str">
            <v/>
          </cell>
          <cell r="BX205" t="str">
            <v/>
          </cell>
          <cell r="BY205" t="str">
            <v/>
          </cell>
          <cell r="BZ205">
            <v>15894</v>
          </cell>
          <cell r="CA205" t="str">
            <v/>
          </cell>
          <cell r="CB205" t="str">
            <v/>
          </cell>
          <cell r="CC205">
            <v>74463</v>
          </cell>
          <cell r="CD205" t="str">
            <v/>
          </cell>
          <cell r="CE205" t="str">
            <v/>
          </cell>
          <cell r="CF205">
            <v>644</v>
          </cell>
          <cell r="CG205" t="str">
            <v/>
          </cell>
          <cell r="CH205" t="str">
            <v/>
          </cell>
          <cell r="CI205">
            <v>158774</v>
          </cell>
          <cell r="CJ205" t="str">
            <v/>
          </cell>
          <cell r="CK205" t="str">
            <v/>
          </cell>
          <cell r="CL205" t="str">
            <v>Skilled</v>
          </cell>
          <cell r="CM205" t="str">
            <v/>
          </cell>
          <cell r="CN205" t="str">
            <v>Labor</v>
          </cell>
          <cell r="CO205" t="str">
            <v/>
          </cell>
          <cell r="CP205" t="str">
            <v/>
          </cell>
          <cell r="CQ205" t="str">
            <v/>
          </cell>
          <cell r="CR205" t="str">
            <v/>
          </cell>
          <cell r="CS205" t="str">
            <v/>
          </cell>
          <cell r="CT205" t="str">
            <v/>
          </cell>
          <cell r="CU205" t="str">
            <v/>
          </cell>
          <cell r="CV205" t="str">
            <v>Municipal Office</v>
          </cell>
          <cell r="CW205" t="str">
            <v/>
          </cell>
          <cell r="CX205" t="str">
            <v xml:space="preserve">Chairman </v>
          </cell>
          <cell r="CY205" t="str">
            <v/>
          </cell>
          <cell r="CZ205" t="str">
            <v>Municipal Office</v>
          </cell>
          <cell r="DA205" t="str">
            <v/>
          </cell>
          <cell r="DB205" t="str">
            <v>Deputy Chairman</v>
          </cell>
          <cell r="DC205" t="str">
            <v/>
          </cell>
          <cell r="DD205" t="str">
            <v>Municipal Office</v>
          </cell>
          <cell r="DE205" t="str">
            <v/>
          </cell>
          <cell r="DF205" t="str">
            <v>Chief Adminstration Officer</v>
          </cell>
          <cell r="DG205" t="str">
            <v/>
          </cell>
          <cell r="DH205" t="str">
            <v>NRA/GMALI</v>
          </cell>
          <cell r="DI205" t="str">
            <v>Prabin Dhakal</v>
          </cell>
          <cell r="DJ205" t="str">
            <v>NRA Chief-District</v>
          </cell>
          <cell r="DK205">
            <v>9856040060</v>
          </cell>
          <cell r="DL205" t="str">
            <v>DLPIU-Building</v>
          </cell>
          <cell r="DM205" t="str">
            <v/>
          </cell>
          <cell r="DN205" t="str">
            <v>DUDBC.DLPIU Chief</v>
          </cell>
          <cell r="DO205" t="str">
            <v/>
          </cell>
          <cell r="DP205" t="str">
            <v>Municipal Office</v>
          </cell>
          <cell r="DQ205" t="str">
            <v>Ishwor Kafle</v>
          </cell>
          <cell r="DR205" t="str">
            <v>Focal Person</v>
          </cell>
          <cell r="DS205">
            <v>9846836774</v>
          </cell>
          <cell r="DT205" t="str">
            <v/>
          </cell>
          <cell r="DU205" t="str">
            <v/>
          </cell>
          <cell r="DV205" t="str">
            <v/>
          </cell>
          <cell r="DW205" t="str">
            <v/>
          </cell>
          <cell r="DX205" t="str">
            <v/>
          </cell>
          <cell r="DY205" t="str">
            <v/>
          </cell>
          <cell r="DZ205" t="str">
            <v/>
          </cell>
          <cell r="EA205" t="str">
            <v/>
          </cell>
          <cell r="EB205" t="str">
            <v/>
          </cell>
          <cell r="EC205" t="str">
            <v/>
          </cell>
          <cell r="ED205" t="str">
            <v/>
          </cell>
          <cell r="EE205" t="str">
            <v/>
          </cell>
          <cell r="EF205" t="str">
            <v/>
          </cell>
          <cell r="EG205" t="str">
            <v/>
          </cell>
          <cell r="EH205" t="str">
            <v/>
          </cell>
          <cell r="EI205" t="str">
            <v/>
          </cell>
          <cell r="EJ205">
            <v>0</v>
          </cell>
          <cell r="EK205">
            <v>0</v>
          </cell>
          <cell r="EL205">
            <v>0</v>
          </cell>
          <cell r="EM205">
            <v>0</v>
          </cell>
          <cell r="EN205">
            <v>0</v>
          </cell>
          <cell r="EO205">
            <v>0</v>
          </cell>
          <cell r="EP205" t="str">
            <v/>
          </cell>
          <cell r="EQ205" t="str">
            <v>Housing Recovery and Reconstruction Platform</v>
          </cell>
          <cell r="ER205" t="str">
            <v/>
          </cell>
          <cell r="ES205" t="str">
            <v>District Coordinator</v>
          </cell>
          <cell r="ET205" t="str">
            <v/>
          </cell>
          <cell r="EU205" t="str">
            <v>Housing Recovery and Reconstruction Platform</v>
          </cell>
          <cell r="EV205" t="str">
            <v/>
          </cell>
          <cell r="EW205" t="str">
            <v>DIstrict Information Management Officer</v>
          </cell>
          <cell r="EX205" t="str">
            <v/>
          </cell>
          <cell r="EY205" t="str">
            <v>Housing Recovery and Reconstruction Platform</v>
          </cell>
          <cell r="EZ205" t="str">
            <v/>
          </cell>
          <cell r="FA205" t="str">
            <v>District Technical Officer</v>
          </cell>
          <cell r="FB205" t="str">
            <v/>
          </cell>
        </row>
        <row r="206">
          <cell r="A206">
            <v>39003</v>
          </cell>
          <cell r="B206" t="str">
            <v>Syangja</v>
          </cell>
          <cell r="C206" t="str">
            <v>Bhirkot Nagarpalika</v>
          </cell>
          <cell r="D206">
            <v>985</v>
          </cell>
          <cell r="E206">
            <v>1114</v>
          </cell>
          <cell r="F206">
            <v>2099</v>
          </cell>
          <cell r="G206" t="str">
            <v>Stone and cement mortar masonry</v>
          </cell>
          <cell r="H206">
            <v>5.0999999999999996</v>
          </cell>
          <cell r="I206">
            <v>1.88</v>
          </cell>
          <cell r="J206" t="str">
            <v>Stone and Mud Mortar Masonary</v>
          </cell>
          <cell r="K206">
            <v>90.28</v>
          </cell>
          <cell r="L206">
            <v>89.38</v>
          </cell>
          <cell r="M206" t="str">
            <v>Brick and Cement Mortar Masonary</v>
          </cell>
          <cell r="N206">
            <v>0.33</v>
          </cell>
          <cell r="O206">
            <v>0.66</v>
          </cell>
          <cell r="P206" t="str">
            <v>Brick and mud mortar Masonry</v>
          </cell>
          <cell r="Q206">
            <v>0.14000000000000001</v>
          </cell>
          <cell r="R206">
            <v>2.4700000000000002</v>
          </cell>
          <cell r="S206" t="str">
            <v>Reinforced cement concrete (RCC) frame</v>
          </cell>
          <cell r="T206">
            <v>1</v>
          </cell>
          <cell r="U206">
            <v>0.93</v>
          </cell>
          <cell r="V206" t="str">
            <v>Hybrid structure</v>
          </cell>
          <cell r="W206">
            <v>0</v>
          </cell>
          <cell r="X206">
            <v>0</v>
          </cell>
          <cell r="Y206" t="str">
            <v>Timber frame structure</v>
          </cell>
          <cell r="Z206">
            <v>0</v>
          </cell>
          <cell r="AA206">
            <v>0.06</v>
          </cell>
          <cell r="AB206" t="str">
            <v>Hollow concrete block Masonry</v>
          </cell>
          <cell r="AC206">
            <v>0</v>
          </cell>
          <cell r="AD206">
            <v>0</v>
          </cell>
          <cell r="AE206" t="str">
            <v>Dry stone Masonry</v>
          </cell>
          <cell r="AF206">
            <v>0.24</v>
          </cell>
          <cell r="AG206">
            <v>0.14000000000000001</v>
          </cell>
          <cell r="AH206" t="str">
            <v>Adobe structures</v>
          </cell>
          <cell r="AI206">
            <v>2.67</v>
          </cell>
          <cell r="AJ206">
            <v>4.37</v>
          </cell>
          <cell r="AK206" t="str">
            <v>Bamboo</v>
          </cell>
          <cell r="AL206">
            <v>0.24</v>
          </cell>
          <cell r="AM206">
            <v>0.14000000000000001</v>
          </cell>
          <cell r="AN206" t="str">
            <v>Compressed stabilized earth block (SCEB) Masonry</v>
          </cell>
          <cell r="AO206">
            <v>0</v>
          </cell>
          <cell r="AP206">
            <v>0</v>
          </cell>
          <cell r="AQ206" t="str">
            <v>Light steel frame structures</v>
          </cell>
          <cell r="AR206">
            <v>0</v>
          </cell>
          <cell r="AS206">
            <v>0</v>
          </cell>
          <cell r="AT206">
            <v>1041</v>
          </cell>
          <cell r="AU206">
            <v>498</v>
          </cell>
          <cell r="AV206">
            <v>498</v>
          </cell>
          <cell r="AW206">
            <v>53</v>
          </cell>
          <cell r="AX206">
            <v>0</v>
          </cell>
          <cell r="AY206" t="str">
            <v/>
          </cell>
          <cell r="AZ206" t="str">
            <v/>
          </cell>
          <cell r="BA206">
            <v>24</v>
          </cell>
          <cell r="BB206" t="str">
            <v/>
          </cell>
          <cell r="BC206" t="str">
            <v/>
          </cell>
          <cell r="BD206" t="str">
            <v/>
          </cell>
          <cell r="BE206" t="str">
            <v/>
          </cell>
          <cell r="BF206" t="str">
            <v/>
          </cell>
          <cell r="BG206" t="str">
            <v/>
          </cell>
          <cell r="BH206" t="str">
            <v/>
          </cell>
          <cell r="BI206" t="str">
            <v/>
          </cell>
          <cell r="BJ206" t="str">
            <v/>
          </cell>
          <cell r="BK206">
            <v>14664</v>
          </cell>
          <cell r="BL206" t="str">
            <v/>
          </cell>
          <cell r="BM206" t="str">
            <v/>
          </cell>
          <cell r="BN206">
            <v>14039</v>
          </cell>
          <cell r="BO206" t="str">
            <v/>
          </cell>
          <cell r="BP206" t="str">
            <v/>
          </cell>
          <cell r="BQ206">
            <v>1559</v>
          </cell>
          <cell r="BR206" t="str">
            <v/>
          </cell>
          <cell r="BS206" t="str">
            <v/>
          </cell>
          <cell r="BT206">
            <v>1773</v>
          </cell>
          <cell r="BU206" t="str">
            <v/>
          </cell>
          <cell r="BV206" t="str">
            <v/>
          </cell>
          <cell r="BW206" t="str">
            <v/>
          </cell>
          <cell r="BX206" t="str">
            <v/>
          </cell>
          <cell r="BY206" t="str">
            <v/>
          </cell>
          <cell r="BZ206">
            <v>48397</v>
          </cell>
          <cell r="CA206" t="str">
            <v/>
          </cell>
          <cell r="CB206" t="str">
            <v/>
          </cell>
          <cell r="CC206">
            <v>162766</v>
          </cell>
          <cell r="CD206" t="str">
            <v/>
          </cell>
          <cell r="CE206" t="str">
            <v/>
          </cell>
          <cell r="CF206">
            <v>1987</v>
          </cell>
          <cell r="CG206" t="str">
            <v/>
          </cell>
          <cell r="CH206" t="str">
            <v/>
          </cell>
          <cell r="CI206">
            <v>481218</v>
          </cell>
          <cell r="CJ206" t="str">
            <v/>
          </cell>
          <cell r="CK206" t="str">
            <v/>
          </cell>
          <cell r="CL206" t="str">
            <v>Skilled</v>
          </cell>
          <cell r="CM206" t="str">
            <v/>
          </cell>
          <cell r="CN206" t="str">
            <v>Labor</v>
          </cell>
          <cell r="CO206" t="str">
            <v/>
          </cell>
          <cell r="CP206" t="str">
            <v/>
          </cell>
          <cell r="CQ206" t="str">
            <v/>
          </cell>
          <cell r="CR206" t="str">
            <v/>
          </cell>
          <cell r="CS206" t="str">
            <v/>
          </cell>
          <cell r="CT206" t="str">
            <v/>
          </cell>
          <cell r="CU206" t="str">
            <v/>
          </cell>
          <cell r="CV206" t="str">
            <v>Municipal Office</v>
          </cell>
          <cell r="CW206" t="str">
            <v/>
          </cell>
          <cell r="CX206" t="str">
            <v>Mayor</v>
          </cell>
          <cell r="CY206" t="str">
            <v/>
          </cell>
          <cell r="CZ206" t="str">
            <v>Municipal Office</v>
          </cell>
          <cell r="DA206" t="str">
            <v/>
          </cell>
          <cell r="DB206" t="str">
            <v>Deputy Mayor</v>
          </cell>
          <cell r="DC206" t="str">
            <v/>
          </cell>
          <cell r="DD206" t="str">
            <v>Municipal Office</v>
          </cell>
          <cell r="DE206" t="str">
            <v/>
          </cell>
          <cell r="DF206" t="str">
            <v>Chief Adminstration Officer</v>
          </cell>
          <cell r="DG206" t="str">
            <v/>
          </cell>
          <cell r="DH206" t="str">
            <v>NRA/GMALI</v>
          </cell>
          <cell r="DI206" t="str">
            <v>Prabin Dhakal</v>
          </cell>
          <cell r="DJ206" t="str">
            <v>NRA Chief-District</v>
          </cell>
          <cell r="DK206">
            <v>9856040060</v>
          </cell>
          <cell r="DL206" t="str">
            <v>DLPIU-Building</v>
          </cell>
          <cell r="DM206" t="str">
            <v/>
          </cell>
          <cell r="DN206" t="str">
            <v>DUDBC.DLPIU Chief</v>
          </cell>
          <cell r="DO206" t="str">
            <v/>
          </cell>
          <cell r="DP206" t="str">
            <v>Municipal Office</v>
          </cell>
          <cell r="DQ206" t="str">
            <v>Om Prakash Chaulagain</v>
          </cell>
          <cell r="DR206" t="str">
            <v>Focal Person</v>
          </cell>
          <cell r="DS206">
            <v>9848335252</v>
          </cell>
          <cell r="DT206" t="str">
            <v/>
          </cell>
          <cell r="DU206" t="str">
            <v/>
          </cell>
          <cell r="DV206" t="str">
            <v/>
          </cell>
          <cell r="DW206" t="str">
            <v/>
          </cell>
          <cell r="DX206" t="str">
            <v/>
          </cell>
          <cell r="DY206" t="str">
            <v/>
          </cell>
          <cell r="DZ206" t="str">
            <v/>
          </cell>
          <cell r="EA206" t="str">
            <v/>
          </cell>
          <cell r="EB206" t="str">
            <v/>
          </cell>
          <cell r="EC206" t="str">
            <v/>
          </cell>
          <cell r="ED206" t="str">
            <v/>
          </cell>
          <cell r="EE206" t="str">
            <v/>
          </cell>
          <cell r="EF206" t="str">
            <v/>
          </cell>
          <cell r="EG206" t="str">
            <v/>
          </cell>
          <cell r="EH206" t="str">
            <v/>
          </cell>
          <cell r="EI206" t="str">
            <v/>
          </cell>
          <cell r="EJ206">
            <v>0</v>
          </cell>
          <cell r="EK206">
            <v>0</v>
          </cell>
          <cell r="EL206">
            <v>0</v>
          </cell>
          <cell r="EM206">
            <v>0</v>
          </cell>
          <cell r="EN206">
            <v>0</v>
          </cell>
          <cell r="EO206">
            <v>0</v>
          </cell>
          <cell r="EP206" t="str">
            <v/>
          </cell>
          <cell r="EQ206" t="str">
            <v>Housing Recovery and Reconstruction Platform</v>
          </cell>
          <cell r="ER206" t="str">
            <v/>
          </cell>
          <cell r="ES206" t="str">
            <v>District Coordinator</v>
          </cell>
          <cell r="ET206" t="str">
            <v/>
          </cell>
          <cell r="EU206" t="str">
            <v>Housing Recovery and Reconstruction Platform</v>
          </cell>
          <cell r="EV206" t="str">
            <v/>
          </cell>
          <cell r="EW206" t="str">
            <v>DIstrict Information Management Officer</v>
          </cell>
          <cell r="EX206" t="str">
            <v/>
          </cell>
          <cell r="EY206" t="str">
            <v>Housing Recovery and Reconstruction Platform</v>
          </cell>
          <cell r="EZ206" t="str">
            <v/>
          </cell>
          <cell r="FA206" t="str">
            <v>District Technical Officer</v>
          </cell>
          <cell r="FB206" t="str">
            <v/>
          </cell>
        </row>
        <row r="207">
          <cell r="A207">
            <v>39004</v>
          </cell>
          <cell r="B207" t="str">
            <v>Syangja</v>
          </cell>
          <cell r="C207" t="str">
            <v>Biruwa Gaunpalika</v>
          </cell>
          <cell r="D207">
            <v>346</v>
          </cell>
          <cell r="E207">
            <v>678</v>
          </cell>
          <cell r="F207">
            <v>1024</v>
          </cell>
          <cell r="G207" t="str">
            <v>Stone and cement mortar masonry</v>
          </cell>
          <cell r="H207">
            <v>1.95</v>
          </cell>
          <cell r="I207">
            <v>1.88</v>
          </cell>
          <cell r="J207" t="str">
            <v>Stone and Mud Mortar Masonary</v>
          </cell>
          <cell r="K207">
            <v>96</v>
          </cell>
          <cell r="L207">
            <v>89.38</v>
          </cell>
          <cell r="M207" t="str">
            <v>Brick and Cement Mortar Masonary</v>
          </cell>
          <cell r="N207">
            <v>0.28999999999999998</v>
          </cell>
          <cell r="O207">
            <v>0.66</v>
          </cell>
          <cell r="P207" t="str">
            <v>Brick and mud mortar Masonry</v>
          </cell>
          <cell r="Q207">
            <v>0</v>
          </cell>
          <cell r="R207">
            <v>2.4700000000000002</v>
          </cell>
          <cell r="S207" t="str">
            <v>Reinforced cement concrete (RCC) frame</v>
          </cell>
          <cell r="T207">
            <v>0.28999999999999998</v>
          </cell>
          <cell r="U207">
            <v>0.93</v>
          </cell>
          <cell r="V207" t="str">
            <v>Hybrid structure</v>
          </cell>
          <cell r="W207">
            <v>0</v>
          </cell>
          <cell r="X207">
            <v>0</v>
          </cell>
          <cell r="Y207" t="str">
            <v>Timber frame structure</v>
          </cell>
          <cell r="Z207">
            <v>0</v>
          </cell>
          <cell r="AA207">
            <v>0.06</v>
          </cell>
          <cell r="AB207" t="str">
            <v>Hollow concrete block Masonry</v>
          </cell>
          <cell r="AC207">
            <v>0</v>
          </cell>
          <cell r="AD207">
            <v>0</v>
          </cell>
          <cell r="AE207" t="str">
            <v>Dry stone Masonry</v>
          </cell>
          <cell r="AF207">
            <v>0</v>
          </cell>
          <cell r="AG207">
            <v>0.14000000000000001</v>
          </cell>
          <cell r="AH207" t="str">
            <v>Adobe structures</v>
          </cell>
          <cell r="AI207">
            <v>1.37</v>
          </cell>
          <cell r="AJ207">
            <v>4.37</v>
          </cell>
          <cell r="AK207" t="str">
            <v>Bamboo</v>
          </cell>
          <cell r="AL207">
            <v>0.1</v>
          </cell>
          <cell r="AM207">
            <v>0.14000000000000001</v>
          </cell>
          <cell r="AN207" t="str">
            <v>Compressed stabilized earth block (SCEB) Masonry</v>
          </cell>
          <cell r="AO207">
            <v>0</v>
          </cell>
          <cell r="AP207">
            <v>0</v>
          </cell>
          <cell r="AQ207" t="str">
            <v>Light steel frame structures</v>
          </cell>
          <cell r="AR207">
            <v>0</v>
          </cell>
          <cell r="AS207">
            <v>0</v>
          </cell>
          <cell r="AT207">
            <v>638</v>
          </cell>
          <cell r="AU207">
            <v>348</v>
          </cell>
          <cell r="AV207">
            <v>348</v>
          </cell>
          <cell r="AW207">
            <v>21</v>
          </cell>
          <cell r="AX207">
            <v>0</v>
          </cell>
          <cell r="AY207" t="str">
            <v/>
          </cell>
          <cell r="AZ207" t="str">
            <v/>
          </cell>
          <cell r="BA207">
            <v>40</v>
          </cell>
          <cell r="BB207" t="str">
            <v/>
          </cell>
          <cell r="BC207" t="str">
            <v/>
          </cell>
          <cell r="BD207" t="str">
            <v/>
          </cell>
          <cell r="BE207" t="str">
            <v/>
          </cell>
          <cell r="BF207" t="str">
            <v/>
          </cell>
          <cell r="BG207" t="str">
            <v/>
          </cell>
          <cell r="BH207" t="str">
            <v/>
          </cell>
          <cell r="BI207" t="str">
            <v/>
          </cell>
          <cell r="BJ207" t="str">
            <v/>
          </cell>
          <cell r="BK207">
            <v>11229</v>
          </cell>
          <cell r="BL207" t="str">
            <v/>
          </cell>
          <cell r="BM207" t="str">
            <v/>
          </cell>
          <cell r="BN207">
            <v>9440</v>
          </cell>
          <cell r="BO207" t="str">
            <v/>
          </cell>
          <cell r="BP207" t="str">
            <v/>
          </cell>
          <cell r="BQ207">
            <v>1182</v>
          </cell>
          <cell r="BR207" t="str">
            <v/>
          </cell>
          <cell r="BS207" t="str">
            <v/>
          </cell>
          <cell r="BT207">
            <v>1303</v>
          </cell>
          <cell r="BU207" t="str">
            <v/>
          </cell>
          <cell r="BV207" t="str">
            <v/>
          </cell>
          <cell r="BW207" t="str">
            <v/>
          </cell>
          <cell r="BX207" t="str">
            <v/>
          </cell>
          <cell r="BY207" t="str">
            <v/>
          </cell>
          <cell r="BZ207">
            <v>33554</v>
          </cell>
          <cell r="CA207" t="str">
            <v/>
          </cell>
          <cell r="CB207" t="str">
            <v/>
          </cell>
          <cell r="CC207">
            <v>127446</v>
          </cell>
          <cell r="CD207" t="str">
            <v/>
          </cell>
          <cell r="CE207" t="str">
            <v/>
          </cell>
          <cell r="CF207">
            <v>1380</v>
          </cell>
          <cell r="CG207" t="str">
            <v/>
          </cell>
          <cell r="CH207" t="str">
            <v/>
          </cell>
          <cell r="CI207">
            <v>559877</v>
          </cell>
          <cell r="CJ207" t="str">
            <v/>
          </cell>
          <cell r="CK207" t="str">
            <v/>
          </cell>
          <cell r="CL207" t="str">
            <v>Skilled</v>
          </cell>
          <cell r="CM207" t="str">
            <v/>
          </cell>
          <cell r="CN207" t="str">
            <v>Labor</v>
          </cell>
          <cell r="CO207" t="str">
            <v/>
          </cell>
          <cell r="CP207" t="str">
            <v/>
          </cell>
          <cell r="CQ207" t="str">
            <v/>
          </cell>
          <cell r="CR207" t="str">
            <v/>
          </cell>
          <cell r="CS207" t="str">
            <v/>
          </cell>
          <cell r="CT207" t="str">
            <v/>
          </cell>
          <cell r="CU207" t="str">
            <v/>
          </cell>
          <cell r="CV207" t="str">
            <v>Municipal Office</v>
          </cell>
          <cell r="CW207" t="str">
            <v/>
          </cell>
          <cell r="CX207" t="str">
            <v xml:space="preserve">Chairman </v>
          </cell>
          <cell r="CY207" t="str">
            <v/>
          </cell>
          <cell r="CZ207" t="str">
            <v>Municipal Office</v>
          </cell>
          <cell r="DA207" t="str">
            <v/>
          </cell>
          <cell r="DB207" t="str">
            <v>Deputy Chairman</v>
          </cell>
          <cell r="DC207" t="str">
            <v/>
          </cell>
          <cell r="DD207" t="str">
            <v>Municipal Office</v>
          </cell>
          <cell r="DE207" t="str">
            <v/>
          </cell>
          <cell r="DF207" t="str">
            <v>Chief Adminstration Officer</v>
          </cell>
          <cell r="DG207" t="str">
            <v/>
          </cell>
          <cell r="DH207" t="str">
            <v>NRA/GMALI</v>
          </cell>
          <cell r="DI207" t="str">
            <v>Prabin Dhakal</v>
          </cell>
          <cell r="DJ207" t="str">
            <v>NRA Chief-District</v>
          </cell>
          <cell r="DK207">
            <v>9856040060</v>
          </cell>
          <cell r="DL207" t="str">
            <v>DLPIU-Building</v>
          </cell>
          <cell r="DM207" t="str">
            <v/>
          </cell>
          <cell r="DN207" t="str">
            <v>DUDBC.DLPIU Chief</v>
          </cell>
          <cell r="DO207" t="str">
            <v/>
          </cell>
          <cell r="DP207" t="str">
            <v>Municipal Office</v>
          </cell>
          <cell r="DQ207" t="str">
            <v>Gauri Sankar Mandal</v>
          </cell>
          <cell r="DR207" t="str">
            <v>Focal Person</v>
          </cell>
          <cell r="DS207">
            <v>9865330024</v>
          </cell>
          <cell r="DT207" t="str">
            <v/>
          </cell>
          <cell r="DU207" t="str">
            <v/>
          </cell>
          <cell r="DV207" t="str">
            <v/>
          </cell>
          <cell r="DW207" t="str">
            <v/>
          </cell>
          <cell r="DX207" t="str">
            <v/>
          </cell>
          <cell r="DY207" t="str">
            <v/>
          </cell>
          <cell r="DZ207" t="str">
            <v/>
          </cell>
          <cell r="EA207" t="str">
            <v/>
          </cell>
          <cell r="EB207" t="str">
            <v/>
          </cell>
          <cell r="EC207" t="str">
            <v/>
          </cell>
          <cell r="ED207" t="str">
            <v/>
          </cell>
          <cell r="EE207" t="str">
            <v/>
          </cell>
          <cell r="EF207" t="str">
            <v/>
          </cell>
          <cell r="EG207" t="str">
            <v/>
          </cell>
          <cell r="EH207" t="str">
            <v/>
          </cell>
          <cell r="EI207" t="str">
            <v/>
          </cell>
          <cell r="EJ207">
            <v>0</v>
          </cell>
          <cell r="EK207">
            <v>0</v>
          </cell>
          <cell r="EL207">
            <v>0</v>
          </cell>
          <cell r="EM207">
            <v>0</v>
          </cell>
          <cell r="EN207">
            <v>0</v>
          </cell>
          <cell r="EO207">
            <v>0</v>
          </cell>
          <cell r="EP207" t="str">
            <v/>
          </cell>
          <cell r="EQ207" t="str">
            <v>Housing Recovery and Reconstruction Platform</v>
          </cell>
          <cell r="ER207" t="str">
            <v/>
          </cell>
          <cell r="ES207" t="str">
            <v>District Coordinator</v>
          </cell>
          <cell r="ET207" t="str">
            <v/>
          </cell>
          <cell r="EU207" t="str">
            <v>Housing Recovery and Reconstruction Platform</v>
          </cell>
          <cell r="EV207" t="str">
            <v/>
          </cell>
          <cell r="EW207" t="str">
            <v>DIstrict Information Management Officer</v>
          </cell>
          <cell r="EX207" t="str">
            <v/>
          </cell>
          <cell r="EY207" t="str">
            <v>Housing Recovery and Reconstruction Platform</v>
          </cell>
          <cell r="EZ207" t="str">
            <v/>
          </cell>
          <cell r="FA207" t="str">
            <v>District Technical Officer</v>
          </cell>
          <cell r="FB207" t="str">
            <v/>
          </cell>
        </row>
        <row r="208">
          <cell r="A208">
            <v>39005</v>
          </cell>
          <cell r="B208" t="str">
            <v>Syangja</v>
          </cell>
          <cell r="C208" t="str">
            <v>Chapakot Nagarpalika</v>
          </cell>
          <cell r="D208">
            <v>988</v>
          </cell>
          <cell r="E208">
            <v>827</v>
          </cell>
          <cell r="F208">
            <v>1815</v>
          </cell>
          <cell r="G208" t="str">
            <v>Stone and cement mortar masonry</v>
          </cell>
          <cell r="H208">
            <v>0.55000000000000004</v>
          </cell>
          <cell r="I208">
            <v>1.88</v>
          </cell>
          <cell r="J208" t="str">
            <v>Stone and Mud Mortar Masonary</v>
          </cell>
          <cell r="K208">
            <v>72.540000000000006</v>
          </cell>
          <cell r="L208">
            <v>89.38</v>
          </cell>
          <cell r="M208" t="str">
            <v>Brick and Cement Mortar Masonary</v>
          </cell>
          <cell r="N208">
            <v>1.05</v>
          </cell>
          <cell r="O208">
            <v>0.66</v>
          </cell>
          <cell r="P208" t="str">
            <v>Brick and mud mortar Masonry</v>
          </cell>
          <cell r="Q208">
            <v>21.22</v>
          </cell>
          <cell r="R208">
            <v>2.4700000000000002</v>
          </cell>
          <cell r="S208" t="str">
            <v>Reinforced cement concrete (RCC) frame</v>
          </cell>
          <cell r="T208">
            <v>2.6</v>
          </cell>
          <cell r="U208">
            <v>0.93</v>
          </cell>
          <cell r="V208" t="str">
            <v>Hybrid structure</v>
          </cell>
          <cell r="W208">
            <v>0</v>
          </cell>
          <cell r="X208">
            <v>0</v>
          </cell>
          <cell r="Y208" t="str">
            <v>Timber frame structure</v>
          </cell>
          <cell r="Z208">
            <v>0</v>
          </cell>
          <cell r="AA208">
            <v>0.06</v>
          </cell>
          <cell r="AB208" t="str">
            <v>Hollow concrete block Masonry</v>
          </cell>
          <cell r="AC208">
            <v>0</v>
          </cell>
          <cell r="AD208">
            <v>0</v>
          </cell>
          <cell r="AE208" t="str">
            <v>Dry stone Masonry</v>
          </cell>
          <cell r="AF208">
            <v>0.5</v>
          </cell>
          <cell r="AG208">
            <v>0.14000000000000001</v>
          </cell>
          <cell r="AH208" t="str">
            <v>Adobe structures</v>
          </cell>
          <cell r="AI208">
            <v>0.77</v>
          </cell>
          <cell r="AJ208">
            <v>4.37</v>
          </cell>
          <cell r="AK208" t="str">
            <v>Bamboo</v>
          </cell>
          <cell r="AL208">
            <v>0.77</v>
          </cell>
          <cell r="AM208">
            <v>0.14000000000000001</v>
          </cell>
          <cell r="AN208" t="str">
            <v>Compressed stabilized earth block (SCEB) Masonry</v>
          </cell>
          <cell r="AO208">
            <v>0</v>
          </cell>
          <cell r="AP208">
            <v>0</v>
          </cell>
          <cell r="AQ208" t="str">
            <v>Light steel frame structures</v>
          </cell>
          <cell r="AR208">
            <v>0</v>
          </cell>
          <cell r="AS208">
            <v>0</v>
          </cell>
          <cell r="AT208">
            <v>804</v>
          </cell>
          <cell r="AU208">
            <v>765</v>
          </cell>
          <cell r="AV208">
            <v>765</v>
          </cell>
          <cell r="AW208">
            <v>93</v>
          </cell>
          <cell r="AX208">
            <v>0</v>
          </cell>
          <cell r="AY208" t="str">
            <v/>
          </cell>
          <cell r="AZ208" t="str">
            <v/>
          </cell>
          <cell r="BA208">
            <v>12</v>
          </cell>
          <cell r="BB208" t="str">
            <v/>
          </cell>
          <cell r="BC208" t="str">
            <v/>
          </cell>
          <cell r="BD208" t="str">
            <v/>
          </cell>
          <cell r="BE208" t="str">
            <v/>
          </cell>
          <cell r="BF208" t="str">
            <v/>
          </cell>
          <cell r="BG208" t="str">
            <v/>
          </cell>
          <cell r="BH208" t="str">
            <v/>
          </cell>
          <cell r="BI208" t="str">
            <v/>
          </cell>
          <cell r="BJ208" t="str">
            <v/>
          </cell>
          <cell r="BK208">
            <v>15259</v>
          </cell>
          <cell r="BL208" t="str">
            <v/>
          </cell>
          <cell r="BM208" t="str">
            <v/>
          </cell>
          <cell r="BN208">
            <v>14519</v>
          </cell>
          <cell r="BO208" t="str">
            <v/>
          </cell>
          <cell r="BP208" t="str">
            <v/>
          </cell>
          <cell r="BQ208">
            <v>1619</v>
          </cell>
          <cell r="BR208" t="str">
            <v/>
          </cell>
          <cell r="BS208" t="str">
            <v/>
          </cell>
          <cell r="BT208">
            <v>1830</v>
          </cell>
          <cell r="BU208" t="str">
            <v/>
          </cell>
          <cell r="BV208" t="str">
            <v/>
          </cell>
          <cell r="BW208" t="str">
            <v/>
          </cell>
          <cell r="BX208" t="str">
            <v/>
          </cell>
          <cell r="BY208" t="str">
            <v/>
          </cell>
          <cell r="BZ208">
            <v>48455</v>
          </cell>
          <cell r="CA208" t="str">
            <v/>
          </cell>
          <cell r="CB208" t="str">
            <v/>
          </cell>
          <cell r="CC208">
            <v>167338</v>
          </cell>
          <cell r="CD208" t="str">
            <v/>
          </cell>
          <cell r="CE208" t="str">
            <v/>
          </cell>
          <cell r="CF208">
            <v>1980</v>
          </cell>
          <cell r="CG208" t="str">
            <v/>
          </cell>
          <cell r="CH208" t="str">
            <v/>
          </cell>
          <cell r="CI208">
            <v>258901</v>
          </cell>
          <cell r="CJ208" t="str">
            <v/>
          </cell>
          <cell r="CK208" t="str">
            <v/>
          </cell>
          <cell r="CL208" t="str">
            <v>Skilled</v>
          </cell>
          <cell r="CM208" t="str">
            <v/>
          </cell>
          <cell r="CN208" t="str">
            <v>Labor</v>
          </cell>
          <cell r="CO208" t="str">
            <v/>
          </cell>
          <cell r="CP208" t="str">
            <v/>
          </cell>
          <cell r="CQ208" t="str">
            <v/>
          </cell>
          <cell r="CR208" t="str">
            <v/>
          </cell>
          <cell r="CS208" t="str">
            <v/>
          </cell>
          <cell r="CT208" t="str">
            <v/>
          </cell>
          <cell r="CU208" t="str">
            <v/>
          </cell>
          <cell r="CV208" t="str">
            <v>Municipal Office</v>
          </cell>
          <cell r="CW208" t="str">
            <v/>
          </cell>
          <cell r="CX208" t="str">
            <v>Mayor</v>
          </cell>
          <cell r="CY208" t="str">
            <v/>
          </cell>
          <cell r="CZ208" t="str">
            <v>Municipal Office</v>
          </cell>
          <cell r="DA208" t="str">
            <v/>
          </cell>
          <cell r="DB208" t="str">
            <v>Deputy Mayor</v>
          </cell>
          <cell r="DC208" t="str">
            <v/>
          </cell>
          <cell r="DD208" t="str">
            <v>Municipal Office</v>
          </cell>
          <cell r="DE208" t="str">
            <v/>
          </cell>
          <cell r="DF208" t="str">
            <v>Chief Adminstration Officer</v>
          </cell>
          <cell r="DG208" t="str">
            <v/>
          </cell>
          <cell r="DH208" t="str">
            <v>NRA/GMALI</v>
          </cell>
          <cell r="DI208" t="str">
            <v>Prabin Dhakal</v>
          </cell>
          <cell r="DJ208" t="str">
            <v>NRA Chief-District</v>
          </cell>
          <cell r="DK208">
            <v>9856040060</v>
          </cell>
          <cell r="DL208" t="str">
            <v>DLPIU-Building</v>
          </cell>
          <cell r="DM208" t="str">
            <v/>
          </cell>
          <cell r="DN208" t="str">
            <v>DUDBC.DLPIU Chief</v>
          </cell>
          <cell r="DO208" t="str">
            <v/>
          </cell>
          <cell r="DP208" t="str">
            <v>Municipal Office</v>
          </cell>
          <cell r="DQ208" t="str">
            <v>Ramesh Banjara</v>
          </cell>
          <cell r="DR208" t="str">
            <v>Focal Person</v>
          </cell>
          <cell r="DS208">
            <v>9846622104</v>
          </cell>
          <cell r="DT208" t="str">
            <v/>
          </cell>
          <cell r="DU208" t="str">
            <v/>
          </cell>
          <cell r="DV208" t="str">
            <v/>
          </cell>
          <cell r="DW208" t="str">
            <v/>
          </cell>
          <cell r="DX208" t="str">
            <v/>
          </cell>
          <cell r="DY208" t="str">
            <v/>
          </cell>
          <cell r="DZ208" t="str">
            <v/>
          </cell>
          <cell r="EA208" t="str">
            <v/>
          </cell>
          <cell r="EB208" t="str">
            <v/>
          </cell>
          <cell r="EC208" t="str">
            <v/>
          </cell>
          <cell r="ED208" t="str">
            <v/>
          </cell>
          <cell r="EE208" t="str">
            <v/>
          </cell>
          <cell r="EF208" t="str">
            <v/>
          </cell>
          <cell r="EG208" t="str">
            <v/>
          </cell>
          <cell r="EH208" t="str">
            <v/>
          </cell>
          <cell r="EI208" t="str">
            <v/>
          </cell>
          <cell r="EJ208">
            <v>0</v>
          </cell>
          <cell r="EK208">
            <v>0</v>
          </cell>
          <cell r="EL208">
            <v>0</v>
          </cell>
          <cell r="EM208">
            <v>0</v>
          </cell>
          <cell r="EN208">
            <v>0</v>
          </cell>
          <cell r="EO208">
            <v>0</v>
          </cell>
          <cell r="EP208" t="str">
            <v/>
          </cell>
          <cell r="EQ208" t="str">
            <v>Housing Recovery and Reconstruction Platform</v>
          </cell>
          <cell r="ER208" t="str">
            <v/>
          </cell>
          <cell r="ES208" t="str">
            <v>District Coordinator</v>
          </cell>
          <cell r="ET208" t="str">
            <v/>
          </cell>
          <cell r="EU208" t="str">
            <v>Housing Recovery and Reconstruction Platform</v>
          </cell>
          <cell r="EV208" t="str">
            <v/>
          </cell>
          <cell r="EW208" t="str">
            <v>DIstrict Information Management Officer</v>
          </cell>
          <cell r="EX208" t="str">
            <v/>
          </cell>
          <cell r="EY208" t="str">
            <v>Housing Recovery and Reconstruction Platform</v>
          </cell>
          <cell r="EZ208" t="str">
            <v/>
          </cell>
          <cell r="FA208" t="str">
            <v>District Technical Officer</v>
          </cell>
          <cell r="FB208" t="str">
            <v/>
          </cell>
        </row>
        <row r="209">
          <cell r="A209">
            <v>39006</v>
          </cell>
          <cell r="B209" t="str">
            <v>Syangja</v>
          </cell>
          <cell r="C209" t="str">
            <v>Galyang Nagarpalika</v>
          </cell>
          <cell r="D209">
            <v>554</v>
          </cell>
          <cell r="E209">
            <v>740</v>
          </cell>
          <cell r="F209">
            <v>1294</v>
          </cell>
          <cell r="G209" t="str">
            <v>Stone and cement mortar masonry</v>
          </cell>
          <cell r="H209">
            <v>0.54</v>
          </cell>
          <cell r="I209">
            <v>1.88</v>
          </cell>
          <cell r="J209" t="str">
            <v>Stone and Mud Mortar Masonary</v>
          </cell>
          <cell r="K209">
            <v>97.6</v>
          </cell>
          <cell r="L209">
            <v>89.38</v>
          </cell>
          <cell r="M209" t="str">
            <v>Brick and Cement Mortar Masonary</v>
          </cell>
          <cell r="N209">
            <v>0.7</v>
          </cell>
          <cell r="O209">
            <v>0.66</v>
          </cell>
          <cell r="P209" t="str">
            <v>Brick and mud mortar Masonry</v>
          </cell>
          <cell r="Q209">
            <v>0.39</v>
          </cell>
          <cell r="R209">
            <v>2.4700000000000002</v>
          </cell>
          <cell r="S209" t="str">
            <v>Reinforced cement concrete (RCC) frame</v>
          </cell>
          <cell r="T209">
            <v>0.46</v>
          </cell>
          <cell r="U209">
            <v>0.93</v>
          </cell>
          <cell r="V209" t="str">
            <v>Hybrid structure</v>
          </cell>
          <cell r="W209">
            <v>0</v>
          </cell>
          <cell r="X209">
            <v>0</v>
          </cell>
          <cell r="Y209" t="str">
            <v>Timber frame structure</v>
          </cell>
          <cell r="Z209">
            <v>0.08</v>
          </cell>
          <cell r="AA209">
            <v>0.06</v>
          </cell>
          <cell r="AB209" t="str">
            <v>Hollow concrete block Masonry</v>
          </cell>
          <cell r="AC209">
            <v>0</v>
          </cell>
          <cell r="AD209">
            <v>0</v>
          </cell>
          <cell r="AE209" t="str">
            <v>Dry stone Masonry</v>
          </cell>
          <cell r="AF209">
            <v>0</v>
          </cell>
          <cell r="AG209">
            <v>0.14000000000000001</v>
          </cell>
          <cell r="AH209" t="str">
            <v>Adobe structures</v>
          </cell>
          <cell r="AI209">
            <v>0.23</v>
          </cell>
          <cell r="AJ209">
            <v>4.37</v>
          </cell>
          <cell r="AK209" t="str">
            <v>Bamboo</v>
          </cell>
          <cell r="AL209">
            <v>0</v>
          </cell>
          <cell r="AM209">
            <v>0.14000000000000001</v>
          </cell>
          <cell r="AN209" t="str">
            <v>Compressed stabilized earth block (SCEB) Masonry</v>
          </cell>
          <cell r="AO209">
            <v>0</v>
          </cell>
          <cell r="AP209">
            <v>0</v>
          </cell>
          <cell r="AQ209" t="str">
            <v>Light steel frame structures</v>
          </cell>
          <cell r="AR209">
            <v>0</v>
          </cell>
          <cell r="AS209">
            <v>0</v>
          </cell>
          <cell r="AT209">
            <v>634</v>
          </cell>
          <cell r="AU209">
            <v>773</v>
          </cell>
          <cell r="AV209">
            <v>773</v>
          </cell>
          <cell r="AW209">
            <v>55</v>
          </cell>
          <cell r="AX209">
            <v>0</v>
          </cell>
          <cell r="AY209" t="str">
            <v/>
          </cell>
          <cell r="AZ209" t="str">
            <v/>
          </cell>
          <cell r="BA209">
            <v>101</v>
          </cell>
          <cell r="BB209" t="str">
            <v/>
          </cell>
          <cell r="BC209" t="str">
            <v/>
          </cell>
          <cell r="BD209" t="str">
            <v/>
          </cell>
          <cell r="BE209" t="str">
            <v/>
          </cell>
          <cell r="BF209" t="str">
            <v/>
          </cell>
          <cell r="BG209" t="str">
            <v/>
          </cell>
          <cell r="BH209" t="str">
            <v/>
          </cell>
          <cell r="BI209" t="str">
            <v/>
          </cell>
          <cell r="BJ209" t="str">
            <v/>
          </cell>
          <cell r="BK209">
            <v>22375</v>
          </cell>
          <cell r="BL209" t="str">
            <v/>
          </cell>
          <cell r="BM209" t="str">
            <v/>
          </cell>
          <cell r="BN209">
            <v>22198</v>
          </cell>
          <cell r="BO209" t="str">
            <v/>
          </cell>
          <cell r="BP209" t="str">
            <v/>
          </cell>
          <cell r="BQ209">
            <v>2384</v>
          </cell>
          <cell r="BR209" t="str">
            <v/>
          </cell>
          <cell r="BS209" t="str">
            <v/>
          </cell>
          <cell r="BT209">
            <v>2733</v>
          </cell>
          <cell r="BU209" t="str">
            <v/>
          </cell>
          <cell r="BV209" t="str">
            <v/>
          </cell>
          <cell r="BW209" t="str">
            <v/>
          </cell>
          <cell r="BX209" t="str">
            <v/>
          </cell>
          <cell r="BY209" t="str">
            <v/>
          </cell>
          <cell r="BZ209">
            <v>75206</v>
          </cell>
          <cell r="CA209" t="str">
            <v/>
          </cell>
          <cell r="CB209" t="str">
            <v/>
          </cell>
          <cell r="CC209">
            <v>245741</v>
          </cell>
          <cell r="CD209" t="str">
            <v/>
          </cell>
          <cell r="CE209" t="str">
            <v/>
          </cell>
          <cell r="CF209">
            <v>3082</v>
          </cell>
          <cell r="CG209" t="str">
            <v/>
          </cell>
          <cell r="CH209" t="str">
            <v/>
          </cell>
          <cell r="CI209">
            <v>511120</v>
          </cell>
          <cell r="CJ209" t="str">
            <v/>
          </cell>
          <cell r="CK209" t="str">
            <v/>
          </cell>
          <cell r="CL209" t="str">
            <v>Skilled</v>
          </cell>
          <cell r="CM209" t="str">
            <v/>
          </cell>
          <cell r="CN209" t="str">
            <v>Labor</v>
          </cell>
          <cell r="CO209" t="str">
            <v/>
          </cell>
          <cell r="CP209" t="str">
            <v/>
          </cell>
          <cell r="CQ209" t="str">
            <v/>
          </cell>
          <cell r="CR209" t="str">
            <v/>
          </cell>
          <cell r="CS209" t="str">
            <v/>
          </cell>
          <cell r="CT209" t="str">
            <v/>
          </cell>
          <cell r="CU209" t="str">
            <v/>
          </cell>
          <cell r="CV209" t="str">
            <v>Municipal Office</v>
          </cell>
          <cell r="CW209" t="str">
            <v/>
          </cell>
          <cell r="CX209" t="str">
            <v>Mayor</v>
          </cell>
          <cell r="CY209" t="str">
            <v/>
          </cell>
          <cell r="CZ209" t="str">
            <v>Municipal Office</v>
          </cell>
          <cell r="DA209" t="str">
            <v/>
          </cell>
          <cell r="DB209" t="str">
            <v>Deputy Mayor</v>
          </cell>
          <cell r="DC209" t="str">
            <v/>
          </cell>
          <cell r="DD209" t="str">
            <v>Municipal Office</v>
          </cell>
          <cell r="DE209" t="str">
            <v/>
          </cell>
          <cell r="DF209" t="str">
            <v>Chief Adminstration Officer</v>
          </cell>
          <cell r="DG209" t="str">
            <v/>
          </cell>
          <cell r="DH209" t="str">
            <v>NRA/GMALI</v>
          </cell>
          <cell r="DI209" t="str">
            <v>Prabin Dhakal</v>
          </cell>
          <cell r="DJ209" t="str">
            <v>NRA Chief-District</v>
          </cell>
          <cell r="DK209">
            <v>9856040060</v>
          </cell>
          <cell r="DL209" t="str">
            <v>DLPIU-Building</v>
          </cell>
          <cell r="DM209" t="str">
            <v/>
          </cell>
          <cell r="DN209" t="str">
            <v>DUDBC.DLPIU Chief</v>
          </cell>
          <cell r="DO209" t="str">
            <v/>
          </cell>
          <cell r="DP209" t="str">
            <v>Municipal Office</v>
          </cell>
          <cell r="DQ209" t="str">
            <v>Subhas Chadnra Poudel</v>
          </cell>
          <cell r="DR209" t="str">
            <v>Focal Person</v>
          </cell>
          <cell r="DS209">
            <v>9843417767</v>
          </cell>
          <cell r="DT209" t="str">
            <v/>
          </cell>
          <cell r="DU209" t="str">
            <v/>
          </cell>
          <cell r="DV209" t="str">
            <v/>
          </cell>
          <cell r="DW209" t="str">
            <v/>
          </cell>
          <cell r="DX209" t="str">
            <v/>
          </cell>
          <cell r="DY209" t="str">
            <v/>
          </cell>
          <cell r="DZ209" t="str">
            <v/>
          </cell>
          <cell r="EA209" t="str">
            <v/>
          </cell>
          <cell r="EB209" t="str">
            <v/>
          </cell>
          <cell r="EC209" t="str">
            <v/>
          </cell>
          <cell r="ED209" t="str">
            <v/>
          </cell>
          <cell r="EE209" t="str">
            <v/>
          </cell>
          <cell r="EF209" t="str">
            <v/>
          </cell>
          <cell r="EG209" t="str">
            <v/>
          </cell>
          <cell r="EH209" t="str">
            <v/>
          </cell>
          <cell r="EI209" t="str">
            <v/>
          </cell>
          <cell r="EJ209">
            <v>0</v>
          </cell>
          <cell r="EK209">
            <v>0</v>
          </cell>
          <cell r="EL209">
            <v>0</v>
          </cell>
          <cell r="EM209">
            <v>0</v>
          </cell>
          <cell r="EN209">
            <v>0</v>
          </cell>
          <cell r="EO209">
            <v>0</v>
          </cell>
          <cell r="EP209" t="str">
            <v/>
          </cell>
          <cell r="EQ209" t="str">
            <v>Housing Recovery and Reconstruction Platform</v>
          </cell>
          <cell r="ER209" t="str">
            <v/>
          </cell>
          <cell r="ES209" t="str">
            <v>District Coordinator</v>
          </cell>
          <cell r="ET209" t="str">
            <v/>
          </cell>
          <cell r="EU209" t="str">
            <v>Housing Recovery and Reconstruction Platform</v>
          </cell>
          <cell r="EV209" t="str">
            <v/>
          </cell>
          <cell r="EW209" t="str">
            <v>DIstrict Information Management Officer</v>
          </cell>
          <cell r="EX209" t="str">
            <v/>
          </cell>
          <cell r="EY209" t="str">
            <v>Housing Recovery and Reconstruction Platform</v>
          </cell>
          <cell r="EZ209" t="str">
            <v/>
          </cell>
          <cell r="FA209" t="str">
            <v>District Technical Officer</v>
          </cell>
          <cell r="FB209" t="str">
            <v/>
          </cell>
        </row>
        <row r="210">
          <cell r="A210">
            <v>39007</v>
          </cell>
          <cell r="B210" t="str">
            <v>Syangja</v>
          </cell>
          <cell r="C210" t="str">
            <v>Harinas Gaunpalika</v>
          </cell>
          <cell r="D210">
            <v>465</v>
          </cell>
          <cell r="E210">
            <v>447</v>
          </cell>
          <cell r="F210">
            <v>912</v>
          </cell>
          <cell r="G210" t="str">
            <v>Stone and cement mortar masonry</v>
          </cell>
          <cell r="H210">
            <v>0.22</v>
          </cell>
          <cell r="I210">
            <v>1.88</v>
          </cell>
          <cell r="J210" t="str">
            <v>Stone and Mud Mortar Masonary</v>
          </cell>
          <cell r="K210">
            <v>99.23</v>
          </cell>
          <cell r="L210">
            <v>89.38</v>
          </cell>
          <cell r="M210" t="str">
            <v>Brick and Cement Mortar Masonary</v>
          </cell>
          <cell r="N210">
            <v>0.11</v>
          </cell>
          <cell r="O210">
            <v>0.66</v>
          </cell>
          <cell r="P210" t="str">
            <v>Brick and mud mortar Masonry</v>
          </cell>
          <cell r="Q210">
            <v>0</v>
          </cell>
          <cell r="R210">
            <v>2.4700000000000002</v>
          </cell>
          <cell r="S210" t="str">
            <v>Reinforced cement concrete (RCC) frame</v>
          </cell>
          <cell r="T210">
            <v>0.44</v>
          </cell>
          <cell r="U210">
            <v>0.93</v>
          </cell>
          <cell r="V210" t="str">
            <v>Hybrid structure</v>
          </cell>
          <cell r="W210">
            <v>0</v>
          </cell>
          <cell r="X210">
            <v>0</v>
          </cell>
          <cell r="Y210" t="str">
            <v>Timber frame structure</v>
          </cell>
          <cell r="Z210">
            <v>0</v>
          </cell>
          <cell r="AA210">
            <v>0.06</v>
          </cell>
          <cell r="AB210" t="str">
            <v>Hollow concrete block Masonry</v>
          </cell>
          <cell r="AC210">
            <v>0</v>
          </cell>
          <cell r="AD210">
            <v>0</v>
          </cell>
          <cell r="AE210" t="str">
            <v>Dry stone Masonry</v>
          </cell>
          <cell r="AF210">
            <v>0</v>
          </cell>
          <cell r="AG210">
            <v>0.14000000000000001</v>
          </cell>
          <cell r="AH210" t="str">
            <v>Adobe structures</v>
          </cell>
          <cell r="AI210">
            <v>0</v>
          </cell>
          <cell r="AJ210">
            <v>4.37</v>
          </cell>
          <cell r="AK210" t="str">
            <v>Bamboo</v>
          </cell>
          <cell r="AL210">
            <v>0</v>
          </cell>
          <cell r="AM210">
            <v>0.14000000000000001</v>
          </cell>
          <cell r="AN210" t="str">
            <v>Compressed stabilized earth block (SCEB) Masonry</v>
          </cell>
          <cell r="AO210">
            <v>0</v>
          </cell>
          <cell r="AP210">
            <v>0</v>
          </cell>
          <cell r="AQ210" t="str">
            <v>Light steel frame structures</v>
          </cell>
          <cell r="AR210">
            <v>0</v>
          </cell>
          <cell r="AS210">
            <v>0</v>
          </cell>
          <cell r="AT210">
            <v>435</v>
          </cell>
          <cell r="AU210">
            <v>251</v>
          </cell>
          <cell r="AV210">
            <v>251</v>
          </cell>
          <cell r="AW210">
            <v>20</v>
          </cell>
          <cell r="AX210">
            <v>0</v>
          </cell>
          <cell r="AY210" t="str">
            <v/>
          </cell>
          <cell r="AZ210" t="str">
            <v/>
          </cell>
          <cell r="BA210">
            <v>1</v>
          </cell>
          <cell r="BB210" t="str">
            <v/>
          </cell>
          <cell r="BC210" t="str">
            <v/>
          </cell>
          <cell r="BD210" t="str">
            <v/>
          </cell>
          <cell r="BE210" t="str">
            <v/>
          </cell>
          <cell r="BF210" t="str">
            <v/>
          </cell>
          <cell r="BG210" t="str">
            <v/>
          </cell>
          <cell r="BH210" t="str">
            <v/>
          </cell>
          <cell r="BI210" t="str">
            <v/>
          </cell>
          <cell r="BJ210" t="str">
            <v/>
          </cell>
          <cell r="BK210">
            <v>7541</v>
          </cell>
          <cell r="BL210" t="str">
            <v/>
          </cell>
          <cell r="BM210" t="str">
            <v/>
          </cell>
          <cell r="BN210">
            <v>7422</v>
          </cell>
          <cell r="BO210" t="str">
            <v/>
          </cell>
          <cell r="BP210" t="str">
            <v/>
          </cell>
          <cell r="BQ210">
            <v>802</v>
          </cell>
          <cell r="BR210" t="str">
            <v/>
          </cell>
          <cell r="BS210" t="str">
            <v/>
          </cell>
          <cell r="BT210">
            <v>914</v>
          </cell>
          <cell r="BU210" t="str">
            <v/>
          </cell>
          <cell r="BV210" t="str">
            <v/>
          </cell>
          <cell r="BW210" t="str">
            <v/>
          </cell>
          <cell r="BX210" t="str">
            <v/>
          </cell>
          <cell r="BY210" t="str">
            <v/>
          </cell>
          <cell r="BZ210">
            <v>24441</v>
          </cell>
          <cell r="CA210" t="str">
            <v/>
          </cell>
          <cell r="CB210" t="str">
            <v/>
          </cell>
          <cell r="CC210">
            <v>81948</v>
          </cell>
          <cell r="CD210" t="str">
            <v/>
          </cell>
          <cell r="CE210" t="str">
            <v/>
          </cell>
          <cell r="CF210">
            <v>997</v>
          </cell>
          <cell r="CG210" t="str">
            <v/>
          </cell>
          <cell r="CH210" t="str">
            <v/>
          </cell>
          <cell r="CI210">
            <v>66507</v>
          </cell>
          <cell r="CJ210" t="str">
            <v/>
          </cell>
          <cell r="CK210" t="str">
            <v/>
          </cell>
          <cell r="CL210" t="str">
            <v>Skilled</v>
          </cell>
          <cell r="CM210" t="str">
            <v/>
          </cell>
          <cell r="CN210" t="str">
            <v>Labor</v>
          </cell>
          <cell r="CO210" t="str">
            <v/>
          </cell>
          <cell r="CP210" t="str">
            <v/>
          </cell>
          <cell r="CQ210" t="str">
            <v/>
          </cell>
          <cell r="CR210" t="str">
            <v/>
          </cell>
          <cell r="CS210" t="str">
            <v/>
          </cell>
          <cell r="CT210" t="str">
            <v/>
          </cell>
          <cell r="CU210" t="str">
            <v/>
          </cell>
          <cell r="CV210" t="str">
            <v>Municipal Office</v>
          </cell>
          <cell r="CW210" t="str">
            <v/>
          </cell>
          <cell r="CX210" t="str">
            <v xml:space="preserve">Chairman </v>
          </cell>
          <cell r="CY210" t="str">
            <v/>
          </cell>
          <cell r="CZ210" t="str">
            <v>Municipal Office</v>
          </cell>
          <cell r="DA210" t="str">
            <v/>
          </cell>
          <cell r="DB210" t="str">
            <v>Deputy Chairman</v>
          </cell>
          <cell r="DC210" t="str">
            <v/>
          </cell>
          <cell r="DD210" t="str">
            <v>Municipal Office</v>
          </cell>
          <cell r="DE210" t="str">
            <v/>
          </cell>
          <cell r="DF210" t="str">
            <v>Chief Adminstration Officer</v>
          </cell>
          <cell r="DG210" t="str">
            <v/>
          </cell>
          <cell r="DH210" t="str">
            <v>NRA/GMALI</v>
          </cell>
          <cell r="DI210" t="str">
            <v>Prabin Dhakal</v>
          </cell>
          <cell r="DJ210" t="str">
            <v>NRA Chief-District</v>
          </cell>
          <cell r="DK210">
            <v>9856040060</v>
          </cell>
          <cell r="DL210" t="str">
            <v>DLPIU-Building</v>
          </cell>
          <cell r="DM210" t="str">
            <v/>
          </cell>
          <cell r="DN210" t="str">
            <v>DUDBC.DLPIU Chief</v>
          </cell>
          <cell r="DO210" t="str">
            <v/>
          </cell>
          <cell r="DP210" t="str">
            <v>Municipal Office</v>
          </cell>
          <cell r="DQ210" t="str">
            <v>Nitesh Kumar Thakur</v>
          </cell>
          <cell r="DR210" t="str">
            <v>Focal Person</v>
          </cell>
          <cell r="DS210">
            <v>9848851450</v>
          </cell>
          <cell r="DT210" t="str">
            <v/>
          </cell>
          <cell r="DU210" t="str">
            <v/>
          </cell>
          <cell r="DV210" t="str">
            <v/>
          </cell>
          <cell r="DW210" t="str">
            <v/>
          </cell>
          <cell r="DX210" t="str">
            <v/>
          </cell>
          <cell r="DY210" t="str">
            <v/>
          </cell>
          <cell r="DZ210" t="str">
            <v/>
          </cell>
          <cell r="EA210" t="str">
            <v/>
          </cell>
          <cell r="EB210" t="str">
            <v/>
          </cell>
          <cell r="EC210" t="str">
            <v/>
          </cell>
          <cell r="ED210" t="str">
            <v/>
          </cell>
          <cell r="EE210" t="str">
            <v/>
          </cell>
          <cell r="EF210" t="str">
            <v/>
          </cell>
          <cell r="EG210" t="str">
            <v/>
          </cell>
          <cell r="EH210" t="str">
            <v/>
          </cell>
          <cell r="EI210" t="str">
            <v/>
          </cell>
          <cell r="EJ210">
            <v>0</v>
          </cell>
          <cell r="EK210">
            <v>0</v>
          </cell>
          <cell r="EL210">
            <v>0</v>
          </cell>
          <cell r="EM210">
            <v>0</v>
          </cell>
          <cell r="EN210">
            <v>0</v>
          </cell>
          <cell r="EO210">
            <v>0</v>
          </cell>
          <cell r="EP210" t="str">
            <v/>
          </cell>
          <cell r="EQ210" t="str">
            <v>Housing Recovery and Reconstruction Platform</v>
          </cell>
          <cell r="ER210" t="str">
            <v/>
          </cell>
          <cell r="ES210" t="str">
            <v>District Coordinator</v>
          </cell>
          <cell r="ET210" t="str">
            <v/>
          </cell>
          <cell r="EU210" t="str">
            <v>Housing Recovery and Reconstruction Platform</v>
          </cell>
          <cell r="EV210" t="str">
            <v/>
          </cell>
          <cell r="EW210" t="str">
            <v>DIstrict Information Management Officer</v>
          </cell>
          <cell r="EX210" t="str">
            <v/>
          </cell>
          <cell r="EY210" t="str">
            <v>Housing Recovery and Reconstruction Platform</v>
          </cell>
          <cell r="EZ210" t="str">
            <v/>
          </cell>
          <cell r="FA210" t="str">
            <v>District Technical Officer</v>
          </cell>
          <cell r="FB210" t="str">
            <v/>
          </cell>
        </row>
        <row r="211">
          <cell r="A211">
            <v>39008</v>
          </cell>
          <cell r="B211" t="str">
            <v>Syangja</v>
          </cell>
          <cell r="C211" t="str">
            <v>Kaligandagi Gaunpalika</v>
          </cell>
          <cell r="D211">
            <v>257</v>
          </cell>
          <cell r="E211">
            <v>495</v>
          </cell>
          <cell r="F211">
            <v>752</v>
          </cell>
          <cell r="G211" t="str">
            <v>Stone and cement mortar masonry</v>
          </cell>
          <cell r="H211">
            <v>0</v>
          </cell>
          <cell r="I211">
            <v>1.88</v>
          </cell>
          <cell r="J211" t="str">
            <v>Stone and Mud Mortar Masonary</v>
          </cell>
          <cell r="K211">
            <v>99.73</v>
          </cell>
          <cell r="L211">
            <v>89.38</v>
          </cell>
          <cell r="M211" t="str">
            <v>Brick and Cement Mortar Masonary</v>
          </cell>
          <cell r="N211">
            <v>0</v>
          </cell>
          <cell r="O211">
            <v>0.66</v>
          </cell>
          <cell r="P211" t="str">
            <v>Brick and mud mortar Masonry</v>
          </cell>
          <cell r="Q211">
            <v>0</v>
          </cell>
          <cell r="R211">
            <v>2.4700000000000002</v>
          </cell>
          <cell r="S211" t="str">
            <v>Reinforced cement concrete (RCC) frame</v>
          </cell>
          <cell r="T211">
            <v>0.13</v>
          </cell>
          <cell r="U211">
            <v>0.93</v>
          </cell>
          <cell r="V211" t="str">
            <v>Hybrid structure</v>
          </cell>
          <cell r="W211">
            <v>0</v>
          </cell>
          <cell r="X211">
            <v>0</v>
          </cell>
          <cell r="Y211" t="str">
            <v>Timber frame structure</v>
          </cell>
          <cell r="Z211">
            <v>0</v>
          </cell>
          <cell r="AA211">
            <v>0.06</v>
          </cell>
          <cell r="AB211" t="str">
            <v>Hollow concrete block Masonry</v>
          </cell>
          <cell r="AC211">
            <v>0</v>
          </cell>
          <cell r="AD211">
            <v>0</v>
          </cell>
          <cell r="AE211" t="str">
            <v>Dry stone Masonry</v>
          </cell>
          <cell r="AF211">
            <v>0</v>
          </cell>
          <cell r="AG211">
            <v>0.14000000000000001</v>
          </cell>
          <cell r="AH211" t="str">
            <v>Adobe structures</v>
          </cell>
          <cell r="AI211">
            <v>0.13</v>
          </cell>
          <cell r="AJ211">
            <v>4.37</v>
          </cell>
          <cell r="AK211" t="str">
            <v>Bamboo</v>
          </cell>
          <cell r="AL211">
            <v>0</v>
          </cell>
          <cell r="AM211">
            <v>0.14000000000000001</v>
          </cell>
          <cell r="AN211" t="str">
            <v>Compressed stabilized earth block (SCEB) Masonry</v>
          </cell>
          <cell r="AO211">
            <v>0</v>
          </cell>
          <cell r="AP211">
            <v>0</v>
          </cell>
          <cell r="AQ211" t="str">
            <v>Light steel frame structures</v>
          </cell>
          <cell r="AR211">
            <v>0</v>
          </cell>
          <cell r="AS211">
            <v>0</v>
          </cell>
          <cell r="AT211">
            <v>493</v>
          </cell>
          <cell r="AU211">
            <v>324</v>
          </cell>
          <cell r="AV211">
            <v>324</v>
          </cell>
          <cell r="AW211">
            <v>8</v>
          </cell>
          <cell r="AX211">
            <v>0</v>
          </cell>
          <cell r="AY211" t="str">
            <v/>
          </cell>
          <cell r="AZ211" t="str">
            <v/>
          </cell>
          <cell r="BA211">
            <v>2</v>
          </cell>
          <cell r="BB211" t="str">
            <v/>
          </cell>
          <cell r="BC211" t="str">
            <v/>
          </cell>
          <cell r="BD211" t="str">
            <v/>
          </cell>
          <cell r="BE211" t="str">
            <v/>
          </cell>
          <cell r="BF211" t="str">
            <v/>
          </cell>
          <cell r="BG211" t="str">
            <v/>
          </cell>
          <cell r="BH211" t="str">
            <v/>
          </cell>
          <cell r="BI211" t="str">
            <v/>
          </cell>
          <cell r="BJ211" t="str">
            <v/>
          </cell>
          <cell r="BK211">
            <v>9136</v>
          </cell>
          <cell r="BL211" t="str">
            <v/>
          </cell>
          <cell r="BM211" t="str">
            <v/>
          </cell>
          <cell r="BN211">
            <v>9648</v>
          </cell>
          <cell r="BO211" t="str">
            <v/>
          </cell>
          <cell r="BP211" t="str">
            <v/>
          </cell>
          <cell r="BQ211">
            <v>978</v>
          </cell>
          <cell r="BR211" t="str">
            <v/>
          </cell>
          <cell r="BS211" t="str">
            <v/>
          </cell>
          <cell r="BT211">
            <v>1137</v>
          </cell>
          <cell r="BU211" t="str">
            <v/>
          </cell>
          <cell r="BV211" t="str">
            <v/>
          </cell>
          <cell r="BW211" t="str">
            <v/>
          </cell>
          <cell r="BX211" t="str">
            <v/>
          </cell>
          <cell r="BY211" t="str">
            <v/>
          </cell>
          <cell r="BZ211">
            <v>31729</v>
          </cell>
          <cell r="CA211" t="str">
            <v/>
          </cell>
          <cell r="CB211" t="str">
            <v/>
          </cell>
          <cell r="CC211">
            <v>98360</v>
          </cell>
          <cell r="CD211" t="str">
            <v/>
          </cell>
          <cell r="CE211" t="str">
            <v/>
          </cell>
          <cell r="CF211">
            <v>1296</v>
          </cell>
          <cell r="CG211" t="str">
            <v/>
          </cell>
          <cell r="CH211" t="str">
            <v/>
          </cell>
          <cell r="CI211">
            <v>40533</v>
          </cell>
          <cell r="CJ211" t="str">
            <v/>
          </cell>
          <cell r="CK211" t="str">
            <v/>
          </cell>
          <cell r="CL211" t="str">
            <v>Skilled</v>
          </cell>
          <cell r="CM211" t="str">
            <v/>
          </cell>
          <cell r="CN211" t="str">
            <v>Labor</v>
          </cell>
          <cell r="CO211" t="str">
            <v/>
          </cell>
          <cell r="CP211" t="str">
            <v/>
          </cell>
          <cell r="CQ211" t="str">
            <v/>
          </cell>
          <cell r="CR211" t="str">
            <v/>
          </cell>
          <cell r="CS211" t="str">
            <v/>
          </cell>
          <cell r="CT211" t="str">
            <v/>
          </cell>
          <cell r="CU211" t="str">
            <v/>
          </cell>
          <cell r="CV211" t="str">
            <v>Municipal Office</v>
          </cell>
          <cell r="CW211" t="str">
            <v/>
          </cell>
          <cell r="CX211" t="str">
            <v xml:space="preserve">Chairman </v>
          </cell>
          <cell r="CY211" t="str">
            <v/>
          </cell>
          <cell r="CZ211" t="str">
            <v>Municipal Office</v>
          </cell>
          <cell r="DA211" t="str">
            <v/>
          </cell>
          <cell r="DB211" t="str">
            <v>Deputy Chairman</v>
          </cell>
          <cell r="DC211" t="str">
            <v/>
          </cell>
          <cell r="DD211" t="str">
            <v>Municipal Office</v>
          </cell>
          <cell r="DE211" t="str">
            <v/>
          </cell>
          <cell r="DF211" t="str">
            <v>Chief Adminstration Officer</v>
          </cell>
          <cell r="DG211" t="str">
            <v/>
          </cell>
          <cell r="DH211" t="str">
            <v>NRA/GMALI</v>
          </cell>
          <cell r="DI211" t="str">
            <v>Prabin Dhakal</v>
          </cell>
          <cell r="DJ211" t="str">
            <v>NRA Chief-District</v>
          </cell>
          <cell r="DK211">
            <v>9856040060</v>
          </cell>
          <cell r="DL211" t="str">
            <v>DLPIU-Building</v>
          </cell>
          <cell r="DM211" t="str">
            <v/>
          </cell>
          <cell r="DN211" t="str">
            <v>DUDBC.DLPIU Chief</v>
          </cell>
          <cell r="DO211" t="str">
            <v/>
          </cell>
          <cell r="DP211" t="str">
            <v>Municipal Office</v>
          </cell>
          <cell r="DQ211" t="str">
            <v>Resham Aryal</v>
          </cell>
          <cell r="DR211" t="str">
            <v>Focal Person</v>
          </cell>
          <cell r="DS211">
            <v>9846658004</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v>0</v>
          </cell>
          <cell r="EK211">
            <v>0</v>
          </cell>
          <cell r="EL211">
            <v>0</v>
          </cell>
          <cell r="EM211">
            <v>0</v>
          </cell>
          <cell r="EN211">
            <v>0</v>
          </cell>
          <cell r="EO211">
            <v>0</v>
          </cell>
          <cell r="EP211" t="str">
            <v/>
          </cell>
          <cell r="EQ211" t="str">
            <v>Housing Recovery and Reconstruction Platform</v>
          </cell>
          <cell r="ER211" t="str">
            <v/>
          </cell>
          <cell r="ES211" t="str">
            <v>District Coordinator</v>
          </cell>
          <cell r="ET211" t="str">
            <v/>
          </cell>
          <cell r="EU211" t="str">
            <v>Housing Recovery and Reconstruction Platform</v>
          </cell>
          <cell r="EV211" t="str">
            <v/>
          </cell>
          <cell r="EW211" t="str">
            <v>DIstrict Information Management Officer</v>
          </cell>
          <cell r="EX211" t="str">
            <v/>
          </cell>
          <cell r="EY211" t="str">
            <v>Housing Recovery and Reconstruction Platform</v>
          </cell>
          <cell r="EZ211" t="str">
            <v/>
          </cell>
          <cell r="FA211" t="str">
            <v>District Technical Officer</v>
          </cell>
          <cell r="FB211" t="str">
            <v/>
          </cell>
        </row>
        <row r="212">
          <cell r="A212">
            <v>39009</v>
          </cell>
          <cell r="B212" t="str">
            <v>Syangja</v>
          </cell>
          <cell r="C212" t="str">
            <v>Phedikhola Gaunpalika</v>
          </cell>
          <cell r="D212">
            <v>107</v>
          </cell>
          <cell r="E212">
            <v>296</v>
          </cell>
          <cell r="F212">
            <v>403</v>
          </cell>
          <cell r="G212" t="str">
            <v>Stone and cement mortar masonry</v>
          </cell>
          <cell r="H212">
            <v>1.99</v>
          </cell>
          <cell r="I212">
            <v>1.88</v>
          </cell>
          <cell r="J212" t="str">
            <v>Stone and Mud Mortar Masonary</v>
          </cell>
          <cell r="K212">
            <v>94.79</v>
          </cell>
          <cell r="L212">
            <v>89.38</v>
          </cell>
          <cell r="M212" t="str">
            <v>Brick and Cement Mortar Masonary</v>
          </cell>
          <cell r="N212">
            <v>1.24</v>
          </cell>
          <cell r="O212">
            <v>0.66</v>
          </cell>
          <cell r="P212" t="str">
            <v>Brick and mud mortar Masonry</v>
          </cell>
          <cell r="Q212">
            <v>0</v>
          </cell>
          <cell r="R212">
            <v>2.4700000000000002</v>
          </cell>
          <cell r="S212" t="str">
            <v>Reinforced cement concrete (RCC) frame</v>
          </cell>
          <cell r="T212">
            <v>0</v>
          </cell>
          <cell r="U212">
            <v>0.93</v>
          </cell>
          <cell r="V212" t="str">
            <v>Hybrid structure</v>
          </cell>
          <cell r="W212">
            <v>0</v>
          </cell>
          <cell r="X212">
            <v>0</v>
          </cell>
          <cell r="Y212" t="str">
            <v>Timber frame structure</v>
          </cell>
          <cell r="Z212">
            <v>0</v>
          </cell>
          <cell r="AA212">
            <v>0.06</v>
          </cell>
          <cell r="AB212" t="str">
            <v>Hollow concrete block Masonry</v>
          </cell>
          <cell r="AC212">
            <v>0</v>
          </cell>
          <cell r="AD212">
            <v>0</v>
          </cell>
          <cell r="AE212" t="str">
            <v>Dry stone Masonry</v>
          </cell>
          <cell r="AF212">
            <v>0.25</v>
          </cell>
          <cell r="AG212">
            <v>0.14000000000000001</v>
          </cell>
          <cell r="AH212" t="str">
            <v>Adobe structures</v>
          </cell>
          <cell r="AI212">
            <v>1.74</v>
          </cell>
          <cell r="AJ212">
            <v>4.37</v>
          </cell>
          <cell r="AK212" t="str">
            <v>Bamboo</v>
          </cell>
          <cell r="AL212">
            <v>0</v>
          </cell>
          <cell r="AM212">
            <v>0.14000000000000001</v>
          </cell>
          <cell r="AN212" t="str">
            <v>Compressed stabilized earth block (SCEB) Masonry</v>
          </cell>
          <cell r="AO212">
            <v>0</v>
          </cell>
          <cell r="AP212">
            <v>0</v>
          </cell>
          <cell r="AQ212" t="str">
            <v>Light steel frame structures</v>
          </cell>
          <cell r="AR212">
            <v>0</v>
          </cell>
          <cell r="AS212">
            <v>0</v>
          </cell>
          <cell r="AT212">
            <v>278</v>
          </cell>
          <cell r="AU212">
            <v>165</v>
          </cell>
          <cell r="AV212">
            <v>165</v>
          </cell>
          <cell r="AW212">
            <v>24</v>
          </cell>
          <cell r="AX212">
            <v>0</v>
          </cell>
          <cell r="AY212" t="str">
            <v/>
          </cell>
          <cell r="AZ212" t="str">
            <v/>
          </cell>
          <cell r="BA212">
            <v>10</v>
          </cell>
          <cell r="BB212" t="str">
            <v/>
          </cell>
          <cell r="BC212" t="str">
            <v/>
          </cell>
          <cell r="BD212" t="str">
            <v/>
          </cell>
          <cell r="BE212" t="str">
            <v/>
          </cell>
          <cell r="BF212" t="str">
            <v/>
          </cell>
          <cell r="BG212" t="str">
            <v/>
          </cell>
          <cell r="BH212" t="str">
            <v/>
          </cell>
          <cell r="BI212" t="str">
            <v/>
          </cell>
          <cell r="BJ212" t="str">
            <v/>
          </cell>
          <cell r="BK212">
            <v>4671</v>
          </cell>
          <cell r="BL212" t="str">
            <v/>
          </cell>
          <cell r="BM212" t="str">
            <v/>
          </cell>
          <cell r="BN212">
            <v>4892</v>
          </cell>
          <cell r="BO212" t="str">
            <v/>
          </cell>
          <cell r="BP212" t="str">
            <v/>
          </cell>
          <cell r="BQ212">
            <v>500</v>
          </cell>
          <cell r="BR212" t="str">
            <v/>
          </cell>
          <cell r="BS212" t="str">
            <v/>
          </cell>
          <cell r="BT212">
            <v>580</v>
          </cell>
          <cell r="BU212" t="str">
            <v/>
          </cell>
          <cell r="BV212" t="str">
            <v/>
          </cell>
          <cell r="BW212" t="str">
            <v/>
          </cell>
          <cell r="BX212" t="str">
            <v/>
          </cell>
          <cell r="BY212" t="str">
            <v/>
          </cell>
          <cell r="BZ212">
            <v>16151</v>
          </cell>
          <cell r="CA212" t="str">
            <v/>
          </cell>
          <cell r="CB212" t="str">
            <v/>
          </cell>
          <cell r="CC212">
            <v>50433</v>
          </cell>
          <cell r="CD212" t="str">
            <v/>
          </cell>
          <cell r="CE212" t="str">
            <v/>
          </cell>
          <cell r="CF212">
            <v>660</v>
          </cell>
          <cell r="CG212" t="str">
            <v/>
          </cell>
          <cell r="CH212" t="str">
            <v/>
          </cell>
          <cell r="CI212">
            <v>32620</v>
          </cell>
          <cell r="CJ212" t="str">
            <v/>
          </cell>
          <cell r="CK212" t="str">
            <v/>
          </cell>
          <cell r="CL212" t="str">
            <v>Skilled</v>
          </cell>
          <cell r="CM212" t="str">
            <v/>
          </cell>
          <cell r="CN212" t="str">
            <v>Labor</v>
          </cell>
          <cell r="CO212" t="str">
            <v/>
          </cell>
          <cell r="CP212" t="str">
            <v/>
          </cell>
          <cell r="CQ212" t="str">
            <v/>
          </cell>
          <cell r="CR212" t="str">
            <v/>
          </cell>
          <cell r="CS212" t="str">
            <v/>
          </cell>
          <cell r="CT212" t="str">
            <v/>
          </cell>
          <cell r="CU212" t="str">
            <v/>
          </cell>
          <cell r="CV212" t="str">
            <v>Municipal Office</v>
          </cell>
          <cell r="CW212" t="str">
            <v/>
          </cell>
          <cell r="CX212" t="str">
            <v xml:space="preserve">Chairman </v>
          </cell>
          <cell r="CY212" t="str">
            <v/>
          </cell>
          <cell r="CZ212" t="str">
            <v>Municipal Office</v>
          </cell>
          <cell r="DA212" t="str">
            <v/>
          </cell>
          <cell r="DB212" t="str">
            <v>Deputy Chairman</v>
          </cell>
          <cell r="DC212" t="str">
            <v/>
          </cell>
          <cell r="DD212" t="str">
            <v>Municipal Office</v>
          </cell>
          <cell r="DE212" t="str">
            <v/>
          </cell>
          <cell r="DF212" t="str">
            <v>Chief Adminstration Officer</v>
          </cell>
          <cell r="DG212" t="str">
            <v/>
          </cell>
          <cell r="DH212" t="str">
            <v>NRA/GMALI</v>
          </cell>
          <cell r="DI212" t="str">
            <v>Prabin Dhakal</v>
          </cell>
          <cell r="DJ212" t="str">
            <v>NRA Chief-District</v>
          </cell>
          <cell r="DK212">
            <v>9856040060</v>
          </cell>
          <cell r="DL212" t="str">
            <v>DLPIU-Building</v>
          </cell>
          <cell r="DM212" t="str">
            <v/>
          </cell>
          <cell r="DN212" t="str">
            <v>DUDBC.DLPIU Chief</v>
          </cell>
          <cell r="DO212" t="str">
            <v/>
          </cell>
          <cell r="DP212" t="str">
            <v>Municipal Office</v>
          </cell>
          <cell r="DQ212" t="str">
            <v>Ram Chandra Gautam</v>
          </cell>
          <cell r="DR212" t="str">
            <v>Focal Person</v>
          </cell>
          <cell r="DS212">
            <v>9856036238</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v>0</v>
          </cell>
          <cell r="EK212">
            <v>0</v>
          </cell>
          <cell r="EL212">
            <v>0</v>
          </cell>
          <cell r="EM212">
            <v>0</v>
          </cell>
          <cell r="EN212">
            <v>0</v>
          </cell>
          <cell r="EO212">
            <v>0</v>
          </cell>
          <cell r="EP212" t="str">
            <v/>
          </cell>
          <cell r="EQ212" t="str">
            <v>Housing Recovery and Reconstruction Platform</v>
          </cell>
          <cell r="ER212" t="str">
            <v/>
          </cell>
          <cell r="ES212" t="str">
            <v>District Coordinator</v>
          </cell>
          <cell r="ET212" t="str">
            <v/>
          </cell>
          <cell r="EU212" t="str">
            <v>Housing Recovery and Reconstruction Platform</v>
          </cell>
          <cell r="EV212" t="str">
            <v/>
          </cell>
          <cell r="EW212" t="str">
            <v>DIstrict Information Management Officer</v>
          </cell>
          <cell r="EX212" t="str">
            <v/>
          </cell>
          <cell r="EY212" t="str">
            <v>Housing Recovery and Reconstruction Platform</v>
          </cell>
          <cell r="EZ212" t="str">
            <v/>
          </cell>
          <cell r="FA212" t="str">
            <v>District Technical Officer</v>
          </cell>
          <cell r="FB212" t="str">
            <v/>
          </cell>
        </row>
        <row r="213">
          <cell r="A213">
            <v>39010</v>
          </cell>
          <cell r="B213" t="str">
            <v>Syangja</v>
          </cell>
          <cell r="C213" t="str">
            <v>Putalibazar Nagarpalika</v>
          </cell>
          <cell r="D213">
            <v>980</v>
          </cell>
          <cell r="E213">
            <v>1818</v>
          </cell>
          <cell r="F213">
            <v>2798</v>
          </cell>
          <cell r="G213" t="str">
            <v>Stone and cement mortar masonry</v>
          </cell>
          <cell r="H213">
            <v>3.47</v>
          </cell>
          <cell r="I213">
            <v>1.88</v>
          </cell>
          <cell r="J213" t="str">
            <v>Stone and Mud Mortar Masonary</v>
          </cell>
          <cell r="K213">
            <v>83.99</v>
          </cell>
          <cell r="L213">
            <v>89.38</v>
          </cell>
          <cell r="M213" t="str">
            <v>Brick and Cement Mortar Masonary</v>
          </cell>
          <cell r="N213">
            <v>0.71</v>
          </cell>
          <cell r="O213">
            <v>0.66</v>
          </cell>
          <cell r="P213" t="str">
            <v>Brick and mud mortar Masonry</v>
          </cell>
          <cell r="Q213">
            <v>7.0000000000000007E-2</v>
          </cell>
          <cell r="R213">
            <v>2.4700000000000002</v>
          </cell>
          <cell r="S213" t="str">
            <v>Reinforced cement concrete (RCC) frame</v>
          </cell>
          <cell r="T213">
            <v>1.61</v>
          </cell>
          <cell r="U213">
            <v>0.93</v>
          </cell>
          <cell r="V213" t="str">
            <v>Hybrid structure</v>
          </cell>
          <cell r="W213">
            <v>0</v>
          </cell>
          <cell r="X213">
            <v>0</v>
          </cell>
          <cell r="Y213" t="str">
            <v>Timber frame structure</v>
          </cell>
          <cell r="Z213">
            <v>0</v>
          </cell>
          <cell r="AA213">
            <v>0.06</v>
          </cell>
          <cell r="AB213" t="str">
            <v>Hollow concrete block Masonry</v>
          </cell>
          <cell r="AC213">
            <v>0</v>
          </cell>
          <cell r="AD213">
            <v>0</v>
          </cell>
          <cell r="AE213" t="str">
            <v>Dry stone Masonry</v>
          </cell>
          <cell r="AF213">
            <v>7.0000000000000007E-2</v>
          </cell>
          <cell r="AG213">
            <v>0.14000000000000001</v>
          </cell>
          <cell r="AH213" t="str">
            <v>Adobe structures</v>
          </cell>
          <cell r="AI213">
            <v>10.08</v>
          </cell>
          <cell r="AJ213">
            <v>4.37</v>
          </cell>
          <cell r="AK213" t="str">
            <v>Bamboo</v>
          </cell>
          <cell r="AL213">
            <v>0</v>
          </cell>
          <cell r="AM213">
            <v>0.14000000000000001</v>
          </cell>
          <cell r="AN213" t="str">
            <v>Compressed stabilized earth block (SCEB) Masonry</v>
          </cell>
          <cell r="AO213">
            <v>0</v>
          </cell>
          <cell r="AP213">
            <v>0</v>
          </cell>
          <cell r="AQ213" t="str">
            <v>Light steel frame structures</v>
          </cell>
          <cell r="AR213">
            <v>0</v>
          </cell>
          <cell r="AS213">
            <v>0</v>
          </cell>
          <cell r="AT213">
            <v>1471</v>
          </cell>
          <cell r="AU213">
            <v>550</v>
          </cell>
          <cell r="AV213">
            <v>550</v>
          </cell>
          <cell r="AW213">
            <v>136</v>
          </cell>
          <cell r="AX213">
            <v>0</v>
          </cell>
          <cell r="AY213" t="str">
            <v/>
          </cell>
          <cell r="AZ213" t="str">
            <v/>
          </cell>
          <cell r="BA213">
            <v>319</v>
          </cell>
          <cell r="BB213" t="str">
            <v/>
          </cell>
          <cell r="BC213" t="str">
            <v/>
          </cell>
          <cell r="BD213" t="str">
            <v/>
          </cell>
          <cell r="BE213" t="str">
            <v/>
          </cell>
          <cell r="BF213" t="str">
            <v/>
          </cell>
          <cell r="BG213" t="str">
            <v/>
          </cell>
          <cell r="BH213" t="str">
            <v/>
          </cell>
          <cell r="BI213" t="str">
            <v/>
          </cell>
          <cell r="BJ213" t="str">
            <v/>
          </cell>
          <cell r="BK213">
            <v>17517</v>
          </cell>
          <cell r="BL213" t="str">
            <v/>
          </cell>
          <cell r="BM213" t="str">
            <v/>
          </cell>
          <cell r="BN213">
            <v>15960</v>
          </cell>
          <cell r="BO213" t="str">
            <v/>
          </cell>
          <cell r="BP213" t="str">
            <v/>
          </cell>
          <cell r="BQ213">
            <v>1852</v>
          </cell>
          <cell r="BR213" t="str">
            <v/>
          </cell>
          <cell r="BS213" t="str">
            <v/>
          </cell>
          <cell r="BT213">
            <v>2068</v>
          </cell>
          <cell r="BU213" t="str">
            <v/>
          </cell>
          <cell r="BV213" t="str">
            <v/>
          </cell>
          <cell r="BW213" t="str">
            <v/>
          </cell>
          <cell r="BX213" t="str">
            <v/>
          </cell>
          <cell r="BY213" t="str">
            <v/>
          </cell>
          <cell r="BZ213">
            <v>53248</v>
          </cell>
          <cell r="CA213" t="str">
            <v/>
          </cell>
          <cell r="CB213" t="str">
            <v/>
          </cell>
          <cell r="CC213">
            <v>192954</v>
          </cell>
          <cell r="CD213" t="str">
            <v/>
          </cell>
          <cell r="CE213" t="str">
            <v/>
          </cell>
          <cell r="CF213">
            <v>2173</v>
          </cell>
          <cell r="CG213" t="str">
            <v/>
          </cell>
          <cell r="CH213" t="str">
            <v/>
          </cell>
          <cell r="CI213">
            <v>326134</v>
          </cell>
          <cell r="CJ213" t="str">
            <v/>
          </cell>
          <cell r="CK213" t="str">
            <v/>
          </cell>
          <cell r="CL213" t="str">
            <v>Skilled</v>
          </cell>
          <cell r="CM213" t="str">
            <v/>
          </cell>
          <cell r="CN213" t="str">
            <v>Labor</v>
          </cell>
          <cell r="CO213" t="str">
            <v/>
          </cell>
          <cell r="CP213" t="str">
            <v/>
          </cell>
          <cell r="CQ213" t="str">
            <v/>
          </cell>
          <cell r="CR213" t="str">
            <v/>
          </cell>
          <cell r="CS213" t="str">
            <v/>
          </cell>
          <cell r="CT213" t="str">
            <v/>
          </cell>
          <cell r="CU213" t="str">
            <v/>
          </cell>
          <cell r="CV213" t="str">
            <v>Municipal Office</v>
          </cell>
          <cell r="CW213" t="str">
            <v/>
          </cell>
          <cell r="CX213" t="str">
            <v>Mayor</v>
          </cell>
          <cell r="CY213" t="str">
            <v/>
          </cell>
          <cell r="CZ213" t="str">
            <v>Municipal Office</v>
          </cell>
          <cell r="DA213" t="str">
            <v/>
          </cell>
          <cell r="DB213" t="str">
            <v>Deputy Mayor</v>
          </cell>
          <cell r="DC213" t="str">
            <v/>
          </cell>
          <cell r="DD213" t="str">
            <v>Municipal Office</v>
          </cell>
          <cell r="DE213" t="str">
            <v/>
          </cell>
          <cell r="DF213" t="str">
            <v>Chief Adminstration Officer</v>
          </cell>
          <cell r="DG213" t="str">
            <v/>
          </cell>
          <cell r="DH213" t="str">
            <v>NRA/GMALI</v>
          </cell>
          <cell r="DI213" t="str">
            <v>Prabin Dhakal</v>
          </cell>
          <cell r="DJ213" t="str">
            <v>NRA Chief-District</v>
          </cell>
          <cell r="DK213">
            <v>9856040060</v>
          </cell>
          <cell r="DL213" t="str">
            <v>DLPIU-Building</v>
          </cell>
          <cell r="DM213" t="str">
            <v/>
          </cell>
          <cell r="DN213" t="str">
            <v>DUDBC.DLPIU Chief</v>
          </cell>
          <cell r="DO213" t="str">
            <v/>
          </cell>
          <cell r="DP213" t="str">
            <v>Municipal Office</v>
          </cell>
          <cell r="DQ213" t="str">
            <v>Sudip Baral</v>
          </cell>
          <cell r="DR213" t="str">
            <v>Focal Person</v>
          </cell>
          <cell r="DS213">
            <v>9856018299</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v>0</v>
          </cell>
          <cell r="EK213">
            <v>0</v>
          </cell>
          <cell r="EL213">
            <v>0</v>
          </cell>
          <cell r="EM213">
            <v>0</v>
          </cell>
          <cell r="EN213">
            <v>0</v>
          </cell>
          <cell r="EO213">
            <v>0</v>
          </cell>
          <cell r="EP213" t="str">
            <v/>
          </cell>
          <cell r="EQ213" t="str">
            <v>Housing Recovery and Reconstruction Platform</v>
          </cell>
          <cell r="ER213" t="str">
            <v/>
          </cell>
          <cell r="ES213" t="str">
            <v>District Coordinator</v>
          </cell>
          <cell r="ET213" t="str">
            <v/>
          </cell>
          <cell r="EU213" t="str">
            <v>Housing Recovery and Reconstruction Platform</v>
          </cell>
          <cell r="EV213" t="str">
            <v/>
          </cell>
          <cell r="EW213" t="str">
            <v>DIstrict Information Management Officer</v>
          </cell>
          <cell r="EX213" t="str">
            <v/>
          </cell>
          <cell r="EY213" t="str">
            <v>Housing Recovery and Reconstruction Platform</v>
          </cell>
          <cell r="EZ213" t="str">
            <v/>
          </cell>
          <cell r="FA213" t="str">
            <v>District Technical Officer</v>
          </cell>
          <cell r="FB213" t="str">
            <v/>
          </cell>
        </row>
        <row r="214">
          <cell r="A214">
            <v>39011</v>
          </cell>
          <cell r="B214" t="str">
            <v>Syangja</v>
          </cell>
          <cell r="C214" t="str">
            <v>Waling Nagarpalika</v>
          </cell>
          <cell r="D214">
            <v>961</v>
          </cell>
          <cell r="E214">
            <v>1735</v>
          </cell>
          <cell r="F214">
            <v>2696</v>
          </cell>
          <cell r="G214" t="str">
            <v>Stone and cement mortar masonry</v>
          </cell>
          <cell r="H214">
            <v>1.22</v>
          </cell>
          <cell r="I214">
            <v>1.88</v>
          </cell>
          <cell r="J214" t="str">
            <v>Stone and Mud Mortar Masonary</v>
          </cell>
          <cell r="K214">
            <v>84.68</v>
          </cell>
          <cell r="L214">
            <v>89.38</v>
          </cell>
          <cell r="M214" t="str">
            <v>Brick and Cement Mortar Masonary</v>
          </cell>
          <cell r="N214">
            <v>1.1499999999999999</v>
          </cell>
          <cell r="O214">
            <v>0.66</v>
          </cell>
          <cell r="P214" t="str">
            <v>Brick and mud mortar Masonry</v>
          </cell>
          <cell r="Q214">
            <v>0.11</v>
          </cell>
          <cell r="R214">
            <v>2.4700000000000002</v>
          </cell>
          <cell r="S214" t="str">
            <v>Reinforced cement concrete (RCC) frame</v>
          </cell>
          <cell r="T214">
            <v>0.56000000000000005</v>
          </cell>
          <cell r="U214">
            <v>0.93</v>
          </cell>
          <cell r="V214" t="str">
            <v>Hybrid structure</v>
          </cell>
          <cell r="W214">
            <v>0</v>
          </cell>
          <cell r="X214">
            <v>0</v>
          </cell>
          <cell r="Y214" t="str">
            <v>Timber frame structure</v>
          </cell>
          <cell r="Z214">
            <v>0.3</v>
          </cell>
          <cell r="AA214">
            <v>0.06</v>
          </cell>
          <cell r="AB214" t="str">
            <v>Hollow concrete block Masonry</v>
          </cell>
          <cell r="AC214">
            <v>0</v>
          </cell>
          <cell r="AD214">
            <v>0</v>
          </cell>
          <cell r="AE214" t="str">
            <v>Dry stone Masonry</v>
          </cell>
          <cell r="AF214">
            <v>7.0000000000000007E-2</v>
          </cell>
          <cell r="AG214">
            <v>0.14000000000000001</v>
          </cell>
          <cell r="AH214" t="str">
            <v>Adobe structures</v>
          </cell>
          <cell r="AI214">
            <v>11.87</v>
          </cell>
          <cell r="AJ214">
            <v>4.37</v>
          </cell>
          <cell r="AK214" t="str">
            <v>Bamboo</v>
          </cell>
          <cell r="AL214">
            <v>0.04</v>
          </cell>
          <cell r="AM214">
            <v>0.14000000000000001</v>
          </cell>
          <cell r="AN214" t="str">
            <v>Compressed stabilized earth block (SCEB) Masonry</v>
          </cell>
          <cell r="AO214">
            <v>0</v>
          </cell>
          <cell r="AP214">
            <v>0</v>
          </cell>
          <cell r="AQ214" t="str">
            <v>Light steel frame structures</v>
          </cell>
          <cell r="AR214">
            <v>0</v>
          </cell>
          <cell r="AS214">
            <v>0</v>
          </cell>
          <cell r="AT214">
            <v>1671</v>
          </cell>
          <cell r="AU214">
            <v>1321</v>
          </cell>
          <cell r="AV214">
            <v>1321</v>
          </cell>
          <cell r="AW214">
            <v>71</v>
          </cell>
          <cell r="AX214">
            <v>0</v>
          </cell>
          <cell r="AY214" t="str">
            <v/>
          </cell>
          <cell r="AZ214" t="str">
            <v/>
          </cell>
          <cell r="BA214">
            <v>53</v>
          </cell>
          <cell r="BB214" t="str">
            <v/>
          </cell>
          <cell r="BC214" t="str">
            <v/>
          </cell>
          <cell r="BD214" t="str">
            <v/>
          </cell>
          <cell r="BE214" t="str">
            <v/>
          </cell>
          <cell r="BF214" t="str">
            <v/>
          </cell>
          <cell r="BG214" t="str">
            <v/>
          </cell>
          <cell r="BH214" t="str">
            <v/>
          </cell>
          <cell r="BI214" t="str">
            <v/>
          </cell>
          <cell r="BJ214" t="str">
            <v/>
          </cell>
          <cell r="BK214">
            <v>39829</v>
          </cell>
          <cell r="BL214" t="str">
            <v/>
          </cell>
          <cell r="BM214" t="str">
            <v/>
          </cell>
          <cell r="BN214">
            <v>37902</v>
          </cell>
          <cell r="BO214" t="str">
            <v/>
          </cell>
          <cell r="BP214" t="str">
            <v/>
          </cell>
          <cell r="BQ214">
            <v>4227</v>
          </cell>
          <cell r="BR214" t="str">
            <v/>
          </cell>
          <cell r="BS214" t="str">
            <v/>
          </cell>
          <cell r="BT214">
            <v>4781</v>
          </cell>
          <cell r="BU214" t="str">
            <v/>
          </cell>
          <cell r="BV214" t="str">
            <v/>
          </cell>
          <cell r="BW214" t="str">
            <v/>
          </cell>
          <cell r="BX214" t="str">
            <v/>
          </cell>
          <cell r="BY214" t="str">
            <v/>
          </cell>
          <cell r="BZ214">
            <v>127090</v>
          </cell>
          <cell r="CA214" t="str">
            <v/>
          </cell>
          <cell r="CB214" t="str">
            <v/>
          </cell>
          <cell r="CC214">
            <v>437567</v>
          </cell>
          <cell r="CD214" t="str">
            <v/>
          </cell>
          <cell r="CE214" t="str">
            <v/>
          </cell>
          <cell r="CF214">
            <v>5196</v>
          </cell>
          <cell r="CG214" t="str">
            <v/>
          </cell>
          <cell r="CH214" t="str">
            <v/>
          </cell>
          <cell r="CI214">
            <v>766973</v>
          </cell>
          <cell r="CJ214" t="str">
            <v/>
          </cell>
          <cell r="CK214" t="str">
            <v/>
          </cell>
          <cell r="CL214" t="str">
            <v>Skilled</v>
          </cell>
          <cell r="CM214" t="str">
            <v/>
          </cell>
          <cell r="CN214" t="str">
            <v>Labor</v>
          </cell>
          <cell r="CO214" t="str">
            <v/>
          </cell>
          <cell r="CP214" t="str">
            <v/>
          </cell>
          <cell r="CQ214" t="str">
            <v/>
          </cell>
          <cell r="CR214" t="str">
            <v/>
          </cell>
          <cell r="CS214" t="str">
            <v/>
          </cell>
          <cell r="CT214" t="str">
            <v/>
          </cell>
          <cell r="CU214" t="str">
            <v/>
          </cell>
          <cell r="CV214" t="str">
            <v>Municipal Office</v>
          </cell>
          <cell r="CW214" t="str">
            <v/>
          </cell>
          <cell r="CX214" t="str">
            <v>Mayor</v>
          </cell>
          <cell r="CY214" t="str">
            <v/>
          </cell>
          <cell r="CZ214" t="str">
            <v>Municipal Office</v>
          </cell>
          <cell r="DA214" t="str">
            <v/>
          </cell>
          <cell r="DB214" t="str">
            <v>Deputy Mayor</v>
          </cell>
          <cell r="DC214" t="str">
            <v/>
          </cell>
          <cell r="DD214" t="str">
            <v>Municipal Office</v>
          </cell>
          <cell r="DE214" t="str">
            <v/>
          </cell>
          <cell r="DF214" t="str">
            <v>Chief Adminstration Officer</v>
          </cell>
          <cell r="DG214" t="str">
            <v/>
          </cell>
          <cell r="DH214" t="str">
            <v>NRA/GMALI</v>
          </cell>
          <cell r="DI214" t="str">
            <v>Prabin Dhakal</v>
          </cell>
          <cell r="DJ214" t="str">
            <v>NRA Chief-District</v>
          </cell>
          <cell r="DK214">
            <v>9856040060</v>
          </cell>
          <cell r="DL214" t="str">
            <v>DLPIU-Building</v>
          </cell>
          <cell r="DM214" t="str">
            <v/>
          </cell>
          <cell r="DN214" t="str">
            <v>DUDBC.DLPIU Chief</v>
          </cell>
          <cell r="DO214" t="str">
            <v/>
          </cell>
          <cell r="DP214" t="str">
            <v>Municipal Office</v>
          </cell>
          <cell r="DQ214" t="str">
            <v>Sanjya Pandey</v>
          </cell>
          <cell r="DR214" t="str">
            <v>Focal Person</v>
          </cell>
          <cell r="DS214">
            <v>9860845587</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v>0</v>
          </cell>
          <cell r="EK214">
            <v>0</v>
          </cell>
          <cell r="EL214">
            <v>0</v>
          </cell>
          <cell r="EM214">
            <v>0</v>
          </cell>
          <cell r="EN214">
            <v>0</v>
          </cell>
          <cell r="EO214">
            <v>0</v>
          </cell>
          <cell r="EP214" t="str">
            <v/>
          </cell>
          <cell r="EQ214" t="str">
            <v>Housing Recovery and Reconstruction Platform</v>
          </cell>
          <cell r="ER214" t="str">
            <v/>
          </cell>
          <cell r="ES214" t="str">
            <v>District Coordinator</v>
          </cell>
          <cell r="ET214" t="str">
            <v/>
          </cell>
          <cell r="EU214" t="str">
            <v>Housing Recovery and Reconstruction Platform</v>
          </cell>
          <cell r="EV214" t="str">
            <v/>
          </cell>
          <cell r="EW214" t="str">
            <v>DIstrict Information Management Officer</v>
          </cell>
          <cell r="EX214" t="str">
            <v/>
          </cell>
          <cell r="EY214" t="str">
            <v>Housing Recovery and Reconstruction Platform</v>
          </cell>
          <cell r="EZ214" t="str">
            <v/>
          </cell>
          <cell r="FA214" t="str">
            <v>District Technical Officer</v>
          </cell>
          <cell r="FB214" t="str">
            <v/>
          </cell>
        </row>
        <row r="215">
          <cell r="A215">
            <v>40001</v>
          </cell>
          <cell r="B215" t="str">
            <v>Kaski</v>
          </cell>
          <cell r="C215" t="str">
            <v>Annapurna Gaunpalika</v>
          </cell>
          <cell r="D215">
            <v>236</v>
          </cell>
          <cell r="E215">
            <v>431</v>
          </cell>
          <cell r="F215">
            <v>667</v>
          </cell>
          <cell r="G215" t="str">
            <v>Stone and cement mortar masonry</v>
          </cell>
          <cell r="H215">
            <v>1.65</v>
          </cell>
          <cell r="I215">
            <v>1.88</v>
          </cell>
          <cell r="J215" t="str">
            <v>Stone and Mud Mortar Masonary</v>
          </cell>
          <cell r="K215">
            <v>93.85</v>
          </cell>
          <cell r="L215">
            <v>91.38</v>
          </cell>
          <cell r="M215" t="str">
            <v>Brick and Cement Mortar Masonary</v>
          </cell>
          <cell r="N215">
            <v>2.85</v>
          </cell>
          <cell r="O215">
            <v>2.92</v>
          </cell>
          <cell r="P215" t="str">
            <v>Brick and mud mortar Masonry</v>
          </cell>
          <cell r="Q215">
            <v>0</v>
          </cell>
          <cell r="R215">
            <v>7.0000000000000007E-2</v>
          </cell>
          <cell r="S215" t="str">
            <v>Reinforced cement concrete (RCC) frame</v>
          </cell>
          <cell r="T215">
            <v>0.6</v>
          </cell>
          <cell r="U215">
            <v>1.85</v>
          </cell>
          <cell r="V215" t="str">
            <v>Hybrid structure</v>
          </cell>
          <cell r="W215">
            <v>0</v>
          </cell>
          <cell r="X215">
            <v>0</v>
          </cell>
          <cell r="Y215" t="str">
            <v>Timber frame structure</v>
          </cell>
          <cell r="Z215">
            <v>0.3</v>
          </cell>
          <cell r="AA215">
            <v>0.06</v>
          </cell>
          <cell r="AB215" t="str">
            <v>Hollow concrete block Masonry</v>
          </cell>
          <cell r="AC215">
            <v>0</v>
          </cell>
          <cell r="AD215">
            <v>0</v>
          </cell>
          <cell r="AE215" t="str">
            <v>Dry stone Masonry</v>
          </cell>
          <cell r="AF215">
            <v>0.45</v>
          </cell>
          <cell r="AG215">
            <v>0.26</v>
          </cell>
          <cell r="AH215" t="str">
            <v>Adobe structures</v>
          </cell>
          <cell r="AI215">
            <v>0.15</v>
          </cell>
          <cell r="AJ215">
            <v>1.54</v>
          </cell>
          <cell r="AK215" t="str">
            <v>Bamboo</v>
          </cell>
          <cell r="AL215">
            <v>0.15</v>
          </cell>
          <cell r="AM215">
            <v>0.05</v>
          </cell>
          <cell r="AN215" t="str">
            <v>Compressed stabilized earth block (SCEB) Masonry</v>
          </cell>
          <cell r="AO215">
            <v>0</v>
          </cell>
          <cell r="AP215">
            <v>0</v>
          </cell>
          <cell r="AQ215" t="str">
            <v>Light steel frame structures</v>
          </cell>
          <cell r="AR215">
            <v>0</v>
          </cell>
          <cell r="AS215">
            <v>0</v>
          </cell>
          <cell r="AT215">
            <v>396</v>
          </cell>
          <cell r="AU215">
            <v>269</v>
          </cell>
          <cell r="AV215">
            <v>269</v>
          </cell>
          <cell r="AW215">
            <v>33</v>
          </cell>
          <cell r="AX215">
            <v>0</v>
          </cell>
          <cell r="AY215" t="str">
            <v/>
          </cell>
          <cell r="AZ215" t="str">
            <v/>
          </cell>
          <cell r="BA215">
            <v>21</v>
          </cell>
          <cell r="BB215" t="str">
            <v/>
          </cell>
          <cell r="BC215" t="str">
            <v/>
          </cell>
          <cell r="BD215" t="str">
            <v/>
          </cell>
          <cell r="BE215" t="str">
            <v/>
          </cell>
          <cell r="BF215" t="str">
            <v/>
          </cell>
          <cell r="BG215" t="str">
            <v/>
          </cell>
          <cell r="BH215" t="str">
            <v/>
          </cell>
          <cell r="BI215" t="str">
            <v/>
          </cell>
          <cell r="BJ215" t="str">
            <v/>
          </cell>
          <cell r="BK215">
            <v>8250</v>
          </cell>
          <cell r="BL215" t="str">
            <v/>
          </cell>
          <cell r="BM215" t="str">
            <v/>
          </cell>
          <cell r="BN215">
            <v>7701</v>
          </cell>
          <cell r="BO215" t="str">
            <v/>
          </cell>
          <cell r="BP215" t="str">
            <v/>
          </cell>
          <cell r="BQ215">
            <v>874</v>
          </cell>
          <cell r="BR215" t="str">
            <v/>
          </cell>
          <cell r="BS215" t="str">
            <v/>
          </cell>
          <cell r="BT215">
            <v>985</v>
          </cell>
          <cell r="BU215" t="str">
            <v/>
          </cell>
          <cell r="BV215" t="str">
            <v/>
          </cell>
          <cell r="BW215" t="str">
            <v/>
          </cell>
          <cell r="BX215" t="str">
            <v/>
          </cell>
          <cell r="BY215" t="str">
            <v/>
          </cell>
          <cell r="BZ215">
            <v>25999</v>
          </cell>
          <cell r="CA215" t="str">
            <v/>
          </cell>
          <cell r="CB215" t="str">
            <v/>
          </cell>
          <cell r="CC215">
            <v>91061</v>
          </cell>
          <cell r="CD215" t="str">
            <v/>
          </cell>
          <cell r="CE215" t="str">
            <v/>
          </cell>
          <cell r="CF215">
            <v>1064</v>
          </cell>
          <cell r="CG215" t="str">
            <v/>
          </cell>
          <cell r="CH215" t="str">
            <v/>
          </cell>
          <cell r="CI215">
            <v>192090</v>
          </cell>
          <cell r="CJ215" t="str">
            <v/>
          </cell>
          <cell r="CK215" t="str">
            <v/>
          </cell>
          <cell r="CL215" t="str">
            <v>Skilled</v>
          </cell>
          <cell r="CM215" t="str">
            <v/>
          </cell>
          <cell r="CN215" t="str">
            <v>Labor</v>
          </cell>
          <cell r="CO215" t="str">
            <v/>
          </cell>
          <cell r="CP215" t="str">
            <v/>
          </cell>
          <cell r="CQ215" t="str">
            <v/>
          </cell>
          <cell r="CR215" t="str">
            <v/>
          </cell>
          <cell r="CS215" t="str">
            <v/>
          </cell>
          <cell r="CT215" t="str">
            <v/>
          </cell>
          <cell r="CU215" t="str">
            <v/>
          </cell>
          <cell r="CV215" t="str">
            <v>Municipal Office</v>
          </cell>
          <cell r="CW215" t="str">
            <v/>
          </cell>
          <cell r="CX215" t="str">
            <v>Chairman</v>
          </cell>
          <cell r="CY215" t="str">
            <v/>
          </cell>
          <cell r="CZ215" t="str">
            <v>Municipal Office</v>
          </cell>
          <cell r="DA215" t="str">
            <v/>
          </cell>
          <cell r="DB215" t="str">
            <v>Deputy chairman</v>
          </cell>
          <cell r="DC215" t="str">
            <v/>
          </cell>
          <cell r="DD215" t="str">
            <v>Municipal Office</v>
          </cell>
          <cell r="DE215" t="str">
            <v/>
          </cell>
          <cell r="DF215" t="str">
            <v>Chief Adminstration Officer</v>
          </cell>
          <cell r="DG215" t="str">
            <v/>
          </cell>
          <cell r="DH215" t="str">
            <v>NRA/GMALI</v>
          </cell>
          <cell r="DI215" t="str">
            <v>Narayan Prasad Baral</v>
          </cell>
          <cell r="DJ215" t="str">
            <v>NRA Chief-District</v>
          </cell>
          <cell r="DK215">
            <v>9846027721</v>
          </cell>
          <cell r="DL215" t="str">
            <v>DLPIU-Building</v>
          </cell>
          <cell r="DM215" t="str">
            <v/>
          </cell>
          <cell r="DN215" t="str">
            <v>DUDBC.DLPIU Chief</v>
          </cell>
          <cell r="DO215" t="str">
            <v/>
          </cell>
          <cell r="DP215" t="str">
            <v>Municipal Office</v>
          </cell>
          <cell r="DQ215" t="str">
            <v>Jamuna Bhattarai</v>
          </cell>
          <cell r="DR215" t="str">
            <v>Focal Person</v>
          </cell>
          <cell r="DS215">
            <v>9846281106</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v>0</v>
          </cell>
          <cell r="EK215">
            <v>0</v>
          </cell>
          <cell r="EL215">
            <v>0</v>
          </cell>
          <cell r="EM215">
            <v>0</v>
          </cell>
          <cell r="EN215">
            <v>0</v>
          </cell>
          <cell r="EO215">
            <v>0</v>
          </cell>
          <cell r="EP215" t="str">
            <v/>
          </cell>
          <cell r="EQ215" t="str">
            <v>Housing Recovery and Reconstruction Platform</v>
          </cell>
          <cell r="ER215" t="str">
            <v/>
          </cell>
          <cell r="ES215" t="str">
            <v>District Coordinator</v>
          </cell>
          <cell r="ET215" t="str">
            <v/>
          </cell>
          <cell r="EU215" t="str">
            <v>Housing Recovery and Reconstruction Platform</v>
          </cell>
          <cell r="EV215" t="str">
            <v/>
          </cell>
          <cell r="EW215" t="str">
            <v>DIstrict Information Management Officer</v>
          </cell>
          <cell r="EX215" t="str">
            <v/>
          </cell>
          <cell r="EY215" t="str">
            <v>Housing Recovery and Reconstruction Platform</v>
          </cell>
          <cell r="EZ215" t="str">
            <v/>
          </cell>
          <cell r="FA215" t="str">
            <v>District Technical Officer</v>
          </cell>
          <cell r="FB215" t="str">
            <v/>
          </cell>
        </row>
        <row r="216">
          <cell r="A216">
            <v>40002</v>
          </cell>
          <cell r="B216" t="str">
            <v>Kaski</v>
          </cell>
          <cell r="C216" t="str">
            <v>Machhapuchchhre Gaunpalika</v>
          </cell>
          <cell r="D216">
            <v>307</v>
          </cell>
          <cell r="E216">
            <v>474</v>
          </cell>
          <cell r="F216">
            <v>781</v>
          </cell>
          <cell r="G216" t="str">
            <v>Stone and cement mortar masonry</v>
          </cell>
          <cell r="H216">
            <v>0.38</v>
          </cell>
          <cell r="I216">
            <v>1.88</v>
          </cell>
          <cell r="J216" t="str">
            <v>Stone and Mud Mortar Masonary</v>
          </cell>
          <cell r="K216">
            <v>98.21</v>
          </cell>
          <cell r="L216">
            <v>91.38</v>
          </cell>
          <cell r="M216" t="str">
            <v>Brick and Cement Mortar Masonary</v>
          </cell>
          <cell r="N216">
            <v>0.9</v>
          </cell>
          <cell r="O216">
            <v>2.92</v>
          </cell>
          <cell r="P216" t="str">
            <v>Brick and mud mortar Masonry</v>
          </cell>
          <cell r="Q216">
            <v>0.13</v>
          </cell>
          <cell r="R216">
            <v>7.0000000000000007E-2</v>
          </cell>
          <cell r="S216" t="str">
            <v>Reinforced cement concrete (RCC) frame</v>
          </cell>
          <cell r="T216">
            <v>0.26</v>
          </cell>
          <cell r="U216">
            <v>1.85</v>
          </cell>
          <cell r="V216" t="str">
            <v>Hybrid structure</v>
          </cell>
          <cell r="W216">
            <v>0</v>
          </cell>
          <cell r="X216">
            <v>0</v>
          </cell>
          <cell r="Y216" t="str">
            <v>Timber frame structure</v>
          </cell>
          <cell r="Z216">
            <v>0</v>
          </cell>
          <cell r="AA216">
            <v>0.06</v>
          </cell>
          <cell r="AB216" t="str">
            <v>Hollow concrete block Masonry</v>
          </cell>
          <cell r="AC216">
            <v>0</v>
          </cell>
          <cell r="AD216">
            <v>0</v>
          </cell>
          <cell r="AE216" t="str">
            <v>Dry stone Masonry</v>
          </cell>
          <cell r="AF216">
            <v>0.13</v>
          </cell>
          <cell r="AG216">
            <v>0.26</v>
          </cell>
          <cell r="AH216" t="str">
            <v>Adobe structures</v>
          </cell>
          <cell r="AI216">
            <v>0</v>
          </cell>
          <cell r="AJ216">
            <v>1.54</v>
          </cell>
          <cell r="AK216" t="str">
            <v>Bamboo</v>
          </cell>
          <cell r="AL216">
            <v>0</v>
          </cell>
          <cell r="AM216">
            <v>0.05</v>
          </cell>
          <cell r="AN216" t="str">
            <v>Compressed stabilized earth block (SCEB) Masonry</v>
          </cell>
          <cell r="AO216">
            <v>0</v>
          </cell>
          <cell r="AP216">
            <v>0</v>
          </cell>
          <cell r="AQ216" t="str">
            <v>Light steel frame structures</v>
          </cell>
          <cell r="AR216">
            <v>0</v>
          </cell>
          <cell r="AS216">
            <v>0</v>
          </cell>
          <cell r="AT216">
            <v>427</v>
          </cell>
          <cell r="AU216">
            <v>112</v>
          </cell>
          <cell r="AV216">
            <v>112</v>
          </cell>
          <cell r="AW216">
            <v>27</v>
          </cell>
          <cell r="AX216">
            <v>0</v>
          </cell>
          <cell r="AY216" t="str">
            <v/>
          </cell>
          <cell r="AZ216" t="str">
            <v/>
          </cell>
          <cell r="BA216">
            <v>30</v>
          </cell>
          <cell r="BB216" t="str">
            <v/>
          </cell>
          <cell r="BC216" t="str">
            <v/>
          </cell>
          <cell r="BD216" t="str">
            <v/>
          </cell>
          <cell r="BE216" t="str">
            <v/>
          </cell>
          <cell r="BF216" t="str">
            <v/>
          </cell>
          <cell r="BG216" t="str">
            <v/>
          </cell>
          <cell r="BH216" t="str">
            <v/>
          </cell>
          <cell r="BI216" t="str">
            <v/>
          </cell>
          <cell r="BJ216" t="str">
            <v/>
          </cell>
          <cell r="BK216">
            <v>3238</v>
          </cell>
          <cell r="BL216" t="str">
            <v/>
          </cell>
          <cell r="BM216" t="str">
            <v/>
          </cell>
          <cell r="BN216">
            <v>3295</v>
          </cell>
          <cell r="BO216" t="str">
            <v/>
          </cell>
          <cell r="BP216" t="str">
            <v/>
          </cell>
          <cell r="BQ216">
            <v>346</v>
          </cell>
          <cell r="BR216" t="str">
            <v/>
          </cell>
          <cell r="BS216" t="str">
            <v/>
          </cell>
          <cell r="BT216">
            <v>398</v>
          </cell>
          <cell r="BU216" t="str">
            <v/>
          </cell>
          <cell r="BV216" t="str">
            <v/>
          </cell>
          <cell r="BW216" t="str">
            <v/>
          </cell>
          <cell r="BX216" t="str">
            <v/>
          </cell>
          <cell r="BY216" t="str">
            <v/>
          </cell>
          <cell r="BZ216">
            <v>10917</v>
          </cell>
          <cell r="CA216" t="str">
            <v/>
          </cell>
          <cell r="CB216" t="str">
            <v/>
          </cell>
          <cell r="CC216">
            <v>35136</v>
          </cell>
          <cell r="CD216" t="str">
            <v/>
          </cell>
          <cell r="CE216" t="str">
            <v/>
          </cell>
          <cell r="CF216">
            <v>446</v>
          </cell>
          <cell r="CG216" t="str">
            <v/>
          </cell>
          <cell r="CH216" t="str">
            <v/>
          </cell>
          <cell r="CI216">
            <v>33050</v>
          </cell>
          <cell r="CJ216" t="str">
            <v/>
          </cell>
          <cell r="CK216" t="str">
            <v/>
          </cell>
          <cell r="CL216" t="str">
            <v>Skilled</v>
          </cell>
          <cell r="CM216" t="str">
            <v/>
          </cell>
          <cell r="CN216" t="str">
            <v>Labor</v>
          </cell>
          <cell r="CO216" t="str">
            <v/>
          </cell>
          <cell r="CP216" t="str">
            <v/>
          </cell>
          <cell r="CQ216" t="str">
            <v/>
          </cell>
          <cell r="CR216" t="str">
            <v/>
          </cell>
          <cell r="CS216" t="str">
            <v/>
          </cell>
          <cell r="CT216" t="str">
            <v/>
          </cell>
          <cell r="CU216" t="str">
            <v/>
          </cell>
          <cell r="CV216" t="str">
            <v>Municipal Office</v>
          </cell>
          <cell r="CW216" t="str">
            <v/>
          </cell>
          <cell r="CX216" t="str">
            <v>Chairman</v>
          </cell>
          <cell r="CY216" t="str">
            <v/>
          </cell>
          <cell r="CZ216" t="str">
            <v>Municipal Office</v>
          </cell>
          <cell r="DA216" t="str">
            <v/>
          </cell>
          <cell r="DB216" t="str">
            <v>Deputy chairman</v>
          </cell>
          <cell r="DC216" t="str">
            <v/>
          </cell>
          <cell r="DD216" t="str">
            <v>Municipal Office</v>
          </cell>
          <cell r="DE216" t="str">
            <v/>
          </cell>
          <cell r="DF216" t="str">
            <v>Chief Adminstration Officer</v>
          </cell>
          <cell r="DG216" t="str">
            <v/>
          </cell>
          <cell r="DH216" t="str">
            <v>NRA/GMALI</v>
          </cell>
          <cell r="DI216" t="str">
            <v>Narayan Prasad Baral</v>
          </cell>
          <cell r="DJ216" t="str">
            <v>NRA Chief-District</v>
          </cell>
          <cell r="DK216">
            <v>9846027721</v>
          </cell>
          <cell r="DL216" t="str">
            <v>DLPIU-Building</v>
          </cell>
          <cell r="DM216" t="str">
            <v/>
          </cell>
          <cell r="DN216" t="str">
            <v>DUDBC.DLPIU Chief</v>
          </cell>
          <cell r="DO216" t="str">
            <v/>
          </cell>
          <cell r="DP216" t="str">
            <v>Municipal Office</v>
          </cell>
          <cell r="DQ216" t="str">
            <v>Aanand Kafle</v>
          </cell>
          <cell r="DR216" t="str">
            <v>Focal Person</v>
          </cell>
          <cell r="DS216">
            <v>9846115729</v>
          </cell>
          <cell r="DT216" t="str">
            <v/>
          </cell>
          <cell r="DU216" t="str">
            <v/>
          </cell>
          <cell r="DV216" t="str">
            <v/>
          </cell>
          <cell r="DW216" t="str">
            <v/>
          </cell>
          <cell r="DX216" t="str">
            <v/>
          </cell>
          <cell r="DY216" t="str">
            <v/>
          </cell>
          <cell r="DZ216" t="str">
            <v/>
          </cell>
          <cell r="EA216" t="str">
            <v/>
          </cell>
          <cell r="EB216" t="str">
            <v/>
          </cell>
          <cell r="EC216" t="str">
            <v/>
          </cell>
          <cell r="ED216" t="str">
            <v/>
          </cell>
          <cell r="EE216" t="str">
            <v/>
          </cell>
          <cell r="EF216" t="str">
            <v/>
          </cell>
          <cell r="EG216" t="str">
            <v/>
          </cell>
          <cell r="EH216" t="str">
            <v/>
          </cell>
          <cell r="EI216" t="str">
            <v/>
          </cell>
          <cell r="EJ216">
            <v>0</v>
          </cell>
          <cell r="EK216">
            <v>0</v>
          </cell>
          <cell r="EL216">
            <v>0</v>
          </cell>
          <cell r="EM216">
            <v>0</v>
          </cell>
          <cell r="EN216">
            <v>0</v>
          </cell>
          <cell r="EO216">
            <v>0</v>
          </cell>
          <cell r="EP216" t="str">
            <v/>
          </cell>
          <cell r="EQ216" t="str">
            <v>Housing Recovery and Reconstruction Platform</v>
          </cell>
          <cell r="ER216" t="str">
            <v/>
          </cell>
          <cell r="ES216" t="str">
            <v>District Coordinator</v>
          </cell>
          <cell r="ET216" t="str">
            <v/>
          </cell>
          <cell r="EU216" t="str">
            <v>Housing Recovery and Reconstruction Platform</v>
          </cell>
          <cell r="EV216" t="str">
            <v/>
          </cell>
          <cell r="EW216" t="str">
            <v>DIstrict Information Management Officer</v>
          </cell>
          <cell r="EX216" t="str">
            <v/>
          </cell>
          <cell r="EY216" t="str">
            <v>Housing Recovery and Reconstruction Platform</v>
          </cell>
          <cell r="EZ216" t="str">
            <v/>
          </cell>
          <cell r="FA216" t="str">
            <v>District Technical Officer</v>
          </cell>
          <cell r="FB216" t="str">
            <v/>
          </cell>
        </row>
        <row r="217">
          <cell r="A217">
            <v>40003</v>
          </cell>
          <cell r="B217" t="str">
            <v>Kaski</v>
          </cell>
          <cell r="C217" t="str">
            <v>Madi Gaunpalika</v>
          </cell>
          <cell r="D217">
            <v>1010</v>
          </cell>
          <cell r="E217">
            <v>1286</v>
          </cell>
          <cell r="F217">
            <v>2296</v>
          </cell>
          <cell r="G217" t="str">
            <v>Stone and cement mortar masonry</v>
          </cell>
          <cell r="H217">
            <v>0.26</v>
          </cell>
          <cell r="I217">
            <v>1.88</v>
          </cell>
          <cell r="J217" t="str">
            <v>Stone and Mud Mortar Masonary</v>
          </cell>
          <cell r="K217">
            <v>98.78</v>
          </cell>
          <cell r="L217">
            <v>91.38</v>
          </cell>
          <cell r="M217" t="str">
            <v>Brick and Cement Mortar Masonary</v>
          </cell>
          <cell r="N217">
            <v>0.26</v>
          </cell>
          <cell r="O217">
            <v>2.92</v>
          </cell>
          <cell r="P217" t="str">
            <v>Brick and mud mortar Masonry</v>
          </cell>
          <cell r="Q217">
            <v>0</v>
          </cell>
          <cell r="R217">
            <v>7.0000000000000007E-2</v>
          </cell>
          <cell r="S217" t="str">
            <v>Reinforced cement concrete (RCC) frame</v>
          </cell>
          <cell r="T217">
            <v>0.13</v>
          </cell>
          <cell r="U217">
            <v>1.85</v>
          </cell>
          <cell r="V217" t="str">
            <v>Hybrid structure</v>
          </cell>
          <cell r="W217">
            <v>0</v>
          </cell>
          <cell r="X217">
            <v>0</v>
          </cell>
          <cell r="Y217" t="str">
            <v>Timber frame structure</v>
          </cell>
          <cell r="Z217">
            <v>0.09</v>
          </cell>
          <cell r="AA217">
            <v>0.06</v>
          </cell>
          <cell r="AB217" t="str">
            <v>Hollow concrete block Masonry</v>
          </cell>
          <cell r="AC217">
            <v>0</v>
          </cell>
          <cell r="AD217">
            <v>0</v>
          </cell>
          <cell r="AE217" t="str">
            <v>Dry stone Masonry</v>
          </cell>
          <cell r="AF217">
            <v>0.26</v>
          </cell>
          <cell r="AG217">
            <v>0.26</v>
          </cell>
          <cell r="AH217" t="str">
            <v>Adobe structures</v>
          </cell>
          <cell r="AI217">
            <v>0.17</v>
          </cell>
          <cell r="AJ217">
            <v>1.54</v>
          </cell>
          <cell r="AK217" t="str">
            <v>Bamboo</v>
          </cell>
          <cell r="AL217">
            <v>0.04</v>
          </cell>
          <cell r="AM217">
            <v>0.05</v>
          </cell>
          <cell r="AN217" t="str">
            <v>Compressed stabilized earth block (SCEB) Masonry</v>
          </cell>
          <cell r="AO217">
            <v>0</v>
          </cell>
          <cell r="AP217">
            <v>0</v>
          </cell>
          <cell r="AQ217" t="str">
            <v>Light steel frame structures</v>
          </cell>
          <cell r="AR217">
            <v>0</v>
          </cell>
          <cell r="AS217">
            <v>0</v>
          </cell>
          <cell r="AT217">
            <v>1191</v>
          </cell>
          <cell r="AU217">
            <v>923</v>
          </cell>
          <cell r="AV217">
            <v>923</v>
          </cell>
          <cell r="AW217">
            <v>165</v>
          </cell>
          <cell r="AX217">
            <v>0</v>
          </cell>
          <cell r="AY217" t="str">
            <v/>
          </cell>
          <cell r="AZ217" t="str">
            <v/>
          </cell>
          <cell r="BA217">
            <v>40</v>
          </cell>
          <cell r="BB217" t="str">
            <v/>
          </cell>
          <cell r="BC217" t="str">
            <v/>
          </cell>
          <cell r="BD217" t="str">
            <v/>
          </cell>
          <cell r="BE217" t="str">
            <v/>
          </cell>
          <cell r="BF217" t="str">
            <v/>
          </cell>
          <cell r="BG217" t="str">
            <v/>
          </cell>
          <cell r="BH217" t="str">
            <v/>
          </cell>
          <cell r="BI217" t="str">
            <v/>
          </cell>
          <cell r="BJ217" t="str">
            <v/>
          </cell>
          <cell r="BK217">
            <v>26585</v>
          </cell>
          <cell r="BL217" t="str">
            <v/>
          </cell>
          <cell r="BM217" t="str">
            <v/>
          </cell>
          <cell r="BN217">
            <v>27049</v>
          </cell>
          <cell r="BO217" t="str">
            <v/>
          </cell>
          <cell r="BP217" t="str">
            <v/>
          </cell>
          <cell r="BQ217">
            <v>2837</v>
          </cell>
          <cell r="BR217" t="str">
            <v/>
          </cell>
          <cell r="BS217" t="str">
            <v/>
          </cell>
          <cell r="BT217">
            <v>3269</v>
          </cell>
          <cell r="BU217" t="str">
            <v/>
          </cell>
          <cell r="BV217" t="str">
            <v/>
          </cell>
          <cell r="BW217" t="str">
            <v/>
          </cell>
          <cell r="BX217" t="str">
            <v/>
          </cell>
          <cell r="BY217" t="str">
            <v/>
          </cell>
          <cell r="BZ217">
            <v>90197</v>
          </cell>
          <cell r="CA217" t="str">
            <v/>
          </cell>
          <cell r="CB217" t="str">
            <v/>
          </cell>
          <cell r="CC217">
            <v>289245</v>
          </cell>
          <cell r="CD217" t="str">
            <v/>
          </cell>
          <cell r="CE217" t="str">
            <v/>
          </cell>
          <cell r="CF217">
            <v>3689</v>
          </cell>
          <cell r="CG217" t="str">
            <v/>
          </cell>
          <cell r="CH217" t="str">
            <v/>
          </cell>
          <cell r="CI217">
            <v>361270</v>
          </cell>
          <cell r="CJ217" t="str">
            <v/>
          </cell>
          <cell r="CK217" t="str">
            <v/>
          </cell>
          <cell r="CL217" t="str">
            <v>Skilled</v>
          </cell>
          <cell r="CM217" t="str">
            <v/>
          </cell>
          <cell r="CN217" t="str">
            <v>Labor</v>
          </cell>
          <cell r="CO217" t="str">
            <v/>
          </cell>
          <cell r="CP217" t="str">
            <v/>
          </cell>
          <cell r="CQ217" t="str">
            <v/>
          </cell>
          <cell r="CR217" t="str">
            <v/>
          </cell>
          <cell r="CS217" t="str">
            <v/>
          </cell>
          <cell r="CT217" t="str">
            <v/>
          </cell>
          <cell r="CU217" t="str">
            <v/>
          </cell>
          <cell r="CV217" t="str">
            <v>Municipal Office</v>
          </cell>
          <cell r="CW217" t="str">
            <v/>
          </cell>
          <cell r="CX217" t="str">
            <v>Chairman</v>
          </cell>
          <cell r="CY217" t="str">
            <v/>
          </cell>
          <cell r="CZ217" t="str">
            <v>Municipal Office</v>
          </cell>
          <cell r="DA217" t="str">
            <v/>
          </cell>
          <cell r="DB217" t="str">
            <v>Deputy chairman</v>
          </cell>
          <cell r="DC217" t="str">
            <v/>
          </cell>
          <cell r="DD217" t="str">
            <v>Municipal Office</v>
          </cell>
          <cell r="DE217" t="str">
            <v/>
          </cell>
          <cell r="DF217" t="str">
            <v>Chief Adminstration Officer</v>
          </cell>
          <cell r="DG217" t="str">
            <v/>
          </cell>
          <cell r="DH217" t="str">
            <v>NRA/GMALI</v>
          </cell>
          <cell r="DI217" t="str">
            <v>Narayan Prasad Baral</v>
          </cell>
          <cell r="DJ217" t="str">
            <v>NRA Chief-District</v>
          </cell>
          <cell r="DK217">
            <v>9846027721</v>
          </cell>
          <cell r="DL217" t="str">
            <v>DLPIU-Building</v>
          </cell>
          <cell r="DM217" t="str">
            <v/>
          </cell>
          <cell r="DN217" t="str">
            <v>DUDBC.DLPIU Chief</v>
          </cell>
          <cell r="DO217" t="str">
            <v/>
          </cell>
          <cell r="DP217" t="str">
            <v>Municipal Office</v>
          </cell>
          <cell r="DQ217" t="str">
            <v>Sumiran Bangali</v>
          </cell>
          <cell r="DR217" t="str">
            <v>Focal Person</v>
          </cell>
          <cell r="DS217">
            <v>9849275214</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v>0</v>
          </cell>
          <cell r="EK217">
            <v>0</v>
          </cell>
          <cell r="EL217">
            <v>0</v>
          </cell>
          <cell r="EM217">
            <v>0</v>
          </cell>
          <cell r="EN217">
            <v>0</v>
          </cell>
          <cell r="EO217">
            <v>0</v>
          </cell>
          <cell r="EP217" t="str">
            <v/>
          </cell>
          <cell r="EQ217" t="str">
            <v>Housing Recovery and Reconstruction Platform</v>
          </cell>
          <cell r="ER217" t="str">
            <v/>
          </cell>
          <cell r="ES217" t="str">
            <v>District Coordinator</v>
          </cell>
          <cell r="ET217" t="str">
            <v/>
          </cell>
          <cell r="EU217" t="str">
            <v>Housing Recovery and Reconstruction Platform</v>
          </cell>
          <cell r="EV217" t="str">
            <v/>
          </cell>
          <cell r="EW217" t="str">
            <v>DIstrict Information Management Officer</v>
          </cell>
          <cell r="EX217" t="str">
            <v/>
          </cell>
          <cell r="EY217" t="str">
            <v>Housing Recovery and Reconstruction Platform</v>
          </cell>
          <cell r="EZ217" t="str">
            <v/>
          </cell>
          <cell r="FA217" t="str">
            <v>District Technical Officer</v>
          </cell>
          <cell r="FB217" t="str">
            <v/>
          </cell>
        </row>
        <row r="218">
          <cell r="A218">
            <v>40004</v>
          </cell>
          <cell r="B218" t="str">
            <v>Kaski</v>
          </cell>
          <cell r="C218" t="str">
            <v>Pokhara Lekhnath Mahanagarpalika</v>
          </cell>
          <cell r="D218">
            <v>2138</v>
          </cell>
          <cell r="E218">
            <v>3138</v>
          </cell>
          <cell r="F218">
            <v>5276</v>
          </cell>
          <cell r="G218" t="str">
            <v>Stone and cement mortar masonry</v>
          </cell>
          <cell r="H218">
            <v>2.31</v>
          </cell>
          <cell r="I218">
            <v>1.88</v>
          </cell>
          <cell r="J218" t="str">
            <v>Stone and Mud Mortar Masonary</v>
          </cell>
          <cell r="K218">
            <v>88.44</v>
          </cell>
          <cell r="L218">
            <v>91.38</v>
          </cell>
          <cell r="M218" t="str">
            <v>Brick and Cement Mortar Masonary</v>
          </cell>
          <cell r="N218">
            <v>5.19</v>
          </cell>
          <cell r="O218">
            <v>2.92</v>
          </cell>
          <cell r="P218" t="str">
            <v>Brick and mud mortar Masonry</v>
          </cell>
          <cell r="Q218">
            <v>0.11</v>
          </cell>
          <cell r="R218">
            <v>7.0000000000000007E-2</v>
          </cell>
          <cell r="S218" t="str">
            <v>Reinforced cement concrete (RCC) frame</v>
          </cell>
          <cell r="T218">
            <v>3.43</v>
          </cell>
          <cell r="U218">
            <v>1.85</v>
          </cell>
          <cell r="V218" t="str">
            <v>Hybrid structure</v>
          </cell>
          <cell r="W218">
            <v>0</v>
          </cell>
          <cell r="X218">
            <v>0</v>
          </cell>
          <cell r="Y218" t="str">
            <v>Timber frame structure</v>
          </cell>
          <cell r="Z218">
            <v>0.04</v>
          </cell>
          <cell r="AA218">
            <v>0.06</v>
          </cell>
          <cell r="AB218" t="str">
            <v>Hollow concrete block Masonry</v>
          </cell>
          <cell r="AC218">
            <v>0</v>
          </cell>
          <cell r="AD218">
            <v>0</v>
          </cell>
          <cell r="AE218" t="str">
            <v>Dry stone Masonry</v>
          </cell>
          <cell r="AF218">
            <v>0.23</v>
          </cell>
          <cell r="AG218">
            <v>0.26</v>
          </cell>
          <cell r="AH218" t="str">
            <v>Adobe structures</v>
          </cell>
          <cell r="AI218">
            <v>0.25</v>
          </cell>
          <cell r="AJ218">
            <v>1.54</v>
          </cell>
          <cell r="AK218" t="str">
            <v>Bamboo</v>
          </cell>
          <cell r="AL218">
            <v>0</v>
          </cell>
          <cell r="AM218">
            <v>0.05</v>
          </cell>
          <cell r="AN218" t="str">
            <v>Compressed stabilized earth block (SCEB) Masonry</v>
          </cell>
          <cell r="AO218">
            <v>0</v>
          </cell>
          <cell r="AP218">
            <v>0</v>
          </cell>
          <cell r="AQ218" t="str">
            <v>Light steel frame structures</v>
          </cell>
          <cell r="AR218">
            <v>0</v>
          </cell>
          <cell r="AS218">
            <v>0</v>
          </cell>
          <cell r="AT218">
            <v>2744</v>
          </cell>
          <cell r="AU218">
            <v>1815</v>
          </cell>
          <cell r="AV218">
            <v>1815</v>
          </cell>
          <cell r="AW218">
            <v>95</v>
          </cell>
          <cell r="AX218">
            <v>0</v>
          </cell>
          <cell r="AY218" t="str">
            <v/>
          </cell>
          <cell r="AZ218" t="str">
            <v/>
          </cell>
          <cell r="BA218">
            <v>111</v>
          </cell>
          <cell r="BB218" t="str">
            <v/>
          </cell>
          <cell r="BC218" t="str">
            <v/>
          </cell>
          <cell r="BD218" t="str">
            <v/>
          </cell>
          <cell r="BE218" t="str">
            <v/>
          </cell>
          <cell r="BF218" t="str">
            <v/>
          </cell>
          <cell r="BG218" t="str">
            <v/>
          </cell>
          <cell r="BH218" t="str">
            <v/>
          </cell>
          <cell r="BI218" t="str">
            <v/>
          </cell>
          <cell r="BJ218" t="str">
            <v/>
          </cell>
          <cell r="BK218">
            <v>56995</v>
          </cell>
          <cell r="BL218" t="str">
            <v/>
          </cell>
          <cell r="BM218" t="str">
            <v/>
          </cell>
          <cell r="BN218">
            <v>52585</v>
          </cell>
          <cell r="BO218" t="str">
            <v/>
          </cell>
          <cell r="BP218" t="str">
            <v/>
          </cell>
          <cell r="BQ218">
            <v>6032</v>
          </cell>
          <cell r="BR218" t="str">
            <v/>
          </cell>
          <cell r="BS218" t="str">
            <v/>
          </cell>
          <cell r="BT218">
            <v>6763</v>
          </cell>
          <cell r="BU218" t="str">
            <v/>
          </cell>
          <cell r="BV218" t="str">
            <v/>
          </cell>
          <cell r="BW218" t="str">
            <v/>
          </cell>
          <cell r="BX218" t="str">
            <v/>
          </cell>
          <cell r="BY218" t="str">
            <v/>
          </cell>
          <cell r="BZ218">
            <v>175888</v>
          </cell>
          <cell r="CA218" t="str">
            <v/>
          </cell>
          <cell r="CB218" t="str">
            <v/>
          </cell>
          <cell r="CC218">
            <v>627615</v>
          </cell>
          <cell r="CD218" t="str">
            <v/>
          </cell>
          <cell r="CE218" t="str">
            <v/>
          </cell>
          <cell r="CF218">
            <v>7184</v>
          </cell>
          <cell r="CG218" t="str">
            <v/>
          </cell>
          <cell r="CH218" t="str">
            <v/>
          </cell>
          <cell r="CI218">
            <v>1101003</v>
          </cell>
          <cell r="CJ218" t="str">
            <v/>
          </cell>
          <cell r="CK218" t="str">
            <v/>
          </cell>
          <cell r="CL218" t="str">
            <v>Skilled</v>
          </cell>
          <cell r="CM218" t="str">
            <v/>
          </cell>
          <cell r="CN218" t="str">
            <v>Labor</v>
          </cell>
          <cell r="CO218" t="str">
            <v/>
          </cell>
          <cell r="CP218" t="str">
            <v/>
          </cell>
          <cell r="CQ218" t="str">
            <v/>
          </cell>
          <cell r="CR218" t="str">
            <v/>
          </cell>
          <cell r="CS218" t="str">
            <v/>
          </cell>
          <cell r="CT218" t="str">
            <v/>
          </cell>
          <cell r="CU218" t="str">
            <v/>
          </cell>
          <cell r="CV218" t="str">
            <v>Municipal Office</v>
          </cell>
          <cell r="CW218" t="str">
            <v/>
          </cell>
          <cell r="CX218" t="str">
            <v>Mayor</v>
          </cell>
          <cell r="CY218" t="str">
            <v/>
          </cell>
          <cell r="CZ218" t="str">
            <v>Municipal Office</v>
          </cell>
          <cell r="DA218" t="str">
            <v/>
          </cell>
          <cell r="DB218" t="str">
            <v>Deputy Mayor</v>
          </cell>
          <cell r="DC218" t="str">
            <v/>
          </cell>
          <cell r="DD218" t="str">
            <v>Municipal Office</v>
          </cell>
          <cell r="DE218" t="str">
            <v/>
          </cell>
          <cell r="DF218" t="str">
            <v>Chief Adminstration Officer</v>
          </cell>
          <cell r="DG218" t="str">
            <v/>
          </cell>
          <cell r="DH218" t="str">
            <v>NRA/GMALI</v>
          </cell>
          <cell r="DI218" t="str">
            <v>Narayan Prasad Baral</v>
          </cell>
          <cell r="DJ218" t="str">
            <v>NRA Chief-District</v>
          </cell>
          <cell r="DK218">
            <v>9846027721</v>
          </cell>
          <cell r="DL218" t="str">
            <v>DLPIU-Building</v>
          </cell>
          <cell r="DM218" t="str">
            <v/>
          </cell>
          <cell r="DN218" t="str">
            <v>DUDBC.DLPIU Chief</v>
          </cell>
          <cell r="DO218" t="str">
            <v/>
          </cell>
          <cell r="DP218" t="str">
            <v>Municipal Office</v>
          </cell>
          <cell r="DQ218" t="str">
            <v>Rabindra Ojha</v>
          </cell>
          <cell r="DR218" t="str">
            <v>Focal Person</v>
          </cell>
          <cell r="DS218">
            <v>9851166784</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v>0</v>
          </cell>
          <cell r="EK218">
            <v>0</v>
          </cell>
          <cell r="EL218">
            <v>0</v>
          </cell>
          <cell r="EM218">
            <v>0</v>
          </cell>
          <cell r="EN218">
            <v>0</v>
          </cell>
          <cell r="EO218">
            <v>0</v>
          </cell>
          <cell r="EP218" t="str">
            <v/>
          </cell>
          <cell r="EQ218" t="str">
            <v>Housing Recovery and Reconstruction Platform</v>
          </cell>
          <cell r="ER218" t="str">
            <v/>
          </cell>
          <cell r="ES218" t="str">
            <v>District Coordinator</v>
          </cell>
          <cell r="ET218" t="str">
            <v/>
          </cell>
          <cell r="EU218" t="str">
            <v>Housing Recovery and Reconstruction Platform</v>
          </cell>
          <cell r="EV218" t="str">
            <v/>
          </cell>
          <cell r="EW218" t="str">
            <v>DIstrict Information Management Officer</v>
          </cell>
          <cell r="EX218" t="str">
            <v/>
          </cell>
          <cell r="EY218" t="str">
            <v>Housing Recovery and Reconstruction Platform</v>
          </cell>
          <cell r="EZ218" t="str">
            <v/>
          </cell>
          <cell r="FA218" t="str">
            <v>District Technical Officer</v>
          </cell>
          <cell r="FB218" t="str">
            <v/>
          </cell>
        </row>
        <row r="219">
          <cell r="A219">
            <v>40005</v>
          </cell>
          <cell r="B219" t="str">
            <v>Kaski</v>
          </cell>
          <cell r="C219" t="str">
            <v>Rupa Gaunpalika</v>
          </cell>
          <cell r="D219">
            <v>707</v>
          </cell>
          <cell r="E219">
            <v>1347</v>
          </cell>
          <cell r="F219">
            <v>2054</v>
          </cell>
          <cell r="G219" t="str">
            <v>Stone and cement mortar masonry</v>
          </cell>
          <cell r="H219">
            <v>3.21</v>
          </cell>
          <cell r="I219">
            <v>1.88</v>
          </cell>
          <cell r="J219" t="str">
            <v>Stone and Mud Mortar Masonary</v>
          </cell>
          <cell r="K219">
            <v>87.24</v>
          </cell>
          <cell r="L219">
            <v>91.38</v>
          </cell>
          <cell r="M219" t="str">
            <v>Brick and Cement Mortar Masonary</v>
          </cell>
          <cell r="N219">
            <v>0.83</v>
          </cell>
          <cell r="O219">
            <v>2.92</v>
          </cell>
          <cell r="P219" t="str">
            <v>Brick and mud mortar Masonry</v>
          </cell>
          <cell r="Q219">
            <v>0.05</v>
          </cell>
          <cell r="R219">
            <v>7.0000000000000007E-2</v>
          </cell>
          <cell r="S219" t="str">
            <v>Reinforced cement concrete (RCC) frame</v>
          </cell>
          <cell r="T219">
            <v>0.73</v>
          </cell>
          <cell r="U219">
            <v>1.85</v>
          </cell>
          <cell r="V219" t="str">
            <v>Hybrid structure</v>
          </cell>
          <cell r="W219">
            <v>0</v>
          </cell>
          <cell r="X219">
            <v>0</v>
          </cell>
          <cell r="Y219" t="str">
            <v>Timber frame structure</v>
          </cell>
          <cell r="Z219">
            <v>0.05</v>
          </cell>
          <cell r="AA219">
            <v>0.06</v>
          </cell>
          <cell r="AB219" t="str">
            <v>Hollow concrete block Masonry</v>
          </cell>
          <cell r="AC219">
            <v>0</v>
          </cell>
          <cell r="AD219">
            <v>0</v>
          </cell>
          <cell r="AE219" t="str">
            <v>Dry stone Masonry</v>
          </cell>
          <cell r="AF219">
            <v>0.34</v>
          </cell>
          <cell r="AG219">
            <v>0.26</v>
          </cell>
          <cell r="AH219" t="str">
            <v>Adobe structures</v>
          </cell>
          <cell r="AI219">
            <v>7.4</v>
          </cell>
          <cell r="AJ219">
            <v>1.54</v>
          </cell>
          <cell r="AK219" t="str">
            <v>Bamboo</v>
          </cell>
          <cell r="AL219">
            <v>0.15</v>
          </cell>
          <cell r="AM219">
            <v>0.05</v>
          </cell>
          <cell r="AN219" t="str">
            <v>Compressed stabilized earth block (SCEB) Masonry</v>
          </cell>
          <cell r="AO219">
            <v>0</v>
          </cell>
          <cell r="AP219">
            <v>0</v>
          </cell>
          <cell r="AQ219" t="str">
            <v>Light steel frame structures</v>
          </cell>
          <cell r="AR219">
            <v>0</v>
          </cell>
          <cell r="AS219">
            <v>0</v>
          </cell>
          <cell r="AT219">
            <v>1269</v>
          </cell>
          <cell r="AU219">
            <v>919</v>
          </cell>
          <cell r="AV219">
            <v>919</v>
          </cell>
          <cell r="AW219">
            <v>136</v>
          </cell>
          <cell r="AX219">
            <v>0</v>
          </cell>
          <cell r="AY219" t="str">
            <v/>
          </cell>
          <cell r="AZ219" t="str">
            <v/>
          </cell>
          <cell r="BA219">
            <v>42</v>
          </cell>
          <cell r="BB219" t="str">
            <v/>
          </cell>
          <cell r="BC219" t="str">
            <v/>
          </cell>
          <cell r="BD219" t="str">
            <v/>
          </cell>
          <cell r="BE219" t="str">
            <v/>
          </cell>
          <cell r="BF219" t="str">
            <v/>
          </cell>
          <cell r="BG219" t="str">
            <v/>
          </cell>
          <cell r="BH219" t="str">
            <v/>
          </cell>
          <cell r="BI219" t="str">
            <v/>
          </cell>
          <cell r="BJ219" t="str">
            <v/>
          </cell>
          <cell r="BK219">
            <v>26540</v>
          </cell>
          <cell r="BL219" t="str">
            <v/>
          </cell>
          <cell r="BM219" t="str">
            <v/>
          </cell>
          <cell r="BN219">
            <v>26674</v>
          </cell>
          <cell r="BO219" t="str">
            <v/>
          </cell>
          <cell r="BP219" t="str">
            <v/>
          </cell>
          <cell r="BQ219">
            <v>2830</v>
          </cell>
          <cell r="BR219" t="str">
            <v/>
          </cell>
          <cell r="BS219" t="str">
            <v/>
          </cell>
          <cell r="BT219">
            <v>3252</v>
          </cell>
          <cell r="BU219" t="str">
            <v/>
          </cell>
          <cell r="BV219" t="str">
            <v/>
          </cell>
          <cell r="BW219" t="str">
            <v/>
          </cell>
          <cell r="BX219" t="str">
            <v/>
          </cell>
          <cell r="BY219" t="str">
            <v/>
          </cell>
          <cell r="BZ219">
            <v>89485</v>
          </cell>
          <cell r="CA219" t="str">
            <v/>
          </cell>
          <cell r="CB219" t="str">
            <v/>
          </cell>
          <cell r="CC219">
            <v>289891</v>
          </cell>
          <cell r="CD219" t="str">
            <v/>
          </cell>
          <cell r="CE219" t="str">
            <v/>
          </cell>
          <cell r="CF219">
            <v>3662</v>
          </cell>
          <cell r="CG219" t="str">
            <v/>
          </cell>
          <cell r="CH219" t="str">
            <v/>
          </cell>
          <cell r="CI219">
            <v>457870</v>
          </cell>
          <cell r="CJ219" t="str">
            <v/>
          </cell>
          <cell r="CK219" t="str">
            <v/>
          </cell>
          <cell r="CL219" t="str">
            <v>Skilled</v>
          </cell>
          <cell r="CM219" t="str">
            <v/>
          </cell>
          <cell r="CN219" t="str">
            <v>Labor</v>
          </cell>
          <cell r="CO219" t="str">
            <v/>
          </cell>
          <cell r="CP219" t="str">
            <v/>
          </cell>
          <cell r="CQ219" t="str">
            <v/>
          </cell>
          <cell r="CR219" t="str">
            <v/>
          </cell>
          <cell r="CS219" t="str">
            <v/>
          </cell>
          <cell r="CT219" t="str">
            <v/>
          </cell>
          <cell r="CU219" t="str">
            <v/>
          </cell>
          <cell r="CV219" t="str">
            <v>Municipal Office</v>
          </cell>
          <cell r="CW219" t="str">
            <v/>
          </cell>
          <cell r="CX219" t="str">
            <v>Chairman</v>
          </cell>
          <cell r="CY219" t="str">
            <v/>
          </cell>
          <cell r="CZ219" t="str">
            <v>Municipal Office</v>
          </cell>
          <cell r="DA219" t="str">
            <v/>
          </cell>
          <cell r="DB219" t="str">
            <v>Deputy chairman</v>
          </cell>
          <cell r="DC219" t="str">
            <v/>
          </cell>
          <cell r="DD219" t="str">
            <v>Municipal Office</v>
          </cell>
          <cell r="DE219" t="str">
            <v/>
          </cell>
          <cell r="DF219" t="str">
            <v>Chief Adminstration Officer</v>
          </cell>
          <cell r="DG219" t="str">
            <v/>
          </cell>
          <cell r="DH219" t="str">
            <v>NRA/GMALI</v>
          </cell>
          <cell r="DI219" t="str">
            <v>Narayan Prasad Baral</v>
          </cell>
          <cell r="DJ219" t="str">
            <v>NRA Chief-District</v>
          </cell>
          <cell r="DK219">
            <v>9846027721</v>
          </cell>
          <cell r="DL219" t="str">
            <v>DLPIU-Building</v>
          </cell>
          <cell r="DM219" t="str">
            <v/>
          </cell>
          <cell r="DN219" t="str">
            <v>DUDBC.DLPIU Chief</v>
          </cell>
          <cell r="DO219" t="str">
            <v/>
          </cell>
          <cell r="DP219" t="str">
            <v>Municipal Office</v>
          </cell>
          <cell r="DQ219" t="str">
            <v>Pukar Regmi</v>
          </cell>
          <cell r="DR219" t="str">
            <v>Focal Person</v>
          </cell>
          <cell r="DS219">
            <v>9856050367</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v>0</v>
          </cell>
          <cell r="EK219">
            <v>0</v>
          </cell>
          <cell r="EL219">
            <v>0</v>
          </cell>
          <cell r="EM219">
            <v>0</v>
          </cell>
          <cell r="EN219">
            <v>0</v>
          </cell>
          <cell r="EO219">
            <v>0</v>
          </cell>
          <cell r="EP219" t="str">
            <v/>
          </cell>
          <cell r="EQ219" t="str">
            <v>Housing Recovery and Reconstruction Platform</v>
          </cell>
          <cell r="ER219" t="str">
            <v/>
          </cell>
          <cell r="ES219" t="str">
            <v>District Coordinator</v>
          </cell>
          <cell r="ET219" t="str">
            <v/>
          </cell>
          <cell r="EU219" t="str">
            <v>Housing Recovery and Reconstruction Platform</v>
          </cell>
          <cell r="EV219" t="str">
            <v/>
          </cell>
          <cell r="EW219" t="str">
            <v>DIstrict Information Management Officer</v>
          </cell>
          <cell r="EX219" t="str">
            <v/>
          </cell>
          <cell r="EY219" t="str">
            <v>Housing Recovery and Reconstruction Platform</v>
          </cell>
          <cell r="EZ219" t="str">
            <v/>
          </cell>
          <cell r="FA219" t="str">
            <v>District Technical Officer</v>
          </cell>
          <cell r="FB219" t="str">
            <v/>
          </cell>
        </row>
        <row r="220">
          <cell r="A220">
            <v>43001</v>
          </cell>
          <cell r="B220" t="str">
            <v>Myagdi</v>
          </cell>
          <cell r="C220" t="str">
            <v>Annapurna Gaunpalika</v>
          </cell>
          <cell r="D220">
            <v>83</v>
          </cell>
          <cell r="E220">
            <v>138</v>
          </cell>
          <cell r="F220">
            <v>221</v>
          </cell>
          <cell r="G220" t="str">
            <v>Stone and cement mortar masonry</v>
          </cell>
          <cell r="H220">
            <v>2.71</v>
          </cell>
          <cell r="I220">
            <v>1.63</v>
          </cell>
          <cell r="J220" t="str">
            <v>Stone and Mud Mortar Masonary</v>
          </cell>
          <cell r="K220">
            <v>92.76</v>
          </cell>
          <cell r="L220">
            <v>94.41</v>
          </cell>
          <cell r="M220" t="str">
            <v>Brick and Cement Mortar Masonary</v>
          </cell>
          <cell r="N220">
            <v>0</v>
          </cell>
          <cell r="O220">
            <v>1.27</v>
          </cell>
          <cell r="P220" t="str">
            <v>Brick and mud mortar Masonry</v>
          </cell>
          <cell r="Q220">
            <v>0</v>
          </cell>
          <cell r="R220">
            <v>0.5</v>
          </cell>
          <cell r="S220" t="str">
            <v>Reinforced cement concrete (RCC) frame</v>
          </cell>
          <cell r="T220">
            <v>0</v>
          </cell>
          <cell r="U220">
            <v>0</v>
          </cell>
          <cell r="V220" t="str">
            <v>Hybrid structure</v>
          </cell>
          <cell r="W220">
            <v>0</v>
          </cell>
          <cell r="X220">
            <v>0</v>
          </cell>
          <cell r="Y220" t="str">
            <v>Timber frame structure</v>
          </cell>
          <cell r="Z220">
            <v>0.45</v>
          </cell>
          <cell r="AA220">
            <v>7.0000000000000007E-2</v>
          </cell>
          <cell r="AB220" t="str">
            <v>Hollow concrete block Masonry</v>
          </cell>
          <cell r="AC220">
            <v>0</v>
          </cell>
          <cell r="AD220">
            <v>0</v>
          </cell>
          <cell r="AE220" t="str">
            <v>Dry stone Masonry</v>
          </cell>
          <cell r="AF220">
            <v>4.07</v>
          </cell>
          <cell r="AG220">
            <v>0.99</v>
          </cell>
          <cell r="AH220" t="str">
            <v>Adobe structures</v>
          </cell>
          <cell r="AI220">
            <v>0</v>
          </cell>
          <cell r="AJ220">
            <v>1.1299999999999999</v>
          </cell>
          <cell r="AK220" t="str">
            <v>Bamboo</v>
          </cell>
          <cell r="AL220">
            <v>0</v>
          </cell>
          <cell r="AM220">
            <v>0</v>
          </cell>
          <cell r="AN220" t="str">
            <v>Compressed stabilized earth block (SCEB) Masonry</v>
          </cell>
          <cell r="AO220">
            <v>0</v>
          </cell>
          <cell r="AP220">
            <v>0</v>
          </cell>
          <cell r="AQ220" t="str">
            <v>Light steel frame structures</v>
          </cell>
          <cell r="AR220">
            <v>0</v>
          </cell>
          <cell r="AS220">
            <v>0</v>
          </cell>
          <cell r="AT220">
            <v>114</v>
          </cell>
          <cell r="AU220">
            <v>40</v>
          </cell>
          <cell r="AV220">
            <v>40</v>
          </cell>
          <cell r="AW220">
            <v>5</v>
          </cell>
          <cell r="AX220">
            <v>0</v>
          </cell>
          <cell r="AY220" t="str">
            <v/>
          </cell>
          <cell r="AZ220" t="str">
            <v/>
          </cell>
          <cell r="BA220">
            <v>7</v>
          </cell>
          <cell r="BB220" t="str">
            <v/>
          </cell>
          <cell r="BC220" t="str">
            <v/>
          </cell>
          <cell r="BD220" t="str">
            <v/>
          </cell>
          <cell r="BE220" t="str">
            <v/>
          </cell>
          <cell r="BF220" t="str">
            <v/>
          </cell>
          <cell r="BG220" t="str">
            <v/>
          </cell>
          <cell r="BH220" t="str">
            <v/>
          </cell>
          <cell r="BI220" t="str">
            <v/>
          </cell>
          <cell r="BJ220" t="str">
            <v/>
          </cell>
          <cell r="BK220">
            <v>1194</v>
          </cell>
          <cell r="BL220" t="str">
            <v/>
          </cell>
          <cell r="BM220" t="str">
            <v/>
          </cell>
          <cell r="BN220">
            <v>1179</v>
          </cell>
          <cell r="BO220" t="str">
            <v/>
          </cell>
          <cell r="BP220" t="str">
            <v/>
          </cell>
          <cell r="BQ220">
            <v>127</v>
          </cell>
          <cell r="BR220" t="str">
            <v/>
          </cell>
          <cell r="BS220" t="str">
            <v/>
          </cell>
          <cell r="BT220">
            <v>145</v>
          </cell>
          <cell r="BU220" t="str">
            <v/>
          </cell>
          <cell r="BV220" t="str">
            <v/>
          </cell>
          <cell r="BW220" t="str">
            <v/>
          </cell>
          <cell r="BX220" t="str">
            <v/>
          </cell>
          <cell r="BY220" t="str">
            <v/>
          </cell>
          <cell r="BZ220">
            <v>3867</v>
          </cell>
          <cell r="CA220" t="str">
            <v/>
          </cell>
          <cell r="CB220" t="str">
            <v/>
          </cell>
          <cell r="CC220">
            <v>12957</v>
          </cell>
          <cell r="CD220" t="str">
            <v/>
          </cell>
          <cell r="CE220" t="str">
            <v/>
          </cell>
          <cell r="CF220">
            <v>158</v>
          </cell>
          <cell r="CG220" t="str">
            <v/>
          </cell>
          <cell r="CH220" t="str">
            <v/>
          </cell>
          <cell r="CI220">
            <v>8125</v>
          </cell>
          <cell r="CJ220" t="str">
            <v/>
          </cell>
          <cell r="CK220" t="str">
            <v/>
          </cell>
          <cell r="CL220" t="str">
            <v>Skilled</v>
          </cell>
          <cell r="CM220" t="str">
            <v/>
          </cell>
          <cell r="CN220" t="str">
            <v>Labor</v>
          </cell>
          <cell r="CO220" t="str">
            <v/>
          </cell>
          <cell r="CP220" t="str">
            <v/>
          </cell>
          <cell r="CQ220" t="str">
            <v/>
          </cell>
          <cell r="CR220" t="str">
            <v/>
          </cell>
          <cell r="CS220" t="str">
            <v/>
          </cell>
          <cell r="CT220" t="str">
            <v/>
          </cell>
          <cell r="CU220" t="str">
            <v/>
          </cell>
          <cell r="CV220" t="str">
            <v>Municipal Office</v>
          </cell>
          <cell r="CW220" t="str">
            <v/>
          </cell>
          <cell r="CX220" t="str">
            <v>Chairman</v>
          </cell>
          <cell r="CY220" t="str">
            <v/>
          </cell>
          <cell r="CZ220" t="str">
            <v>Municipal Office</v>
          </cell>
          <cell r="DA220" t="str">
            <v/>
          </cell>
          <cell r="DB220" t="str">
            <v>Deputy Chairman</v>
          </cell>
          <cell r="DC220" t="str">
            <v/>
          </cell>
          <cell r="DD220" t="str">
            <v>Municipal Office</v>
          </cell>
          <cell r="DE220" t="str">
            <v/>
          </cell>
          <cell r="DF220" t="str">
            <v>Chief Adminstration Officer</v>
          </cell>
          <cell r="DG220" t="str">
            <v/>
          </cell>
          <cell r="DH220" t="str">
            <v>NRA/GMALI</v>
          </cell>
          <cell r="DI220" t="str">
            <v/>
          </cell>
          <cell r="DJ220" t="str">
            <v>NRA Chief-District</v>
          </cell>
          <cell r="DK220" t="str">
            <v/>
          </cell>
          <cell r="DL220" t="str">
            <v>DLPIU-Building</v>
          </cell>
          <cell r="DM220" t="str">
            <v/>
          </cell>
          <cell r="DN220" t="str">
            <v>DUDBC.DLPIU Chief</v>
          </cell>
          <cell r="DO220" t="str">
            <v/>
          </cell>
          <cell r="DP220" t="str">
            <v>Municipal Office</v>
          </cell>
          <cell r="DQ220" t="str">
            <v/>
          </cell>
          <cell r="DR220" t="str">
            <v>Focal Person</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v>0</v>
          </cell>
          <cell r="EK220">
            <v>0</v>
          </cell>
          <cell r="EL220">
            <v>0</v>
          </cell>
          <cell r="EM220">
            <v>0</v>
          </cell>
          <cell r="EN220">
            <v>0</v>
          </cell>
          <cell r="EO220">
            <v>0</v>
          </cell>
          <cell r="EP220" t="str">
            <v/>
          </cell>
          <cell r="EQ220" t="str">
            <v>Housing Recovery and Reconstruction Platform</v>
          </cell>
          <cell r="ER220" t="str">
            <v/>
          </cell>
          <cell r="ES220" t="str">
            <v>District Coordinator</v>
          </cell>
          <cell r="ET220" t="str">
            <v/>
          </cell>
          <cell r="EU220" t="str">
            <v>Housing Recovery and Reconstruction Platform</v>
          </cell>
          <cell r="EV220" t="str">
            <v/>
          </cell>
          <cell r="EW220" t="str">
            <v>DIstrict Information Management Officer</v>
          </cell>
          <cell r="EX220" t="str">
            <v/>
          </cell>
          <cell r="EY220" t="str">
            <v>Housing Recovery and Reconstruction Platform</v>
          </cell>
          <cell r="EZ220" t="str">
            <v/>
          </cell>
          <cell r="FA220" t="str">
            <v>District Technical Officer</v>
          </cell>
          <cell r="FB220" t="str">
            <v/>
          </cell>
        </row>
        <row r="221">
          <cell r="A221">
            <v>43002</v>
          </cell>
          <cell r="B221" t="str">
            <v>Myagdi</v>
          </cell>
          <cell r="C221" t="str">
            <v>Beni Nagarpalika</v>
          </cell>
          <cell r="D221">
            <v>47</v>
          </cell>
          <cell r="E221">
            <v>438</v>
          </cell>
          <cell r="F221">
            <v>485</v>
          </cell>
          <cell r="G221" t="str">
            <v>Stone and cement mortar masonry</v>
          </cell>
          <cell r="H221">
            <v>1.24</v>
          </cell>
          <cell r="I221">
            <v>1.63</v>
          </cell>
          <cell r="J221" t="str">
            <v>Stone and Mud Mortar Masonary</v>
          </cell>
          <cell r="K221">
            <v>90.72</v>
          </cell>
          <cell r="L221">
            <v>94.41</v>
          </cell>
          <cell r="M221" t="str">
            <v>Brick and Cement Mortar Masonary</v>
          </cell>
          <cell r="N221">
            <v>3.3</v>
          </cell>
          <cell r="O221">
            <v>1.27</v>
          </cell>
          <cell r="P221" t="str">
            <v>Brick and mud mortar Masonry</v>
          </cell>
          <cell r="Q221">
            <v>1.44</v>
          </cell>
          <cell r="R221">
            <v>0.5</v>
          </cell>
          <cell r="S221" t="str">
            <v>Reinforced cement concrete (RCC) frame</v>
          </cell>
          <cell r="T221">
            <v>0</v>
          </cell>
          <cell r="U221">
            <v>0</v>
          </cell>
          <cell r="V221" t="str">
            <v>Hybrid structure</v>
          </cell>
          <cell r="W221">
            <v>0</v>
          </cell>
          <cell r="X221">
            <v>0</v>
          </cell>
          <cell r="Y221" t="str">
            <v>Timber frame structure</v>
          </cell>
          <cell r="Z221">
            <v>0</v>
          </cell>
          <cell r="AA221">
            <v>7.0000000000000007E-2</v>
          </cell>
          <cell r="AB221" t="str">
            <v>Hollow concrete block Masonry</v>
          </cell>
          <cell r="AC221">
            <v>0</v>
          </cell>
          <cell r="AD221">
            <v>0</v>
          </cell>
          <cell r="AE221" t="str">
            <v>Dry stone Masonry</v>
          </cell>
          <cell r="AF221">
            <v>0</v>
          </cell>
          <cell r="AG221">
            <v>0.99</v>
          </cell>
          <cell r="AH221" t="str">
            <v>Adobe structures</v>
          </cell>
          <cell r="AI221">
            <v>3.3</v>
          </cell>
          <cell r="AJ221">
            <v>1.1299999999999999</v>
          </cell>
          <cell r="AK221" t="str">
            <v>Bamboo</v>
          </cell>
          <cell r="AL221">
            <v>0</v>
          </cell>
          <cell r="AM221">
            <v>0</v>
          </cell>
          <cell r="AN221" t="str">
            <v>Compressed stabilized earth block (SCEB) Masonry</v>
          </cell>
          <cell r="AO221">
            <v>0</v>
          </cell>
          <cell r="AP221">
            <v>0</v>
          </cell>
          <cell r="AQ221" t="str">
            <v>Light steel frame structures</v>
          </cell>
          <cell r="AR221">
            <v>0</v>
          </cell>
          <cell r="AS221">
            <v>0</v>
          </cell>
          <cell r="AT221">
            <v>417</v>
          </cell>
          <cell r="AU221">
            <v>145</v>
          </cell>
          <cell r="AV221">
            <v>145</v>
          </cell>
          <cell r="AW221">
            <v>85</v>
          </cell>
          <cell r="AX221">
            <v>0</v>
          </cell>
          <cell r="AY221" t="str">
            <v/>
          </cell>
          <cell r="AZ221" t="str">
            <v/>
          </cell>
          <cell r="BA221">
            <v>0</v>
          </cell>
          <cell r="BB221" t="str">
            <v/>
          </cell>
          <cell r="BC221" t="str">
            <v/>
          </cell>
          <cell r="BD221" t="str">
            <v/>
          </cell>
          <cell r="BE221" t="str">
            <v/>
          </cell>
          <cell r="BF221" t="str">
            <v/>
          </cell>
          <cell r="BG221" t="str">
            <v/>
          </cell>
          <cell r="BH221" t="str">
            <v/>
          </cell>
          <cell r="BI221" t="str">
            <v/>
          </cell>
          <cell r="BJ221" t="str">
            <v/>
          </cell>
          <cell r="BK221">
            <v>4400</v>
          </cell>
          <cell r="BL221" t="str">
            <v/>
          </cell>
          <cell r="BM221" t="str">
            <v/>
          </cell>
          <cell r="BN221">
            <v>4129</v>
          </cell>
          <cell r="BO221" t="str">
            <v/>
          </cell>
          <cell r="BP221" t="str">
            <v/>
          </cell>
          <cell r="BQ221">
            <v>467</v>
          </cell>
          <cell r="BR221" t="str">
            <v/>
          </cell>
          <cell r="BS221" t="str">
            <v/>
          </cell>
          <cell r="BT221">
            <v>527</v>
          </cell>
          <cell r="BU221" t="str">
            <v/>
          </cell>
          <cell r="BV221" t="str">
            <v/>
          </cell>
          <cell r="BW221" t="str">
            <v/>
          </cell>
          <cell r="BX221" t="str">
            <v/>
          </cell>
          <cell r="BY221" t="str">
            <v/>
          </cell>
          <cell r="BZ221">
            <v>14062</v>
          </cell>
          <cell r="CA221" t="str">
            <v/>
          </cell>
          <cell r="CB221" t="str">
            <v/>
          </cell>
          <cell r="CC221">
            <v>48697</v>
          </cell>
          <cell r="CD221" t="str">
            <v/>
          </cell>
          <cell r="CE221" t="str">
            <v/>
          </cell>
          <cell r="CF221">
            <v>576</v>
          </cell>
          <cell r="CG221" t="str">
            <v/>
          </cell>
          <cell r="CH221" t="str">
            <v/>
          </cell>
          <cell r="CI221">
            <v>120377</v>
          </cell>
          <cell r="CJ221" t="str">
            <v/>
          </cell>
          <cell r="CK221" t="str">
            <v/>
          </cell>
          <cell r="CL221" t="str">
            <v>Skilled</v>
          </cell>
          <cell r="CM221" t="str">
            <v/>
          </cell>
          <cell r="CN221" t="str">
            <v>Labor</v>
          </cell>
          <cell r="CO221" t="str">
            <v/>
          </cell>
          <cell r="CP221" t="str">
            <v/>
          </cell>
          <cell r="CQ221" t="str">
            <v/>
          </cell>
          <cell r="CR221" t="str">
            <v/>
          </cell>
          <cell r="CS221" t="str">
            <v/>
          </cell>
          <cell r="CT221" t="str">
            <v/>
          </cell>
          <cell r="CU221" t="str">
            <v/>
          </cell>
          <cell r="CV221" t="str">
            <v>Municipal Office</v>
          </cell>
          <cell r="CW221" t="str">
            <v/>
          </cell>
          <cell r="CX221" t="str">
            <v>Mayor</v>
          </cell>
          <cell r="CY221" t="str">
            <v/>
          </cell>
          <cell r="CZ221" t="str">
            <v>Municipal Office</v>
          </cell>
          <cell r="DA221" t="str">
            <v/>
          </cell>
          <cell r="DB221" t="str">
            <v>Deputy Mayor</v>
          </cell>
          <cell r="DC221" t="str">
            <v/>
          </cell>
          <cell r="DD221" t="str">
            <v>Municipal Office</v>
          </cell>
          <cell r="DE221" t="str">
            <v/>
          </cell>
          <cell r="DF221" t="str">
            <v>Chief Adminstration Officer</v>
          </cell>
          <cell r="DG221" t="str">
            <v/>
          </cell>
          <cell r="DH221" t="str">
            <v>NRA/GMALI</v>
          </cell>
          <cell r="DI221" t="str">
            <v/>
          </cell>
          <cell r="DJ221" t="str">
            <v>NRA Chief-District</v>
          </cell>
          <cell r="DK221" t="str">
            <v/>
          </cell>
          <cell r="DL221" t="str">
            <v>DLPIU-Building</v>
          </cell>
          <cell r="DM221" t="str">
            <v/>
          </cell>
          <cell r="DN221" t="str">
            <v>DUDBC.DLPIU Chief</v>
          </cell>
          <cell r="DO221" t="str">
            <v/>
          </cell>
          <cell r="DP221" t="str">
            <v>Municipal Office</v>
          </cell>
          <cell r="DQ221" t="str">
            <v/>
          </cell>
          <cell r="DR221" t="str">
            <v>Focal Person</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v>0</v>
          </cell>
          <cell r="EK221">
            <v>0</v>
          </cell>
          <cell r="EL221">
            <v>0</v>
          </cell>
          <cell r="EM221">
            <v>0</v>
          </cell>
          <cell r="EN221">
            <v>0</v>
          </cell>
          <cell r="EO221">
            <v>0</v>
          </cell>
          <cell r="EP221" t="str">
            <v/>
          </cell>
          <cell r="EQ221" t="str">
            <v>Housing Recovery and Reconstruction Platform</v>
          </cell>
          <cell r="ER221" t="str">
            <v/>
          </cell>
          <cell r="ES221" t="str">
            <v>District Coordinator</v>
          </cell>
          <cell r="ET221" t="str">
            <v/>
          </cell>
          <cell r="EU221" t="str">
            <v>Housing Recovery and Reconstruction Platform</v>
          </cell>
          <cell r="EV221" t="str">
            <v/>
          </cell>
          <cell r="EW221" t="str">
            <v>DIstrict Information Management Officer</v>
          </cell>
          <cell r="EX221" t="str">
            <v/>
          </cell>
          <cell r="EY221" t="str">
            <v>Housing Recovery and Reconstruction Platform</v>
          </cell>
          <cell r="EZ221" t="str">
            <v/>
          </cell>
          <cell r="FA221" t="str">
            <v>District Technical Officer</v>
          </cell>
          <cell r="FB221" t="str">
            <v/>
          </cell>
        </row>
        <row r="222">
          <cell r="A222">
            <v>43003</v>
          </cell>
          <cell r="B222" t="str">
            <v>Myagdi</v>
          </cell>
          <cell r="C222" t="str">
            <v>Dhaulagiri Gaunpalika</v>
          </cell>
          <cell r="D222">
            <v>38</v>
          </cell>
          <cell r="E222">
            <v>30</v>
          </cell>
          <cell r="F222">
            <v>68</v>
          </cell>
          <cell r="G222" t="str">
            <v>Stone and cement mortar masonry</v>
          </cell>
          <cell r="H222">
            <v>2.94</v>
          </cell>
          <cell r="I222">
            <v>1.63</v>
          </cell>
          <cell r="J222" t="str">
            <v>Stone and Mud Mortar Masonary</v>
          </cell>
          <cell r="K222">
            <v>95.59</v>
          </cell>
          <cell r="L222">
            <v>94.41</v>
          </cell>
          <cell r="M222" t="str">
            <v>Brick and Cement Mortar Masonary</v>
          </cell>
          <cell r="N222">
            <v>1.47</v>
          </cell>
          <cell r="O222">
            <v>1.27</v>
          </cell>
          <cell r="P222" t="str">
            <v>Brick and mud mortar Masonry</v>
          </cell>
          <cell r="Q222">
            <v>0</v>
          </cell>
          <cell r="R222">
            <v>0.5</v>
          </cell>
          <cell r="S222" t="str">
            <v>Reinforced cement concrete (RCC) frame</v>
          </cell>
          <cell r="T222">
            <v>0</v>
          </cell>
          <cell r="U222">
            <v>0</v>
          </cell>
          <cell r="V222" t="str">
            <v>Hybrid structure</v>
          </cell>
          <cell r="W222">
            <v>0</v>
          </cell>
          <cell r="X222">
            <v>0</v>
          </cell>
          <cell r="Y222" t="str">
            <v>Timber frame structure</v>
          </cell>
          <cell r="Z222">
            <v>0</v>
          </cell>
          <cell r="AA222">
            <v>7.0000000000000007E-2</v>
          </cell>
          <cell r="AB222" t="str">
            <v>Hollow concrete block Masonry</v>
          </cell>
          <cell r="AC222">
            <v>0</v>
          </cell>
          <cell r="AD222">
            <v>0</v>
          </cell>
          <cell r="AE222" t="str">
            <v>Dry stone Masonry</v>
          </cell>
          <cell r="AF222">
            <v>0</v>
          </cell>
          <cell r="AG222">
            <v>0.99</v>
          </cell>
          <cell r="AH222" t="str">
            <v>Adobe structures</v>
          </cell>
          <cell r="AI222">
            <v>0</v>
          </cell>
          <cell r="AJ222">
            <v>1.1299999999999999</v>
          </cell>
          <cell r="AK222" t="str">
            <v>Bamboo</v>
          </cell>
          <cell r="AL222">
            <v>0</v>
          </cell>
          <cell r="AM222">
            <v>0</v>
          </cell>
          <cell r="AN222" t="str">
            <v>Compressed stabilized earth block (SCEB) Masonry</v>
          </cell>
          <cell r="AO222">
            <v>0</v>
          </cell>
          <cell r="AP222">
            <v>0</v>
          </cell>
          <cell r="AQ222" t="str">
            <v>Light steel frame structures</v>
          </cell>
          <cell r="AR222">
            <v>0</v>
          </cell>
          <cell r="AS222">
            <v>0</v>
          </cell>
          <cell r="AT222">
            <v>30</v>
          </cell>
          <cell r="AU222">
            <v>9</v>
          </cell>
          <cell r="AV222">
            <v>9</v>
          </cell>
          <cell r="AW222">
            <v>6</v>
          </cell>
          <cell r="AX222">
            <v>0</v>
          </cell>
          <cell r="AY222" t="str">
            <v/>
          </cell>
          <cell r="AZ222" t="str">
            <v/>
          </cell>
          <cell r="BA222">
            <v>0</v>
          </cell>
          <cell r="BB222" t="str">
            <v/>
          </cell>
          <cell r="BC222" t="str">
            <v/>
          </cell>
          <cell r="BD222" t="str">
            <v/>
          </cell>
          <cell r="BE222" t="str">
            <v/>
          </cell>
          <cell r="BF222" t="str">
            <v/>
          </cell>
          <cell r="BG222" t="str">
            <v/>
          </cell>
          <cell r="BH222" t="str">
            <v/>
          </cell>
          <cell r="BI222" t="str">
            <v/>
          </cell>
          <cell r="BJ222" t="str">
            <v/>
          </cell>
          <cell r="BK222">
            <v>259</v>
          </cell>
          <cell r="BL222" t="str">
            <v/>
          </cell>
          <cell r="BM222" t="str">
            <v/>
          </cell>
          <cell r="BN222">
            <v>263</v>
          </cell>
          <cell r="BO222" t="str">
            <v/>
          </cell>
          <cell r="BP222" t="str">
            <v/>
          </cell>
          <cell r="BQ222">
            <v>28</v>
          </cell>
          <cell r="BR222" t="str">
            <v/>
          </cell>
          <cell r="BS222" t="str">
            <v/>
          </cell>
          <cell r="BT222">
            <v>32</v>
          </cell>
          <cell r="BU222" t="str">
            <v/>
          </cell>
          <cell r="BV222" t="str">
            <v/>
          </cell>
          <cell r="BW222" t="str">
            <v/>
          </cell>
          <cell r="BX222" t="str">
            <v/>
          </cell>
          <cell r="BY222" t="str">
            <v/>
          </cell>
          <cell r="BZ222">
            <v>880</v>
          </cell>
          <cell r="CA222" t="str">
            <v/>
          </cell>
          <cell r="CB222" t="str">
            <v/>
          </cell>
          <cell r="CC222">
            <v>2820</v>
          </cell>
          <cell r="CD222" t="str">
            <v/>
          </cell>
          <cell r="CE222" t="str">
            <v/>
          </cell>
          <cell r="CF222">
            <v>36</v>
          </cell>
          <cell r="CG222" t="str">
            <v/>
          </cell>
          <cell r="CH222" t="str">
            <v/>
          </cell>
          <cell r="CI222">
            <v>4194</v>
          </cell>
          <cell r="CJ222" t="str">
            <v/>
          </cell>
          <cell r="CK222" t="str">
            <v/>
          </cell>
          <cell r="CL222" t="str">
            <v>Skilled</v>
          </cell>
          <cell r="CM222" t="str">
            <v/>
          </cell>
          <cell r="CN222" t="str">
            <v>Labor</v>
          </cell>
          <cell r="CO222" t="str">
            <v/>
          </cell>
          <cell r="CP222" t="str">
            <v/>
          </cell>
          <cell r="CQ222" t="str">
            <v/>
          </cell>
          <cell r="CR222" t="str">
            <v/>
          </cell>
          <cell r="CS222" t="str">
            <v/>
          </cell>
          <cell r="CT222" t="str">
            <v/>
          </cell>
          <cell r="CU222" t="str">
            <v/>
          </cell>
          <cell r="CV222" t="str">
            <v>Municipal Office</v>
          </cell>
          <cell r="CW222" t="str">
            <v/>
          </cell>
          <cell r="CX222" t="str">
            <v>Chairman</v>
          </cell>
          <cell r="CY222" t="str">
            <v/>
          </cell>
          <cell r="CZ222" t="str">
            <v>Municipal Office</v>
          </cell>
          <cell r="DA222" t="str">
            <v/>
          </cell>
          <cell r="DB222" t="str">
            <v>Deputy Chairman</v>
          </cell>
          <cell r="DC222" t="str">
            <v/>
          </cell>
          <cell r="DD222" t="str">
            <v>Municipal Office</v>
          </cell>
          <cell r="DE222" t="str">
            <v/>
          </cell>
          <cell r="DF222" t="str">
            <v>Chief Adminstration Officer</v>
          </cell>
          <cell r="DG222" t="str">
            <v/>
          </cell>
          <cell r="DH222" t="str">
            <v>NRA/GMALI</v>
          </cell>
          <cell r="DI222" t="str">
            <v/>
          </cell>
          <cell r="DJ222" t="str">
            <v>NRA Chief-District</v>
          </cell>
          <cell r="DK222" t="str">
            <v/>
          </cell>
          <cell r="DL222" t="str">
            <v>DLPIU-Building</v>
          </cell>
          <cell r="DM222" t="str">
            <v/>
          </cell>
          <cell r="DN222" t="str">
            <v>DUDBC.DLPIU Chief</v>
          </cell>
          <cell r="DO222" t="str">
            <v/>
          </cell>
          <cell r="DP222" t="str">
            <v>Municipal Office</v>
          </cell>
          <cell r="DQ222" t="str">
            <v/>
          </cell>
          <cell r="DR222" t="str">
            <v>Focal Person</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v>0</v>
          </cell>
          <cell r="EK222">
            <v>0</v>
          </cell>
          <cell r="EL222">
            <v>0</v>
          </cell>
          <cell r="EM222">
            <v>0</v>
          </cell>
          <cell r="EN222">
            <v>0</v>
          </cell>
          <cell r="EO222">
            <v>0</v>
          </cell>
          <cell r="EP222" t="str">
            <v/>
          </cell>
          <cell r="EQ222" t="str">
            <v>Housing Recovery and Reconstruction Platform</v>
          </cell>
          <cell r="ER222" t="str">
            <v/>
          </cell>
          <cell r="ES222" t="str">
            <v>District Coordinator</v>
          </cell>
          <cell r="ET222" t="str">
            <v/>
          </cell>
          <cell r="EU222" t="str">
            <v>Housing Recovery and Reconstruction Platform</v>
          </cell>
          <cell r="EV222" t="str">
            <v/>
          </cell>
          <cell r="EW222" t="str">
            <v>DIstrict Information Management Officer</v>
          </cell>
          <cell r="EX222" t="str">
            <v/>
          </cell>
          <cell r="EY222" t="str">
            <v>Housing Recovery and Reconstruction Platform</v>
          </cell>
          <cell r="EZ222" t="str">
            <v/>
          </cell>
          <cell r="FA222" t="str">
            <v>District Technical Officer</v>
          </cell>
          <cell r="FB222" t="str">
            <v/>
          </cell>
        </row>
        <row r="223">
          <cell r="A223">
            <v>43004</v>
          </cell>
          <cell r="B223" t="str">
            <v>Myagdi</v>
          </cell>
          <cell r="C223" t="str">
            <v>Malika Gaunpalika</v>
          </cell>
          <cell r="D223">
            <v>62</v>
          </cell>
          <cell r="E223">
            <v>35</v>
          </cell>
          <cell r="F223">
            <v>97</v>
          </cell>
          <cell r="G223" t="str">
            <v>Stone and cement mortar masonry</v>
          </cell>
          <cell r="H223">
            <v>2.06</v>
          </cell>
          <cell r="I223">
            <v>1.63</v>
          </cell>
          <cell r="J223" t="str">
            <v>Stone and Mud Mortar Masonary</v>
          </cell>
          <cell r="K223">
            <v>97.94</v>
          </cell>
          <cell r="L223">
            <v>94.41</v>
          </cell>
          <cell r="M223" t="str">
            <v>Brick and Cement Mortar Masonary</v>
          </cell>
          <cell r="N223">
            <v>0</v>
          </cell>
          <cell r="O223">
            <v>1.27</v>
          </cell>
          <cell r="P223" t="str">
            <v>Brick and mud mortar Masonry</v>
          </cell>
          <cell r="Q223">
            <v>0</v>
          </cell>
          <cell r="R223">
            <v>0.5</v>
          </cell>
          <cell r="S223" t="str">
            <v>Reinforced cement concrete (RCC) frame</v>
          </cell>
          <cell r="T223">
            <v>0</v>
          </cell>
          <cell r="U223">
            <v>0</v>
          </cell>
          <cell r="V223" t="str">
            <v>Hybrid structure</v>
          </cell>
          <cell r="W223">
            <v>0</v>
          </cell>
          <cell r="X223">
            <v>0</v>
          </cell>
          <cell r="Y223" t="str">
            <v>Timber frame structure</v>
          </cell>
          <cell r="Z223">
            <v>0</v>
          </cell>
          <cell r="AA223">
            <v>7.0000000000000007E-2</v>
          </cell>
          <cell r="AB223" t="str">
            <v>Hollow concrete block Masonry</v>
          </cell>
          <cell r="AC223">
            <v>0</v>
          </cell>
          <cell r="AD223">
            <v>0</v>
          </cell>
          <cell r="AE223" t="str">
            <v>Dry stone Masonry</v>
          </cell>
          <cell r="AF223">
            <v>0</v>
          </cell>
          <cell r="AG223">
            <v>0.99</v>
          </cell>
          <cell r="AH223" t="str">
            <v>Adobe structures</v>
          </cell>
          <cell r="AI223">
            <v>0</v>
          </cell>
          <cell r="AJ223">
            <v>1.1299999999999999</v>
          </cell>
          <cell r="AK223" t="str">
            <v>Bamboo</v>
          </cell>
          <cell r="AL223">
            <v>0</v>
          </cell>
          <cell r="AM223">
            <v>0</v>
          </cell>
          <cell r="AN223" t="str">
            <v>Compressed stabilized earth block (SCEB) Masonry</v>
          </cell>
          <cell r="AO223">
            <v>0</v>
          </cell>
          <cell r="AP223">
            <v>0</v>
          </cell>
          <cell r="AQ223" t="str">
            <v>Light steel frame structures</v>
          </cell>
          <cell r="AR223">
            <v>0</v>
          </cell>
          <cell r="AS223">
            <v>0</v>
          </cell>
          <cell r="AT223">
            <v>35</v>
          </cell>
          <cell r="AU223">
            <v>0</v>
          </cell>
          <cell r="AV223">
            <v>0</v>
          </cell>
          <cell r="AW223">
            <v>0</v>
          </cell>
          <cell r="AX223">
            <v>0</v>
          </cell>
          <cell r="AY223" t="str">
            <v/>
          </cell>
          <cell r="AZ223" t="str">
            <v/>
          </cell>
          <cell r="BA223">
            <v>0</v>
          </cell>
          <cell r="BB223" t="str">
            <v/>
          </cell>
          <cell r="BC223" t="str">
            <v/>
          </cell>
          <cell r="BD223" t="str">
            <v/>
          </cell>
          <cell r="BE223" t="str">
            <v/>
          </cell>
          <cell r="BF223" t="str">
            <v/>
          </cell>
          <cell r="BG223" t="str">
            <v/>
          </cell>
          <cell r="BH223" t="str">
            <v/>
          </cell>
          <cell r="BI223" t="str">
            <v/>
          </cell>
          <cell r="BJ223" t="str">
            <v/>
          </cell>
          <cell r="BK223">
            <v>1024</v>
          </cell>
          <cell r="BL223" t="str">
            <v/>
          </cell>
          <cell r="BM223" t="str">
            <v/>
          </cell>
          <cell r="BN223">
            <v>1000</v>
          </cell>
          <cell r="BO223" t="str">
            <v/>
          </cell>
          <cell r="BP223" t="str">
            <v/>
          </cell>
          <cell r="BQ223">
            <v>109</v>
          </cell>
          <cell r="BR223" t="str">
            <v/>
          </cell>
          <cell r="BS223" t="str">
            <v/>
          </cell>
          <cell r="BT223">
            <v>125</v>
          </cell>
          <cell r="BU223" t="str">
            <v/>
          </cell>
          <cell r="BV223" t="str">
            <v/>
          </cell>
          <cell r="BW223" t="str">
            <v/>
          </cell>
          <cell r="BX223" t="str">
            <v/>
          </cell>
          <cell r="BY223" t="str">
            <v/>
          </cell>
          <cell r="BZ223">
            <v>3414</v>
          </cell>
          <cell r="CA223" t="str">
            <v/>
          </cell>
          <cell r="CB223" t="str">
            <v/>
          </cell>
          <cell r="CC223">
            <v>11300</v>
          </cell>
          <cell r="CD223" t="str">
            <v/>
          </cell>
          <cell r="CE223" t="str">
            <v/>
          </cell>
          <cell r="CF223">
            <v>140</v>
          </cell>
          <cell r="CG223" t="str">
            <v/>
          </cell>
          <cell r="CH223" t="str">
            <v/>
          </cell>
          <cell r="CI223">
            <v>27960</v>
          </cell>
          <cell r="CJ223" t="str">
            <v/>
          </cell>
          <cell r="CK223" t="str">
            <v/>
          </cell>
          <cell r="CL223" t="str">
            <v>Skilled</v>
          </cell>
          <cell r="CM223" t="str">
            <v/>
          </cell>
          <cell r="CN223" t="str">
            <v>Labor</v>
          </cell>
          <cell r="CO223" t="str">
            <v/>
          </cell>
          <cell r="CP223" t="str">
            <v/>
          </cell>
          <cell r="CQ223" t="str">
            <v/>
          </cell>
          <cell r="CR223" t="str">
            <v/>
          </cell>
          <cell r="CS223" t="str">
            <v/>
          </cell>
          <cell r="CT223" t="str">
            <v/>
          </cell>
          <cell r="CU223" t="str">
            <v/>
          </cell>
          <cell r="CV223" t="str">
            <v>Municipal Office</v>
          </cell>
          <cell r="CW223" t="str">
            <v/>
          </cell>
          <cell r="CX223" t="str">
            <v>Chairman</v>
          </cell>
          <cell r="CY223" t="str">
            <v/>
          </cell>
          <cell r="CZ223" t="str">
            <v>Municipal Office</v>
          </cell>
          <cell r="DA223" t="str">
            <v/>
          </cell>
          <cell r="DB223" t="str">
            <v>Deputy Chairman</v>
          </cell>
          <cell r="DC223" t="str">
            <v/>
          </cell>
          <cell r="DD223" t="str">
            <v>Municipal Office</v>
          </cell>
          <cell r="DE223" t="str">
            <v/>
          </cell>
          <cell r="DF223" t="str">
            <v>Chief Adminstration Officer</v>
          </cell>
          <cell r="DG223" t="str">
            <v/>
          </cell>
          <cell r="DH223" t="str">
            <v>NRA/GMALI</v>
          </cell>
          <cell r="DI223" t="str">
            <v/>
          </cell>
          <cell r="DJ223" t="str">
            <v>NRA Chief-District</v>
          </cell>
          <cell r="DK223" t="str">
            <v/>
          </cell>
          <cell r="DL223" t="str">
            <v>DLPIU-Building</v>
          </cell>
          <cell r="DM223" t="str">
            <v/>
          </cell>
          <cell r="DN223" t="str">
            <v>DUDBC.DLPIU Chief</v>
          </cell>
          <cell r="DO223" t="str">
            <v/>
          </cell>
          <cell r="DP223" t="str">
            <v>Municipal Office</v>
          </cell>
          <cell r="DQ223" t="str">
            <v/>
          </cell>
          <cell r="DR223" t="str">
            <v>Focal Person</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v>0</v>
          </cell>
          <cell r="EK223">
            <v>0</v>
          </cell>
          <cell r="EL223">
            <v>0</v>
          </cell>
          <cell r="EM223">
            <v>0</v>
          </cell>
          <cell r="EN223">
            <v>0</v>
          </cell>
          <cell r="EO223">
            <v>0</v>
          </cell>
          <cell r="EP223" t="str">
            <v/>
          </cell>
          <cell r="EQ223" t="str">
            <v>Housing Recovery and Reconstruction Platform</v>
          </cell>
          <cell r="ER223" t="str">
            <v/>
          </cell>
          <cell r="ES223" t="str">
            <v>District Coordinator</v>
          </cell>
          <cell r="ET223" t="str">
            <v/>
          </cell>
          <cell r="EU223" t="str">
            <v>Housing Recovery and Reconstruction Platform</v>
          </cell>
          <cell r="EV223" t="str">
            <v/>
          </cell>
          <cell r="EW223" t="str">
            <v>DIstrict Information Management Officer</v>
          </cell>
          <cell r="EX223" t="str">
            <v/>
          </cell>
          <cell r="EY223" t="str">
            <v>Housing Recovery and Reconstruction Platform</v>
          </cell>
          <cell r="EZ223" t="str">
            <v/>
          </cell>
          <cell r="FA223" t="str">
            <v>District Technical Officer</v>
          </cell>
          <cell r="FB223" t="str">
            <v/>
          </cell>
        </row>
        <row r="224">
          <cell r="A224">
            <v>43005</v>
          </cell>
          <cell r="B224" t="str">
            <v>Myagdi</v>
          </cell>
          <cell r="C224" t="str">
            <v>Mangala Gaunpalika</v>
          </cell>
          <cell r="D224">
            <v>149</v>
          </cell>
          <cell r="E224">
            <v>134</v>
          </cell>
          <cell r="F224">
            <v>283</v>
          </cell>
          <cell r="G224" t="str">
            <v>Stone and cement mortar masonry</v>
          </cell>
          <cell r="H224">
            <v>1.41</v>
          </cell>
          <cell r="I224">
            <v>1.63</v>
          </cell>
          <cell r="J224" t="str">
            <v>Stone and Mud Mortar Masonary</v>
          </cell>
          <cell r="K224">
            <v>96.47</v>
          </cell>
          <cell r="L224">
            <v>94.41</v>
          </cell>
          <cell r="M224" t="str">
            <v>Brick and Cement Mortar Masonary</v>
          </cell>
          <cell r="N224">
            <v>0.35</v>
          </cell>
          <cell r="O224">
            <v>1.27</v>
          </cell>
          <cell r="P224" t="str">
            <v>Brick and mud mortar Masonry</v>
          </cell>
          <cell r="Q224">
            <v>0</v>
          </cell>
          <cell r="R224">
            <v>0.5</v>
          </cell>
          <cell r="S224" t="str">
            <v>Reinforced cement concrete (RCC) frame</v>
          </cell>
          <cell r="T224">
            <v>0</v>
          </cell>
          <cell r="U224">
            <v>0</v>
          </cell>
          <cell r="V224" t="str">
            <v>Hybrid structure</v>
          </cell>
          <cell r="W224">
            <v>0</v>
          </cell>
          <cell r="X224">
            <v>0</v>
          </cell>
          <cell r="Y224" t="str">
            <v>Timber frame structure</v>
          </cell>
          <cell r="Z224">
            <v>0</v>
          </cell>
          <cell r="AA224">
            <v>7.0000000000000007E-2</v>
          </cell>
          <cell r="AB224" t="str">
            <v>Hollow concrete block Masonry</v>
          </cell>
          <cell r="AC224">
            <v>0</v>
          </cell>
          <cell r="AD224">
            <v>0</v>
          </cell>
          <cell r="AE224" t="str">
            <v>Dry stone Masonry</v>
          </cell>
          <cell r="AF224">
            <v>1.77</v>
          </cell>
          <cell r="AG224">
            <v>0.99</v>
          </cell>
          <cell r="AH224" t="str">
            <v>Adobe structures</v>
          </cell>
          <cell r="AI224">
            <v>0</v>
          </cell>
          <cell r="AJ224">
            <v>1.1299999999999999</v>
          </cell>
          <cell r="AK224" t="str">
            <v>Bamboo</v>
          </cell>
          <cell r="AL224">
            <v>0</v>
          </cell>
          <cell r="AM224">
            <v>0</v>
          </cell>
          <cell r="AN224" t="str">
            <v>Compressed stabilized earth block (SCEB) Masonry</v>
          </cell>
          <cell r="AO224">
            <v>0</v>
          </cell>
          <cell r="AP224">
            <v>0</v>
          </cell>
          <cell r="AQ224" t="str">
            <v>Light steel frame structures</v>
          </cell>
          <cell r="AR224">
            <v>0</v>
          </cell>
          <cell r="AS224">
            <v>0</v>
          </cell>
          <cell r="AT224">
            <v>127</v>
          </cell>
          <cell r="AU224">
            <v>35</v>
          </cell>
          <cell r="AV224">
            <v>35</v>
          </cell>
          <cell r="AW224">
            <v>34</v>
          </cell>
          <cell r="AX224">
            <v>0</v>
          </cell>
          <cell r="AY224" t="str">
            <v/>
          </cell>
          <cell r="AZ224" t="str">
            <v/>
          </cell>
          <cell r="BA224">
            <v>0</v>
          </cell>
          <cell r="BB224" t="str">
            <v/>
          </cell>
          <cell r="BC224" t="str">
            <v/>
          </cell>
          <cell r="BD224" t="str">
            <v/>
          </cell>
          <cell r="BE224" t="str">
            <v/>
          </cell>
          <cell r="BF224" t="str">
            <v/>
          </cell>
          <cell r="BG224" t="str">
            <v/>
          </cell>
          <cell r="BH224" t="str">
            <v/>
          </cell>
          <cell r="BI224" t="str">
            <v/>
          </cell>
          <cell r="BJ224" t="str">
            <v/>
          </cell>
          <cell r="BK224">
            <v>728</v>
          </cell>
          <cell r="BL224" t="str">
            <v/>
          </cell>
          <cell r="BM224" t="str">
            <v/>
          </cell>
          <cell r="BN224">
            <v>780</v>
          </cell>
          <cell r="BO224" t="str">
            <v/>
          </cell>
          <cell r="BP224" t="str">
            <v/>
          </cell>
          <cell r="BQ224">
            <v>78</v>
          </cell>
          <cell r="BR224" t="str">
            <v/>
          </cell>
          <cell r="BS224" t="str">
            <v/>
          </cell>
          <cell r="BT224">
            <v>91</v>
          </cell>
          <cell r="BU224" t="str">
            <v/>
          </cell>
          <cell r="BV224" t="str">
            <v/>
          </cell>
          <cell r="BW224" t="str">
            <v/>
          </cell>
          <cell r="BX224" t="str">
            <v/>
          </cell>
          <cell r="BY224" t="str">
            <v/>
          </cell>
          <cell r="BZ224">
            <v>2548</v>
          </cell>
          <cell r="CA224" t="str">
            <v/>
          </cell>
          <cell r="CB224" t="str">
            <v/>
          </cell>
          <cell r="CC224">
            <v>7800</v>
          </cell>
          <cell r="CD224" t="str">
            <v/>
          </cell>
          <cell r="CE224" t="str">
            <v/>
          </cell>
          <cell r="CF224">
            <v>104</v>
          </cell>
          <cell r="CG224" t="str">
            <v/>
          </cell>
          <cell r="CH224" t="str">
            <v/>
          </cell>
          <cell r="CI224">
            <v>0</v>
          </cell>
          <cell r="CJ224" t="str">
            <v/>
          </cell>
          <cell r="CK224" t="str">
            <v/>
          </cell>
          <cell r="CL224" t="str">
            <v>Skilled</v>
          </cell>
          <cell r="CM224" t="str">
            <v/>
          </cell>
          <cell r="CN224" t="str">
            <v>Labor</v>
          </cell>
          <cell r="CO224" t="str">
            <v/>
          </cell>
          <cell r="CP224" t="str">
            <v/>
          </cell>
          <cell r="CQ224" t="str">
            <v/>
          </cell>
          <cell r="CR224" t="str">
            <v/>
          </cell>
          <cell r="CS224" t="str">
            <v/>
          </cell>
          <cell r="CT224" t="str">
            <v/>
          </cell>
          <cell r="CU224" t="str">
            <v/>
          </cell>
          <cell r="CV224" t="str">
            <v>Municipal Office</v>
          </cell>
          <cell r="CW224" t="str">
            <v/>
          </cell>
          <cell r="CX224" t="str">
            <v>Chairman</v>
          </cell>
          <cell r="CY224" t="str">
            <v/>
          </cell>
          <cell r="CZ224" t="str">
            <v>Municipal Office</v>
          </cell>
          <cell r="DA224" t="str">
            <v/>
          </cell>
          <cell r="DB224" t="str">
            <v>Deputy Chairman</v>
          </cell>
          <cell r="DC224" t="str">
            <v/>
          </cell>
          <cell r="DD224" t="str">
            <v>Municipal Office</v>
          </cell>
          <cell r="DE224" t="str">
            <v/>
          </cell>
          <cell r="DF224" t="str">
            <v>Chief Adminstration Officer</v>
          </cell>
          <cell r="DG224" t="str">
            <v/>
          </cell>
          <cell r="DH224" t="str">
            <v>NRA/GMALI</v>
          </cell>
          <cell r="DI224" t="str">
            <v/>
          </cell>
          <cell r="DJ224" t="str">
            <v>NRA Chief-District</v>
          </cell>
          <cell r="DK224" t="str">
            <v/>
          </cell>
          <cell r="DL224" t="str">
            <v>DLPIU-Building</v>
          </cell>
          <cell r="DM224" t="str">
            <v/>
          </cell>
          <cell r="DN224" t="str">
            <v>DUDBC.DLPIU Chief</v>
          </cell>
          <cell r="DO224" t="str">
            <v/>
          </cell>
          <cell r="DP224" t="str">
            <v>Municipal Office</v>
          </cell>
          <cell r="DQ224" t="str">
            <v/>
          </cell>
          <cell r="DR224" t="str">
            <v>Focal Person</v>
          </cell>
          <cell r="DS224" t="str">
            <v/>
          </cell>
          <cell r="DT224" t="str">
            <v/>
          </cell>
          <cell r="DU224" t="str">
            <v/>
          </cell>
          <cell r="DV224" t="str">
            <v/>
          </cell>
          <cell r="DW224" t="str">
            <v/>
          </cell>
          <cell r="DX224" t="str">
            <v/>
          </cell>
          <cell r="DY224" t="str">
            <v/>
          </cell>
          <cell r="DZ224" t="str">
            <v/>
          </cell>
          <cell r="EA224" t="str">
            <v/>
          </cell>
          <cell r="EB224" t="str">
            <v/>
          </cell>
          <cell r="EC224" t="str">
            <v/>
          </cell>
          <cell r="ED224" t="str">
            <v/>
          </cell>
          <cell r="EE224" t="str">
            <v/>
          </cell>
          <cell r="EF224" t="str">
            <v/>
          </cell>
          <cell r="EG224" t="str">
            <v/>
          </cell>
          <cell r="EH224" t="str">
            <v/>
          </cell>
          <cell r="EI224" t="str">
            <v/>
          </cell>
          <cell r="EJ224">
            <v>0</v>
          </cell>
          <cell r="EK224">
            <v>0</v>
          </cell>
          <cell r="EL224">
            <v>0</v>
          </cell>
          <cell r="EM224">
            <v>0</v>
          </cell>
          <cell r="EN224">
            <v>0</v>
          </cell>
          <cell r="EO224">
            <v>0</v>
          </cell>
          <cell r="EP224" t="str">
            <v/>
          </cell>
          <cell r="EQ224" t="str">
            <v>Housing Recovery and Reconstruction Platform</v>
          </cell>
          <cell r="ER224" t="str">
            <v/>
          </cell>
          <cell r="ES224" t="str">
            <v>District Coordinator</v>
          </cell>
          <cell r="ET224" t="str">
            <v/>
          </cell>
          <cell r="EU224" t="str">
            <v>Housing Recovery and Reconstruction Platform</v>
          </cell>
          <cell r="EV224" t="str">
            <v/>
          </cell>
          <cell r="EW224" t="str">
            <v>DIstrict Information Management Officer</v>
          </cell>
          <cell r="EX224" t="str">
            <v/>
          </cell>
          <cell r="EY224" t="str">
            <v>Housing Recovery and Reconstruction Platform</v>
          </cell>
          <cell r="EZ224" t="str">
            <v/>
          </cell>
          <cell r="FA224" t="str">
            <v>District Technical Officer</v>
          </cell>
          <cell r="FB224" t="str">
            <v/>
          </cell>
        </row>
        <row r="225">
          <cell r="A225">
            <v>43006</v>
          </cell>
          <cell r="B225" t="str">
            <v>Myagdi</v>
          </cell>
          <cell r="C225" t="str">
            <v>Raghuganga Gaunpalika</v>
          </cell>
          <cell r="D225">
            <v>92</v>
          </cell>
          <cell r="E225">
            <v>167</v>
          </cell>
          <cell r="F225">
            <v>259</v>
          </cell>
          <cell r="G225" t="str">
            <v>Stone and cement mortar masonry</v>
          </cell>
          <cell r="H225">
            <v>1.1599999999999999</v>
          </cell>
          <cell r="I225">
            <v>1.63</v>
          </cell>
          <cell r="J225" t="str">
            <v>Stone and Mud Mortar Masonary</v>
          </cell>
          <cell r="K225">
            <v>98.84</v>
          </cell>
          <cell r="L225">
            <v>94.41</v>
          </cell>
          <cell r="M225" t="str">
            <v>Brick and Cement Mortar Masonary</v>
          </cell>
          <cell r="N225">
            <v>0</v>
          </cell>
          <cell r="O225">
            <v>1.27</v>
          </cell>
          <cell r="P225" t="str">
            <v>Brick and mud mortar Masonry</v>
          </cell>
          <cell r="Q225">
            <v>0</v>
          </cell>
          <cell r="R225">
            <v>0.5</v>
          </cell>
          <cell r="S225" t="str">
            <v>Reinforced cement concrete (RCC) frame</v>
          </cell>
          <cell r="T225">
            <v>0</v>
          </cell>
          <cell r="U225">
            <v>0</v>
          </cell>
          <cell r="V225" t="str">
            <v>Hybrid structure</v>
          </cell>
          <cell r="W225">
            <v>0</v>
          </cell>
          <cell r="X225">
            <v>0</v>
          </cell>
          <cell r="Y225" t="str">
            <v>Timber frame structure</v>
          </cell>
          <cell r="Z225">
            <v>0</v>
          </cell>
          <cell r="AA225">
            <v>7.0000000000000007E-2</v>
          </cell>
          <cell r="AB225" t="str">
            <v>Hollow concrete block Masonry</v>
          </cell>
          <cell r="AC225">
            <v>0</v>
          </cell>
          <cell r="AD225">
            <v>0</v>
          </cell>
          <cell r="AE225" t="str">
            <v>Dry stone Masonry</v>
          </cell>
          <cell r="AF225">
            <v>0</v>
          </cell>
          <cell r="AG225">
            <v>0.99</v>
          </cell>
          <cell r="AH225" t="str">
            <v>Adobe structures</v>
          </cell>
          <cell r="AI225">
            <v>0</v>
          </cell>
          <cell r="AJ225">
            <v>1.1299999999999999</v>
          </cell>
          <cell r="AK225" t="str">
            <v>Bamboo</v>
          </cell>
          <cell r="AL225">
            <v>0</v>
          </cell>
          <cell r="AM225">
            <v>0</v>
          </cell>
          <cell r="AN225" t="str">
            <v>Compressed stabilized earth block (SCEB) Masonry</v>
          </cell>
          <cell r="AO225">
            <v>0</v>
          </cell>
          <cell r="AP225">
            <v>0</v>
          </cell>
          <cell r="AQ225" t="str">
            <v>Light steel frame structures</v>
          </cell>
          <cell r="AR225">
            <v>0</v>
          </cell>
          <cell r="AS225">
            <v>0</v>
          </cell>
          <cell r="AT225">
            <v>145</v>
          </cell>
          <cell r="AU225">
            <v>26</v>
          </cell>
          <cell r="AV225">
            <v>26</v>
          </cell>
          <cell r="AW225">
            <v>13</v>
          </cell>
          <cell r="AX225">
            <v>0</v>
          </cell>
          <cell r="AY225" t="str">
            <v/>
          </cell>
          <cell r="AZ225" t="str">
            <v/>
          </cell>
          <cell r="BA225">
            <v>0</v>
          </cell>
          <cell r="BB225" t="str">
            <v/>
          </cell>
          <cell r="BC225" t="str">
            <v/>
          </cell>
          <cell r="BD225" t="str">
            <v/>
          </cell>
          <cell r="BE225" t="str">
            <v/>
          </cell>
          <cell r="BF225" t="str">
            <v/>
          </cell>
          <cell r="BG225" t="str">
            <v/>
          </cell>
          <cell r="BH225" t="str">
            <v/>
          </cell>
          <cell r="BI225" t="str">
            <v/>
          </cell>
          <cell r="BJ225" t="str">
            <v/>
          </cell>
          <cell r="BK225">
            <v>115</v>
          </cell>
          <cell r="BL225" t="str">
            <v/>
          </cell>
          <cell r="BM225" t="str">
            <v/>
          </cell>
          <cell r="BN225">
            <v>117</v>
          </cell>
          <cell r="BO225" t="str">
            <v/>
          </cell>
          <cell r="BP225" t="str">
            <v/>
          </cell>
          <cell r="BQ225">
            <v>12</v>
          </cell>
          <cell r="BR225" t="str">
            <v/>
          </cell>
          <cell r="BS225" t="str">
            <v/>
          </cell>
          <cell r="BT225">
            <v>14</v>
          </cell>
          <cell r="BU225" t="str">
            <v/>
          </cell>
          <cell r="BV225" t="str">
            <v/>
          </cell>
          <cell r="BW225" t="str">
            <v/>
          </cell>
          <cell r="BX225" t="str">
            <v/>
          </cell>
          <cell r="BY225" t="str">
            <v/>
          </cell>
          <cell r="BZ225">
            <v>391</v>
          </cell>
          <cell r="CA225" t="str">
            <v/>
          </cell>
          <cell r="CB225" t="str">
            <v/>
          </cell>
          <cell r="CC225">
            <v>1248</v>
          </cell>
          <cell r="CD225" t="str">
            <v/>
          </cell>
          <cell r="CE225" t="str">
            <v/>
          </cell>
          <cell r="CF225">
            <v>16</v>
          </cell>
          <cell r="CG225" t="str">
            <v/>
          </cell>
          <cell r="CH225" t="str">
            <v/>
          </cell>
          <cell r="CI225">
            <v>1674</v>
          </cell>
          <cell r="CJ225" t="str">
            <v/>
          </cell>
          <cell r="CK225" t="str">
            <v/>
          </cell>
          <cell r="CL225" t="str">
            <v>Skilled</v>
          </cell>
          <cell r="CM225" t="str">
            <v/>
          </cell>
          <cell r="CN225" t="str">
            <v>Labor</v>
          </cell>
          <cell r="CO225" t="str">
            <v/>
          </cell>
          <cell r="CP225" t="str">
            <v/>
          </cell>
          <cell r="CQ225" t="str">
            <v/>
          </cell>
          <cell r="CR225" t="str">
            <v/>
          </cell>
          <cell r="CS225" t="str">
            <v/>
          </cell>
          <cell r="CT225" t="str">
            <v/>
          </cell>
          <cell r="CU225" t="str">
            <v/>
          </cell>
          <cell r="CV225" t="str">
            <v>Municipal Office</v>
          </cell>
          <cell r="CW225" t="str">
            <v/>
          </cell>
          <cell r="CX225" t="str">
            <v>Chairman</v>
          </cell>
          <cell r="CY225" t="str">
            <v/>
          </cell>
          <cell r="CZ225" t="str">
            <v>Municipal Office</v>
          </cell>
          <cell r="DA225" t="str">
            <v/>
          </cell>
          <cell r="DB225" t="str">
            <v>Deputy Chairman</v>
          </cell>
          <cell r="DC225" t="str">
            <v/>
          </cell>
          <cell r="DD225" t="str">
            <v>Municipal Office</v>
          </cell>
          <cell r="DE225" t="str">
            <v/>
          </cell>
          <cell r="DF225" t="str">
            <v>Chief Adminstration Officer</v>
          </cell>
          <cell r="DG225" t="str">
            <v/>
          </cell>
          <cell r="DH225" t="str">
            <v>NRA/GMALI</v>
          </cell>
          <cell r="DI225" t="str">
            <v/>
          </cell>
          <cell r="DJ225" t="str">
            <v>NRA Chief-District</v>
          </cell>
          <cell r="DK225" t="str">
            <v/>
          </cell>
          <cell r="DL225" t="str">
            <v>DLPIU-Building</v>
          </cell>
          <cell r="DM225" t="str">
            <v/>
          </cell>
          <cell r="DN225" t="str">
            <v>DUDBC.DLPIU Chief</v>
          </cell>
          <cell r="DO225" t="str">
            <v/>
          </cell>
          <cell r="DP225" t="str">
            <v>Municipal Office</v>
          </cell>
          <cell r="DQ225" t="str">
            <v/>
          </cell>
          <cell r="DR225" t="str">
            <v>Focal Person</v>
          </cell>
          <cell r="DS225" t="str">
            <v/>
          </cell>
          <cell r="DT225" t="str">
            <v/>
          </cell>
          <cell r="DU225" t="str">
            <v/>
          </cell>
          <cell r="DV225" t="str">
            <v/>
          </cell>
          <cell r="DW225" t="str">
            <v/>
          </cell>
          <cell r="DX225" t="str">
            <v/>
          </cell>
          <cell r="DY225" t="str">
            <v/>
          </cell>
          <cell r="DZ225" t="str">
            <v/>
          </cell>
          <cell r="EA225" t="str">
            <v/>
          </cell>
          <cell r="EB225" t="str">
            <v/>
          </cell>
          <cell r="EC225" t="str">
            <v/>
          </cell>
          <cell r="ED225" t="str">
            <v/>
          </cell>
          <cell r="EE225" t="str">
            <v/>
          </cell>
          <cell r="EF225" t="str">
            <v/>
          </cell>
          <cell r="EG225" t="str">
            <v/>
          </cell>
          <cell r="EH225" t="str">
            <v/>
          </cell>
          <cell r="EI225" t="str">
            <v/>
          </cell>
          <cell r="EJ225">
            <v>0</v>
          </cell>
          <cell r="EK225">
            <v>0</v>
          </cell>
          <cell r="EL225">
            <v>0</v>
          </cell>
          <cell r="EM225">
            <v>0</v>
          </cell>
          <cell r="EN225">
            <v>0</v>
          </cell>
          <cell r="EO225">
            <v>0</v>
          </cell>
          <cell r="EP225" t="str">
            <v/>
          </cell>
          <cell r="EQ225" t="str">
            <v>Housing Recovery and Reconstruction Platform</v>
          </cell>
          <cell r="ER225" t="str">
            <v/>
          </cell>
          <cell r="ES225" t="str">
            <v>District Coordinator</v>
          </cell>
          <cell r="ET225" t="str">
            <v/>
          </cell>
          <cell r="EU225" t="str">
            <v>Housing Recovery and Reconstruction Platform</v>
          </cell>
          <cell r="EV225" t="str">
            <v/>
          </cell>
          <cell r="EW225" t="str">
            <v>DIstrict Information Management Officer</v>
          </cell>
          <cell r="EX225" t="str">
            <v/>
          </cell>
          <cell r="EY225" t="str">
            <v>Housing Recovery and Reconstruction Platform</v>
          </cell>
          <cell r="EZ225" t="str">
            <v/>
          </cell>
          <cell r="FA225" t="str">
            <v>District Technical Officer</v>
          </cell>
          <cell r="FB225" t="str">
            <v/>
          </cell>
        </row>
        <row r="226">
          <cell r="A226">
            <v>44001</v>
          </cell>
          <cell r="B226" t="str">
            <v>Parbat</v>
          </cell>
          <cell r="C226" t="str">
            <v>Bihadi Gaunpalika</v>
          </cell>
          <cell r="D226">
            <v>1213</v>
          </cell>
          <cell r="E226">
            <v>1281</v>
          </cell>
          <cell r="F226">
            <v>2494</v>
          </cell>
          <cell r="G226" t="str">
            <v>Stone and cement mortar masonry</v>
          </cell>
          <cell r="H226">
            <v>1.1200000000000001</v>
          </cell>
          <cell r="I226">
            <v>0.59</v>
          </cell>
          <cell r="J226" t="str">
            <v>Stone and Mud Mortar Masonary</v>
          </cell>
          <cell r="K226">
            <v>96.59</v>
          </cell>
          <cell r="L226">
            <v>88.88</v>
          </cell>
          <cell r="M226" t="str">
            <v>Brick and Cement Mortar Masonary</v>
          </cell>
          <cell r="N226">
            <v>0.2</v>
          </cell>
          <cell r="O226">
            <v>0.68</v>
          </cell>
          <cell r="P226" t="str">
            <v>Brick and mud mortar Masonry</v>
          </cell>
          <cell r="Q226">
            <v>0.04</v>
          </cell>
          <cell r="R226">
            <v>0.69</v>
          </cell>
          <cell r="S226" t="str">
            <v>Reinforced cement concrete (RCC) frame</v>
          </cell>
          <cell r="T226">
            <v>0.56000000000000005</v>
          </cell>
          <cell r="U226">
            <v>0.34</v>
          </cell>
          <cell r="V226" t="str">
            <v>Hybrid structure</v>
          </cell>
          <cell r="W226">
            <v>0</v>
          </cell>
          <cell r="X226">
            <v>0</v>
          </cell>
          <cell r="Y226" t="str">
            <v>Timber frame structure</v>
          </cell>
          <cell r="Z226">
            <v>0.28000000000000003</v>
          </cell>
          <cell r="AA226">
            <v>0.2</v>
          </cell>
          <cell r="AB226" t="str">
            <v>Hollow concrete block Masonry</v>
          </cell>
          <cell r="AC226">
            <v>0</v>
          </cell>
          <cell r="AD226">
            <v>0</v>
          </cell>
          <cell r="AE226" t="str">
            <v>Dry stone Masonry</v>
          </cell>
          <cell r="AF226">
            <v>0.08</v>
          </cell>
          <cell r="AG226">
            <v>0.04</v>
          </cell>
          <cell r="AH226" t="str">
            <v>Adobe structures</v>
          </cell>
          <cell r="AI226">
            <v>0.2</v>
          </cell>
          <cell r="AJ226">
            <v>8.2799999999999994</v>
          </cell>
          <cell r="AK226" t="str">
            <v>Bamboo</v>
          </cell>
          <cell r="AL226">
            <v>0.92</v>
          </cell>
          <cell r="AM226">
            <v>0.3</v>
          </cell>
          <cell r="AN226" t="str">
            <v>Compressed stabilized earth block (SCEB) Masonry</v>
          </cell>
          <cell r="AO226">
            <v>0</v>
          </cell>
          <cell r="AP226">
            <v>0</v>
          </cell>
          <cell r="AQ226" t="str">
            <v>Light steel frame structures</v>
          </cell>
          <cell r="AR226">
            <v>0</v>
          </cell>
          <cell r="AS226">
            <v>0</v>
          </cell>
          <cell r="AT226">
            <v>1139</v>
          </cell>
          <cell r="AU226">
            <v>66</v>
          </cell>
          <cell r="AV226">
            <v>66</v>
          </cell>
          <cell r="AW226">
            <v>0</v>
          </cell>
          <cell r="AX226">
            <v>0</v>
          </cell>
          <cell r="AY226" t="str">
            <v/>
          </cell>
          <cell r="AZ226" t="str">
            <v/>
          </cell>
          <cell r="BA226">
            <v>123</v>
          </cell>
          <cell r="BB226" t="str">
            <v/>
          </cell>
          <cell r="BC226" t="str">
            <v/>
          </cell>
          <cell r="BD226" t="str">
            <v/>
          </cell>
          <cell r="BE226" t="str">
            <v/>
          </cell>
          <cell r="BF226" t="str">
            <v/>
          </cell>
          <cell r="BG226" t="str">
            <v/>
          </cell>
          <cell r="BH226" t="str">
            <v/>
          </cell>
          <cell r="BI226" t="str">
            <v/>
          </cell>
          <cell r="BJ226" t="str">
            <v/>
          </cell>
          <cell r="BK226">
            <v>1954</v>
          </cell>
          <cell r="BL226" t="str">
            <v/>
          </cell>
          <cell r="BM226" t="str">
            <v/>
          </cell>
          <cell r="BN226">
            <v>1928</v>
          </cell>
          <cell r="BO226" t="str">
            <v/>
          </cell>
          <cell r="BP226" t="str">
            <v/>
          </cell>
          <cell r="BQ226">
            <v>208</v>
          </cell>
          <cell r="BR226" t="str">
            <v/>
          </cell>
          <cell r="BS226" t="str">
            <v/>
          </cell>
          <cell r="BT226">
            <v>237</v>
          </cell>
          <cell r="BU226" t="str">
            <v/>
          </cell>
          <cell r="BV226" t="str">
            <v/>
          </cell>
          <cell r="BW226" t="str">
            <v/>
          </cell>
          <cell r="BX226" t="str">
            <v/>
          </cell>
          <cell r="BY226" t="str">
            <v/>
          </cell>
          <cell r="BZ226">
            <v>6380</v>
          </cell>
          <cell r="CA226" t="str">
            <v/>
          </cell>
          <cell r="CB226" t="str">
            <v/>
          </cell>
          <cell r="CC226">
            <v>21274</v>
          </cell>
          <cell r="CD226" t="str">
            <v/>
          </cell>
          <cell r="CE226" t="str">
            <v/>
          </cell>
          <cell r="CF226">
            <v>260</v>
          </cell>
          <cell r="CG226" t="str">
            <v/>
          </cell>
          <cell r="CH226" t="str">
            <v/>
          </cell>
          <cell r="CI226">
            <v>21634</v>
          </cell>
          <cell r="CJ226" t="str">
            <v/>
          </cell>
          <cell r="CK226" t="str">
            <v/>
          </cell>
          <cell r="CL226" t="str">
            <v>Skilled</v>
          </cell>
          <cell r="CM226" t="str">
            <v/>
          </cell>
          <cell r="CN226" t="str">
            <v>Labor</v>
          </cell>
          <cell r="CO226" t="str">
            <v/>
          </cell>
          <cell r="CP226" t="str">
            <v/>
          </cell>
          <cell r="CQ226" t="str">
            <v/>
          </cell>
          <cell r="CR226" t="str">
            <v/>
          </cell>
          <cell r="CS226" t="str">
            <v/>
          </cell>
          <cell r="CT226" t="str">
            <v/>
          </cell>
          <cell r="CU226" t="str">
            <v/>
          </cell>
          <cell r="CV226" t="str">
            <v>Municipal Office</v>
          </cell>
          <cell r="CW226" t="str">
            <v/>
          </cell>
          <cell r="CX226" t="str">
            <v>Chairman</v>
          </cell>
          <cell r="CY226" t="str">
            <v/>
          </cell>
          <cell r="CZ226" t="str">
            <v>Municipal Office</v>
          </cell>
          <cell r="DA226" t="str">
            <v/>
          </cell>
          <cell r="DB226" t="str">
            <v>Deputy Chairman</v>
          </cell>
          <cell r="DC226" t="str">
            <v/>
          </cell>
          <cell r="DD226" t="str">
            <v>Municipal Office</v>
          </cell>
          <cell r="DE226" t="str">
            <v/>
          </cell>
          <cell r="DF226" t="str">
            <v>Chief Adminstration Officer</v>
          </cell>
          <cell r="DG226" t="str">
            <v/>
          </cell>
          <cell r="DH226" t="str">
            <v>NRA/GMALI</v>
          </cell>
          <cell r="DI226" t="str">
            <v/>
          </cell>
          <cell r="DJ226" t="str">
            <v>NRA Chief-District</v>
          </cell>
          <cell r="DK226" t="str">
            <v/>
          </cell>
          <cell r="DL226" t="str">
            <v>DLPIU-Building</v>
          </cell>
          <cell r="DM226" t="str">
            <v/>
          </cell>
          <cell r="DN226" t="str">
            <v>DUDBC.DLPIU Chief</v>
          </cell>
          <cell r="DO226" t="str">
            <v/>
          </cell>
          <cell r="DP226" t="str">
            <v>Municipal Office</v>
          </cell>
          <cell r="DQ226" t="str">
            <v/>
          </cell>
          <cell r="DR226" t="str">
            <v>Focal Person</v>
          </cell>
          <cell r="DS226" t="str">
            <v/>
          </cell>
          <cell r="DT226" t="str">
            <v/>
          </cell>
          <cell r="DU226" t="str">
            <v/>
          </cell>
          <cell r="DV226" t="str">
            <v/>
          </cell>
          <cell r="DW226" t="str">
            <v/>
          </cell>
          <cell r="DX226" t="str">
            <v/>
          </cell>
          <cell r="DY226" t="str">
            <v/>
          </cell>
          <cell r="DZ226" t="str">
            <v/>
          </cell>
          <cell r="EA226" t="str">
            <v/>
          </cell>
          <cell r="EB226" t="str">
            <v/>
          </cell>
          <cell r="EC226" t="str">
            <v/>
          </cell>
          <cell r="ED226" t="str">
            <v/>
          </cell>
          <cell r="EE226" t="str">
            <v/>
          </cell>
          <cell r="EF226" t="str">
            <v/>
          </cell>
          <cell r="EG226" t="str">
            <v/>
          </cell>
          <cell r="EH226" t="str">
            <v/>
          </cell>
          <cell r="EI226" t="str">
            <v/>
          </cell>
          <cell r="EJ226">
            <v>0</v>
          </cell>
          <cell r="EK226">
            <v>0</v>
          </cell>
          <cell r="EL226">
            <v>0</v>
          </cell>
          <cell r="EM226">
            <v>0</v>
          </cell>
          <cell r="EN226">
            <v>0</v>
          </cell>
          <cell r="EO226">
            <v>0</v>
          </cell>
          <cell r="EP226" t="str">
            <v/>
          </cell>
          <cell r="EQ226" t="str">
            <v>Housing Recovery and Reconstruction Platform</v>
          </cell>
          <cell r="ER226" t="str">
            <v/>
          </cell>
          <cell r="ES226" t="str">
            <v>District Coordinator</v>
          </cell>
          <cell r="ET226" t="str">
            <v/>
          </cell>
          <cell r="EU226" t="str">
            <v>Housing Recovery and Reconstruction Platform</v>
          </cell>
          <cell r="EV226" t="str">
            <v/>
          </cell>
          <cell r="EW226" t="str">
            <v>DIstrict Information Management Officer</v>
          </cell>
          <cell r="EX226" t="str">
            <v/>
          </cell>
          <cell r="EY226" t="str">
            <v>Housing Recovery and Reconstruction Platform</v>
          </cell>
          <cell r="EZ226" t="str">
            <v/>
          </cell>
          <cell r="FA226" t="str">
            <v>District Technical Officer</v>
          </cell>
          <cell r="FB226" t="str">
            <v/>
          </cell>
        </row>
        <row r="227">
          <cell r="A227">
            <v>44002</v>
          </cell>
          <cell r="B227" t="str">
            <v>Parbat</v>
          </cell>
          <cell r="C227" t="str">
            <v>Jaljala Gaunpalika</v>
          </cell>
          <cell r="D227">
            <v>284</v>
          </cell>
          <cell r="E227">
            <v>201</v>
          </cell>
          <cell r="F227">
            <v>485</v>
          </cell>
          <cell r="G227" t="str">
            <v>Stone and cement mortar masonry</v>
          </cell>
          <cell r="H227">
            <v>0.82</v>
          </cell>
          <cell r="I227">
            <v>0.59</v>
          </cell>
          <cell r="J227" t="str">
            <v>Stone and Mud Mortar Masonary</v>
          </cell>
          <cell r="K227">
            <v>99.18</v>
          </cell>
          <cell r="L227">
            <v>88.88</v>
          </cell>
          <cell r="M227" t="str">
            <v>Brick and Cement Mortar Masonary</v>
          </cell>
          <cell r="N227">
            <v>0</v>
          </cell>
          <cell r="O227">
            <v>0.68</v>
          </cell>
          <cell r="P227" t="str">
            <v>Brick and mud mortar Masonry</v>
          </cell>
          <cell r="Q227">
            <v>0</v>
          </cell>
          <cell r="R227">
            <v>0.69</v>
          </cell>
          <cell r="S227" t="str">
            <v>Reinforced cement concrete (RCC) frame</v>
          </cell>
          <cell r="T227">
            <v>0</v>
          </cell>
          <cell r="U227">
            <v>0.34</v>
          </cell>
          <cell r="V227" t="str">
            <v>Hybrid structure</v>
          </cell>
          <cell r="W227">
            <v>0</v>
          </cell>
          <cell r="X227">
            <v>0</v>
          </cell>
          <cell r="Y227" t="str">
            <v>Timber frame structure</v>
          </cell>
          <cell r="Z227">
            <v>0</v>
          </cell>
          <cell r="AA227">
            <v>0.2</v>
          </cell>
          <cell r="AB227" t="str">
            <v>Hollow concrete block Masonry</v>
          </cell>
          <cell r="AC227">
            <v>0</v>
          </cell>
          <cell r="AD227">
            <v>0</v>
          </cell>
          <cell r="AE227" t="str">
            <v>Dry stone Masonry</v>
          </cell>
          <cell r="AF227">
            <v>0</v>
          </cell>
          <cell r="AG227">
            <v>0.04</v>
          </cell>
          <cell r="AH227" t="str">
            <v>Adobe structures</v>
          </cell>
          <cell r="AI227">
            <v>0</v>
          </cell>
          <cell r="AJ227">
            <v>8.2799999999999994</v>
          </cell>
          <cell r="AK227" t="str">
            <v>Bamboo</v>
          </cell>
          <cell r="AL227">
            <v>0</v>
          </cell>
          <cell r="AM227">
            <v>0.3</v>
          </cell>
          <cell r="AN227" t="str">
            <v>Compressed stabilized earth block (SCEB) Masonry</v>
          </cell>
          <cell r="AO227">
            <v>0</v>
          </cell>
          <cell r="AP227">
            <v>0</v>
          </cell>
          <cell r="AQ227" t="str">
            <v>Light steel frame structures</v>
          </cell>
          <cell r="AR227">
            <v>0</v>
          </cell>
          <cell r="AS227">
            <v>0</v>
          </cell>
          <cell r="AT227">
            <v>187</v>
          </cell>
          <cell r="AU227">
            <v>112</v>
          </cell>
          <cell r="AV227">
            <v>112</v>
          </cell>
          <cell r="AW227">
            <v>31</v>
          </cell>
          <cell r="AX227">
            <v>0</v>
          </cell>
          <cell r="AY227" t="str">
            <v/>
          </cell>
          <cell r="AZ227" t="str">
            <v/>
          </cell>
          <cell r="BA227">
            <v>0</v>
          </cell>
          <cell r="BB227" t="str">
            <v/>
          </cell>
          <cell r="BC227" t="str">
            <v/>
          </cell>
          <cell r="BD227" t="str">
            <v/>
          </cell>
          <cell r="BE227" t="str">
            <v/>
          </cell>
          <cell r="BF227" t="str">
            <v/>
          </cell>
          <cell r="BG227" t="str">
            <v/>
          </cell>
          <cell r="BH227" t="str">
            <v/>
          </cell>
          <cell r="BI227" t="str">
            <v/>
          </cell>
          <cell r="BJ227" t="str">
            <v/>
          </cell>
          <cell r="BK227">
            <v>3462</v>
          </cell>
          <cell r="BL227" t="str">
            <v/>
          </cell>
          <cell r="BM227" t="str">
            <v/>
          </cell>
          <cell r="BN227">
            <v>3304</v>
          </cell>
          <cell r="BO227" t="str">
            <v/>
          </cell>
          <cell r="BP227" t="str">
            <v/>
          </cell>
          <cell r="BQ227">
            <v>367</v>
          </cell>
          <cell r="BR227" t="str">
            <v/>
          </cell>
          <cell r="BS227" t="str">
            <v/>
          </cell>
          <cell r="BT227">
            <v>415</v>
          </cell>
          <cell r="BU227" t="str">
            <v/>
          </cell>
          <cell r="BV227" t="str">
            <v/>
          </cell>
          <cell r="BW227" t="str">
            <v/>
          </cell>
          <cell r="BX227" t="str">
            <v/>
          </cell>
          <cell r="BY227" t="str">
            <v/>
          </cell>
          <cell r="BZ227">
            <v>10862</v>
          </cell>
          <cell r="CA227" t="str">
            <v/>
          </cell>
          <cell r="CB227" t="str">
            <v/>
          </cell>
          <cell r="CC227">
            <v>37729</v>
          </cell>
          <cell r="CD227" t="str">
            <v/>
          </cell>
          <cell r="CE227" t="str">
            <v/>
          </cell>
          <cell r="CF227">
            <v>443</v>
          </cell>
          <cell r="CG227" t="str">
            <v/>
          </cell>
          <cell r="CH227" t="str">
            <v/>
          </cell>
          <cell r="CI227">
            <v>33267</v>
          </cell>
          <cell r="CJ227" t="str">
            <v/>
          </cell>
          <cell r="CK227" t="str">
            <v/>
          </cell>
          <cell r="CL227" t="str">
            <v>Skilled</v>
          </cell>
          <cell r="CM227" t="str">
            <v/>
          </cell>
          <cell r="CN227" t="str">
            <v>Labor</v>
          </cell>
          <cell r="CO227" t="str">
            <v/>
          </cell>
          <cell r="CP227" t="str">
            <v/>
          </cell>
          <cell r="CQ227" t="str">
            <v/>
          </cell>
          <cell r="CR227" t="str">
            <v/>
          </cell>
          <cell r="CS227" t="str">
            <v/>
          </cell>
          <cell r="CT227" t="str">
            <v/>
          </cell>
          <cell r="CU227" t="str">
            <v/>
          </cell>
          <cell r="CV227" t="str">
            <v>Municipal Office</v>
          </cell>
          <cell r="CW227" t="str">
            <v/>
          </cell>
          <cell r="CX227" t="str">
            <v>Chairman</v>
          </cell>
          <cell r="CY227" t="str">
            <v/>
          </cell>
          <cell r="CZ227" t="str">
            <v>Municipal Office</v>
          </cell>
          <cell r="DA227" t="str">
            <v/>
          </cell>
          <cell r="DB227" t="str">
            <v>Deputy Chairman</v>
          </cell>
          <cell r="DC227" t="str">
            <v/>
          </cell>
          <cell r="DD227" t="str">
            <v>Municipal Office</v>
          </cell>
          <cell r="DE227" t="str">
            <v/>
          </cell>
          <cell r="DF227" t="str">
            <v>Chief Adminstration Officer</v>
          </cell>
          <cell r="DG227" t="str">
            <v/>
          </cell>
          <cell r="DH227" t="str">
            <v>NRA/GMALI</v>
          </cell>
          <cell r="DI227" t="str">
            <v/>
          </cell>
          <cell r="DJ227" t="str">
            <v>NRA Chief-District</v>
          </cell>
          <cell r="DK227" t="str">
            <v/>
          </cell>
          <cell r="DL227" t="str">
            <v>DLPIU-Building</v>
          </cell>
          <cell r="DM227" t="str">
            <v/>
          </cell>
          <cell r="DN227" t="str">
            <v>DUDBC.DLPIU Chief</v>
          </cell>
          <cell r="DO227" t="str">
            <v/>
          </cell>
          <cell r="DP227" t="str">
            <v>Municipal Office</v>
          </cell>
          <cell r="DQ227" t="str">
            <v/>
          </cell>
          <cell r="DR227" t="str">
            <v>Focal Person</v>
          </cell>
          <cell r="DS227" t="str">
            <v/>
          </cell>
          <cell r="DT227" t="str">
            <v/>
          </cell>
          <cell r="DU227" t="str">
            <v/>
          </cell>
          <cell r="DV227" t="str">
            <v/>
          </cell>
          <cell r="DW227" t="str">
            <v/>
          </cell>
          <cell r="DX227" t="str">
            <v/>
          </cell>
          <cell r="DY227" t="str">
            <v/>
          </cell>
          <cell r="DZ227" t="str">
            <v/>
          </cell>
          <cell r="EA227" t="str">
            <v/>
          </cell>
          <cell r="EB227" t="str">
            <v/>
          </cell>
          <cell r="EC227" t="str">
            <v/>
          </cell>
          <cell r="ED227" t="str">
            <v/>
          </cell>
          <cell r="EE227" t="str">
            <v/>
          </cell>
          <cell r="EF227" t="str">
            <v/>
          </cell>
          <cell r="EG227" t="str">
            <v/>
          </cell>
          <cell r="EH227" t="str">
            <v/>
          </cell>
          <cell r="EI227" t="str">
            <v/>
          </cell>
          <cell r="EJ227">
            <v>0</v>
          </cell>
          <cell r="EK227">
            <v>0</v>
          </cell>
          <cell r="EL227">
            <v>0</v>
          </cell>
          <cell r="EM227">
            <v>0</v>
          </cell>
          <cell r="EN227">
            <v>0</v>
          </cell>
          <cell r="EO227">
            <v>0</v>
          </cell>
          <cell r="EP227" t="str">
            <v/>
          </cell>
          <cell r="EQ227" t="str">
            <v>Housing Recovery and Reconstruction Platform</v>
          </cell>
          <cell r="ER227" t="str">
            <v/>
          </cell>
          <cell r="ES227" t="str">
            <v>District Coordinator</v>
          </cell>
          <cell r="ET227" t="str">
            <v/>
          </cell>
          <cell r="EU227" t="str">
            <v>Housing Recovery and Reconstruction Platform</v>
          </cell>
          <cell r="EV227" t="str">
            <v/>
          </cell>
          <cell r="EW227" t="str">
            <v>DIstrict Information Management Officer</v>
          </cell>
          <cell r="EX227" t="str">
            <v/>
          </cell>
          <cell r="EY227" t="str">
            <v>Housing Recovery and Reconstruction Platform</v>
          </cell>
          <cell r="EZ227" t="str">
            <v/>
          </cell>
          <cell r="FA227" t="str">
            <v>District Technical Officer</v>
          </cell>
          <cell r="FB227" t="str">
            <v/>
          </cell>
        </row>
        <row r="228">
          <cell r="A228">
            <v>44003</v>
          </cell>
          <cell r="B228" t="str">
            <v>Parbat</v>
          </cell>
          <cell r="C228" t="str">
            <v>Kushma Nagarpalika</v>
          </cell>
          <cell r="D228">
            <v>1627</v>
          </cell>
          <cell r="E228">
            <v>1024</v>
          </cell>
          <cell r="F228">
            <v>2651</v>
          </cell>
          <cell r="G228" t="str">
            <v>Stone and cement mortar masonry</v>
          </cell>
          <cell r="H228">
            <v>0.38</v>
          </cell>
          <cell r="I228">
            <v>0.59</v>
          </cell>
          <cell r="J228" t="str">
            <v>Stone and Mud Mortar Masonary</v>
          </cell>
          <cell r="K228">
            <v>81.67</v>
          </cell>
          <cell r="L228">
            <v>88.88</v>
          </cell>
          <cell r="M228" t="str">
            <v>Brick and Cement Mortar Masonary</v>
          </cell>
          <cell r="N228">
            <v>1.58</v>
          </cell>
          <cell r="O228">
            <v>0.68</v>
          </cell>
          <cell r="P228" t="str">
            <v>Brick and mud mortar Masonry</v>
          </cell>
          <cell r="Q228">
            <v>1.96</v>
          </cell>
          <cell r="R228">
            <v>0.69</v>
          </cell>
          <cell r="S228" t="str">
            <v>Reinforced cement concrete (RCC) frame</v>
          </cell>
          <cell r="T228">
            <v>0</v>
          </cell>
          <cell r="U228">
            <v>0.34</v>
          </cell>
          <cell r="V228" t="str">
            <v>Hybrid structure</v>
          </cell>
          <cell r="W228">
            <v>0</v>
          </cell>
          <cell r="X228">
            <v>0</v>
          </cell>
          <cell r="Y228" t="str">
            <v>Timber frame structure</v>
          </cell>
          <cell r="Z228">
            <v>0.19</v>
          </cell>
          <cell r="AA228">
            <v>0.2</v>
          </cell>
          <cell r="AB228" t="str">
            <v>Hollow concrete block Masonry</v>
          </cell>
          <cell r="AC228">
            <v>0</v>
          </cell>
          <cell r="AD228">
            <v>0</v>
          </cell>
          <cell r="AE228" t="str">
            <v>Dry stone Masonry</v>
          </cell>
          <cell r="AF228">
            <v>0.04</v>
          </cell>
          <cell r="AG228">
            <v>0.04</v>
          </cell>
          <cell r="AH228" t="str">
            <v>Adobe structures</v>
          </cell>
          <cell r="AI228">
            <v>14.15</v>
          </cell>
          <cell r="AJ228">
            <v>8.2799999999999994</v>
          </cell>
          <cell r="AK228" t="str">
            <v>Bamboo</v>
          </cell>
          <cell r="AL228">
            <v>0.04</v>
          </cell>
          <cell r="AM228">
            <v>0.3</v>
          </cell>
          <cell r="AN228" t="str">
            <v>Compressed stabilized earth block (SCEB) Masonry</v>
          </cell>
          <cell r="AO228">
            <v>0</v>
          </cell>
          <cell r="AP228">
            <v>0</v>
          </cell>
          <cell r="AQ228" t="str">
            <v>Light steel frame structures</v>
          </cell>
          <cell r="AR228">
            <v>0</v>
          </cell>
          <cell r="AS228">
            <v>0</v>
          </cell>
          <cell r="AT228">
            <v>943</v>
          </cell>
          <cell r="AU228">
            <v>346</v>
          </cell>
          <cell r="AV228">
            <v>346</v>
          </cell>
          <cell r="AW228">
            <v>132</v>
          </cell>
          <cell r="AX228">
            <v>0</v>
          </cell>
          <cell r="AY228" t="str">
            <v/>
          </cell>
          <cell r="AZ228" t="str">
            <v/>
          </cell>
          <cell r="BA228">
            <v>23</v>
          </cell>
          <cell r="BB228" t="str">
            <v/>
          </cell>
          <cell r="BC228" t="str">
            <v/>
          </cell>
          <cell r="BD228" t="str">
            <v/>
          </cell>
          <cell r="BE228" t="str">
            <v/>
          </cell>
          <cell r="BF228" t="str">
            <v/>
          </cell>
          <cell r="BG228" t="str">
            <v/>
          </cell>
          <cell r="BH228" t="str">
            <v/>
          </cell>
          <cell r="BI228" t="str">
            <v/>
          </cell>
          <cell r="BJ228" t="str">
            <v/>
          </cell>
          <cell r="BK228">
            <v>9877</v>
          </cell>
          <cell r="BL228" t="str">
            <v/>
          </cell>
          <cell r="BM228" t="str">
            <v/>
          </cell>
          <cell r="BN228">
            <v>10165</v>
          </cell>
          <cell r="BO228" t="str">
            <v/>
          </cell>
          <cell r="BP228" t="str">
            <v/>
          </cell>
          <cell r="BQ228">
            <v>1055</v>
          </cell>
          <cell r="BR228" t="str">
            <v/>
          </cell>
          <cell r="BS228" t="str">
            <v/>
          </cell>
          <cell r="BT228">
            <v>1220</v>
          </cell>
          <cell r="BU228" t="str">
            <v/>
          </cell>
          <cell r="BV228" t="str">
            <v/>
          </cell>
          <cell r="BW228" t="str">
            <v/>
          </cell>
          <cell r="BX228" t="str">
            <v/>
          </cell>
          <cell r="BY228" t="str">
            <v/>
          </cell>
          <cell r="BZ228">
            <v>33839</v>
          </cell>
          <cell r="CA228" t="str">
            <v/>
          </cell>
          <cell r="CB228" t="str">
            <v/>
          </cell>
          <cell r="CC228">
            <v>107243</v>
          </cell>
          <cell r="CD228" t="str">
            <v/>
          </cell>
          <cell r="CE228" t="str">
            <v/>
          </cell>
          <cell r="CF228">
            <v>1384</v>
          </cell>
          <cell r="CG228" t="str">
            <v/>
          </cell>
          <cell r="CH228" t="str">
            <v/>
          </cell>
          <cell r="CI228">
            <v>120325</v>
          </cell>
          <cell r="CJ228" t="str">
            <v/>
          </cell>
          <cell r="CK228" t="str">
            <v/>
          </cell>
          <cell r="CL228" t="str">
            <v>Skilled</v>
          </cell>
          <cell r="CM228" t="str">
            <v/>
          </cell>
          <cell r="CN228" t="str">
            <v>Labor</v>
          </cell>
          <cell r="CO228" t="str">
            <v/>
          </cell>
          <cell r="CP228" t="str">
            <v/>
          </cell>
          <cell r="CQ228" t="str">
            <v/>
          </cell>
          <cell r="CR228" t="str">
            <v/>
          </cell>
          <cell r="CS228" t="str">
            <v/>
          </cell>
          <cell r="CT228" t="str">
            <v/>
          </cell>
          <cell r="CU228" t="str">
            <v/>
          </cell>
          <cell r="CV228" t="str">
            <v>Municipal Office</v>
          </cell>
          <cell r="CW228" t="str">
            <v/>
          </cell>
          <cell r="CX228" t="str">
            <v>Mayor</v>
          </cell>
          <cell r="CY228" t="str">
            <v/>
          </cell>
          <cell r="CZ228" t="str">
            <v>Municipal Office</v>
          </cell>
          <cell r="DA228" t="str">
            <v/>
          </cell>
          <cell r="DB228" t="str">
            <v>Deputy Mayor</v>
          </cell>
          <cell r="DC228" t="str">
            <v/>
          </cell>
          <cell r="DD228" t="str">
            <v>Municipal Office</v>
          </cell>
          <cell r="DE228" t="str">
            <v/>
          </cell>
          <cell r="DF228" t="str">
            <v>Chief Adminstration Officer</v>
          </cell>
          <cell r="DG228" t="str">
            <v/>
          </cell>
          <cell r="DH228" t="str">
            <v>NRA/GMALI</v>
          </cell>
          <cell r="DI228" t="str">
            <v/>
          </cell>
          <cell r="DJ228" t="str">
            <v>NRA Chief-District</v>
          </cell>
          <cell r="DK228" t="str">
            <v/>
          </cell>
          <cell r="DL228" t="str">
            <v>DLPIU-Building</v>
          </cell>
          <cell r="DM228" t="str">
            <v/>
          </cell>
          <cell r="DN228" t="str">
            <v>DUDBC.DLPIU Chief</v>
          </cell>
          <cell r="DO228" t="str">
            <v/>
          </cell>
          <cell r="DP228" t="str">
            <v>Municipal Office</v>
          </cell>
          <cell r="DQ228" t="str">
            <v/>
          </cell>
          <cell r="DR228" t="str">
            <v>Focal Person</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v>0</v>
          </cell>
          <cell r="EK228">
            <v>0</v>
          </cell>
          <cell r="EL228">
            <v>0</v>
          </cell>
          <cell r="EM228">
            <v>0</v>
          </cell>
          <cell r="EN228">
            <v>0</v>
          </cell>
          <cell r="EO228">
            <v>0</v>
          </cell>
          <cell r="EP228" t="str">
            <v/>
          </cell>
          <cell r="EQ228" t="str">
            <v>Housing Recovery and Reconstruction Platform</v>
          </cell>
          <cell r="ER228" t="str">
            <v/>
          </cell>
          <cell r="ES228" t="str">
            <v>District Coordinator</v>
          </cell>
          <cell r="ET228" t="str">
            <v/>
          </cell>
          <cell r="EU228" t="str">
            <v>Housing Recovery and Reconstruction Platform</v>
          </cell>
          <cell r="EV228" t="str">
            <v/>
          </cell>
          <cell r="EW228" t="str">
            <v>DIstrict Information Management Officer</v>
          </cell>
          <cell r="EX228" t="str">
            <v/>
          </cell>
          <cell r="EY228" t="str">
            <v>Housing Recovery and Reconstruction Platform</v>
          </cell>
          <cell r="EZ228" t="str">
            <v/>
          </cell>
          <cell r="FA228" t="str">
            <v>District Technical Officer</v>
          </cell>
          <cell r="FB228" t="str">
            <v/>
          </cell>
        </row>
        <row r="229">
          <cell r="A229">
            <v>44004</v>
          </cell>
          <cell r="B229" t="str">
            <v>Parbat</v>
          </cell>
          <cell r="C229" t="str">
            <v>Mahashila Gaunpalika</v>
          </cell>
          <cell r="D229">
            <v>111</v>
          </cell>
          <cell r="E229">
            <v>438</v>
          </cell>
          <cell r="F229">
            <v>549</v>
          </cell>
          <cell r="G229" t="str">
            <v>Stone and cement mortar masonry</v>
          </cell>
          <cell r="H229">
            <v>0.18</v>
          </cell>
          <cell r="I229">
            <v>0.59</v>
          </cell>
          <cell r="J229" t="str">
            <v>Stone and Mud Mortar Masonary</v>
          </cell>
          <cell r="K229">
            <v>99.64</v>
          </cell>
          <cell r="L229">
            <v>88.88</v>
          </cell>
          <cell r="M229" t="str">
            <v>Brick and Cement Mortar Masonary</v>
          </cell>
          <cell r="N229">
            <v>0</v>
          </cell>
          <cell r="O229">
            <v>0.68</v>
          </cell>
          <cell r="P229" t="str">
            <v>Brick and mud mortar Masonry</v>
          </cell>
          <cell r="Q229">
            <v>0</v>
          </cell>
          <cell r="R229">
            <v>0.69</v>
          </cell>
          <cell r="S229" t="str">
            <v>Reinforced cement concrete (RCC) frame</v>
          </cell>
          <cell r="T229">
            <v>0</v>
          </cell>
          <cell r="U229">
            <v>0.34</v>
          </cell>
          <cell r="V229" t="str">
            <v>Hybrid structure</v>
          </cell>
          <cell r="W229">
            <v>0</v>
          </cell>
          <cell r="X229">
            <v>0</v>
          </cell>
          <cell r="Y229" t="str">
            <v>Timber frame structure</v>
          </cell>
          <cell r="Z229">
            <v>0</v>
          </cell>
          <cell r="AA229">
            <v>0.2</v>
          </cell>
          <cell r="AB229" t="str">
            <v>Hollow concrete block Masonry</v>
          </cell>
          <cell r="AC229">
            <v>0</v>
          </cell>
          <cell r="AD229">
            <v>0</v>
          </cell>
          <cell r="AE229" t="str">
            <v>Dry stone Masonry</v>
          </cell>
          <cell r="AF229">
            <v>0</v>
          </cell>
          <cell r="AG229">
            <v>0.04</v>
          </cell>
          <cell r="AH229" t="str">
            <v>Adobe structures</v>
          </cell>
          <cell r="AI229">
            <v>0.18</v>
          </cell>
          <cell r="AJ229">
            <v>8.2799999999999994</v>
          </cell>
          <cell r="AK229" t="str">
            <v>Bamboo</v>
          </cell>
          <cell r="AL229">
            <v>0</v>
          </cell>
          <cell r="AM229">
            <v>0.3</v>
          </cell>
          <cell r="AN229" t="str">
            <v>Compressed stabilized earth block (SCEB) Masonry</v>
          </cell>
          <cell r="AO229">
            <v>0</v>
          </cell>
          <cell r="AP229">
            <v>0</v>
          </cell>
          <cell r="AQ229" t="str">
            <v>Light steel frame structures</v>
          </cell>
          <cell r="AR229">
            <v>0</v>
          </cell>
          <cell r="AS229">
            <v>0</v>
          </cell>
          <cell r="AT229">
            <v>386</v>
          </cell>
          <cell r="AU229">
            <v>170</v>
          </cell>
          <cell r="AV229">
            <v>170</v>
          </cell>
          <cell r="AW229">
            <v>45</v>
          </cell>
          <cell r="AX229">
            <v>0</v>
          </cell>
          <cell r="AY229" t="str">
            <v/>
          </cell>
          <cell r="AZ229" t="str">
            <v/>
          </cell>
          <cell r="BA229">
            <v>41</v>
          </cell>
          <cell r="BB229" t="str">
            <v/>
          </cell>
          <cell r="BC229" t="str">
            <v/>
          </cell>
          <cell r="BD229" t="str">
            <v/>
          </cell>
          <cell r="BE229" t="str">
            <v/>
          </cell>
          <cell r="BF229" t="str">
            <v/>
          </cell>
          <cell r="BG229" t="str">
            <v/>
          </cell>
          <cell r="BH229" t="str">
            <v/>
          </cell>
          <cell r="BI229" t="str">
            <v/>
          </cell>
          <cell r="BJ229" t="str">
            <v/>
          </cell>
          <cell r="BK229">
            <v>4882</v>
          </cell>
          <cell r="BL229" t="str">
            <v/>
          </cell>
          <cell r="BM229" t="str">
            <v/>
          </cell>
          <cell r="BN229">
            <v>4987</v>
          </cell>
          <cell r="BO229" t="str">
            <v/>
          </cell>
          <cell r="BP229" t="str">
            <v/>
          </cell>
          <cell r="BQ229">
            <v>521</v>
          </cell>
          <cell r="BR229" t="str">
            <v/>
          </cell>
          <cell r="BS229" t="str">
            <v/>
          </cell>
          <cell r="BT229">
            <v>601</v>
          </cell>
          <cell r="BU229" t="str">
            <v/>
          </cell>
          <cell r="BV229" t="str">
            <v/>
          </cell>
          <cell r="BW229" t="str">
            <v/>
          </cell>
          <cell r="BX229" t="str">
            <v/>
          </cell>
          <cell r="BY229" t="str">
            <v/>
          </cell>
          <cell r="BZ229">
            <v>16583</v>
          </cell>
          <cell r="CA229" t="str">
            <v/>
          </cell>
          <cell r="CB229" t="str">
            <v/>
          </cell>
          <cell r="CC229">
            <v>53025</v>
          </cell>
          <cell r="CD229" t="str">
            <v/>
          </cell>
          <cell r="CE229" t="str">
            <v/>
          </cell>
          <cell r="CF229">
            <v>678</v>
          </cell>
          <cell r="CG229" t="str">
            <v/>
          </cell>
          <cell r="CH229" t="str">
            <v/>
          </cell>
          <cell r="CI229">
            <v>58034</v>
          </cell>
          <cell r="CJ229" t="str">
            <v/>
          </cell>
          <cell r="CK229" t="str">
            <v/>
          </cell>
          <cell r="CL229" t="str">
            <v>Skilled</v>
          </cell>
          <cell r="CM229" t="str">
            <v/>
          </cell>
          <cell r="CN229" t="str">
            <v>Labor</v>
          </cell>
          <cell r="CO229" t="str">
            <v/>
          </cell>
          <cell r="CP229" t="str">
            <v/>
          </cell>
          <cell r="CQ229" t="str">
            <v/>
          </cell>
          <cell r="CR229" t="str">
            <v/>
          </cell>
          <cell r="CS229" t="str">
            <v/>
          </cell>
          <cell r="CT229" t="str">
            <v/>
          </cell>
          <cell r="CU229" t="str">
            <v/>
          </cell>
          <cell r="CV229" t="str">
            <v>Municipal Office</v>
          </cell>
          <cell r="CW229" t="str">
            <v/>
          </cell>
          <cell r="CX229" t="str">
            <v>Chairman</v>
          </cell>
          <cell r="CY229" t="str">
            <v/>
          </cell>
          <cell r="CZ229" t="str">
            <v>Municipal Office</v>
          </cell>
          <cell r="DA229" t="str">
            <v/>
          </cell>
          <cell r="DB229" t="str">
            <v>Deputy Chairman</v>
          </cell>
          <cell r="DC229" t="str">
            <v/>
          </cell>
          <cell r="DD229" t="str">
            <v>Municipal Office</v>
          </cell>
          <cell r="DE229" t="str">
            <v/>
          </cell>
          <cell r="DF229" t="str">
            <v>Chief Adminstration Officer</v>
          </cell>
          <cell r="DG229" t="str">
            <v/>
          </cell>
          <cell r="DH229" t="str">
            <v>NRA/GMALI</v>
          </cell>
          <cell r="DI229" t="str">
            <v/>
          </cell>
          <cell r="DJ229" t="str">
            <v>NRA Chief-District</v>
          </cell>
          <cell r="DK229" t="str">
            <v/>
          </cell>
          <cell r="DL229" t="str">
            <v>DLPIU-Building</v>
          </cell>
          <cell r="DM229" t="str">
            <v/>
          </cell>
          <cell r="DN229" t="str">
            <v>DUDBC.DLPIU Chief</v>
          </cell>
          <cell r="DO229" t="str">
            <v/>
          </cell>
          <cell r="DP229" t="str">
            <v>Municipal Office</v>
          </cell>
          <cell r="DQ229" t="str">
            <v/>
          </cell>
          <cell r="DR229" t="str">
            <v>Focal Person</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v>0</v>
          </cell>
          <cell r="EK229">
            <v>0</v>
          </cell>
          <cell r="EL229">
            <v>0</v>
          </cell>
          <cell r="EM229">
            <v>0</v>
          </cell>
          <cell r="EN229">
            <v>0</v>
          </cell>
          <cell r="EO229">
            <v>0</v>
          </cell>
          <cell r="EP229" t="str">
            <v/>
          </cell>
          <cell r="EQ229" t="str">
            <v>Housing Recovery and Reconstruction Platform</v>
          </cell>
          <cell r="ER229" t="str">
            <v/>
          </cell>
          <cell r="ES229" t="str">
            <v>District Coordinator</v>
          </cell>
          <cell r="ET229" t="str">
            <v/>
          </cell>
          <cell r="EU229" t="str">
            <v>Housing Recovery and Reconstruction Platform</v>
          </cell>
          <cell r="EV229" t="str">
            <v/>
          </cell>
          <cell r="EW229" t="str">
            <v>DIstrict Information Management Officer</v>
          </cell>
          <cell r="EX229" t="str">
            <v/>
          </cell>
          <cell r="EY229" t="str">
            <v>Housing Recovery and Reconstruction Platform</v>
          </cell>
          <cell r="EZ229" t="str">
            <v/>
          </cell>
          <cell r="FA229" t="str">
            <v>District Technical Officer</v>
          </cell>
          <cell r="FB229" t="str">
            <v/>
          </cell>
        </row>
        <row r="230">
          <cell r="A230">
            <v>44005</v>
          </cell>
          <cell r="B230" t="str">
            <v>Parbat</v>
          </cell>
          <cell r="C230" t="str">
            <v>Modi Gaunpalika</v>
          </cell>
          <cell r="D230">
            <v>193</v>
          </cell>
          <cell r="E230">
            <v>516</v>
          </cell>
          <cell r="F230">
            <v>709</v>
          </cell>
          <cell r="G230" t="str">
            <v>Stone and cement mortar masonry</v>
          </cell>
          <cell r="H230">
            <v>1.27</v>
          </cell>
          <cell r="I230">
            <v>0.59</v>
          </cell>
          <cell r="J230" t="str">
            <v>Stone and Mud Mortar Masonary</v>
          </cell>
          <cell r="K230">
            <v>97.88</v>
          </cell>
          <cell r="L230">
            <v>88.88</v>
          </cell>
          <cell r="M230" t="str">
            <v>Brick and Cement Mortar Masonary</v>
          </cell>
          <cell r="N230">
            <v>0.71</v>
          </cell>
          <cell r="O230">
            <v>0.68</v>
          </cell>
          <cell r="P230" t="str">
            <v>Brick and mud mortar Masonry</v>
          </cell>
          <cell r="Q230">
            <v>0.14000000000000001</v>
          </cell>
          <cell r="R230">
            <v>0.69</v>
          </cell>
          <cell r="S230" t="str">
            <v>Reinforced cement concrete (RCC) frame</v>
          </cell>
          <cell r="T230">
            <v>0</v>
          </cell>
          <cell r="U230">
            <v>0.34</v>
          </cell>
          <cell r="V230" t="str">
            <v>Hybrid structure</v>
          </cell>
          <cell r="W230">
            <v>0</v>
          </cell>
          <cell r="X230">
            <v>0</v>
          </cell>
          <cell r="Y230" t="str">
            <v>Timber frame structure</v>
          </cell>
          <cell r="Z230">
            <v>0</v>
          </cell>
          <cell r="AA230">
            <v>0.2</v>
          </cell>
          <cell r="AB230" t="str">
            <v>Hollow concrete block Masonry</v>
          </cell>
          <cell r="AC230">
            <v>0</v>
          </cell>
          <cell r="AD230">
            <v>0</v>
          </cell>
          <cell r="AE230" t="str">
            <v>Dry stone Masonry</v>
          </cell>
          <cell r="AF230">
            <v>0</v>
          </cell>
          <cell r="AG230">
            <v>0.04</v>
          </cell>
          <cell r="AH230" t="str">
            <v>Adobe structures</v>
          </cell>
          <cell r="AI230">
            <v>0</v>
          </cell>
          <cell r="AJ230">
            <v>8.2799999999999994</v>
          </cell>
          <cell r="AK230" t="str">
            <v>Bamboo</v>
          </cell>
          <cell r="AL230">
            <v>0</v>
          </cell>
          <cell r="AM230">
            <v>0.3</v>
          </cell>
          <cell r="AN230" t="str">
            <v>Compressed stabilized earth block (SCEB) Masonry</v>
          </cell>
          <cell r="AO230">
            <v>0</v>
          </cell>
          <cell r="AP230">
            <v>0</v>
          </cell>
          <cell r="AQ230" t="str">
            <v>Light steel frame structures</v>
          </cell>
          <cell r="AR230">
            <v>0</v>
          </cell>
          <cell r="AS230">
            <v>0</v>
          </cell>
          <cell r="AT230">
            <v>503</v>
          </cell>
          <cell r="AU230">
            <v>159</v>
          </cell>
          <cell r="AV230">
            <v>159</v>
          </cell>
          <cell r="AW230">
            <v>136</v>
          </cell>
          <cell r="AX230">
            <v>0</v>
          </cell>
          <cell r="AY230" t="str">
            <v/>
          </cell>
          <cell r="AZ230" t="str">
            <v/>
          </cell>
          <cell r="BA230">
            <v>0</v>
          </cell>
          <cell r="BB230" t="str">
            <v/>
          </cell>
          <cell r="BC230" t="str">
            <v/>
          </cell>
          <cell r="BD230" t="str">
            <v/>
          </cell>
          <cell r="BE230" t="str">
            <v/>
          </cell>
          <cell r="BF230" t="str">
            <v/>
          </cell>
          <cell r="BG230" t="str">
            <v/>
          </cell>
          <cell r="BH230" t="str">
            <v/>
          </cell>
          <cell r="BI230" t="str">
            <v/>
          </cell>
          <cell r="BJ230" t="str">
            <v/>
          </cell>
          <cell r="BK230">
            <v>4659</v>
          </cell>
          <cell r="BL230" t="str">
            <v/>
          </cell>
          <cell r="BM230" t="str">
            <v/>
          </cell>
          <cell r="BN230">
            <v>4738</v>
          </cell>
          <cell r="BO230" t="str">
            <v/>
          </cell>
          <cell r="BP230" t="str">
            <v/>
          </cell>
          <cell r="BQ230">
            <v>497</v>
          </cell>
          <cell r="BR230" t="str">
            <v/>
          </cell>
          <cell r="BS230" t="str">
            <v/>
          </cell>
          <cell r="BT230">
            <v>571</v>
          </cell>
          <cell r="BU230" t="str">
            <v/>
          </cell>
          <cell r="BV230" t="str">
            <v/>
          </cell>
          <cell r="BW230" t="str">
            <v/>
          </cell>
          <cell r="BX230" t="str">
            <v/>
          </cell>
          <cell r="BY230" t="str">
            <v/>
          </cell>
          <cell r="BZ230">
            <v>15520</v>
          </cell>
          <cell r="CA230" t="str">
            <v/>
          </cell>
          <cell r="CB230" t="str">
            <v/>
          </cell>
          <cell r="CC230">
            <v>50314</v>
          </cell>
          <cell r="CD230" t="str">
            <v/>
          </cell>
          <cell r="CE230" t="str">
            <v/>
          </cell>
          <cell r="CF230">
            <v>633</v>
          </cell>
          <cell r="CG230" t="str">
            <v/>
          </cell>
          <cell r="CH230" t="str">
            <v/>
          </cell>
          <cell r="CI230">
            <v>20351</v>
          </cell>
          <cell r="CJ230" t="str">
            <v/>
          </cell>
          <cell r="CK230" t="str">
            <v/>
          </cell>
          <cell r="CL230" t="str">
            <v>Skilled</v>
          </cell>
          <cell r="CM230" t="str">
            <v/>
          </cell>
          <cell r="CN230" t="str">
            <v>Labor</v>
          </cell>
          <cell r="CO230" t="str">
            <v/>
          </cell>
          <cell r="CP230" t="str">
            <v/>
          </cell>
          <cell r="CQ230" t="str">
            <v/>
          </cell>
          <cell r="CR230" t="str">
            <v/>
          </cell>
          <cell r="CS230" t="str">
            <v/>
          </cell>
          <cell r="CT230" t="str">
            <v/>
          </cell>
          <cell r="CU230" t="str">
            <v/>
          </cell>
          <cell r="CV230" t="str">
            <v>Municipal Office</v>
          </cell>
          <cell r="CW230" t="str">
            <v/>
          </cell>
          <cell r="CX230" t="str">
            <v>Chairman</v>
          </cell>
          <cell r="CY230" t="str">
            <v/>
          </cell>
          <cell r="CZ230" t="str">
            <v>Municipal Office</v>
          </cell>
          <cell r="DA230" t="str">
            <v/>
          </cell>
          <cell r="DB230" t="str">
            <v>Deputy Chairman</v>
          </cell>
          <cell r="DC230" t="str">
            <v/>
          </cell>
          <cell r="DD230" t="str">
            <v>Municipal Office</v>
          </cell>
          <cell r="DE230" t="str">
            <v/>
          </cell>
          <cell r="DF230" t="str">
            <v>Chief Adminstration Officer</v>
          </cell>
          <cell r="DG230" t="str">
            <v/>
          </cell>
          <cell r="DH230" t="str">
            <v>NRA/GMALI</v>
          </cell>
          <cell r="DI230" t="str">
            <v/>
          </cell>
          <cell r="DJ230" t="str">
            <v>NRA Chief-District</v>
          </cell>
          <cell r="DK230" t="str">
            <v/>
          </cell>
          <cell r="DL230" t="str">
            <v>DLPIU-Building</v>
          </cell>
          <cell r="DM230" t="str">
            <v/>
          </cell>
          <cell r="DN230" t="str">
            <v>DUDBC.DLPIU Chief</v>
          </cell>
          <cell r="DO230" t="str">
            <v/>
          </cell>
          <cell r="DP230" t="str">
            <v>Municipal Office</v>
          </cell>
          <cell r="DQ230" t="str">
            <v/>
          </cell>
          <cell r="DR230" t="str">
            <v>Focal Person</v>
          </cell>
          <cell r="DS230" t="str">
            <v/>
          </cell>
          <cell r="DT230" t="str">
            <v/>
          </cell>
          <cell r="DU230" t="str">
            <v/>
          </cell>
          <cell r="DV230" t="str">
            <v/>
          </cell>
          <cell r="DW230" t="str">
            <v/>
          </cell>
          <cell r="DX230" t="str">
            <v/>
          </cell>
          <cell r="DY230" t="str">
            <v/>
          </cell>
          <cell r="DZ230" t="str">
            <v/>
          </cell>
          <cell r="EA230" t="str">
            <v/>
          </cell>
          <cell r="EB230" t="str">
            <v/>
          </cell>
          <cell r="EC230" t="str">
            <v/>
          </cell>
          <cell r="ED230" t="str">
            <v/>
          </cell>
          <cell r="EE230" t="str">
            <v/>
          </cell>
          <cell r="EF230" t="str">
            <v/>
          </cell>
          <cell r="EG230" t="str">
            <v/>
          </cell>
          <cell r="EH230" t="str">
            <v/>
          </cell>
          <cell r="EI230" t="str">
            <v/>
          </cell>
          <cell r="EJ230">
            <v>0</v>
          </cell>
          <cell r="EK230">
            <v>0</v>
          </cell>
          <cell r="EL230">
            <v>0</v>
          </cell>
          <cell r="EM230">
            <v>0</v>
          </cell>
          <cell r="EN230">
            <v>0</v>
          </cell>
          <cell r="EO230">
            <v>0</v>
          </cell>
          <cell r="EP230" t="str">
            <v/>
          </cell>
          <cell r="EQ230" t="str">
            <v>Housing Recovery and Reconstruction Platform</v>
          </cell>
          <cell r="ER230" t="str">
            <v/>
          </cell>
          <cell r="ES230" t="str">
            <v>District Coordinator</v>
          </cell>
          <cell r="ET230" t="str">
            <v/>
          </cell>
          <cell r="EU230" t="str">
            <v>Housing Recovery and Reconstruction Platform</v>
          </cell>
          <cell r="EV230" t="str">
            <v/>
          </cell>
          <cell r="EW230" t="str">
            <v>DIstrict Information Management Officer</v>
          </cell>
          <cell r="EX230" t="str">
            <v/>
          </cell>
          <cell r="EY230" t="str">
            <v>Housing Recovery and Reconstruction Platform</v>
          </cell>
          <cell r="EZ230" t="str">
            <v/>
          </cell>
          <cell r="FA230" t="str">
            <v>District Technical Officer</v>
          </cell>
          <cell r="FB230" t="str">
            <v/>
          </cell>
        </row>
        <row r="231">
          <cell r="A231">
            <v>44006</v>
          </cell>
          <cell r="B231" t="str">
            <v>Parbat</v>
          </cell>
          <cell r="C231" t="str">
            <v>Painyu Gaunpalika</v>
          </cell>
          <cell r="D231">
            <v>1218</v>
          </cell>
          <cell r="E231">
            <v>828</v>
          </cell>
          <cell r="F231">
            <v>2046</v>
          </cell>
          <cell r="G231" t="str">
            <v>Stone and cement mortar masonry</v>
          </cell>
          <cell r="H231">
            <v>0.34</v>
          </cell>
          <cell r="I231">
            <v>0.59</v>
          </cell>
          <cell r="J231" t="str">
            <v>Stone and Mud Mortar Masonary</v>
          </cell>
          <cell r="K231">
            <v>97.46</v>
          </cell>
          <cell r="L231">
            <v>88.88</v>
          </cell>
          <cell r="M231" t="str">
            <v>Brick and Cement Mortar Masonary</v>
          </cell>
          <cell r="N231">
            <v>0.05</v>
          </cell>
          <cell r="O231">
            <v>0.68</v>
          </cell>
          <cell r="P231" t="str">
            <v>Brick and mud mortar Masonry</v>
          </cell>
          <cell r="Q231">
            <v>0.05</v>
          </cell>
          <cell r="R231">
            <v>0.69</v>
          </cell>
          <cell r="S231" t="str">
            <v>Reinforced cement concrete (RCC) frame</v>
          </cell>
          <cell r="T231">
            <v>1.03</v>
          </cell>
          <cell r="U231">
            <v>0.34</v>
          </cell>
          <cell r="V231" t="str">
            <v>Hybrid structure</v>
          </cell>
          <cell r="W231">
            <v>0</v>
          </cell>
          <cell r="X231">
            <v>0</v>
          </cell>
          <cell r="Y231" t="str">
            <v>Timber frame structure</v>
          </cell>
          <cell r="Z231">
            <v>0.44</v>
          </cell>
          <cell r="AA231">
            <v>0.2</v>
          </cell>
          <cell r="AB231" t="str">
            <v>Hollow concrete block Masonry</v>
          </cell>
          <cell r="AC231">
            <v>0</v>
          </cell>
          <cell r="AD231">
            <v>0</v>
          </cell>
          <cell r="AE231" t="str">
            <v>Dry stone Masonry</v>
          </cell>
          <cell r="AF231">
            <v>0.05</v>
          </cell>
          <cell r="AG231">
            <v>0.04</v>
          </cell>
          <cell r="AH231" t="str">
            <v>Adobe structures</v>
          </cell>
          <cell r="AI231">
            <v>0.15</v>
          </cell>
          <cell r="AJ231">
            <v>8.2799999999999994</v>
          </cell>
          <cell r="AK231" t="str">
            <v>Bamboo</v>
          </cell>
          <cell r="AL231">
            <v>0.44</v>
          </cell>
          <cell r="AM231">
            <v>0.3</v>
          </cell>
          <cell r="AN231" t="str">
            <v>Compressed stabilized earth block (SCEB) Masonry</v>
          </cell>
          <cell r="AO231">
            <v>0</v>
          </cell>
          <cell r="AP231">
            <v>0</v>
          </cell>
          <cell r="AQ231" t="str">
            <v>Light steel frame structures</v>
          </cell>
          <cell r="AR231">
            <v>0</v>
          </cell>
          <cell r="AS231">
            <v>0</v>
          </cell>
          <cell r="AT231">
            <v>657</v>
          </cell>
          <cell r="AU231">
            <v>218</v>
          </cell>
          <cell r="AV231">
            <v>218</v>
          </cell>
          <cell r="AW231">
            <v>39</v>
          </cell>
          <cell r="AX231">
            <v>0</v>
          </cell>
          <cell r="AY231" t="str">
            <v/>
          </cell>
          <cell r="AZ231" t="str">
            <v/>
          </cell>
          <cell r="BA231">
            <v>154</v>
          </cell>
          <cell r="BB231" t="str">
            <v/>
          </cell>
          <cell r="BC231" t="str">
            <v/>
          </cell>
          <cell r="BD231" t="str">
            <v/>
          </cell>
          <cell r="BE231" t="str">
            <v/>
          </cell>
          <cell r="BF231" t="str">
            <v/>
          </cell>
          <cell r="BG231" t="str">
            <v/>
          </cell>
          <cell r="BH231" t="str">
            <v/>
          </cell>
          <cell r="BI231" t="str">
            <v/>
          </cell>
          <cell r="BJ231" t="str">
            <v/>
          </cell>
          <cell r="BK231">
            <v>6278</v>
          </cell>
          <cell r="BL231" t="str">
            <v/>
          </cell>
          <cell r="BM231" t="str">
            <v/>
          </cell>
          <cell r="BN231">
            <v>6316</v>
          </cell>
          <cell r="BO231" t="str">
            <v/>
          </cell>
          <cell r="BP231" t="str">
            <v/>
          </cell>
          <cell r="BQ231">
            <v>670</v>
          </cell>
          <cell r="BR231" t="str">
            <v/>
          </cell>
          <cell r="BS231" t="str">
            <v/>
          </cell>
          <cell r="BT231">
            <v>770</v>
          </cell>
          <cell r="BU231" t="str">
            <v/>
          </cell>
          <cell r="BV231" t="str">
            <v/>
          </cell>
          <cell r="BW231" t="str">
            <v/>
          </cell>
          <cell r="BX231" t="str">
            <v/>
          </cell>
          <cell r="BY231" t="str">
            <v/>
          </cell>
          <cell r="BZ231">
            <v>21255</v>
          </cell>
          <cell r="CA231" t="str">
            <v/>
          </cell>
          <cell r="CB231" t="str">
            <v/>
          </cell>
          <cell r="CC231">
            <v>68653</v>
          </cell>
          <cell r="CD231" t="str">
            <v/>
          </cell>
          <cell r="CE231" t="str">
            <v/>
          </cell>
          <cell r="CF231">
            <v>870</v>
          </cell>
          <cell r="CG231" t="str">
            <v/>
          </cell>
          <cell r="CH231" t="str">
            <v/>
          </cell>
          <cell r="CI231">
            <v>118126</v>
          </cell>
          <cell r="CJ231" t="str">
            <v/>
          </cell>
          <cell r="CK231" t="str">
            <v/>
          </cell>
          <cell r="CL231" t="str">
            <v>Skilled</v>
          </cell>
          <cell r="CM231" t="str">
            <v/>
          </cell>
          <cell r="CN231" t="str">
            <v>Labor</v>
          </cell>
          <cell r="CO231" t="str">
            <v/>
          </cell>
          <cell r="CP231" t="str">
            <v/>
          </cell>
          <cell r="CQ231" t="str">
            <v/>
          </cell>
          <cell r="CR231" t="str">
            <v/>
          </cell>
          <cell r="CS231" t="str">
            <v/>
          </cell>
          <cell r="CT231" t="str">
            <v/>
          </cell>
          <cell r="CU231" t="str">
            <v/>
          </cell>
          <cell r="CV231" t="str">
            <v>Municipal Office</v>
          </cell>
          <cell r="CW231" t="str">
            <v/>
          </cell>
          <cell r="CX231" t="str">
            <v>Chairman</v>
          </cell>
          <cell r="CY231" t="str">
            <v/>
          </cell>
          <cell r="CZ231" t="str">
            <v>Municipal Office</v>
          </cell>
          <cell r="DA231" t="str">
            <v/>
          </cell>
          <cell r="DB231" t="str">
            <v>Deputy Chairman</v>
          </cell>
          <cell r="DC231" t="str">
            <v/>
          </cell>
          <cell r="DD231" t="str">
            <v>Municipal Office</v>
          </cell>
          <cell r="DE231" t="str">
            <v/>
          </cell>
          <cell r="DF231" t="str">
            <v>Chief Adminstration Officer</v>
          </cell>
          <cell r="DG231" t="str">
            <v/>
          </cell>
          <cell r="DH231" t="str">
            <v>NRA/GMALI</v>
          </cell>
          <cell r="DI231" t="str">
            <v/>
          </cell>
          <cell r="DJ231" t="str">
            <v>NRA Chief-District</v>
          </cell>
          <cell r="DK231" t="str">
            <v/>
          </cell>
          <cell r="DL231" t="str">
            <v>DLPIU-Building</v>
          </cell>
          <cell r="DM231" t="str">
            <v/>
          </cell>
          <cell r="DN231" t="str">
            <v>DUDBC.DLPIU Chief</v>
          </cell>
          <cell r="DO231" t="str">
            <v/>
          </cell>
          <cell r="DP231" t="str">
            <v>Municipal Office</v>
          </cell>
          <cell r="DQ231" t="str">
            <v/>
          </cell>
          <cell r="DR231" t="str">
            <v>Focal Person</v>
          </cell>
          <cell r="DS231" t="str">
            <v/>
          </cell>
          <cell r="DT231" t="str">
            <v/>
          </cell>
          <cell r="DU231" t="str">
            <v/>
          </cell>
          <cell r="DV231" t="str">
            <v/>
          </cell>
          <cell r="DW231" t="str">
            <v/>
          </cell>
          <cell r="DX231" t="str">
            <v/>
          </cell>
          <cell r="DY231" t="str">
            <v/>
          </cell>
          <cell r="DZ231" t="str">
            <v/>
          </cell>
          <cell r="EA231" t="str">
            <v/>
          </cell>
          <cell r="EB231" t="str">
            <v/>
          </cell>
          <cell r="EC231" t="str">
            <v/>
          </cell>
          <cell r="ED231" t="str">
            <v/>
          </cell>
          <cell r="EE231" t="str">
            <v/>
          </cell>
          <cell r="EF231" t="str">
            <v/>
          </cell>
          <cell r="EG231" t="str">
            <v/>
          </cell>
          <cell r="EH231" t="str">
            <v/>
          </cell>
          <cell r="EI231" t="str">
            <v/>
          </cell>
          <cell r="EJ231">
            <v>0</v>
          </cell>
          <cell r="EK231">
            <v>0</v>
          </cell>
          <cell r="EL231">
            <v>0</v>
          </cell>
          <cell r="EM231">
            <v>0</v>
          </cell>
          <cell r="EN231">
            <v>0</v>
          </cell>
          <cell r="EO231">
            <v>0</v>
          </cell>
          <cell r="EP231" t="str">
            <v/>
          </cell>
          <cell r="EQ231" t="str">
            <v>Housing Recovery and Reconstruction Platform</v>
          </cell>
          <cell r="ER231" t="str">
            <v/>
          </cell>
          <cell r="ES231" t="str">
            <v>District Coordinator</v>
          </cell>
          <cell r="ET231" t="str">
            <v/>
          </cell>
          <cell r="EU231" t="str">
            <v>Housing Recovery and Reconstruction Platform</v>
          </cell>
          <cell r="EV231" t="str">
            <v/>
          </cell>
          <cell r="EW231" t="str">
            <v>DIstrict Information Management Officer</v>
          </cell>
          <cell r="EX231" t="str">
            <v/>
          </cell>
          <cell r="EY231" t="str">
            <v>Housing Recovery and Reconstruction Platform</v>
          </cell>
          <cell r="EZ231" t="str">
            <v/>
          </cell>
          <cell r="FA231" t="str">
            <v>District Technical Officer</v>
          </cell>
          <cell r="FB231" t="str">
            <v/>
          </cell>
        </row>
        <row r="232">
          <cell r="A232">
            <v>44007</v>
          </cell>
          <cell r="B232" t="str">
            <v>Parbat</v>
          </cell>
          <cell r="C232" t="str">
            <v>Phalebas Nagarpalika</v>
          </cell>
          <cell r="D232">
            <v>449</v>
          </cell>
          <cell r="E232">
            <v>1557</v>
          </cell>
          <cell r="F232">
            <v>2006</v>
          </cell>
          <cell r="G232" t="str">
            <v>Stone and cement mortar masonry</v>
          </cell>
          <cell r="H232">
            <v>0.3</v>
          </cell>
          <cell r="I232">
            <v>0.59</v>
          </cell>
          <cell r="J232" t="str">
            <v>Stone and Mud Mortar Masonary</v>
          </cell>
          <cell r="K232">
            <v>71.44</v>
          </cell>
          <cell r="L232">
            <v>88.88</v>
          </cell>
          <cell r="M232" t="str">
            <v>Brick and Cement Mortar Masonary</v>
          </cell>
          <cell r="N232">
            <v>1.05</v>
          </cell>
          <cell r="O232">
            <v>0.68</v>
          </cell>
          <cell r="P232" t="str">
            <v>Brick and mud mortar Masonry</v>
          </cell>
          <cell r="Q232">
            <v>1.05</v>
          </cell>
          <cell r="R232">
            <v>0.69</v>
          </cell>
          <cell r="S232" t="str">
            <v>Reinforced cement concrete (RCC) frame</v>
          </cell>
          <cell r="T232">
            <v>0.1</v>
          </cell>
          <cell r="U232">
            <v>0.34</v>
          </cell>
          <cell r="V232" t="str">
            <v>Hybrid structure</v>
          </cell>
          <cell r="W232">
            <v>0</v>
          </cell>
          <cell r="X232">
            <v>0</v>
          </cell>
          <cell r="Y232" t="str">
            <v>Timber frame structure</v>
          </cell>
          <cell r="Z232">
            <v>0.05</v>
          </cell>
          <cell r="AA232">
            <v>0.2</v>
          </cell>
          <cell r="AB232" t="str">
            <v>Hollow concrete block Masonry</v>
          </cell>
          <cell r="AC232">
            <v>0</v>
          </cell>
          <cell r="AD232">
            <v>0</v>
          </cell>
          <cell r="AE232" t="str">
            <v>Dry stone Masonry</v>
          </cell>
          <cell r="AF232">
            <v>0</v>
          </cell>
          <cell r="AG232">
            <v>0.04</v>
          </cell>
          <cell r="AH232" t="str">
            <v>Adobe structures</v>
          </cell>
          <cell r="AI232">
            <v>26.02</v>
          </cell>
          <cell r="AJ232">
            <v>8.2799999999999994</v>
          </cell>
          <cell r="AK232" t="str">
            <v>Bamboo</v>
          </cell>
          <cell r="AL232">
            <v>0</v>
          </cell>
          <cell r="AM232">
            <v>0.3</v>
          </cell>
          <cell r="AN232" t="str">
            <v>Compressed stabilized earth block (SCEB) Masonry</v>
          </cell>
          <cell r="AO232">
            <v>0</v>
          </cell>
          <cell r="AP232">
            <v>0</v>
          </cell>
          <cell r="AQ232" t="str">
            <v>Light steel frame structures</v>
          </cell>
          <cell r="AR232">
            <v>0</v>
          </cell>
          <cell r="AS232">
            <v>0</v>
          </cell>
          <cell r="AT232">
            <v>1464</v>
          </cell>
          <cell r="AU232">
            <v>322</v>
          </cell>
          <cell r="AV232">
            <v>322</v>
          </cell>
          <cell r="AW232">
            <v>207</v>
          </cell>
          <cell r="AX232">
            <v>0</v>
          </cell>
          <cell r="AY232" t="str">
            <v/>
          </cell>
          <cell r="AZ232" t="str">
            <v/>
          </cell>
          <cell r="BA232">
            <v>105</v>
          </cell>
          <cell r="BB232" t="str">
            <v/>
          </cell>
          <cell r="BC232" t="str">
            <v/>
          </cell>
          <cell r="BD232" t="str">
            <v/>
          </cell>
          <cell r="BE232" t="str">
            <v/>
          </cell>
          <cell r="BF232" t="str">
            <v/>
          </cell>
          <cell r="BG232" t="str">
            <v/>
          </cell>
          <cell r="BH232" t="str">
            <v/>
          </cell>
          <cell r="BI232" t="str">
            <v/>
          </cell>
          <cell r="BJ232" t="str">
            <v/>
          </cell>
          <cell r="BK232">
            <v>8833</v>
          </cell>
          <cell r="BL232" t="str">
            <v/>
          </cell>
          <cell r="BM232" t="str">
            <v/>
          </cell>
          <cell r="BN232">
            <v>8419</v>
          </cell>
          <cell r="BO232" t="str">
            <v/>
          </cell>
          <cell r="BP232" t="str">
            <v/>
          </cell>
          <cell r="BQ232">
            <v>937</v>
          </cell>
          <cell r="BR232" t="str">
            <v/>
          </cell>
          <cell r="BS232" t="str">
            <v/>
          </cell>
          <cell r="BT232">
            <v>1058</v>
          </cell>
          <cell r="BU232" t="str">
            <v/>
          </cell>
          <cell r="BV232" t="str">
            <v/>
          </cell>
          <cell r="BW232" t="str">
            <v/>
          </cell>
          <cell r="BX232" t="str">
            <v/>
          </cell>
          <cell r="BY232" t="str">
            <v/>
          </cell>
          <cell r="BZ232">
            <v>27800</v>
          </cell>
          <cell r="CA232" t="str">
            <v/>
          </cell>
          <cell r="CB232" t="str">
            <v/>
          </cell>
          <cell r="CC232">
            <v>96444</v>
          </cell>
          <cell r="CD232" t="str">
            <v/>
          </cell>
          <cell r="CE232" t="str">
            <v/>
          </cell>
          <cell r="CF232">
            <v>1134</v>
          </cell>
          <cell r="CG232" t="str">
            <v/>
          </cell>
          <cell r="CH232" t="str">
            <v/>
          </cell>
          <cell r="CI232">
            <v>103490</v>
          </cell>
          <cell r="CJ232" t="str">
            <v/>
          </cell>
          <cell r="CK232" t="str">
            <v/>
          </cell>
          <cell r="CL232" t="str">
            <v>Skilled</v>
          </cell>
          <cell r="CM232" t="str">
            <v/>
          </cell>
          <cell r="CN232" t="str">
            <v>Labor</v>
          </cell>
          <cell r="CO232" t="str">
            <v/>
          </cell>
          <cell r="CP232" t="str">
            <v/>
          </cell>
          <cell r="CQ232" t="str">
            <v/>
          </cell>
          <cell r="CR232" t="str">
            <v/>
          </cell>
          <cell r="CS232" t="str">
            <v/>
          </cell>
          <cell r="CT232" t="str">
            <v/>
          </cell>
          <cell r="CU232" t="str">
            <v/>
          </cell>
          <cell r="CV232" t="str">
            <v>Municipal Office</v>
          </cell>
          <cell r="CW232" t="str">
            <v/>
          </cell>
          <cell r="CX232" t="str">
            <v>Mayor</v>
          </cell>
          <cell r="CY232" t="str">
            <v/>
          </cell>
          <cell r="CZ232" t="str">
            <v>Municipal Office</v>
          </cell>
          <cell r="DA232" t="str">
            <v/>
          </cell>
          <cell r="DB232" t="str">
            <v>Deputy Mayor</v>
          </cell>
          <cell r="DC232" t="str">
            <v/>
          </cell>
          <cell r="DD232" t="str">
            <v>Municipal Office</v>
          </cell>
          <cell r="DE232" t="str">
            <v/>
          </cell>
          <cell r="DF232" t="str">
            <v>Chief Adminstration Officer</v>
          </cell>
          <cell r="DG232" t="str">
            <v/>
          </cell>
          <cell r="DH232" t="str">
            <v>NRA/GMALI</v>
          </cell>
          <cell r="DI232" t="str">
            <v/>
          </cell>
          <cell r="DJ232" t="str">
            <v>NRA Chief-District</v>
          </cell>
          <cell r="DK232" t="str">
            <v/>
          </cell>
          <cell r="DL232" t="str">
            <v>DLPIU-Building</v>
          </cell>
          <cell r="DM232" t="str">
            <v/>
          </cell>
          <cell r="DN232" t="str">
            <v>DUDBC.DLPIU Chief</v>
          </cell>
          <cell r="DO232" t="str">
            <v/>
          </cell>
          <cell r="DP232" t="str">
            <v>Municipal Office</v>
          </cell>
          <cell r="DQ232" t="str">
            <v/>
          </cell>
          <cell r="DR232" t="str">
            <v>Focal Person</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v>0</v>
          </cell>
          <cell r="EK232">
            <v>0</v>
          </cell>
          <cell r="EL232">
            <v>0</v>
          </cell>
          <cell r="EM232">
            <v>0</v>
          </cell>
          <cell r="EN232">
            <v>0</v>
          </cell>
          <cell r="EO232">
            <v>0</v>
          </cell>
          <cell r="EP232" t="str">
            <v/>
          </cell>
          <cell r="EQ232" t="str">
            <v>Housing Recovery and Reconstruction Platform</v>
          </cell>
          <cell r="ER232" t="str">
            <v/>
          </cell>
          <cell r="ES232" t="str">
            <v>District Coordinator</v>
          </cell>
          <cell r="ET232" t="str">
            <v/>
          </cell>
          <cell r="EU232" t="str">
            <v>Housing Recovery and Reconstruction Platform</v>
          </cell>
          <cell r="EV232" t="str">
            <v/>
          </cell>
          <cell r="EW232" t="str">
            <v>DIstrict Information Management Officer</v>
          </cell>
          <cell r="EX232" t="str">
            <v/>
          </cell>
          <cell r="EY232" t="str">
            <v>Housing Recovery and Reconstruction Platform</v>
          </cell>
          <cell r="EZ232" t="str">
            <v/>
          </cell>
          <cell r="FA232" t="str">
            <v>District Technical Officer</v>
          </cell>
          <cell r="FB232" t="str">
            <v/>
          </cell>
        </row>
        <row r="233">
          <cell r="A233">
            <v>45001</v>
          </cell>
          <cell r="B233" t="str">
            <v>Baglung</v>
          </cell>
          <cell r="C233" t="str">
            <v>Badigad Gaunpalika</v>
          </cell>
          <cell r="D233">
            <v>113</v>
          </cell>
          <cell r="E233">
            <v>151</v>
          </cell>
          <cell r="F233">
            <v>264</v>
          </cell>
          <cell r="G233" t="str">
            <v>Stone and cement mortar masonry</v>
          </cell>
          <cell r="H233">
            <v>1.1399999999999999</v>
          </cell>
          <cell r="I233">
            <v>1.27</v>
          </cell>
          <cell r="J233" t="str">
            <v>Stone and Mud Mortar Masonary</v>
          </cell>
          <cell r="K233">
            <v>98.86</v>
          </cell>
          <cell r="L233">
            <v>87.91</v>
          </cell>
          <cell r="M233" t="str">
            <v>Brick and Cement Mortar Masonary</v>
          </cell>
          <cell r="N233">
            <v>0</v>
          </cell>
          <cell r="O233">
            <v>0.68</v>
          </cell>
          <cell r="P233" t="str">
            <v>Brick and mud mortar Masonry</v>
          </cell>
          <cell r="Q233">
            <v>0</v>
          </cell>
          <cell r="R233">
            <v>2.63</v>
          </cell>
          <cell r="S233" t="str">
            <v>Reinforced cement concrete (RCC) frame</v>
          </cell>
          <cell r="T233">
            <v>0</v>
          </cell>
          <cell r="U233">
            <v>2.57</v>
          </cell>
          <cell r="V233" t="str">
            <v>Hybrid structure</v>
          </cell>
          <cell r="W233">
            <v>0</v>
          </cell>
          <cell r="X233">
            <v>0</v>
          </cell>
          <cell r="Y233" t="str">
            <v>Timber frame structure</v>
          </cell>
          <cell r="Z233">
            <v>0</v>
          </cell>
          <cell r="AA233">
            <v>0.05</v>
          </cell>
          <cell r="AB233" t="str">
            <v>Hollow concrete block Masonry</v>
          </cell>
          <cell r="AC233">
            <v>0</v>
          </cell>
          <cell r="AD233">
            <v>0</v>
          </cell>
          <cell r="AE233" t="str">
            <v>Dry stone Masonry</v>
          </cell>
          <cell r="AF233">
            <v>0</v>
          </cell>
          <cell r="AG233">
            <v>0.13</v>
          </cell>
          <cell r="AH233" t="str">
            <v>Adobe structures</v>
          </cell>
          <cell r="AI233">
            <v>0</v>
          </cell>
          <cell r="AJ233">
            <v>4.76</v>
          </cell>
          <cell r="AK233" t="str">
            <v>Bamboo</v>
          </cell>
          <cell r="AL233">
            <v>0</v>
          </cell>
          <cell r="AM233">
            <v>0</v>
          </cell>
          <cell r="AN233" t="str">
            <v>Compressed stabilized earth block (SCEB) Masonry</v>
          </cell>
          <cell r="AO233">
            <v>0</v>
          </cell>
          <cell r="AP233">
            <v>0</v>
          </cell>
          <cell r="AQ233" t="str">
            <v>Light steel frame structures</v>
          </cell>
          <cell r="AR233">
            <v>0</v>
          </cell>
          <cell r="AS233">
            <v>0</v>
          </cell>
          <cell r="AT233">
            <v>147</v>
          </cell>
          <cell r="AU233">
            <v>77</v>
          </cell>
          <cell r="AV233">
            <v>77</v>
          </cell>
          <cell r="AW233">
            <v>9</v>
          </cell>
          <cell r="AX233">
            <v>0</v>
          </cell>
          <cell r="AY233" t="str">
            <v/>
          </cell>
          <cell r="AZ233" t="str">
            <v/>
          </cell>
          <cell r="BA233">
            <v>0</v>
          </cell>
          <cell r="BB233" t="str">
            <v/>
          </cell>
          <cell r="BC233" t="str">
            <v/>
          </cell>
          <cell r="BD233" t="str">
            <v/>
          </cell>
          <cell r="BE233" t="str">
            <v/>
          </cell>
          <cell r="BF233" t="str">
            <v/>
          </cell>
          <cell r="BG233" t="str">
            <v/>
          </cell>
          <cell r="BH233" t="str">
            <v/>
          </cell>
          <cell r="BI233" t="str">
            <v/>
          </cell>
          <cell r="BJ233" t="str">
            <v/>
          </cell>
          <cell r="BK233">
            <v>2201</v>
          </cell>
          <cell r="BL233" t="str">
            <v/>
          </cell>
          <cell r="BM233" t="str">
            <v/>
          </cell>
          <cell r="BN233">
            <v>2259</v>
          </cell>
          <cell r="BO233" t="str">
            <v/>
          </cell>
          <cell r="BP233" t="str">
            <v/>
          </cell>
          <cell r="BQ233">
            <v>235</v>
          </cell>
          <cell r="BR233" t="str">
            <v/>
          </cell>
          <cell r="BS233" t="str">
            <v/>
          </cell>
          <cell r="BT233">
            <v>272</v>
          </cell>
          <cell r="BU233" t="str">
            <v/>
          </cell>
          <cell r="BV233" t="str">
            <v/>
          </cell>
          <cell r="BW233" t="str">
            <v/>
          </cell>
          <cell r="BX233" t="str">
            <v/>
          </cell>
          <cell r="BY233" t="str">
            <v/>
          </cell>
          <cell r="BZ233">
            <v>7530</v>
          </cell>
          <cell r="CA233" t="str">
            <v/>
          </cell>
          <cell r="CB233" t="str">
            <v/>
          </cell>
          <cell r="CC233">
            <v>23916</v>
          </cell>
          <cell r="CD233" t="str">
            <v/>
          </cell>
          <cell r="CE233" t="str">
            <v/>
          </cell>
          <cell r="CF233">
            <v>308</v>
          </cell>
          <cell r="CG233" t="str">
            <v/>
          </cell>
          <cell r="CH233" t="str">
            <v/>
          </cell>
          <cell r="CI233">
            <v>28515</v>
          </cell>
          <cell r="CJ233" t="str">
            <v/>
          </cell>
          <cell r="CK233" t="str">
            <v/>
          </cell>
          <cell r="CL233" t="str">
            <v>Skilled</v>
          </cell>
          <cell r="CM233" t="str">
            <v/>
          </cell>
          <cell r="CN233" t="str">
            <v>Labor</v>
          </cell>
          <cell r="CO233" t="str">
            <v/>
          </cell>
          <cell r="CP233" t="str">
            <v/>
          </cell>
          <cell r="CQ233" t="str">
            <v/>
          </cell>
          <cell r="CR233" t="str">
            <v/>
          </cell>
          <cell r="CS233" t="str">
            <v/>
          </cell>
          <cell r="CT233" t="str">
            <v/>
          </cell>
          <cell r="CU233" t="str">
            <v/>
          </cell>
          <cell r="CV233" t="str">
            <v>Municipal Office</v>
          </cell>
          <cell r="CW233" t="str">
            <v/>
          </cell>
          <cell r="CX233" t="str">
            <v>Chairman</v>
          </cell>
          <cell r="CY233" t="str">
            <v/>
          </cell>
          <cell r="CZ233" t="str">
            <v>Municipal Office</v>
          </cell>
          <cell r="DA233" t="str">
            <v/>
          </cell>
          <cell r="DB233" t="str">
            <v>Deputy Chairman</v>
          </cell>
          <cell r="DC233" t="str">
            <v/>
          </cell>
          <cell r="DD233" t="str">
            <v>Municipal Office</v>
          </cell>
          <cell r="DE233" t="str">
            <v/>
          </cell>
          <cell r="DF233" t="str">
            <v>Chief Adminstration Officer</v>
          </cell>
          <cell r="DG233" t="str">
            <v/>
          </cell>
          <cell r="DH233" t="str">
            <v>NRA/GMALI</v>
          </cell>
          <cell r="DI233" t="str">
            <v/>
          </cell>
          <cell r="DJ233" t="str">
            <v>NRA Chief-District</v>
          </cell>
          <cell r="DK233" t="str">
            <v/>
          </cell>
          <cell r="DL233" t="str">
            <v>DLPIU-Building</v>
          </cell>
          <cell r="DM233" t="str">
            <v/>
          </cell>
          <cell r="DN233" t="str">
            <v>DUDBC.DLPIU Chief</v>
          </cell>
          <cell r="DO233" t="str">
            <v/>
          </cell>
          <cell r="DP233" t="str">
            <v>Municipal Office</v>
          </cell>
          <cell r="DQ233" t="str">
            <v/>
          </cell>
          <cell r="DR233" t="str">
            <v>Focal Person</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v>0</v>
          </cell>
          <cell r="EK233">
            <v>0</v>
          </cell>
          <cell r="EL233">
            <v>0</v>
          </cell>
          <cell r="EM233">
            <v>0</v>
          </cell>
          <cell r="EN233">
            <v>0</v>
          </cell>
          <cell r="EO233">
            <v>0</v>
          </cell>
          <cell r="EP233" t="str">
            <v/>
          </cell>
          <cell r="EQ233" t="str">
            <v>Housing Recovery and Reconstruction Platform</v>
          </cell>
          <cell r="ER233" t="str">
            <v/>
          </cell>
          <cell r="ES233" t="str">
            <v>District Coordinator</v>
          </cell>
          <cell r="ET233" t="str">
            <v/>
          </cell>
          <cell r="EU233" t="str">
            <v>Housing Recovery and Reconstruction Platform</v>
          </cell>
          <cell r="EV233" t="str">
            <v/>
          </cell>
          <cell r="EW233" t="str">
            <v>DIstrict Information Management Officer</v>
          </cell>
          <cell r="EX233" t="str">
            <v/>
          </cell>
          <cell r="EY233" t="str">
            <v>Housing Recovery and Reconstruction Platform</v>
          </cell>
          <cell r="EZ233" t="str">
            <v/>
          </cell>
          <cell r="FA233" t="str">
            <v>District Technical Officer</v>
          </cell>
          <cell r="FB233" t="str">
            <v/>
          </cell>
        </row>
        <row r="234">
          <cell r="A234">
            <v>45002</v>
          </cell>
          <cell r="B234" t="str">
            <v>Baglung</v>
          </cell>
          <cell r="C234" t="str">
            <v>Baglung Nagarpalika</v>
          </cell>
          <cell r="D234">
            <v>726</v>
          </cell>
          <cell r="E234">
            <v>645</v>
          </cell>
          <cell r="F234">
            <v>1371</v>
          </cell>
          <cell r="G234" t="str">
            <v>Stone and cement mortar masonry</v>
          </cell>
          <cell r="H234">
            <v>1.39</v>
          </cell>
          <cell r="I234">
            <v>1.27</v>
          </cell>
          <cell r="J234" t="str">
            <v>Stone and Mud Mortar Masonary</v>
          </cell>
          <cell r="K234">
            <v>71.819999999999993</v>
          </cell>
          <cell r="L234">
            <v>87.91</v>
          </cell>
          <cell r="M234" t="str">
            <v>Brick and Cement Mortar Masonary</v>
          </cell>
          <cell r="N234">
            <v>1.9</v>
          </cell>
          <cell r="O234">
            <v>0.68</v>
          </cell>
          <cell r="P234" t="str">
            <v>Brick and mud mortar Masonry</v>
          </cell>
          <cell r="Q234">
            <v>7.3</v>
          </cell>
          <cell r="R234">
            <v>2.63</v>
          </cell>
          <cell r="S234" t="str">
            <v>Reinforced cement concrete (RCC) frame</v>
          </cell>
          <cell r="T234">
            <v>7.15</v>
          </cell>
          <cell r="U234">
            <v>2.57</v>
          </cell>
          <cell r="V234" t="str">
            <v>Hybrid structure</v>
          </cell>
          <cell r="W234">
            <v>0</v>
          </cell>
          <cell r="X234">
            <v>0</v>
          </cell>
          <cell r="Y234" t="str">
            <v>Timber frame structure</v>
          </cell>
          <cell r="Z234">
            <v>0</v>
          </cell>
          <cell r="AA234">
            <v>0.05</v>
          </cell>
          <cell r="AB234" t="str">
            <v>Hollow concrete block Masonry</v>
          </cell>
          <cell r="AC234">
            <v>0</v>
          </cell>
          <cell r="AD234">
            <v>0</v>
          </cell>
          <cell r="AE234" t="str">
            <v>Dry stone Masonry</v>
          </cell>
          <cell r="AF234">
            <v>0.36</v>
          </cell>
          <cell r="AG234">
            <v>0.13</v>
          </cell>
          <cell r="AH234" t="str">
            <v>Adobe structures</v>
          </cell>
          <cell r="AI234">
            <v>10.07</v>
          </cell>
          <cell r="AJ234">
            <v>4.76</v>
          </cell>
          <cell r="AK234" t="str">
            <v>Bamboo</v>
          </cell>
          <cell r="AL234">
            <v>0</v>
          </cell>
          <cell r="AM234">
            <v>0</v>
          </cell>
          <cell r="AN234" t="str">
            <v>Compressed stabilized earth block (SCEB) Masonry</v>
          </cell>
          <cell r="AO234">
            <v>0</v>
          </cell>
          <cell r="AP234">
            <v>0</v>
          </cell>
          <cell r="AQ234" t="str">
            <v>Light steel frame structures</v>
          </cell>
          <cell r="AR234">
            <v>0</v>
          </cell>
          <cell r="AS234">
            <v>0</v>
          </cell>
          <cell r="AT234">
            <v>627</v>
          </cell>
          <cell r="AU234">
            <v>424</v>
          </cell>
          <cell r="AV234">
            <v>424</v>
          </cell>
          <cell r="AW234">
            <v>145</v>
          </cell>
          <cell r="AX234">
            <v>0</v>
          </cell>
          <cell r="AY234" t="str">
            <v/>
          </cell>
          <cell r="AZ234" t="str">
            <v/>
          </cell>
          <cell r="BA234">
            <v>11</v>
          </cell>
          <cell r="BB234" t="str">
            <v/>
          </cell>
          <cell r="BC234" t="str">
            <v/>
          </cell>
          <cell r="BD234" t="str">
            <v/>
          </cell>
          <cell r="BE234" t="str">
            <v/>
          </cell>
          <cell r="BF234" t="str">
            <v/>
          </cell>
          <cell r="BG234" t="str">
            <v/>
          </cell>
          <cell r="BH234" t="str">
            <v/>
          </cell>
          <cell r="BI234" t="str">
            <v/>
          </cell>
          <cell r="BJ234" t="str">
            <v>VidhyaM(Education)</v>
          </cell>
          <cell r="BK234">
            <v>12214</v>
          </cell>
          <cell r="BL234" t="str">
            <v/>
          </cell>
          <cell r="BM234" t="str">
            <v/>
          </cell>
          <cell r="BN234">
            <v>12474</v>
          </cell>
          <cell r="BO234" t="str">
            <v/>
          </cell>
          <cell r="BP234" t="str">
            <v/>
          </cell>
          <cell r="BQ234">
            <v>1304</v>
          </cell>
          <cell r="BR234" t="str">
            <v/>
          </cell>
          <cell r="BS234" t="str">
            <v/>
          </cell>
          <cell r="BT234">
            <v>1503</v>
          </cell>
          <cell r="BU234" t="str">
            <v/>
          </cell>
          <cell r="BV234" t="str">
            <v/>
          </cell>
          <cell r="BW234" t="str">
            <v/>
          </cell>
          <cell r="BX234" t="str">
            <v/>
          </cell>
          <cell r="BY234" t="str">
            <v/>
          </cell>
          <cell r="BZ234">
            <v>41368</v>
          </cell>
          <cell r="CA234" t="str">
            <v/>
          </cell>
          <cell r="CB234" t="str">
            <v/>
          </cell>
          <cell r="CC234">
            <v>132525</v>
          </cell>
          <cell r="CD234" t="str">
            <v/>
          </cell>
          <cell r="CE234" t="str">
            <v/>
          </cell>
          <cell r="CF234">
            <v>1691</v>
          </cell>
          <cell r="CG234" t="str">
            <v/>
          </cell>
          <cell r="CH234" t="str">
            <v/>
          </cell>
          <cell r="CI234">
            <v>128706</v>
          </cell>
          <cell r="CJ234" t="str">
            <v/>
          </cell>
          <cell r="CK234" t="str">
            <v/>
          </cell>
          <cell r="CL234" t="str">
            <v>Skilled</v>
          </cell>
          <cell r="CM234" t="str">
            <v/>
          </cell>
          <cell r="CN234" t="str">
            <v>Labor</v>
          </cell>
          <cell r="CO234" t="str">
            <v/>
          </cell>
          <cell r="CP234" t="str">
            <v/>
          </cell>
          <cell r="CQ234" t="str">
            <v/>
          </cell>
          <cell r="CR234" t="str">
            <v/>
          </cell>
          <cell r="CS234" t="str">
            <v/>
          </cell>
          <cell r="CT234" t="str">
            <v/>
          </cell>
          <cell r="CU234" t="str">
            <v/>
          </cell>
          <cell r="CV234" t="str">
            <v>Municipal Office</v>
          </cell>
          <cell r="CW234" t="str">
            <v/>
          </cell>
          <cell r="CX234" t="str">
            <v>Chairman</v>
          </cell>
          <cell r="CY234" t="str">
            <v/>
          </cell>
          <cell r="CZ234" t="str">
            <v>Municipal Office</v>
          </cell>
          <cell r="DA234" t="str">
            <v/>
          </cell>
          <cell r="DB234" t="str">
            <v>Deputy Chairman</v>
          </cell>
          <cell r="DC234" t="str">
            <v/>
          </cell>
          <cell r="DD234" t="str">
            <v>Municipal Office</v>
          </cell>
          <cell r="DE234" t="str">
            <v/>
          </cell>
          <cell r="DF234" t="str">
            <v>Chief Adminstration Officer</v>
          </cell>
          <cell r="DG234" t="str">
            <v/>
          </cell>
          <cell r="DH234" t="str">
            <v>NRA/GMALI</v>
          </cell>
          <cell r="DI234" t="str">
            <v/>
          </cell>
          <cell r="DJ234" t="str">
            <v>NRA Chief-District</v>
          </cell>
          <cell r="DK234" t="str">
            <v/>
          </cell>
          <cell r="DL234" t="str">
            <v>DLPIU-Building</v>
          </cell>
          <cell r="DM234" t="str">
            <v/>
          </cell>
          <cell r="DN234" t="str">
            <v>DUDBC.DLPIU Chief</v>
          </cell>
          <cell r="DO234" t="str">
            <v/>
          </cell>
          <cell r="DP234" t="str">
            <v>Municipal Office</v>
          </cell>
          <cell r="DQ234" t="str">
            <v/>
          </cell>
          <cell r="DR234" t="str">
            <v>Focal Person</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v>0</v>
          </cell>
          <cell r="EK234">
            <v>0</v>
          </cell>
          <cell r="EL234">
            <v>0</v>
          </cell>
          <cell r="EM234">
            <v>0</v>
          </cell>
          <cell r="EN234">
            <v>0</v>
          </cell>
          <cell r="EO234">
            <v>0</v>
          </cell>
          <cell r="EP234" t="str">
            <v/>
          </cell>
          <cell r="EQ234" t="str">
            <v>Housing Recovery and Reconstruction Platform</v>
          </cell>
          <cell r="ER234" t="str">
            <v/>
          </cell>
          <cell r="ES234" t="str">
            <v>District Coordinator</v>
          </cell>
          <cell r="ET234" t="str">
            <v/>
          </cell>
          <cell r="EU234" t="str">
            <v>Housing Recovery and Reconstruction Platform</v>
          </cell>
          <cell r="EV234" t="str">
            <v/>
          </cell>
          <cell r="EW234" t="str">
            <v>DIstrict Information Management Officer</v>
          </cell>
          <cell r="EX234" t="str">
            <v/>
          </cell>
          <cell r="EY234" t="str">
            <v>Housing Recovery and Reconstruction Platform</v>
          </cell>
          <cell r="EZ234" t="str">
            <v/>
          </cell>
          <cell r="FA234" t="str">
            <v>District Technical Officer</v>
          </cell>
          <cell r="FB234" t="str">
            <v/>
          </cell>
        </row>
        <row r="235">
          <cell r="A235">
            <v>45003</v>
          </cell>
          <cell r="B235" t="str">
            <v>Baglung</v>
          </cell>
          <cell r="C235" t="str">
            <v>Bareng Gaunpalika</v>
          </cell>
          <cell r="D235">
            <v>14</v>
          </cell>
          <cell r="E235">
            <v>108</v>
          </cell>
          <cell r="F235">
            <v>122</v>
          </cell>
          <cell r="G235" t="str">
            <v>Stone and cement mortar masonry</v>
          </cell>
          <cell r="H235">
            <v>0</v>
          </cell>
          <cell r="I235">
            <v>1.27</v>
          </cell>
          <cell r="J235" t="str">
            <v>Stone and Mud Mortar Masonary</v>
          </cell>
          <cell r="K235">
            <v>100</v>
          </cell>
          <cell r="L235">
            <v>87.91</v>
          </cell>
          <cell r="M235" t="str">
            <v>Brick and Cement Mortar Masonary</v>
          </cell>
          <cell r="N235">
            <v>0</v>
          </cell>
          <cell r="O235">
            <v>0.68</v>
          </cell>
          <cell r="P235" t="str">
            <v>Brick and mud mortar Masonry</v>
          </cell>
          <cell r="Q235">
            <v>0</v>
          </cell>
          <cell r="R235">
            <v>2.63</v>
          </cell>
          <cell r="S235" t="str">
            <v>Reinforced cement concrete (RCC) frame</v>
          </cell>
          <cell r="T235">
            <v>0</v>
          </cell>
          <cell r="U235">
            <v>2.57</v>
          </cell>
          <cell r="V235" t="str">
            <v>Hybrid structure</v>
          </cell>
          <cell r="W235">
            <v>0</v>
          </cell>
          <cell r="X235">
            <v>0</v>
          </cell>
          <cell r="Y235" t="str">
            <v>Timber frame structure</v>
          </cell>
          <cell r="Z235">
            <v>0</v>
          </cell>
          <cell r="AA235">
            <v>0.05</v>
          </cell>
          <cell r="AB235" t="str">
            <v>Hollow concrete block Masonry</v>
          </cell>
          <cell r="AC235">
            <v>0</v>
          </cell>
          <cell r="AD235">
            <v>0</v>
          </cell>
          <cell r="AE235" t="str">
            <v>Dry stone Masonry</v>
          </cell>
          <cell r="AF235">
            <v>0</v>
          </cell>
          <cell r="AG235">
            <v>0.13</v>
          </cell>
          <cell r="AH235" t="str">
            <v>Adobe structures</v>
          </cell>
          <cell r="AI235">
            <v>0</v>
          </cell>
          <cell r="AJ235">
            <v>4.76</v>
          </cell>
          <cell r="AK235" t="str">
            <v>Bamboo</v>
          </cell>
          <cell r="AL235">
            <v>0</v>
          </cell>
          <cell r="AM235">
            <v>0</v>
          </cell>
          <cell r="AN235" t="str">
            <v>Compressed stabilized earth block (SCEB) Masonry</v>
          </cell>
          <cell r="AO235">
            <v>0</v>
          </cell>
          <cell r="AP235">
            <v>0</v>
          </cell>
          <cell r="AQ235" t="str">
            <v>Light steel frame structures</v>
          </cell>
          <cell r="AR235">
            <v>0</v>
          </cell>
          <cell r="AS235">
            <v>0</v>
          </cell>
          <cell r="AT235">
            <v>108</v>
          </cell>
          <cell r="AU235">
            <v>52</v>
          </cell>
          <cell r="AV235">
            <v>52</v>
          </cell>
          <cell r="AW235">
            <v>21</v>
          </cell>
          <cell r="AX235">
            <v>0</v>
          </cell>
          <cell r="AY235" t="str">
            <v/>
          </cell>
          <cell r="AZ235" t="str">
            <v/>
          </cell>
          <cell r="BA235">
            <v>0</v>
          </cell>
          <cell r="BB235" t="str">
            <v/>
          </cell>
          <cell r="BC235" t="str">
            <v/>
          </cell>
          <cell r="BD235" t="str">
            <v/>
          </cell>
          <cell r="BE235" t="str">
            <v/>
          </cell>
          <cell r="BF235" t="str">
            <v/>
          </cell>
          <cell r="BG235" t="str">
            <v/>
          </cell>
          <cell r="BH235" t="str">
            <v/>
          </cell>
          <cell r="BI235" t="str">
            <v/>
          </cell>
          <cell r="BJ235" t="str">
            <v/>
          </cell>
          <cell r="BK235">
            <v>1467</v>
          </cell>
          <cell r="BL235" t="str">
            <v/>
          </cell>
          <cell r="BM235" t="str">
            <v/>
          </cell>
          <cell r="BN235">
            <v>1548</v>
          </cell>
          <cell r="BO235" t="str">
            <v/>
          </cell>
          <cell r="BP235" t="str">
            <v/>
          </cell>
          <cell r="BQ235">
            <v>157</v>
          </cell>
          <cell r="BR235" t="str">
            <v/>
          </cell>
          <cell r="BS235" t="str">
            <v/>
          </cell>
          <cell r="BT235">
            <v>182</v>
          </cell>
          <cell r="BU235" t="str">
            <v/>
          </cell>
          <cell r="BV235" t="str">
            <v/>
          </cell>
          <cell r="BW235" t="str">
            <v/>
          </cell>
          <cell r="BX235" t="str">
            <v/>
          </cell>
          <cell r="BY235" t="str">
            <v/>
          </cell>
          <cell r="BZ235">
            <v>5092</v>
          </cell>
          <cell r="CA235" t="str">
            <v/>
          </cell>
          <cell r="CB235" t="str">
            <v/>
          </cell>
          <cell r="CC235">
            <v>15793</v>
          </cell>
          <cell r="CD235" t="str">
            <v/>
          </cell>
          <cell r="CE235" t="str">
            <v/>
          </cell>
          <cell r="CF235">
            <v>208</v>
          </cell>
          <cell r="CG235" t="str">
            <v/>
          </cell>
          <cell r="CH235" t="str">
            <v/>
          </cell>
          <cell r="CI235">
            <v>6731</v>
          </cell>
          <cell r="CJ235" t="str">
            <v/>
          </cell>
          <cell r="CK235" t="str">
            <v/>
          </cell>
          <cell r="CL235" t="str">
            <v>Skilled</v>
          </cell>
          <cell r="CM235" t="str">
            <v/>
          </cell>
          <cell r="CN235" t="str">
            <v>Labor</v>
          </cell>
          <cell r="CO235" t="str">
            <v/>
          </cell>
          <cell r="CP235" t="str">
            <v/>
          </cell>
          <cell r="CQ235" t="str">
            <v/>
          </cell>
          <cell r="CR235" t="str">
            <v/>
          </cell>
          <cell r="CS235" t="str">
            <v/>
          </cell>
          <cell r="CT235" t="str">
            <v/>
          </cell>
          <cell r="CU235" t="str">
            <v/>
          </cell>
          <cell r="CV235" t="str">
            <v>Municipal Office</v>
          </cell>
          <cell r="CW235" t="str">
            <v/>
          </cell>
          <cell r="CX235" t="str">
            <v>Mayor</v>
          </cell>
          <cell r="CY235" t="str">
            <v/>
          </cell>
          <cell r="CZ235" t="str">
            <v>Municipal Office</v>
          </cell>
          <cell r="DA235" t="str">
            <v/>
          </cell>
          <cell r="DB235" t="str">
            <v>Deputy Mayor</v>
          </cell>
          <cell r="DC235" t="str">
            <v/>
          </cell>
          <cell r="DD235" t="str">
            <v>Municipal Office</v>
          </cell>
          <cell r="DE235" t="str">
            <v/>
          </cell>
          <cell r="DF235" t="str">
            <v>Chief Adminstration Officer</v>
          </cell>
          <cell r="DG235" t="str">
            <v/>
          </cell>
          <cell r="DH235" t="str">
            <v>NRA/GMALI</v>
          </cell>
          <cell r="DI235" t="str">
            <v/>
          </cell>
          <cell r="DJ235" t="str">
            <v>NRA Chief-District</v>
          </cell>
          <cell r="DK235" t="str">
            <v/>
          </cell>
          <cell r="DL235" t="str">
            <v>DLPIU-Building</v>
          </cell>
          <cell r="DM235" t="str">
            <v/>
          </cell>
          <cell r="DN235" t="str">
            <v>DUDBC.DLPIU Chief</v>
          </cell>
          <cell r="DO235" t="str">
            <v/>
          </cell>
          <cell r="DP235" t="str">
            <v>Municipal Office</v>
          </cell>
          <cell r="DQ235" t="str">
            <v/>
          </cell>
          <cell r="DR235" t="str">
            <v>Focal Person</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v>0</v>
          </cell>
          <cell r="EK235">
            <v>0</v>
          </cell>
          <cell r="EL235">
            <v>0</v>
          </cell>
          <cell r="EM235">
            <v>0</v>
          </cell>
          <cell r="EN235">
            <v>0</v>
          </cell>
          <cell r="EO235">
            <v>0</v>
          </cell>
          <cell r="EP235" t="str">
            <v/>
          </cell>
          <cell r="EQ235" t="str">
            <v>Housing Recovery and Reconstruction Platform</v>
          </cell>
          <cell r="ER235" t="str">
            <v/>
          </cell>
          <cell r="ES235" t="str">
            <v>District Coordinator</v>
          </cell>
          <cell r="ET235" t="str">
            <v/>
          </cell>
          <cell r="EU235" t="str">
            <v>Housing Recovery and Reconstruction Platform</v>
          </cell>
          <cell r="EV235" t="str">
            <v/>
          </cell>
          <cell r="EW235" t="str">
            <v>DIstrict Information Management Officer</v>
          </cell>
          <cell r="EX235" t="str">
            <v/>
          </cell>
          <cell r="EY235" t="str">
            <v>Housing Recovery and Reconstruction Platform</v>
          </cell>
          <cell r="EZ235" t="str">
            <v/>
          </cell>
          <cell r="FA235" t="str">
            <v>District Technical Officer</v>
          </cell>
          <cell r="FB235" t="str">
            <v/>
          </cell>
        </row>
        <row r="236">
          <cell r="A236">
            <v>45004</v>
          </cell>
          <cell r="B236" t="str">
            <v>Baglung</v>
          </cell>
          <cell r="C236" t="str">
            <v>Dhorpatan Nagarpalika</v>
          </cell>
          <cell r="D236">
            <v>15</v>
          </cell>
          <cell r="E236">
            <v>48</v>
          </cell>
          <cell r="F236">
            <v>63</v>
          </cell>
          <cell r="G236" t="str">
            <v>Stone and cement mortar masonry</v>
          </cell>
          <cell r="H236">
            <v>0</v>
          </cell>
          <cell r="I236">
            <v>1.27</v>
          </cell>
          <cell r="J236" t="str">
            <v>Stone and Mud Mortar Masonary</v>
          </cell>
          <cell r="K236">
            <v>100</v>
          </cell>
          <cell r="L236">
            <v>87.91</v>
          </cell>
          <cell r="M236" t="str">
            <v>Brick and Cement Mortar Masonary</v>
          </cell>
          <cell r="N236">
            <v>0</v>
          </cell>
          <cell r="O236">
            <v>0.68</v>
          </cell>
          <cell r="P236" t="str">
            <v>Brick and mud mortar Masonry</v>
          </cell>
          <cell r="Q236">
            <v>0</v>
          </cell>
          <cell r="R236">
            <v>2.63</v>
          </cell>
          <cell r="S236" t="str">
            <v>Reinforced cement concrete (RCC) frame</v>
          </cell>
          <cell r="T236">
            <v>0</v>
          </cell>
          <cell r="U236">
            <v>2.57</v>
          </cell>
          <cell r="V236" t="str">
            <v>Hybrid structure</v>
          </cell>
          <cell r="W236">
            <v>0</v>
          </cell>
          <cell r="X236">
            <v>0</v>
          </cell>
          <cell r="Y236" t="str">
            <v>Timber frame structure</v>
          </cell>
          <cell r="Z236">
            <v>0</v>
          </cell>
          <cell r="AA236">
            <v>0.05</v>
          </cell>
          <cell r="AB236" t="str">
            <v>Hollow concrete block Masonry</v>
          </cell>
          <cell r="AC236">
            <v>0</v>
          </cell>
          <cell r="AD236">
            <v>0</v>
          </cell>
          <cell r="AE236" t="str">
            <v>Dry stone Masonry</v>
          </cell>
          <cell r="AF236">
            <v>0</v>
          </cell>
          <cell r="AG236">
            <v>0.13</v>
          </cell>
          <cell r="AH236" t="str">
            <v>Adobe structures</v>
          </cell>
          <cell r="AI236">
            <v>0</v>
          </cell>
          <cell r="AJ236">
            <v>4.76</v>
          </cell>
          <cell r="AK236" t="str">
            <v>Bamboo</v>
          </cell>
          <cell r="AL236">
            <v>0</v>
          </cell>
          <cell r="AM236">
            <v>0</v>
          </cell>
          <cell r="AN236" t="str">
            <v>Compressed stabilized earth block (SCEB) Masonry</v>
          </cell>
          <cell r="AO236">
            <v>0</v>
          </cell>
          <cell r="AP236">
            <v>0</v>
          </cell>
          <cell r="AQ236" t="str">
            <v>Light steel frame structures</v>
          </cell>
          <cell r="AR236">
            <v>0</v>
          </cell>
          <cell r="AS236">
            <v>0</v>
          </cell>
          <cell r="AT236">
            <v>45</v>
          </cell>
          <cell r="AU236">
            <v>34</v>
          </cell>
          <cell r="AV236">
            <v>34</v>
          </cell>
          <cell r="AW236">
            <v>19</v>
          </cell>
          <cell r="AX236">
            <v>0</v>
          </cell>
          <cell r="AY236" t="str">
            <v/>
          </cell>
          <cell r="AZ236" t="str">
            <v/>
          </cell>
          <cell r="BA236">
            <v>0</v>
          </cell>
          <cell r="BB236" t="str">
            <v/>
          </cell>
          <cell r="BC236" t="str">
            <v/>
          </cell>
          <cell r="BD236" t="str">
            <v/>
          </cell>
          <cell r="BE236" t="str">
            <v/>
          </cell>
          <cell r="BF236" t="str">
            <v/>
          </cell>
          <cell r="BG236" t="str">
            <v/>
          </cell>
          <cell r="BH236" t="str">
            <v/>
          </cell>
          <cell r="BI236" t="str">
            <v/>
          </cell>
          <cell r="BJ236" t="str">
            <v/>
          </cell>
          <cell r="BK236">
            <v>948</v>
          </cell>
          <cell r="BL236" t="str">
            <v/>
          </cell>
          <cell r="BM236" t="str">
            <v/>
          </cell>
          <cell r="BN236">
            <v>981</v>
          </cell>
          <cell r="BO236" t="str">
            <v/>
          </cell>
          <cell r="BP236" t="str">
            <v/>
          </cell>
          <cell r="BQ236">
            <v>101</v>
          </cell>
          <cell r="BR236" t="str">
            <v/>
          </cell>
          <cell r="BS236" t="str">
            <v/>
          </cell>
          <cell r="BT236">
            <v>117</v>
          </cell>
          <cell r="BU236" t="str">
            <v/>
          </cell>
          <cell r="BV236" t="str">
            <v/>
          </cell>
          <cell r="BW236" t="str">
            <v/>
          </cell>
          <cell r="BX236" t="str">
            <v/>
          </cell>
          <cell r="BY236" t="str">
            <v/>
          </cell>
          <cell r="BZ236">
            <v>3257</v>
          </cell>
          <cell r="CA236" t="str">
            <v/>
          </cell>
          <cell r="CB236" t="str">
            <v/>
          </cell>
          <cell r="CC236">
            <v>10271</v>
          </cell>
          <cell r="CD236" t="str">
            <v/>
          </cell>
          <cell r="CE236" t="str">
            <v/>
          </cell>
          <cell r="CF236">
            <v>133</v>
          </cell>
          <cell r="CG236" t="str">
            <v/>
          </cell>
          <cell r="CH236" t="str">
            <v/>
          </cell>
          <cell r="CI236">
            <v>9902</v>
          </cell>
          <cell r="CJ236" t="str">
            <v/>
          </cell>
          <cell r="CK236" t="str">
            <v/>
          </cell>
          <cell r="CL236" t="str">
            <v>Skilled</v>
          </cell>
          <cell r="CM236" t="str">
            <v/>
          </cell>
          <cell r="CN236" t="str">
            <v>Labor</v>
          </cell>
          <cell r="CO236" t="str">
            <v/>
          </cell>
          <cell r="CP236" t="str">
            <v/>
          </cell>
          <cell r="CQ236" t="str">
            <v/>
          </cell>
          <cell r="CR236" t="str">
            <v/>
          </cell>
          <cell r="CS236" t="str">
            <v/>
          </cell>
          <cell r="CT236" t="str">
            <v/>
          </cell>
          <cell r="CU236" t="str">
            <v/>
          </cell>
          <cell r="CV236" t="str">
            <v>Municipal Office</v>
          </cell>
          <cell r="CW236" t="str">
            <v/>
          </cell>
          <cell r="CX236" t="str">
            <v>Chairman</v>
          </cell>
          <cell r="CY236" t="str">
            <v/>
          </cell>
          <cell r="CZ236" t="str">
            <v>Municipal Office</v>
          </cell>
          <cell r="DA236" t="str">
            <v/>
          </cell>
          <cell r="DB236" t="str">
            <v>Deputy Chairman</v>
          </cell>
          <cell r="DC236" t="str">
            <v/>
          </cell>
          <cell r="DD236" t="str">
            <v>Municipal Office</v>
          </cell>
          <cell r="DE236" t="str">
            <v/>
          </cell>
          <cell r="DF236" t="str">
            <v>Chief Adminstration Officer</v>
          </cell>
          <cell r="DG236" t="str">
            <v/>
          </cell>
          <cell r="DH236" t="str">
            <v>NRA/GMALI</v>
          </cell>
          <cell r="DI236" t="str">
            <v/>
          </cell>
          <cell r="DJ236" t="str">
            <v>NRA Chief-District</v>
          </cell>
          <cell r="DK236" t="str">
            <v/>
          </cell>
          <cell r="DL236" t="str">
            <v>DLPIU-Building</v>
          </cell>
          <cell r="DM236" t="str">
            <v/>
          </cell>
          <cell r="DN236" t="str">
            <v>DUDBC.DLPIU Chief</v>
          </cell>
          <cell r="DO236" t="str">
            <v/>
          </cell>
          <cell r="DP236" t="str">
            <v>Municipal Office</v>
          </cell>
          <cell r="DQ236" t="str">
            <v/>
          </cell>
          <cell r="DR236" t="str">
            <v>Focal Person</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v>0</v>
          </cell>
          <cell r="EK236">
            <v>0</v>
          </cell>
          <cell r="EL236">
            <v>0</v>
          </cell>
          <cell r="EM236">
            <v>0</v>
          </cell>
          <cell r="EN236">
            <v>0</v>
          </cell>
          <cell r="EO236">
            <v>0</v>
          </cell>
          <cell r="EP236" t="str">
            <v/>
          </cell>
          <cell r="EQ236" t="str">
            <v>Housing Recovery and Reconstruction Platform</v>
          </cell>
          <cell r="ER236" t="str">
            <v/>
          </cell>
          <cell r="ES236" t="str">
            <v>District Coordinator</v>
          </cell>
          <cell r="ET236" t="str">
            <v/>
          </cell>
          <cell r="EU236" t="str">
            <v>Housing Recovery and Reconstruction Platform</v>
          </cell>
          <cell r="EV236" t="str">
            <v/>
          </cell>
          <cell r="EW236" t="str">
            <v>DIstrict Information Management Officer</v>
          </cell>
          <cell r="EX236" t="str">
            <v/>
          </cell>
          <cell r="EY236" t="str">
            <v>Housing Recovery and Reconstruction Platform</v>
          </cell>
          <cell r="EZ236" t="str">
            <v/>
          </cell>
          <cell r="FA236" t="str">
            <v>District Technical Officer</v>
          </cell>
          <cell r="FB236" t="str">
            <v/>
          </cell>
        </row>
        <row r="237">
          <cell r="A237">
            <v>45005</v>
          </cell>
          <cell r="B237" t="str">
            <v>Baglung</v>
          </cell>
          <cell r="C237" t="str">
            <v>Galkot Nagarpalika</v>
          </cell>
          <cell r="D237">
            <v>113</v>
          </cell>
          <cell r="E237">
            <v>433</v>
          </cell>
          <cell r="F237">
            <v>546</v>
          </cell>
          <cell r="G237" t="str">
            <v>Stone and cement mortar masonry</v>
          </cell>
          <cell r="H237">
            <v>2.2000000000000002</v>
          </cell>
          <cell r="I237">
            <v>1.27</v>
          </cell>
          <cell r="J237" t="str">
            <v>Stone and Mud Mortar Masonary</v>
          </cell>
          <cell r="K237">
            <v>97.62</v>
          </cell>
          <cell r="L237">
            <v>87.91</v>
          </cell>
          <cell r="M237" t="str">
            <v>Brick and Cement Mortar Masonary</v>
          </cell>
          <cell r="N237">
            <v>0</v>
          </cell>
          <cell r="O237">
            <v>0.68</v>
          </cell>
          <cell r="P237" t="str">
            <v>Brick and mud mortar Masonry</v>
          </cell>
          <cell r="Q237">
            <v>0.18</v>
          </cell>
          <cell r="R237">
            <v>2.63</v>
          </cell>
          <cell r="S237" t="str">
            <v>Reinforced cement concrete (RCC) frame</v>
          </cell>
          <cell r="T237">
            <v>0</v>
          </cell>
          <cell r="U237">
            <v>2.57</v>
          </cell>
          <cell r="V237" t="str">
            <v>Hybrid structure</v>
          </cell>
          <cell r="W237">
            <v>0</v>
          </cell>
          <cell r="X237">
            <v>0</v>
          </cell>
          <cell r="Y237" t="str">
            <v>Timber frame structure</v>
          </cell>
          <cell r="Z237">
            <v>0</v>
          </cell>
          <cell r="AA237">
            <v>0.05</v>
          </cell>
          <cell r="AB237" t="str">
            <v>Hollow concrete block Masonry</v>
          </cell>
          <cell r="AC237">
            <v>0</v>
          </cell>
          <cell r="AD237">
            <v>0</v>
          </cell>
          <cell r="AE237" t="str">
            <v>Dry stone Masonry</v>
          </cell>
          <cell r="AF237">
            <v>0</v>
          </cell>
          <cell r="AG237">
            <v>0.13</v>
          </cell>
          <cell r="AH237" t="str">
            <v>Adobe structures</v>
          </cell>
          <cell r="AI237">
            <v>0</v>
          </cell>
          <cell r="AJ237">
            <v>4.76</v>
          </cell>
          <cell r="AK237" t="str">
            <v>Bamboo</v>
          </cell>
          <cell r="AL237">
            <v>0</v>
          </cell>
          <cell r="AM237">
            <v>0</v>
          </cell>
          <cell r="AN237" t="str">
            <v>Compressed stabilized earth block (SCEB) Masonry</v>
          </cell>
          <cell r="AO237">
            <v>0</v>
          </cell>
          <cell r="AP237">
            <v>0</v>
          </cell>
          <cell r="AQ237" t="str">
            <v>Light steel frame structures</v>
          </cell>
          <cell r="AR237">
            <v>0</v>
          </cell>
          <cell r="AS237">
            <v>0</v>
          </cell>
          <cell r="AT237">
            <v>389</v>
          </cell>
          <cell r="AU237">
            <v>178</v>
          </cell>
          <cell r="AV237">
            <v>178</v>
          </cell>
          <cell r="AW237">
            <v>28</v>
          </cell>
          <cell r="AX237">
            <v>0</v>
          </cell>
          <cell r="AY237" t="str">
            <v/>
          </cell>
          <cell r="AZ237" t="str">
            <v/>
          </cell>
          <cell r="BA237">
            <v>41</v>
          </cell>
          <cell r="BB237" t="str">
            <v/>
          </cell>
          <cell r="BC237" t="str">
            <v/>
          </cell>
          <cell r="BD237" t="str">
            <v/>
          </cell>
          <cell r="BE237" t="str">
            <v/>
          </cell>
          <cell r="BF237" t="str">
            <v/>
          </cell>
          <cell r="BG237" t="str">
            <v/>
          </cell>
          <cell r="BH237" t="str">
            <v/>
          </cell>
          <cell r="BI237" t="str">
            <v/>
          </cell>
          <cell r="BJ237" t="str">
            <v/>
          </cell>
          <cell r="BK237">
            <v>5111</v>
          </cell>
          <cell r="BL237" t="str">
            <v/>
          </cell>
          <cell r="BM237" t="str">
            <v/>
          </cell>
          <cell r="BN237">
            <v>5196</v>
          </cell>
          <cell r="BO237" t="str">
            <v/>
          </cell>
          <cell r="BP237" t="str">
            <v/>
          </cell>
          <cell r="BQ237">
            <v>546</v>
          </cell>
          <cell r="BR237" t="str">
            <v/>
          </cell>
          <cell r="BS237" t="str">
            <v/>
          </cell>
          <cell r="BT237">
            <v>629</v>
          </cell>
          <cell r="BU237" t="str">
            <v/>
          </cell>
          <cell r="BV237" t="str">
            <v/>
          </cell>
          <cell r="BW237" t="str">
            <v/>
          </cell>
          <cell r="BX237" t="str">
            <v/>
          </cell>
          <cell r="BY237" t="str">
            <v/>
          </cell>
          <cell r="BZ237">
            <v>17398</v>
          </cell>
          <cell r="CA237" t="str">
            <v/>
          </cell>
          <cell r="CB237" t="str">
            <v/>
          </cell>
          <cell r="CC237">
            <v>55702</v>
          </cell>
          <cell r="CD237" t="str">
            <v/>
          </cell>
          <cell r="CE237" t="str">
            <v/>
          </cell>
          <cell r="CF237">
            <v>712</v>
          </cell>
          <cell r="CG237" t="str">
            <v/>
          </cell>
          <cell r="CH237" t="str">
            <v/>
          </cell>
          <cell r="CI237">
            <v>80458</v>
          </cell>
          <cell r="CJ237" t="str">
            <v/>
          </cell>
          <cell r="CK237" t="str">
            <v/>
          </cell>
          <cell r="CL237" t="str">
            <v>Skilled</v>
          </cell>
          <cell r="CM237" t="str">
            <v/>
          </cell>
          <cell r="CN237" t="str">
            <v>Labor</v>
          </cell>
          <cell r="CO237" t="str">
            <v/>
          </cell>
          <cell r="CP237" t="str">
            <v/>
          </cell>
          <cell r="CQ237" t="str">
            <v/>
          </cell>
          <cell r="CR237" t="str">
            <v/>
          </cell>
          <cell r="CS237" t="str">
            <v/>
          </cell>
          <cell r="CT237" t="str">
            <v/>
          </cell>
          <cell r="CU237" t="str">
            <v/>
          </cell>
          <cell r="CV237" t="str">
            <v>Municipal Office</v>
          </cell>
          <cell r="CW237" t="str">
            <v/>
          </cell>
          <cell r="CX237" t="str">
            <v>Mayor</v>
          </cell>
          <cell r="CY237" t="str">
            <v/>
          </cell>
          <cell r="CZ237" t="str">
            <v>Municipal Office</v>
          </cell>
          <cell r="DA237" t="str">
            <v/>
          </cell>
          <cell r="DB237" t="str">
            <v>Deputy Mayor</v>
          </cell>
          <cell r="DC237" t="str">
            <v/>
          </cell>
          <cell r="DD237" t="str">
            <v>Municipal Office</v>
          </cell>
          <cell r="DE237" t="str">
            <v/>
          </cell>
          <cell r="DF237" t="str">
            <v>Chief Adminstration Officer</v>
          </cell>
          <cell r="DG237" t="str">
            <v/>
          </cell>
          <cell r="DH237" t="str">
            <v>NRA/GMALI</v>
          </cell>
          <cell r="DI237" t="str">
            <v/>
          </cell>
          <cell r="DJ237" t="str">
            <v>NRA Chief-District</v>
          </cell>
          <cell r="DK237" t="str">
            <v/>
          </cell>
          <cell r="DL237" t="str">
            <v>DLPIU-Building</v>
          </cell>
          <cell r="DM237" t="str">
            <v/>
          </cell>
          <cell r="DN237" t="str">
            <v>DUDBC.DLPIU Chief</v>
          </cell>
          <cell r="DO237" t="str">
            <v/>
          </cell>
          <cell r="DP237" t="str">
            <v>Municipal Office</v>
          </cell>
          <cell r="DQ237" t="str">
            <v/>
          </cell>
          <cell r="DR237" t="str">
            <v>Focal Person</v>
          </cell>
          <cell r="DS237" t="str">
            <v/>
          </cell>
          <cell r="DT237" t="str">
            <v/>
          </cell>
          <cell r="DU237" t="str">
            <v/>
          </cell>
          <cell r="DV237" t="str">
            <v/>
          </cell>
          <cell r="DW237" t="str">
            <v/>
          </cell>
          <cell r="DX237" t="str">
            <v/>
          </cell>
          <cell r="DY237" t="str">
            <v/>
          </cell>
          <cell r="DZ237" t="str">
            <v/>
          </cell>
          <cell r="EA237" t="str">
            <v/>
          </cell>
          <cell r="EB237" t="str">
            <v/>
          </cell>
          <cell r="EC237" t="str">
            <v/>
          </cell>
          <cell r="ED237" t="str">
            <v/>
          </cell>
          <cell r="EE237" t="str">
            <v/>
          </cell>
          <cell r="EF237" t="str">
            <v/>
          </cell>
          <cell r="EG237" t="str">
            <v/>
          </cell>
          <cell r="EH237" t="str">
            <v/>
          </cell>
          <cell r="EI237" t="str">
            <v/>
          </cell>
          <cell r="EJ237">
            <v>0</v>
          </cell>
          <cell r="EK237">
            <v>0</v>
          </cell>
          <cell r="EL237">
            <v>0</v>
          </cell>
          <cell r="EM237">
            <v>0</v>
          </cell>
          <cell r="EN237">
            <v>0</v>
          </cell>
          <cell r="EO237">
            <v>0</v>
          </cell>
          <cell r="EP237" t="str">
            <v/>
          </cell>
          <cell r="EQ237" t="str">
            <v>Housing Recovery and Reconstruction Platform</v>
          </cell>
          <cell r="ER237" t="str">
            <v/>
          </cell>
          <cell r="ES237" t="str">
            <v>District Coordinator</v>
          </cell>
          <cell r="ET237" t="str">
            <v/>
          </cell>
          <cell r="EU237" t="str">
            <v>Housing Recovery and Reconstruction Platform</v>
          </cell>
          <cell r="EV237" t="str">
            <v/>
          </cell>
          <cell r="EW237" t="str">
            <v>DIstrict Information Management Officer</v>
          </cell>
          <cell r="EX237" t="str">
            <v/>
          </cell>
          <cell r="EY237" t="str">
            <v>Housing Recovery and Reconstruction Platform</v>
          </cell>
          <cell r="EZ237" t="str">
            <v/>
          </cell>
          <cell r="FA237" t="str">
            <v>District Technical Officer</v>
          </cell>
          <cell r="FB237" t="str">
            <v/>
          </cell>
        </row>
        <row r="238">
          <cell r="A238">
            <v>45006</v>
          </cell>
          <cell r="B238" t="str">
            <v>Baglung</v>
          </cell>
          <cell r="C238" t="str">
            <v>Jaimuni Nagarpalika</v>
          </cell>
          <cell r="D238">
            <v>52</v>
          </cell>
          <cell r="E238">
            <v>678</v>
          </cell>
          <cell r="F238">
            <v>730</v>
          </cell>
          <cell r="G238" t="str">
            <v>Stone and cement mortar masonry</v>
          </cell>
          <cell r="H238">
            <v>0</v>
          </cell>
          <cell r="I238">
            <v>1.27</v>
          </cell>
          <cell r="J238" t="str">
            <v>Stone and Mud Mortar Masonary</v>
          </cell>
          <cell r="K238">
            <v>99.04</v>
          </cell>
          <cell r="L238">
            <v>87.91</v>
          </cell>
          <cell r="M238" t="str">
            <v>Brick and Cement Mortar Masonary</v>
          </cell>
          <cell r="N238">
            <v>0</v>
          </cell>
          <cell r="O238">
            <v>0.68</v>
          </cell>
          <cell r="P238" t="str">
            <v>Brick and mud mortar Masonry</v>
          </cell>
          <cell r="Q238">
            <v>0</v>
          </cell>
          <cell r="R238">
            <v>2.63</v>
          </cell>
          <cell r="S238" t="str">
            <v>Reinforced cement concrete (RCC) frame</v>
          </cell>
          <cell r="T238">
            <v>0</v>
          </cell>
          <cell r="U238">
            <v>2.57</v>
          </cell>
          <cell r="V238" t="str">
            <v>Hybrid structure</v>
          </cell>
          <cell r="W238">
            <v>0</v>
          </cell>
          <cell r="X238">
            <v>0</v>
          </cell>
          <cell r="Y238" t="str">
            <v>Timber frame structure</v>
          </cell>
          <cell r="Z238">
            <v>0.14000000000000001</v>
          </cell>
          <cell r="AA238">
            <v>0.05</v>
          </cell>
          <cell r="AB238" t="str">
            <v>Hollow concrete block Masonry</v>
          </cell>
          <cell r="AC238">
            <v>0</v>
          </cell>
          <cell r="AD238">
            <v>0</v>
          </cell>
          <cell r="AE238" t="str">
            <v>Dry stone Masonry</v>
          </cell>
          <cell r="AF238">
            <v>0</v>
          </cell>
          <cell r="AG238">
            <v>0.13</v>
          </cell>
          <cell r="AH238" t="str">
            <v>Adobe structures</v>
          </cell>
          <cell r="AI238">
            <v>0.82</v>
          </cell>
          <cell r="AJ238">
            <v>4.76</v>
          </cell>
          <cell r="AK238" t="str">
            <v>Bamboo</v>
          </cell>
          <cell r="AL238">
            <v>0</v>
          </cell>
          <cell r="AM238">
            <v>0</v>
          </cell>
          <cell r="AN238" t="str">
            <v>Compressed stabilized earth block (SCEB) Masonry</v>
          </cell>
          <cell r="AO238">
            <v>0</v>
          </cell>
          <cell r="AP238">
            <v>0</v>
          </cell>
          <cell r="AQ238" t="str">
            <v>Light steel frame structures</v>
          </cell>
          <cell r="AR238">
            <v>0</v>
          </cell>
          <cell r="AS238">
            <v>0</v>
          </cell>
          <cell r="AT238">
            <v>654</v>
          </cell>
          <cell r="AU238">
            <v>331</v>
          </cell>
          <cell r="AV238">
            <v>331</v>
          </cell>
          <cell r="AW238">
            <v>102</v>
          </cell>
          <cell r="AX238">
            <v>0</v>
          </cell>
          <cell r="AY238" t="str">
            <v/>
          </cell>
          <cell r="AZ238" t="str">
            <v/>
          </cell>
          <cell r="BA238">
            <v>20</v>
          </cell>
          <cell r="BB238" t="str">
            <v/>
          </cell>
          <cell r="BC238" t="str">
            <v/>
          </cell>
          <cell r="BD238" t="str">
            <v/>
          </cell>
          <cell r="BE238" t="str">
            <v/>
          </cell>
          <cell r="BF238" t="str">
            <v/>
          </cell>
          <cell r="BG238" t="str">
            <v/>
          </cell>
          <cell r="BH238" t="str">
            <v/>
          </cell>
          <cell r="BI238" t="str">
            <v/>
          </cell>
          <cell r="BJ238" t="str">
            <v/>
          </cell>
          <cell r="BK238">
            <v>9601</v>
          </cell>
          <cell r="BL238" t="str">
            <v/>
          </cell>
          <cell r="BM238" t="str">
            <v/>
          </cell>
          <cell r="BN238">
            <v>9552</v>
          </cell>
          <cell r="BO238" t="str">
            <v/>
          </cell>
          <cell r="BP238" t="str">
            <v/>
          </cell>
          <cell r="BQ238">
            <v>1023</v>
          </cell>
          <cell r="BR238" t="str">
            <v/>
          </cell>
          <cell r="BS238" t="str">
            <v/>
          </cell>
          <cell r="BT238">
            <v>1174</v>
          </cell>
          <cell r="BU238" t="str">
            <v/>
          </cell>
          <cell r="BV238" t="str">
            <v/>
          </cell>
          <cell r="BW238" t="str">
            <v/>
          </cell>
          <cell r="BX238" t="str">
            <v/>
          </cell>
          <cell r="BY238" t="str">
            <v/>
          </cell>
          <cell r="BZ238">
            <v>32317</v>
          </cell>
          <cell r="CA238" t="str">
            <v/>
          </cell>
          <cell r="CB238" t="str">
            <v/>
          </cell>
          <cell r="CC238">
            <v>105354</v>
          </cell>
          <cell r="CD238" t="str">
            <v/>
          </cell>
          <cell r="CE238" t="str">
            <v/>
          </cell>
          <cell r="CF238">
            <v>1324</v>
          </cell>
          <cell r="CG238" t="str">
            <v/>
          </cell>
          <cell r="CH238" t="str">
            <v/>
          </cell>
          <cell r="CI238">
            <v>211576</v>
          </cell>
          <cell r="CJ238" t="str">
            <v/>
          </cell>
          <cell r="CK238" t="str">
            <v/>
          </cell>
          <cell r="CL238" t="str">
            <v>Skilled</v>
          </cell>
          <cell r="CM238" t="str">
            <v/>
          </cell>
          <cell r="CN238" t="str">
            <v>Labor</v>
          </cell>
          <cell r="CO238" t="str">
            <v/>
          </cell>
          <cell r="CP238" t="str">
            <v/>
          </cell>
          <cell r="CQ238" t="str">
            <v/>
          </cell>
          <cell r="CR238" t="str">
            <v/>
          </cell>
          <cell r="CS238" t="str">
            <v/>
          </cell>
          <cell r="CT238" t="str">
            <v/>
          </cell>
          <cell r="CU238" t="str">
            <v/>
          </cell>
          <cell r="CV238" t="str">
            <v>Municipal Office</v>
          </cell>
          <cell r="CW238" t="str">
            <v/>
          </cell>
          <cell r="CX238" t="str">
            <v>Mayor</v>
          </cell>
          <cell r="CY238" t="str">
            <v/>
          </cell>
          <cell r="CZ238" t="str">
            <v>Municipal Office</v>
          </cell>
          <cell r="DA238" t="str">
            <v/>
          </cell>
          <cell r="DB238" t="str">
            <v>Deputy Mayor</v>
          </cell>
          <cell r="DC238" t="str">
            <v/>
          </cell>
          <cell r="DD238" t="str">
            <v>Municipal Office</v>
          </cell>
          <cell r="DE238" t="str">
            <v/>
          </cell>
          <cell r="DF238" t="str">
            <v>Chief Adminstration Officer</v>
          </cell>
          <cell r="DG238" t="str">
            <v/>
          </cell>
          <cell r="DH238" t="str">
            <v>NRA/GMALI</v>
          </cell>
          <cell r="DI238" t="str">
            <v/>
          </cell>
          <cell r="DJ238" t="str">
            <v>NRA Chief-District</v>
          </cell>
          <cell r="DK238" t="str">
            <v/>
          </cell>
          <cell r="DL238" t="str">
            <v>DLPIU-Building</v>
          </cell>
          <cell r="DM238" t="str">
            <v/>
          </cell>
          <cell r="DN238" t="str">
            <v>DUDBC.DLPIU Chief</v>
          </cell>
          <cell r="DO238" t="str">
            <v/>
          </cell>
          <cell r="DP238" t="str">
            <v>Municipal Office</v>
          </cell>
          <cell r="DQ238" t="str">
            <v/>
          </cell>
          <cell r="DR238" t="str">
            <v>Focal Person</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v>0</v>
          </cell>
          <cell r="EK238">
            <v>0</v>
          </cell>
          <cell r="EL238">
            <v>0</v>
          </cell>
          <cell r="EM238">
            <v>0</v>
          </cell>
          <cell r="EN238">
            <v>0</v>
          </cell>
          <cell r="EO238">
            <v>0</v>
          </cell>
          <cell r="EP238" t="str">
            <v/>
          </cell>
          <cell r="EQ238" t="str">
            <v>Housing Recovery and Reconstruction Platform</v>
          </cell>
          <cell r="ER238" t="str">
            <v/>
          </cell>
          <cell r="ES238" t="str">
            <v>District Coordinator</v>
          </cell>
          <cell r="ET238" t="str">
            <v/>
          </cell>
          <cell r="EU238" t="str">
            <v>Housing Recovery and Reconstruction Platform</v>
          </cell>
          <cell r="EV238" t="str">
            <v/>
          </cell>
          <cell r="EW238" t="str">
            <v>DIstrict Information Management Officer</v>
          </cell>
          <cell r="EX238" t="str">
            <v/>
          </cell>
          <cell r="EY238" t="str">
            <v>Housing Recovery and Reconstruction Platform</v>
          </cell>
          <cell r="EZ238" t="str">
            <v/>
          </cell>
          <cell r="FA238" t="str">
            <v>District Technical Officer</v>
          </cell>
          <cell r="FB238" t="str">
            <v/>
          </cell>
        </row>
        <row r="239">
          <cell r="A239">
            <v>45007</v>
          </cell>
          <cell r="B239" t="str">
            <v>Baglung</v>
          </cell>
          <cell r="C239" t="str">
            <v>Kanthekhola Gaunpalika</v>
          </cell>
          <cell r="D239">
            <v>270</v>
          </cell>
          <cell r="E239">
            <v>303</v>
          </cell>
          <cell r="F239">
            <v>573</v>
          </cell>
          <cell r="G239" t="str">
            <v>Stone and cement mortar masonry</v>
          </cell>
          <cell r="H239">
            <v>0</v>
          </cell>
          <cell r="I239">
            <v>1.27</v>
          </cell>
          <cell r="J239" t="str">
            <v>Stone and Mud Mortar Masonary</v>
          </cell>
          <cell r="K239">
            <v>93.37</v>
          </cell>
          <cell r="L239">
            <v>87.91</v>
          </cell>
          <cell r="M239" t="str">
            <v>Brick and Cement Mortar Masonary</v>
          </cell>
          <cell r="N239">
            <v>0</v>
          </cell>
          <cell r="O239">
            <v>0.68</v>
          </cell>
          <cell r="P239" t="str">
            <v>Brick and mud mortar Masonry</v>
          </cell>
          <cell r="Q239">
            <v>0</v>
          </cell>
          <cell r="R239">
            <v>2.63</v>
          </cell>
          <cell r="S239" t="str">
            <v>Reinforced cement concrete (RCC) frame</v>
          </cell>
          <cell r="T239">
            <v>0.17</v>
          </cell>
          <cell r="U239">
            <v>2.57</v>
          </cell>
          <cell r="V239" t="str">
            <v>Hybrid structure</v>
          </cell>
          <cell r="W239">
            <v>0</v>
          </cell>
          <cell r="X239">
            <v>0</v>
          </cell>
          <cell r="Y239" t="str">
            <v>Timber frame structure</v>
          </cell>
          <cell r="Z239">
            <v>0</v>
          </cell>
          <cell r="AA239">
            <v>0.05</v>
          </cell>
          <cell r="AB239" t="str">
            <v>Hollow concrete block Masonry</v>
          </cell>
          <cell r="AC239">
            <v>0</v>
          </cell>
          <cell r="AD239">
            <v>0</v>
          </cell>
          <cell r="AE239" t="str">
            <v>Dry stone Masonry</v>
          </cell>
          <cell r="AF239">
            <v>0</v>
          </cell>
          <cell r="AG239">
            <v>0.13</v>
          </cell>
          <cell r="AH239" t="str">
            <v>Adobe structures</v>
          </cell>
          <cell r="AI239">
            <v>6.46</v>
          </cell>
          <cell r="AJ239">
            <v>4.76</v>
          </cell>
          <cell r="AK239" t="str">
            <v>Bamboo</v>
          </cell>
          <cell r="AL239">
            <v>0</v>
          </cell>
          <cell r="AM239">
            <v>0</v>
          </cell>
          <cell r="AN239" t="str">
            <v>Compressed stabilized earth block (SCEB) Masonry</v>
          </cell>
          <cell r="AO239">
            <v>0</v>
          </cell>
          <cell r="AP239">
            <v>0</v>
          </cell>
          <cell r="AQ239" t="str">
            <v>Light steel frame structures</v>
          </cell>
          <cell r="AR239">
            <v>0</v>
          </cell>
          <cell r="AS239">
            <v>0</v>
          </cell>
          <cell r="AT239">
            <v>283</v>
          </cell>
          <cell r="AU239">
            <v>116</v>
          </cell>
          <cell r="AV239">
            <v>116</v>
          </cell>
          <cell r="AW239">
            <v>29</v>
          </cell>
          <cell r="AX239">
            <v>0</v>
          </cell>
          <cell r="AY239" t="str">
            <v/>
          </cell>
          <cell r="AZ239" t="str">
            <v/>
          </cell>
          <cell r="BA239">
            <v>19</v>
          </cell>
          <cell r="BB239" t="str">
            <v/>
          </cell>
          <cell r="BC239" t="str">
            <v/>
          </cell>
          <cell r="BD239" t="str">
            <v/>
          </cell>
          <cell r="BE239" t="str">
            <v/>
          </cell>
          <cell r="BF239" t="str">
            <v/>
          </cell>
          <cell r="BG239" t="str">
            <v/>
          </cell>
          <cell r="BH239" t="str">
            <v/>
          </cell>
          <cell r="BI239" t="str">
            <v/>
          </cell>
          <cell r="BJ239" t="str">
            <v/>
          </cell>
          <cell r="BK239">
            <v>3399</v>
          </cell>
          <cell r="BL239" t="str">
            <v/>
          </cell>
          <cell r="BM239" t="str">
            <v/>
          </cell>
          <cell r="BN239">
            <v>3415</v>
          </cell>
          <cell r="BO239" t="str">
            <v/>
          </cell>
          <cell r="BP239" t="str">
            <v/>
          </cell>
          <cell r="BQ239">
            <v>362</v>
          </cell>
          <cell r="BR239" t="str">
            <v/>
          </cell>
          <cell r="BS239" t="str">
            <v/>
          </cell>
          <cell r="BT239">
            <v>416</v>
          </cell>
          <cell r="BU239" t="str">
            <v/>
          </cell>
          <cell r="BV239" t="str">
            <v/>
          </cell>
          <cell r="BW239" t="str">
            <v/>
          </cell>
          <cell r="BX239" t="str">
            <v/>
          </cell>
          <cell r="BY239" t="str">
            <v/>
          </cell>
          <cell r="BZ239">
            <v>11320</v>
          </cell>
          <cell r="CA239" t="str">
            <v/>
          </cell>
          <cell r="CB239" t="str">
            <v/>
          </cell>
          <cell r="CC239">
            <v>36944</v>
          </cell>
          <cell r="CD239" t="str">
            <v/>
          </cell>
          <cell r="CE239" t="str">
            <v/>
          </cell>
          <cell r="CF239">
            <v>462</v>
          </cell>
          <cell r="CG239" t="str">
            <v/>
          </cell>
          <cell r="CH239" t="str">
            <v/>
          </cell>
          <cell r="CI239">
            <v>37492</v>
          </cell>
          <cell r="CJ239" t="str">
            <v/>
          </cell>
          <cell r="CK239" t="str">
            <v/>
          </cell>
          <cell r="CL239" t="str">
            <v>Skilled</v>
          </cell>
          <cell r="CM239" t="str">
            <v/>
          </cell>
          <cell r="CN239" t="str">
            <v>Labor</v>
          </cell>
          <cell r="CO239" t="str">
            <v/>
          </cell>
          <cell r="CP239" t="str">
            <v/>
          </cell>
          <cell r="CQ239" t="str">
            <v/>
          </cell>
          <cell r="CR239" t="str">
            <v/>
          </cell>
          <cell r="CS239" t="str">
            <v/>
          </cell>
          <cell r="CT239" t="str">
            <v/>
          </cell>
          <cell r="CU239" t="str">
            <v/>
          </cell>
          <cell r="CV239" t="str">
            <v>Municipal Office</v>
          </cell>
          <cell r="CW239" t="str">
            <v/>
          </cell>
          <cell r="CX239" t="str">
            <v>Chairman</v>
          </cell>
          <cell r="CY239" t="str">
            <v/>
          </cell>
          <cell r="CZ239" t="str">
            <v>Municipal Office</v>
          </cell>
          <cell r="DA239" t="str">
            <v/>
          </cell>
          <cell r="DB239" t="str">
            <v>Deputy Chairman</v>
          </cell>
          <cell r="DC239" t="str">
            <v/>
          </cell>
          <cell r="DD239" t="str">
            <v>Municipal Office</v>
          </cell>
          <cell r="DE239" t="str">
            <v/>
          </cell>
          <cell r="DF239" t="str">
            <v>Chief Adminstration Officer</v>
          </cell>
          <cell r="DG239" t="str">
            <v/>
          </cell>
          <cell r="DH239" t="str">
            <v>NRA/GMALI</v>
          </cell>
          <cell r="DI239" t="str">
            <v/>
          </cell>
          <cell r="DJ239" t="str">
            <v>NRA Chief-District</v>
          </cell>
          <cell r="DK239" t="str">
            <v/>
          </cell>
          <cell r="DL239" t="str">
            <v>DLPIU-Building</v>
          </cell>
          <cell r="DM239" t="str">
            <v/>
          </cell>
          <cell r="DN239" t="str">
            <v>DUDBC.DLPIU Chief</v>
          </cell>
          <cell r="DO239" t="str">
            <v/>
          </cell>
          <cell r="DP239" t="str">
            <v>Municipal Office</v>
          </cell>
          <cell r="DQ239" t="str">
            <v/>
          </cell>
          <cell r="DR239" t="str">
            <v>Focal Person</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v>0</v>
          </cell>
          <cell r="EK239">
            <v>0</v>
          </cell>
          <cell r="EL239">
            <v>0</v>
          </cell>
          <cell r="EM239">
            <v>0</v>
          </cell>
          <cell r="EN239">
            <v>0</v>
          </cell>
          <cell r="EO239">
            <v>0</v>
          </cell>
          <cell r="EP239" t="str">
            <v/>
          </cell>
          <cell r="EQ239" t="str">
            <v>Housing Recovery and Reconstruction Platform</v>
          </cell>
          <cell r="ER239" t="str">
            <v/>
          </cell>
          <cell r="ES239" t="str">
            <v>District Coordinator</v>
          </cell>
          <cell r="ET239" t="str">
            <v/>
          </cell>
          <cell r="EU239" t="str">
            <v>Housing Recovery and Reconstruction Platform</v>
          </cell>
          <cell r="EV239" t="str">
            <v/>
          </cell>
          <cell r="EW239" t="str">
            <v>DIstrict Information Management Officer</v>
          </cell>
          <cell r="EX239" t="str">
            <v/>
          </cell>
          <cell r="EY239" t="str">
            <v>Housing Recovery and Reconstruction Platform</v>
          </cell>
          <cell r="EZ239" t="str">
            <v/>
          </cell>
          <cell r="FA239" t="str">
            <v>District Technical Officer</v>
          </cell>
          <cell r="FB239" t="str">
            <v/>
          </cell>
        </row>
        <row r="240">
          <cell r="A240">
            <v>45008</v>
          </cell>
          <cell r="B240" t="str">
            <v>Baglung</v>
          </cell>
          <cell r="C240" t="str">
            <v>Nisikhola Gaunpalika</v>
          </cell>
          <cell r="D240">
            <v>42</v>
          </cell>
          <cell r="E240">
            <v>11</v>
          </cell>
          <cell r="F240">
            <v>53</v>
          </cell>
          <cell r="G240" t="str">
            <v>Stone and cement mortar masonry</v>
          </cell>
          <cell r="H240">
            <v>28.3</v>
          </cell>
          <cell r="I240">
            <v>1.27</v>
          </cell>
          <cell r="J240" t="str">
            <v>Stone and Mud Mortar Masonary</v>
          </cell>
          <cell r="K240">
            <v>67.92</v>
          </cell>
          <cell r="L240">
            <v>87.91</v>
          </cell>
          <cell r="M240" t="str">
            <v>Brick and Cement Mortar Masonary</v>
          </cell>
          <cell r="N240">
            <v>0</v>
          </cell>
          <cell r="O240">
            <v>0.68</v>
          </cell>
          <cell r="P240" t="str">
            <v>Brick and mud mortar Masonry</v>
          </cell>
          <cell r="Q240">
            <v>0</v>
          </cell>
          <cell r="R240">
            <v>2.63</v>
          </cell>
          <cell r="S240" t="str">
            <v>Reinforced cement concrete (RCC) frame</v>
          </cell>
          <cell r="T240">
            <v>0</v>
          </cell>
          <cell r="U240">
            <v>2.57</v>
          </cell>
          <cell r="V240" t="str">
            <v>Hybrid structure</v>
          </cell>
          <cell r="W240">
            <v>0</v>
          </cell>
          <cell r="X240">
            <v>0</v>
          </cell>
          <cell r="Y240" t="str">
            <v>Timber frame structure</v>
          </cell>
          <cell r="Z240">
            <v>1.89</v>
          </cell>
          <cell r="AA240">
            <v>0.05</v>
          </cell>
          <cell r="AB240" t="str">
            <v>Hollow concrete block Masonry</v>
          </cell>
          <cell r="AC240">
            <v>0</v>
          </cell>
          <cell r="AD240">
            <v>0</v>
          </cell>
          <cell r="AE240" t="str">
            <v>Dry stone Masonry</v>
          </cell>
          <cell r="AF240">
            <v>0</v>
          </cell>
          <cell r="AG240">
            <v>0.13</v>
          </cell>
          <cell r="AH240" t="str">
            <v>Adobe structures</v>
          </cell>
          <cell r="AI240">
            <v>1.89</v>
          </cell>
          <cell r="AJ240">
            <v>4.76</v>
          </cell>
          <cell r="AK240" t="str">
            <v>Bamboo</v>
          </cell>
          <cell r="AL240">
            <v>0</v>
          </cell>
          <cell r="AM240">
            <v>0</v>
          </cell>
          <cell r="AN240" t="str">
            <v>Compressed stabilized earth block (SCEB) Masonry</v>
          </cell>
          <cell r="AO240">
            <v>0</v>
          </cell>
          <cell r="AP240">
            <v>0</v>
          </cell>
          <cell r="AQ240" t="str">
            <v>Light steel frame structures</v>
          </cell>
          <cell r="AR240">
            <v>0</v>
          </cell>
          <cell r="AS240">
            <v>0</v>
          </cell>
          <cell r="AT240">
            <v>11</v>
          </cell>
          <cell r="AU240">
            <v>9</v>
          </cell>
          <cell r="AV240">
            <v>9</v>
          </cell>
          <cell r="AW240">
            <v>2</v>
          </cell>
          <cell r="AX240">
            <v>0</v>
          </cell>
          <cell r="AY240" t="str">
            <v/>
          </cell>
          <cell r="AZ240" t="str">
            <v/>
          </cell>
          <cell r="BA240">
            <v>0</v>
          </cell>
          <cell r="BB240" t="str">
            <v/>
          </cell>
          <cell r="BC240" t="str">
            <v/>
          </cell>
          <cell r="BD240" t="str">
            <v/>
          </cell>
          <cell r="BE240" t="str">
            <v/>
          </cell>
          <cell r="BF240" t="str">
            <v/>
          </cell>
          <cell r="BG240" t="str">
            <v/>
          </cell>
          <cell r="BH240" t="str">
            <v/>
          </cell>
          <cell r="BI240" t="str">
            <v/>
          </cell>
          <cell r="BJ240" t="str">
            <v/>
          </cell>
          <cell r="BK240">
            <v>252</v>
          </cell>
          <cell r="BL240" t="str">
            <v/>
          </cell>
          <cell r="BM240" t="str">
            <v/>
          </cell>
          <cell r="BN240">
            <v>270</v>
          </cell>
          <cell r="BO240" t="str">
            <v/>
          </cell>
          <cell r="BP240" t="str">
            <v/>
          </cell>
          <cell r="BQ240">
            <v>27</v>
          </cell>
          <cell r="BR240" t="str">
            <v/>
          </cell>
          <cell r="BS240" t="str">
            <v/>
          </cell>
          <cell r="BT240">
            <v>32</v>
          </cell>
          <cell r="BU240" t="str">
            <v/>
          </cell>
          <cell r="BV240" t="str">
            <v/>
          </cell>
          <cell r="BW240" t="str">
            <v/>
          </cell>
          <cell r="BX240" t="str">
            <v/>
          </cell>
          <cell r="BY240" t="str">
            <v/>
          </cell>
          <cell r="BZ240">
            <v>882</v>
          </cell>
          <cell r="CA240" t="str">
            <v/>
          </cell>
          <cell r="CB240" t="str">
            <v/>
          </cell>
          <cell r="CC240">
            <v>2700</v>
          </cell>
          <cell r="CD240" t="str">
            <v/>
          </cell>
          <cell r="CE240" t="str">
            <v/>
          </cell>
          <cell r="CF240">
            <v>36</v>
          </cell>
          <cell r="CG240" t="str">
            <v/>
          </cell>
          <cell r="CH240" t="str">
            <v/>
          </cell>
          <cell r="CI240">
            <v>0</v>
          </cell>
          <cell r="CJ240" t="str">
            <v/>
          </cell>
          <cell r="CK240" t="str">
            <v/>
          </cell>
          <cell r="CL240" t="str">
            <v>Skilled</v>
          </cell>
          <cell r="CM240" t="str">
            <v/>
          </cell>
          <cell r="CN240" t="str">
            <v>Labor</v>
          </cell>
          <cell r="CO240" t="str">
            <v/>
          </cell>
          <cell r="CP240" t="str">
            <v/>
          </cell>
          <cell r="CQ240" t="str">
            <v/>
          </cell>
          <cell r="CR240" t="str">
            <v/>
          </cell>
          <cell r="CS240" t="str">
            <v/>
          </cell>
          <cell r="CT240" t="str">
            <v/>
          </cell>
          <cell r="CU240" t="str">
            <v/>
          </cell>
          <cell r="CV240" t="str">
            <v>Municipal Office</v>
          </cell>
          <cell r="CW240" t="str">
            <v/>
          </cell>
          <cell r="CX240" t="str">
            <v>Chairman</v>
          </cell>
          <cell r="CY240" t="str">
            <v/>
          </cell>
          <cell r="CZ240" t="str">
            <v>Municipal Office</v>
          </cell>
          <cell r="DA240" t="str">
            <v/>
          </cell>
          <cell r="DB240" t="str">
            <v>Deputy Chairman</v>
          </cell>
          <cell r="DC240" t="str">
            <v/>
          </cell>
          <cell r="DD240" t="str">
            <v>Municipal Office</v>
          </cell>
          <cell r="DE240" t="str">
            <v/>
          </cell>
          <cell r="DF240" t="str">
            <v>Chief Adminstration Officer</v>
          </cell>
          <cell r="DG240" t="str">
            <v/>
          </cell>
          <cell r="DH240" t="str">
            <v>NRA/GMALI</v>
          </cell>
          <cell r="DI240" t="str">
            <v/>
          </cell>
          <cell r="DJ240" t="str">
            <v>NRA Chief-District</v>
          </cell>
          <cell r="DK240" t="str">
            <v/>
          </cell>
          <cell r="DL240" t="str">
            <v>DLPIU-Building</v>
          </cell>
          <cell r="DM240" t="str">
            <v/>
          </cell>
          <cell r="DN240" t="str">
            <v>DUDBC.DLPIU Chief</v>
          </cell>
          <cell r="DO240" t="str">
            <v/>
          </cell>
          <cell r="DP240" t="str">
            <v>Municipal Office</v>
          </cell>
          <cell r="DQ240" t="str">
            <v/>
          </cell>
          <cell r="DR240" t="str">
            <v>Focal Person</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v>0</v>
          </cell>
          <cell r="EK240">
            <v>0</v>
          </cell>
          <cell r="EL240">
            <v>0</v>
          </cell>
          <cell r="EM240">
            <v>0</v>
          </cell>
          <cell r="EN240">
            <v>0</v>
          </cell>
          <cell r="EO240">
            <v>0</v>
          </cell>
          <cell r="EP240" t="str">
            <v/>
          </cell>
          <cell r="EQ240" t="str">
            <v>Housing Recovery and Reconstruction Platform</v>
          </cell>
          <cell r="ER240" t="str">
            <v/>
          </cell>
          <cell r="ES240" t="str">
            <v>District Coordinator</v>
          </cell>
          <cell r="ET240" t="str">
            <v/>
          </cell>
          <cell r="EU240" t="str">
            <v>Housing Recovery and Reconstruction Platform</v>
          </cell>
          <cell r="EV240" t="str">
            <v/>
          </cell>
          <cell r="EW240" t="str">
            <v>DIstrict Information Management Officer</v>
          </cell>
          <cell r="EX240" t="str">
            <v/>
          </cell>
          <cell r="EY240" t="str">
            <v>Housing Recovery and Reconstruction Platform</v>
          </cell>
          <cell r="EZ240" t="str">
            <v/>
          </cell>
          <cell r="FA240" t="str">
            <v>District Technical Officer</v>
          </cell>
          <cell r="FB240" t="str">
            <v/>
          </cell>
        </row>
        <row r="241">
          <cell r="A241">
            <v>45009</v>
          </cell>
          <cell r="B241" t="str">
            <v>Baglung</v>
          </cell>
          <cell r="C241" t="str">
            <v>Taman Khola Gaunpalika</v>
          </cell>
          <cell r="D241">
            <v>3</v>
          </cell>
          <cell r="E241">
            <v>16</v>
          </cell>
          <cell r="F241">
            <v>19</v>
          </cell>
          <cell r="G241" t="str">
            <v>Stone and cement mortar masonry</v>
          </cell>
          <cell r="H241">
            <v>0</v>
          </cell>
          <cell r="I241">
            <v>1.27</v>
          </cell>
          <cell r="J241" t="str">
            <v>Stone and Mud Mortar Masonary</v>
          </cell>
          <cell r="K241">
            <v>94.74</v>
          </cell>
          <cell r="L241">
            <v>87.91</v>
          </cell>
          <cell r="M241" t="str">
            <v>Brick and Cement Mortar Masonary</v>
          </cell>
          <cell r="N241">
            <v>0</v>
          </cell>
          <cell r="O241">
            <v>0.68</v>
          </cell>
          <cell r="P241" t="str">
            <v>Brick and mud mortar Masonry</v>
          </cell>
          <cell r="Q241">
            <v>0</v>
          </cell>
          <cell r="R241">
            <v>2.63</v>
          </cell>
          <cell r="S241" t="str">
            <v>Reinforced cement concrete (RCC) frame</v>
          </cell>
          <cell r="T241">
            <v>0</v>
          </cell>
          <cell r="U241">
            <v>2.57</v>
          </cell>
          <cell r="V241" t="str">
            <v>Hybrid structure</v>
          </cell>
          <cell r="W241">
            <v>0</v>
          </cell>
          <cell r="X241">
            <v>0</v>
          </cell>
          <cell r="Y241" t="str">
            <v>Timber frame structure</v>
          </cell>
          <cell r="Z241">
            <v>0</v>
          </cell>
          <cell r="AA241">
            <v>0.05</v>
          </cell>
          <cell r="AB241" t="str">
            <v>Hollow concrete block Masonry</v>
          </cell>
          <cell r="AC241">
            <v>0</v>
          </cell>
          <cell r="AD241">
            <v>0</v>
          </cell>
          <cell r="AE241" t="str">
            <v>Dry stone Masonry</v>
          </cell>
          <cell r="AF241">
            <v>0</v>
          </cell>
          <cell r="AG241">
            <v>0.13</v>
          </cell>
          <cell r="AH241" t="str">
            <v>Adobe structures</v>
          </cell>
          <cell r="AI241">
            <v>5.26</v>
          </cell>
          <cell r="AJ241">
            <v>4.76</v>
          </cell>
          <cell r="AK241" t="str">
            <v>Bamboo</v>
          </cell>
          <cell r="AL241">
            <v>0</v>
          </cell>
          <cell r="AM241">
            <v>0</v>
          </cell>
          <cell r="AN241" t="str">
            <v>Compressed stabilized earth block (SCEB) Masonry</v>
          </cell>
          <cell r="AO241">
            <v>0</v>
          </cell>
          <cell r="AP241">
            <v>0</v>
          </cell>
          <cell r="AQ241" t="str">
            <v>Light steel frame structures</v>
          </cell>
          <cell r="AR241">
            <v>0</v>
          </cell>
          <cell r="AS241">
            <v>0</v>
          </cell>
          <cell r="AT241">
            <v>16</v>
          </cell>
          <cell r="AU241">
            <v>20</v>
          </cell>
          <cell r="AV241">
            <v>20</v>
          </cell>
          <cell r="AW241">
            <v>6</v>
          </cell>
          <cell r="AX241">
            <v>0</v>
          </cell>
          <cell r="AY241" t="str">
            <v/>
          </cell>
          <cell r="AZ241" t="str">
            <v/>
          </cell>
          <cell r="BA241">
            <v>0</v>
          </cell>
          <cell r="BB241" t="str">
            <v/>
          </cell>
          <cell r="BC241" t="str">
            <v/>
          </cell>
          <cell r="BD241" t="str">
            <v/>
          </cell>
          <cell r="BE241" t="str">
            <v/>
          </cell>
          <cell r="BF241" t="str">
            <v/>
          </cell>
          <cell r="BG241" t="str">
            <v/>
          </cell>
          <cell r="BH241" t="str">
            <v/>
          </cell>
          <cell r="BI241" t="str">
            <v/>
          </cell>
          <cell r="BJ241" t="str">
            <v/>
          </cell>
          <cell r="BK241">
            <v>560</v>
          </cell>
          <cell r="BL241" t="str">
            <v/>
          </cell>
          <cell r="BM241" t="str">
            <v/>
          </cell>
          <cell r="BN241">
            <v>600</v>
          </cell>
          <cell r="BO241" t="str">
            <v/>
          </cell>
          <cell r="BP241" t="str">
            <v/>
          </cell>
          <cell r="BQ241">
            <v>60</v>
          </cell>
          <cell r="BR241" t="str">
            <v/>
          </cell>
          <cell r="BS241" t="str">
            <v/>
          </cell>
          <cell r="BT241">
            <v>70</v>
          </cell>
          <cell r="BU241" t="str">
            <v/>
          </cell>
          <cell r="BV241" t="str">
            <v/>
          </cell>
          <cell r="BW241" t="str">
            <v/>
          </cell>
          <cell r="BX241" t="str">
            <v/>
          </cell>
          <cell r="BY241" t="str">
            <v/>
          </cell>
          <cell r="BZ241">
            <v>1960</v>
          </cell>
          <cell r="CA241" t="str">
            <v/>
          </cell>
          <cell r="CB241" t="str">
            <v/>
          </cell>
          <cell r="CC241">
            <v>6000</v>
          </cell>
          <cell r="CD241" t="str">
            <v/>
          </cell>
          <cell r="CE241" t="str">
            <v/>
          </cell>
          <cell r="CF241">
            <v>80</v>
          </cell>
          <cell r="CG241" t="str">
            <v/>
          </cell>
          <cell r="CH241" t="str">
            <v/>
          </cell>
          <cell r="CI241">
            <v>0</v>
          </cell>
          <cell r="CJ241" t="str">
            <v/>
          </cell>
          <cell r="CK241" t="str">
            <v/>
          </cell>
          <cell r="CL241" t="str">
            <v>Skilled</v>
          </cell>
          <cell r="CM241" t="str">
            <v/>
          </cell>
          <cell r="CN241" t="str">
            <v>Labor</v>
          </cell>
          <cell r="CO241" t="str">
            <v/>
          </cell>
          <cell r="CP241" t="str">
            <v/>
          </cell>
          <cell r="CQ241" t="str">
            <v/>
          </cell>
          <cell r="CR241" t="str">
            <v/>
          </cell>
          <cell r="CS241" t="str">
            <v/>
          </cell>
          <cell r="CT241" t="str">
            <v/>
          </cell>
          <cell r="CU241" t="str">
            <v/>
          </cell>
          <cell r="CV241" t="str">
            <v>Municipal Office</v>
          </cell>
          <cell r="CW241" t="str">
            <v/>
          </cell>
          <cell r="CX241" t="str">
            <v>Chairman</v>
          </cell>
          <cell r="CY241" t="str">
            <v/>
          </cell>
          <cell r="CZ241" t="str">
            <v>Municipal Office</v>
          </cell>
          <cell r="DA241" t="str">
            <v/>
          </cell>
          <cell r="DB241" t="str">
            <v>Deputy Chairman</v>
          </cell>
          <cell r="DC241" t="str">
            <v/>
          </cell>
          <cell r="DD241" t="str">
            <v>Municipal Office</v>
          </cell>
          <cell r="DE241" t="str">
            <v/>
          </cell>
          <cell r="DF241" t="str">
            <v>Chief Adminstration Officer</v>
          </cell>
          <cell r="DG241" t="str">
            <v/>
          </cell>
          <cell r="DH241" t="str">
            <v>NRA/GMALI</v>
          </cell>
          <cell r="DI241" t="str">
            <v/>
          </cell>
          <cell r="DJ241" t="str">
            <v>NRA Chief-District</v>
          </cell>
          <cell r="DK241" t="str">
            <v/>
          </cell>
          <cell r="DL241" t="str">
            <v>DLPIU-Building</v>
          </cell>
          <cell r="DM241" t="str">
            <v/>
          </cell>
          <cell r="DN241" t="str">
            <v>DUDBC.DLPIU Chief</v>
          </cell>
          <cell r="DO241" t="str">
            <v/>
          </cell>
          <cell r="DP241" t="str">
            <v>Municipal Office</v>
          </cell>
          <cell r="DQ241" t="str">
            <v/>
          </cell>
          <cell r="DR241" t="str">
            <v>Focal Person</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v>0</v>
          </cell>
          <cell r="EK241">
            <v>0</v>
          </cell>
          <cell r="EL241">
            <v>0</v>
          </cell>
          <cell r="EM241">
            <v>0</v>
          </cell>
          <cell r="EN241">
            <v>0</v>
          </cell>
          <cell r="EO241">
            <v>0</v>
          </cell>
          <cell r="EP241" t="str">
            <v/>
          </cell>
          <cell r="EQ241" t="str">
            <v>Housing Recovery and Reconstruction Platform</v>
          </cell>
          <cell r="ER241" t="str">
            <v/>
          </cell>
          <cell r="ES241" t="str">
            <v>District Coordinator</v>
          </cell>
          <cell r="ET241" t="str">
            <v/>
          </cell>
          <cell r="EU241" t="str">
            <v>Housing Recovery and Reconstruction Platform</v>
          </cell>
          <cell r="EV241" t="str">
            <v/>
          </cell>
          <cell r="EW241" t="str">
            <v>DIstrict Information Management Officer</v>
          </cell>
          <cell r="EX241" t="str">
            <v/>
          </cell>
          <cell r="EY241" t="str">
            <v>Housing Recovery and Reconstruction Platform</v>
          </cell>
          <cell r="EZ241" t="str">
            <v/>
          </cell>
          <cell r="FA241" t="str">
            <v>District Technical Officer</v>
          </cell>
          <cell r="FB241" t="str">
            <v/>
          </cell>
        </row>
        <row r="242">
          <cell r="A242">
            <v>45010</v>
          </cell>
          <cell r="B242" t="str">
            <v>Baglung</v>
          </cell>
          <cell r="C242" t="str">
            <v>Tara Khola Gaunpalika</v>
          </cell>
          <cell r="D242">
            <v>4</v>
          </cell>
          <cell r="E242">
            <v>102</v>
          </cell>
          <cell r="F242">
            <v>106</v>
          </cell>
          <cell r="G242" t="str">
            <v>Stone and cement mortar masonry</v>
          </cell>
          <cell r="H242">
            <v>0</v>
          </cell>
          <cell r="I242">
            <v>1.27</v>
          </cell>
          <cell r="J242" t="str">
            <v>Stone and Mud Mortar Masonary</v>
          </cell>
          <cell r="K242">
            <v>100</v>
          </cell>
          <cell r="L242">
            <v>87.91</v>
          </cell>
          <cell r="M242" t="str">
            <v>Brick and Cement Mortar Masonary</v>
          </cell>
          <cell r="N242">
            <v>0</v>
          </cell>
          <cell r="O242">
            <v>0.68</v>
          </cell>
          <cell r="P242" t="str">
            <v>Brick and mud mortar Masonry</v>
          </cell>
          <cell r="Q242">
            <v>0</v>
          </cell>
          <cell r="R242">
            <v>2.63</v>
          </cell>
          <cell r="S242" t="str">
            <v>Reinforced cement concrete (RCC) frame</v>
          </cell>
          <cell r="T242">
            <v>0</v>
          </cell>
          <cell r="U242">
            <v>2.57</v>
          </cell>
          <cell r="V242" t="str">
            <v>Hybrid structure</v>
          </cell>
          <cell r="W242">
            <v>0</v>
          </cell>
          <cell r="X242">
            <v>0</v>
          </cell>
          <cell r="Y242" t="str">
            <v>Timber frame structure</v>
          </cell>
          <cell r="Z242">
            <v>0</v>
          </cell>
          <cell r="AA242">
            <v>0.05</v>
          </cell>
          <cell r="AB242" t="str">
            <v>Hollow concrete block Masonry</v>
          </cell>
          <cell r="AC242">
            <v>0</v>
          </cell>
          <cell r="AD242">
            <v>0</v>
          </cell>
          <cell r="AE242" t="str">
            <v>Dry stone Masonry</v>
          </cell>
          <cell r="AF242">
            <v>0</v>
          </cell>
          <cell r="AG242">
            <v>0.13</v>
          </cell>
          <cell r="AH242" t="str">
            <v>Adobe structures</v>
          </cell>
          <cell r="AI242">
            <v>0</v>
          </cell>
          <cell r="AJ242">
            <v>4.76</v>
          </cell>
          <cell r="AK242" t="str">
            <v>Bamboo</v>
          </cell>
          <cell r="AL242">
            <v>0</v>
          </cell>
          <cell r="AM242">
            <v>0</v>
          </cell>
          <cell r="AN242" t="str">
            <v>Compressed stabilized earth block (SCEB) Masonry</v>
          </cell>
          <cell r="AO242">
            <v>0</v>
          </cell>
          <cell r="AP242">
            <v>0</v>
          </cell>
          <cell r="AQ242" t="str">
            <v>Light steel frame structures</v>
          </cell>
          <cell r="AR242">
            <v>0</v>
          </cell>
          <cell r="AS242">
            <v>0</v>
          </cell>
          <cell r="AT242">
            <v>102</v>
          </cell>
          <cell r="AU242">
            <v>61</v>
          </cell>
          <cell r="AV242">
            <v>61</v>
          </cell>
          <cell r="AW242">
            <v>0</v>
          </cell>
          <cell r="AX242">
            <v>0</v>
          </cell>
          <cell r="AY242" t="str">
            <v/>
          </cell>
          <cell r="AZ242" t="str">
            <v/>
          </cell>
          <cell r="BA242">
            <v>0</v>
          </cell>
          <cell r="BB242" t="str">
            <v/>
          </cell>
          <cell r="BC242" t="str">
            <v/>
          </cell>
          <cell r="BD242" t="str">
            <v/>
          </cell>
          <cell r="BE242" t="str">
            <v/>
          </cell>
          <cell r="BF242" t="str">
            <v/>
          </cell>
          <cell r="BG242" t="str">
            <v/>
          </cell>
          <cell r="BH242" t="str">
            <v/>
          </cell>
          <cell r="BI242" t="str">
            <v/>
          </cell>
          <cell r="BJ242" t="str">
            <v/>
          </cell>
          <cell r="BK242">
            <v>1734</v>
          </cell>
          <cell r="BL242" t="str">
            <v/>
          </cell>
          <cell r="BM242" t="str">
            <v/>
          </cell>
          <cell r="BN242">
            <v>1800</v>
          </cell>
          <cell r="BO242" t="str">
            <v/>
          </cell>
          <cell r="BP242" t="str">
            <v/>
          </cell>
          <cell r="BQ242">
            <v>185</v>
          </cell>
          <cell r="BR242" t="str">
            <v/>
          </cell>
          <cell r="BS242" t="str">
            <v/>
          </cell>
          <cell r="BT242">
            <v>215</v>
          </cell>
          <cell r="BU242" t="str">
            <v/>
          </cell>
          <cell r="BV242" t="str">
            <v/>
          </cell>
          <cell r="BW242" t="str">
            <v/>
          </cell>
          <cell r="BX242" t="str">
            <v/>
          </cell>
          <cell r="BY242" t="str">
            <v/>
          </cell>
          <cell r="BZ242">
            <v>5968</v>
          </cell>
          <cell r="CA242" t="str">
            <v/>
          </cell>
          <cell r="CB242" t="str">
            <v/>
          </cell>
          <cell r="CC242">
            <v>18778</v>
          </cell>
          <cell r="CD242" t="str">
            <v/>
          </cell>
          <cell r="CE242" t="str">
            <v/>
          </cell>
          <cell r="CF242">
            <v>244</v>
          </cell>
          <cell r="CG242" t="str">
            <v/>
          </cell>
          <cell r="CH242" t="str">
            <v/>
          </cell>
          <cell r="CI242">
            <v>16721</v>
          </cell>
          <cell r="CJ242" t="str">
            <v/>
          </cell>
          <cell r="CK242" t="str">
            <v/>
          </cell>
          <cell r="CL242" t="str">
            <v>Skilled</v>
          </cell>
          <cell r="CM242" t="str">
            <v/>
          </cell>
          <cell r="CN242" t="str">
            <v>Labor</v>
          </cell>
          <cell r="CO242" t="str">
            <v/>
          </cell>
          <cell r="CP242" t="str">
            <v/>
          </cell>
          <cell r="CQ242" t="str">
            <v/>
          </cell>
          <cell r="CR242" t="str">
            <v/>
          </cell>
          <cell r="CS242" t="str">
            <v/>
          </cell>
          <cell r="CT242" t="str">
            <v/>
          </cell>
          <cell r="CU242" t="str">
            <v/>
          </cell>
          <cell r="CV242" t="str">
            <v>Municipal Office</v>
          </cell>
          <cell r="CW242" t="str">
            <v/>
          </cell>
          <cell r="CX242" t="str">
            <v>Chairman</v>
          </cell>
          <cell r="CY242" t="str">
            <v/>
          </cell>
          <cell r="CZ242" t="str">
            <v>Municipal Office</v>
          </cell>
          <cell r="DA242" t="str">
            <v/>
          </cell>
          <cell r="DB242" t="str">
            <v>Deputy Chairman</v>
          </cell>
          <cell r="DC242" t="str">
            <v/>
          </cell>
          <cell r="DD242" t="str">
            <v>Municipal Office</v>
          </cell>
          <cell r="DE242" t="str">
            <v/>
          </cell>
          <cell r="DF242" t="str">
            <v>Chief Adminstration Officer</v>
          </cell>
          <cell r="DG242" t="str">
            <v/>
          </cell>
          <cell r="DH242" t="str">
            <v>NRA/GMALI</v>
          </cell>
          <cell r="DI242" t="str">
            <v/>
          </cell>
          <cell r="DJ242" t="str">
            <v>NRA Chief-District</v>
          </cell>
          <cell r="DK242" t="str">
            <v/>
          </cell>
          <cell r="DL242" t="str">
            <v>DLPIU-Building</v>
          </cell>
          <cell r="DM242" t="str">
            <v/>
          </cell>
          <cell r="DN242" t="str">
            <v>DUDBC.DLPIU Chief</v>
          </cell>
          <cell r="DO242" t="str">
            <v/>
          </cell>
          <cell r="DP242" t="str">
            <v>Municipal Office</v>
          </cell>
          <cell r="DQ242" t="str">
            <v/>
          </cell>
          <cell r="DR242" t="str">
            <v>Focal Person</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v>0</v>
          </cell>
          <cell r="EK242">
            <v>0</v>
          </cell>
          <cell r="EL242">
            <v>0</v>
          </cell>
          <cell r="EM242">
            <v>0</v>
          </cell>
          <cell r="EN242">
            <v>0</v>
          </cell>
          <cell r="EO242">
            <v>0</v>
          </cell>
          <cell r="EP242" t="str">
            <v/>
          </cell>
          <cell r="EQ242" t="str">
            <v>Housing Recovery and Reconstruction Platform</v>
          </cell>
          <cell r="ER242" t="str">
            <v/>
          </cell>
          <cell r="ES242" t="str">
            <v>District Coordinator</v>
          </cell>
          <cell r="ET242" t="str">
            <v/>
          </cell>
          <cell r="EU242" t="str">
            <v>Housing Recovery and Reconstruction Platform</v>
          </cell>
          <cell r="EV242" t="str">
            <v/>
          </cell>
          <cell r="EW242" t="str">
            <v>DIstrict Information Management Officer</v>
          </cell>
          <cell r="EX242" t="str">
            <v/>
          </cell>
          <cell r="EY242" t="str">
            <v>Housing Recovery and Reconstruction Platform</v>
          </cell>
          <cell r="EZ242" t="str">
            <v/>
          </cell>
          <cell r="FA242" t="str">
            <v>District Technical Officer</v>
          </cell>
          <cell r="FB242" t="str">
            <v/>
          </cell>
        </row>
        <row r="243">
          <cell r="A243">
            <v>46001</v>
          </cell>
          <cell r="B243" t="str">
            <v>Gulmi</v>
          </cell>
          <cell r="C243" t="str">
            <v>Chandrakot Gaunpalika</v>
          </cell>
          <cell r="D243">
            <v>74</v>
          </cell>
          <cell r="E243">
            <v>285</v>
          </cell>
          <cell r="F243">
            <v>359</v>
          </cell>
          <cell r="G243" t="str">
            <v>Stone and cement mortar masonry</v>
          </cell>
          <cell r="H243">
            <v>0</v>
          </cell>
          <cell r="I243">
            <v>0.82</v>
          </cell>
          <cell r="J243" t="str">
            <v>Stone and Mud Mortar Masonary</v>
          </cell>
          <cell r="K243">
            <v>94.15</v>
          </cell>
          <cell r="L243">
            <v>94.78</v>
          </cell>
          <cell r="M243" t="str">
            <v>Brick and Cement Mortar Masonary</v>
          </cell>
          <cell r="N243">
            <v>0</v>
          </cell>
          <cell r="O243">
            <v>0.21</v>
          </cell>
          <cell r="P243" t="str">
            <v>Brick and mud mortar Masonry</v>
          </cell>
          <cell r="Q243">
            <v>0</v>
          </cell>
          <cell r="R243">
            <v>0</v>
          </cell>
          <cell r="S243" t="str">
            <v>Reinforced cement concrete (RCC) frame</v>
          </cell>
          <cell r="T243">
            <v>1.1100000000000001</v>
          </cell>
          <cell r="U243">
            <v>0.5</v>
          </cell>
          <cell r="V243" t="str">
            <v>Hybrid structure</v>
          </cell>
          <cell r="W243">
            <v>0</v>
          </cell>
          <cell r="X243">
            <v>0</v>
          </cell>
          <cell r="Y243" t="str">
            <v>Timber frame structure</v>
          </cell>
          <cell r="Z243">
            <v>0</v>
          </cell>
          <cell r="AA243">
            <v>0.17</v>
          </cell>
          <cell r="AB243" t="str">
            <v>Hollow concrete block Masonry</v>
          </cell>
          <cell r="AC243">
            <v>0</v>
          </cell>
          <cell r="AD243">
            <v>0</v>
          </cell>
          <cell r="AE243" t="str">
            <v>Dry stone Masonry</v>
          </cell>
          <cell r="AF243">
            <v>0</v>
          </cell>
          <cell r="AG243">
            <v>0.44</v>
          </cell>
          <cell r="AH243" t="str">
            <v>Adobe structures</v>
          </cell>
          <cell r="AI243">
            <v>4.46</v>
          </cell>
          <cell r="AJ243">
            <v>3.06</v>
          </cell>
          <cell r="AK243" t="str">
            <v>Bamboo</v>
          </cell>
          <cell r="AL243">
            <v>0.28000000000000003</v>
          </cell>
          <cell r="AM243">
            <v>0.01</v>
          </cell>
          <cell r="AN243" t="str">
            <v>Compressed stabilized earth block (SCEB) Masonry</v>
          </cell>
          <cell r="AO243">
            <v>0</v>
          </cell>
          <cell r="AP243">
            <v>0</v>
          </cell>
          <cell r="AQ243" t="str">
            <v>Light steel frame structures</v>
          </cell>
          <cell r="AR243">
            <v>0</v>
          </cell>
          <cell r="AS243">
            <v>0</v>
          </cell>
          <cell r="AT243">
            <v>239</v>
          </cell>
          <cell r="AU243">
            <v>122</v>
          </cell>
          <cell r="AV243">
            <v>122</v>
          </cell>
          <cell r="AW243">
            <v>32</v>
          </cell>
          <cell r="AX243">
            <v>8</v>
          </cell>
          <cell r="AY243" t="str">
            <v/>
          </cell>
          <cell r="AZ243" t="str">
            <v/>
          </cell>
          <cell r="BA243">
            <v>32</v>
          </cell>
          <cell r="BB243" t="str">
            <v/>
          </cell>
          <cell r="BC243" t="str">
            <v/>
          </cell>
          <cell r="BD243" t="str">
            <v/>
          </cell>
          <cell r="BE243" t="str">
            <v/>
          </cell>
          <cell r="BF243" t="str">
            <v/>
          </cell>
          <cell r="BG243" t="str">
            <v/>
          </cell>
          <cell r="BH243" t="str">
            <v/>
          </cell>
          <cell r="BI243" t="str">
            <v/>
          </cell>
          <cell r="BJ243" t="str">
            <v/>
          </cell>
          <cell r="BK243">
            <v>3295</v>
          </cell>
          <cell r="BL243" t="str">
            <v/>
          </cell>
          <cell r="BM243" t="str">
            <v/>
          </cell>
          <cell r="BN243">
            <v>3391</v>
          </cell>
          <cell r="BO243" t="str">
            <v/>
          </cell>
          <cell r="BP243" t="str">
            <v/>
          </cell>
          <cell r="BQ243">
            <v>352</v>
          </cell>
          <cell r="BR243" t="str">
            <v/>
          </cell>
          <cell r="BS243" t="str">
            <v/>
          </cell>
          <cell r="BT243">
            <v>406</v>
          </cell>
          <cell r="BU243" t="str">
            <v/>
          </cell>
          <cell r="BV243" t="str">
            <v/>
          </cell>
          <cell r="BW243" t="str">
            <v/>
          </cell>
          <cell r="BX243" t="str">
            <v/>
          </cell>
          <cell r="BY243" t="str">
            <v/>
          </cell>
          <cell r="BZ243">
            <v>11098</v>
          </cell>
          <cell r="CA243" t="str">
            <v/>
          </cell>
          <cell r="CB243" t="str">
            <v/>
          </cell>
          <cell r="CC243">
            <v>35520</v>
          </cell>
          <cell r="CD243" t="str">
            <v/>
          </cell>
          <cell r="CE243" t="str">
            <v/>
          </cell>
          <cell r="CF243">
            <v>453</v>
          </cell>
          <cell r="CG243" t="str">
            <v/>
          </cell>
          <cell r="CH243" t="str">
            <v/>
          </cell>
          <cell r="CI243">
            <v>11212</v>
          </cell>
          <cell r="CJ243" t="str">
            <v/>
          </cell>
          <cell r="CK243" t="str">
            <v/>
          </cell>
          <cell r="CL243" t="str">
            <v>Skilled</v>
          </cell>
          <cell r="CM243" t="str">
            <v/>
          </cell>
          <cell r="CN243" t="str">
            <v>Labor</v>
          </cell>
          <cell r="CO243" t="str">
            <v/>
          </cell>
          <cell r="CP243" t="str">
            <v/>
          </cell>
          <cell r="CQ243" t="str">
            <v/>
          </cell>
          <cell r="CR243" t="str">
            <v/>
          </cell>
          <cell r="CS243" t="str">
            <v/>
          </cell>
          <cell r="CT243" t="str">
            <v/>
          </cell>
          <cell r="CU243" t="str">
            <v/>
          </cell>
          <cell r="CV243" t="str">
            <v>Municipal Office</v>
          </cell>
          <cell r="CW243" t="str">
            <v/>
          </cell>
          <cell r="CX243" t="str">
            <v>Chairman</v>
          </cell>
          <cell r="CY243" t="str">
            <v/>
          </cell>
          <cell r="CZ243" t="str">
            <v>Municipal Office</v>
          </cell>
          <cell r="DA243" t="str">
            <v/>
          </cell>
          <cell r="DB243" t="str">
            <v>Deputy Chairman</v>
          </cell>
          <cell r="DC243" t="str">
            <v/>
          </cell>
          <cell r="DD243" t="str">
            <v>Municipal Office</v>
          </cell>
          <cell r="DE243" t="str">
            <v/>
          </cell>
          <cell r="DF243" t="str">
            <v>Chief Adminstration Officer</v>
          </cell>
          <cell r="DG243" t="str">
            <v/>
          </cell>
          <cell r="DH243" t="str">
            <v>NRA/GMALI</v>
          </cell>
          <cell r="DI243" t="str">
            <v/>
          </cell>
          <cell r="DJ243" t="str">
            <v>NRA Chief-District</v>
          </cell>
          <cell r="DK243" t="str">
            <v/>
          </cell>
          <cell r="DL243" t="str">
            <v>DLPIU-Building</v>
          </cell>
          <cell r="DM243" t="str">
            <v/>
          </cell>
          <cell r="DN243" t="str">
            <v>DUDBC.DLPIU Chief</v>
          </cell>
          <cell r="DO243" t="str">
            <v/>
          </cell>
          <cell r="DP243" t="str">
            <v>Municipal Office</v>
          </cell>
          <cell r="DQ243" t="str">
            <v/>
          </cell>
          <cell r="DR243" t="str">
            <v>Focal Person</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v>0</v>
          </cell>
          <cell r="EK243">
            <v>0</v>
          </cell>
          <cell r="EL243">
            <v>0</v>
          </cell>
          <cell r="EM243">
            <v>0</v>
          </cell>
          <cell r="EN243">
            <v>0</v>
          </cell>
          <cell r="EO243">
            <v>0</v>
          </cell>
          <cell r="EP243" t="str">
            <v/>
          </cell>
          <cell r="EQ243" t="str">
            <v>Housing Recovery and Reconstruction Platform</v>
          </cell>
          <cell r="ER243" t="str">
            <v/>
          </cell>
          <cell r="ES243" t="str">
            <v>District Coordinator</v>
          </cell>
          <cell r="ET243" t="str">
            <v/>
          </cell>
          <cell r="EU243" t="str">
            <v>Housing Recovery and Reconstruction Platform</v>
          </cell>
          <cell r="EV243" t="str">
            <v/>
          </cell>
          <cell r="EW243" t="str">
            <v>DIstrict Information Management Officer</v>
          </cell>
          <cell r="EX243" t="str">
            <v/>
          </cell>
          <cell r="EY243" t="str">
            <v>Housing Recovery and Reconstruction Platform</v>
          </cell>
          <cell r="EZ243" t="str">
            <v/>
          </cell>
          <cell r="FA243" t="str">
            <v>District Technical Officer</v>
          </cell>
          <cell r="FB243" t="str">
            <v/>
          </cell>
        </row>
        <row r="244">
          <cell r="A244">
            <v>46002</v>
          </cell>
          <cell r="B244" t="str">
            <v>Gulmi</v>
          </cell>
          <cell r="C244" t="str">
            <v>Chatrakot Gaunpalika</v>
          </cell>
          <cell r="D244">
            <v>23</v>
          </cell>
          <cell r="E244">
            <v>274</v>
          </cell>
          <cell r="F244">
            <v>297</v>
          </cell>
          <cell r="G244" t="str">
            <v>Stone and cement mortar masonry</v>
          </cell>
          <cell r="H244">
            <v>0</v>
          </cell>
          <cell r="I244">
            <v>0.82</v>
          </cell>
          <cell r="J244" t="str">
            <v>Stone and Mud Mortar Masonary</v>
          </cell>
          <cell r="K244">
            <v>91.25</v>
          </cell>
          <cell r="L244">
            <v>94.78</v>
          </cell>
          <cell r="M244" t="str">
            <v>Brick and Cement Mortar Masonary</v>
          </cell>
          <cell r="N244">
            <v>0.67</v>
          </cell>
          <cell r="O244">
            <v>0.21</v>
          </cell>
          <cell r="P244" t="str">
            <v>Brick and mud mortar Masonry</v>
          </cell>
          <cell r="Q244">
            <v>0</v>
          </cell>
          <cell r="R244">
            <v>0</v>
          </cell>
          <cell r="S244" t="str">
            <v>Reinforced cement concrete (RCC) frame</v>
          </cell>
          <cell r="T244">
            <v>0</v>
          </cell>
          <cell r="U244">
            <v>0.5</v>
          </cell>
          <cell r="V244" t="str">
            <v>Hybrid structure</v>
          </cell>
          <cell r="W244">
            <v>0</v>
          </cell>
          <cell r="X244">
            <v>0</v>
          </cell>
          <cell r="Y244" t="str">
            <v>Timber frame structure</v>
          </cell>
          <cell r="Z244">
            <v>0.34</v>
          </cell>
          <cell r="AA244">
            <v>0.17</v>
          </cell>
          <cell r="AB244" t="str">
            <v>Hollow concrete block Masonry</v>
          </cell>
          <cell r="AC244">
            <v>0</v>
          </cell>
          <cell r="AD244">
            <v>0</v>
          </cell>
          <cell r="AE244" t="str">
            <v>Dry stone Masonry</v>
          </cell>
          <cell r="AF244">
            <v>7.41</v>
          </cell>
          <cell r="AG244">
            <v>0.44</v>
          </cell>
          <cell r="AH244" t="str">
            <v>Adobe structures</v>
          </cell>
          <cell r="AI244">
            <v>0.34</v>
          </cell>
          <cell r="AJ244">
            <v>3.06</v>
          </cell>
          <cell r="AK244" t="str">
            <v>Bamboo</v>
          </cell>
          <cell r="AL244">
            <v>0</v>
          </cell>
          <cell r="AM244">
            <v>0.01</v>
          </cell>
          <cell r="AN244" t="str">
            <v>Compressed stabilized earth block (SCEB) Masonry</v>
          </cell>
          <cell r="AO244">
            <v>0</v>
          </cell>
          <cell r="AP244">
            <v>0</v>
          </cell>
          <cell r="AQ244" t="str">
            <v>Light steel frame structures</v>
          </cell>
          <cell r="AR244">
            <v>0</v>
          </cell>
          <cell r="AS244">
            <v>0</v>
          </cell>
          <cell r="AT244">
            <v>213</v>
          </cell>
          <cell r="AU244">
            <v>70</v>
          </cell>
          <cell r="AV244">
            <v>70</v>
          </cell>
          <cell r="AW244">
            <v>44</v>
          </cell>
          <cell r="AX244">
            <v>0</v>
          </cell>
          <cell r="AY244" t="str">
            <v/>
          </cell>
          <cell r="AZ244" t="str">
            <v/>
          </cell>
          <cell r="BA244">
            <v>60</v>
          </cell>
          <cell r="BB244" t="str">
            <v/>
          </cell>
          <cell r="BC244" t="str">
            <v/>
          </cell>
          <cell r="BD244" t="str">
            <v/>
          </cell>
          <cell r="BE244" t="str">
            <v/>
          </cell>
          <cell r="BF244" t="str">
            <v/>
          </cell>
          <cell r="BG244" t="str">
            <v/>
          </cell>
          <cell r="BH244" t="str">
            <v/>
          </cell>
          <cell r="BI244" t="str">
            <v/>
          </cell>
          <cell r="BJ244" t="str">
            <v/>
          </cell>
          <cell r="BK244">
            <v>2220</v>
          </cell>
          <cell r="BL244" t="str">
            <v/>
          </cell>
          <cell r="BM244" t="str">
            <v/>
          </cell>
          <cell r="BN244">
            <v>1987</v>
          </cell>
          <cell r="BO244" t="str">
            <v/>
          </cell>
          <cell r="BP244" t="str">
            <v/>
          </cell>
          <cell r="BQ244">
            <v>234</v>
          </cell>
          <cell r="BR244" t="str">
            <v/>
          </cell>
          <cell r="BS244" t="str">
            <v/>
          </cell>
          <cell r="BT244">
            <v>261</v>
          </cell>
          <cell r="BU244" t="str">
            <v/>
          </cell>
          <cell r="BV244" t="str">
            <v/>
          </cell>
          <cell r="BW244" t="str">
            <v/>
          </cell>
          <cell r="BX244" t="str">
            <v/>
          </cell>
          <cell r="BY244" t="str">
            <v/>
          </cell>
          <cell r="BZ244">
            <v>6724</v>
          </cell>
          <cell r="CA244" t="str">
            <v/>
          </cell>
          <cell r="CB244" t="str">
            <v/>
          </cell>
          <cell r="CC244">
            <v>24628</v>
          </cell>
          <cell r="CD244" t="str">
            <v/>
          </cell>
          <cell r="CE244" t="str">
            <v/>
          </cell>
          <cell r="CF244">
            <v>275</v>
          </cell>
          <cell r="CG244" t="str">
            <v/>
          </cell>
          <cell r="CH244" t="str">
            <v/>
          </cell>
          <cell r="CI244">
            <v>57199</v>
          </cell>
          <cell r="CJ244" t="str">
            <v/>
          </cell>
          <cell r="CK244" t="str">
            <v/>
          </cell>
          <cell r="CL244" t="str">
            <v>Skilled</v>
          </cell>
          <cell r="CM244" t="str">
            <v/>
          </cell>
          <cell r="CN244" t="str">
            <v>Labor</v>
          </cell>
          <cell r="CO244" t="str">
            <v/>
          </cell>
          <cell r="CP244" t="str">
            <v/>
          </cell>
          <cell r="CQ244" t="str">
            <v/>
          </cell>
          <cell r="CR244" t="str">
            <v/>
          </cell>
          <cell r="CS244" t="str">
            <v/>
          </cell>
          <cell r="CT244" t="str">
            <v/>
          </cell>
          <cell r="CU244" t="str">
            <v/>
          </cell>
          <cell r="CV244" t="str">
            <v>Municipal Office</v>
          </cell>
          <cell r="CW244" t="str">
            <v/>
          </cell>
          <cell r="CX244" t="str">
            <v>Chairman</v>
          </cell>
          <cell r="CY244" t="str">
            <v/>
          </cell>
          <cell r="CZ244" t="str">
            <v>Municipal Office</v>
          </cell>
          <cell r="DA244" t="str">
            <v/>
          </cell>
          <cell r="DB244" t="str">
            <v>Deputy Chairman</v>
          </cell>
          <cell r="DC244" t="str">
            <v/>
          </cell>
          <cell r="DD244" t="str">
            <v>Municipal Office</v>
          </cell>
          <cell r="DE244" t="str">
            <v/>
          </cell>
          <cell r="DF244" t="str">
            <v>Chief Adminstration Officer</v>
          </cell>
          <cell r="DG244" t="str">
            <v/>
          </cell>
          <cell r="DH244" t="str">
            <v>NRA/GMALI</v>
          </cell>
          <cell r="DI244" t="str">
            <v/>
          </cell>
          <cell r="DJ244" t="str">
            <v>NRA Chief-District</v>
          </cell>
          <cell r="DK244" t="str">
            <v/>
          </cell>
          <cell r="DL244" t="str">
            <v>DLPIU-Building</v>
          </cell>
          <cell r="DM244" t="str">
            <v/>
          </cell>
          <cell r="DN244" t="str">
            <v>DUDBC.DLPIU Chief</v>
          </cell>
          <cell r="DO244" t="str">
            <v/>
          </cell>
          <cell r="DP244" t="str">
            <v>Municipal Office</v>
          </cell>
          <cell r="DQ244" t="str">
            <v/>
          </cell>
          <cell r="DR244" t="str">
            <v>Focal Person</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v>0</v>
          </cell>
          <cell r="EK244">
            <v>0</v>
          </cell>
          <cell r="EL244">
            <v>0</v>
          </cell>
          <cell r="EM244">
            <v>0</v>
          </cell>
          <cell r="EN244">
            <v>0</v>
          </cell>
          <cell r="EO244">
            <v>0</v>
          </cell>
          <cell r="EP244" t="str">
            <v/>
          </cell>
          <cell r="EQ244" t="str">
            <v>Housing Recovery and Reconstruction Platform</v>
          </cell>
          <cell r="ER244" t="str">
            <v/>
          </cell>
          <cell r="ES244" t="str">
            <v>District Coordinator</v>
          </cell>
          <cell r="ET244" t="str">
            <v/>
          </cell>
          <cell r="EU244" t="str">
            <v>Housing Recovery and Reconstruction Platform</v>
          </cell>
          <cell r="EV244" t="str">
            <v/>
          </cell>
          <cell r="EW244" t="str">
            <v>DIstrict Information Management Officer</v>
          </cell>
          <cell r="EX244" t="str">
            <v/>
          </cell>
          <cell r="EY244" t="str">
            <v>Housing Recovery and Reconstruction Platform</v>
          </cell>
          <cell r="EZ244" t="str">
            <v/>
          </cell>
          <cell r="FA244" t="str">
            <v>District Technical Officer</v>
          </cell>
          <cell r="FB244" t="str">
            <v/>
          </cell>
        </row>
        <row r="245">
          <cell r="A245">
            <v>46003</v>
          </cell>
          <cell r="B245" t="str">
            <v>Gulmi</v>
          </cell>
          <cell r="C245" t="str">
            <v>Dhurkot Gaunpalika</v>
          </cell>
          <cell r="D245">
            <v>525</v>
          </cell>
          <cell r="E245">
            <v>522</v>
          </cell>
          <cell r="F245">
            <v>1047</v>
          </cell>
          <cell r="G245" t="str">
            <v>Stone and cement mortar masonry</v>
          </cell>
          <cell r="H245">
            <v>2.67</v>
          </cell>
          <cell r="I245">
            <v>0.82</v>
          </cell>
          <cell r="J245" t="str">
            <v>Stone and Mud Mortar Masonary</v>
          </cell>
          <cell r="K245">
            <v>92.65</v>
          </cell>
          <cell r="L245">
            <v>94.78</v>
          </cell>
          <cell r="M245" t="str">
            <v>Brick and Cement Mortar Masonary</v>
          </cell>
          <cell r="N245">
            <v>0.38</v>
          </cell>
          <cell r="O245">
            <v>0.21</v>
          </cell>
          <cell r="P245" t="str">
            <v>Brick and mud mortar Masonry</v>
          </cell>
          <cell r="Q245">
            <v>0</v>
          </cell>
          <cell r="R245">
            <v>0</v>
          </cell>
          <cell r="S245" t="str">
            <v>Reinforced cement concrete (RCC) frame</v>
          </cell>
          <cell r="T245">
            <v>0.1</v>
          </cell>
          <cell r="U245">
            <v>0.5</v>
          </cell>
          <cell r="V245" t="str">
            <v>Hybrid structure</v>
          </cell>
          <cell r="W245">
            <v>0</v>
          </cell>
          <cell r="X245">
            <v>0</v>
          </cell>
          <cell r="Y245" t="str">
            <v>Timber frame structure</v>
          </cell>
          <cell r="Z245">
            <v>0.1</v>
          </cell>
          <cell r="AA245">
            <v>0.17</v>
          </cell>
          <cell r="AB245" t="str">
            <v>Hollow concrete block Masonry</v>
          </cell>
          <cell r="AC245">
            <v>0</v>
          </cell>
          <cell r="AD245">
            <v>0</v>
          </cell>
          <cell r="AE245" t="str">
            <v>Dry stone Masonry</v>
          </cell>
          <cell r="AF245">
            <v>0.28999999999999998</v>
          </cell>
          <cell r="AG245">
            <v>0.44</v>
          </cell>
          <cell r="AH245" t="str">
            <v>Adobe structures</v>
          </cell>
          <cell r="AI245">
            <v>3.82</v>
          </cell>
          <cell r="AJ245">
            <v>3.06</v>
          </cell>
          <cell r="AK245" t="str">
            <v>Bamboo</v>
          </cell>
          <cell r="AL245">
            <v>0</v>
          </cell>
          <cell r="AM245">
            <v>0.01</v>
          </cell>
          <cell r="AN245" t="str">
            <v>Compressed stabilized earth block (SCEB) Masonry</v>
          </cell>
          <cell r="AO245">
            <v>0</v>
          </cell>
          <cell r="AP245">
            <v>0</v>
          </cell>
          <cell r="AQ245" t="str">
            <v>Light steel frame structures</v>
          </cell>
          <cell r="AR245">
            <v>0</v>
          </cell>
          <cell r="AS245">
            <v>0</v>
          </cell>
          <cell r="AT245">
            <v>492</v>
          </cell>
          <cell r="AU245">
            <v>422</v>
          </cell>
          <cell r="AV245">
            <v>422</v>
          </cell>
          <cell r="AW245">
            <v>155</v>
          </cell>
          <cell r="AX245">
            <v>0</v>
          </cell>
          <cell r="AY245" t="str">
            <v/>
          </cell>
          <cell r="AZ245" t="str">
            <v/>
          </cell>
          <cell r="BA245">
            <v>33</v>
          </cell>
          <cell r="BB245" t="str">
            <v/>
          </cell>
          <cell r="BC245" t="str">
            <v/>
          </cell>
          <cell r="BD245" t="str">
            <v/>
          </cell>
          <cell r="BE245" t="str">
            <v/>
          </cell>
          <cell r="BF245" t="str">
            <v/>
          </cell>
          <cell r="BG245" t="str">
            <v/>
          </cell>
          <cell r="BH245" t="str">
            <v/>
          </cell>
          <cell r="BI245" t="str">
            <v/>
          </cell>
          <cell r="BJ245" t="str">
            <v/>
          </cell>
          <cell r="BK245">
            <v>12171</v>
          </cell>
          <cell r="BL245" t="str">
            <v/>
          </cell>
          <cell r="BM245" t="str">
            <v/>
          </cell>
          <cell r="BN245">
            <v>12483</v>
          </cell>
          <cell r="BO245" t="str">
            <v/>
          </cell>
          <cell r="BP245" t="str">
            <v/>
          </cell>
          <cell r="BQ245">
            <v>1299</v>
          </cell>
          <cell r="BR245" t="str">
            <v/>
          </cell>
          <cell r="BS245" t="str">
            <v/>
          </cell>
          <cell r="BT245">
            <v>1499</v>
          </cell>
          <cell r="BU245" t="str">
            <v/>
          </cell>
          <cell r="BV245" t="str">
            <v/>
          </cell>
          <cell r="BW245" t="str">
            <v/>
          </cell>
          <cell r="BX245" t="str">
            <v/>
          </cell>
          <cell r="BY245" t="str">
            <v/>
          </cell>
          <cell r="BZ245">
            <v>41241</v>
          </cell>
          <cell r="CA245" t="str">
            <v/>
          </cell>
          <cell r="CB245" t="str">
            <v/>
          </cell>
          <cell r="CC245">
            <v>131774</v>
          </cell>
          <cell r="CD245" t="str">
            <v/>
          </cell>
          <cell r="CE245" t="str">
            <v/>
          </cell>
          <cell r="CF245">
            <v>1685</v>
          </cell>
          <cell r="CG245" t="str">
            <v/>
          </cell>
          <cell r="CH245" t="str">
            <v/>
          </cell>
          <cell r="CI245">
            <v>101774</v>
          </cell>
          <cell r="CJ245" t="str">
            <v/>
          </cell>
          <cell r="CK245" t="str">
            <v/>
          </cell>
          <cell r="CL245" t="str">
            <v>Skilled</v>
          </cell>
          <cell r="CM245" t="str">
            <v/>
          </cell>
          <cell r="CN245" t="str">
            <v>Labor</v>
          </cell>
          <cell r="CO245" t="str">
            <v/>
          </cell>
          <cell r="CP245" t="str">
            <v/>
          </cell>
          <cell r="CQ245" t="str">
            <v/>
          </cell>
          <cell r="CR245" t="str">
            <v/>
          </cell>
          <cell r="CS245" t="str">
            <v/>
          </cell>
          <cell r="CT245" t="str">
            <v/>
          </cell>
          <cell r="CU245" t="str">
            <v/>
          </cell>
          <cell r="CV245" t="str">
            <v>Municipal Office</v>
          </cell>
          <cell r="CW245" t="str">
            <v/>
          </cell>
          <cell r="CX245" t="str">
            <v>Chairman</v>
          </cell>
          <cell r="CY245" t="str">
            <v/>
          </cell>
          <cell r="CZ245" t="str">
            <v>Municipal Office</v>
          </cell>
          <cell r="DA245" t="str">
            <v/>
          </cell>
          <cell r="DB245" t="str">
            <v>Deputy Chairman</v>
          </cell>
          <cell r="DC245" t="str">
            <v/>
          </cell>
          <cell r="DD245" t="str">
            <v>Municipal Office</v>
          </cell>
          <cell r="DE245" t="str">
            <v/>
          </cell>
          <cell r="DF245" t="str">
            <v>Chief Adminstration Officer</v>
          </cell>
          <cell r="DG245" t="str">
            <v/>
          </cell>
          <cell r="DH245" t="str">
            <v>NRA/GMALI</v>
          </cell>
          <cell r="DI245" t="str">
            <v/>
          </cell>
          <cell r="DJ245" t="str">
            <v>NRA Chief-District</v>
          </cell>
          <cell r="DK245" t="str">
            <v/>
          </cell>
          <cell r="DL245" t="str">
            <v>DLPIU-Building</v>
          </cell>
          <cell r="DM245" t="str">
            <v/>
          </cell>
          <cell r="DN245" t="str">
            <v>DUDBC.DLPIU Chief</v>
          </cell>
          <cell r="DO245" t="str">
            <v/>
          </cell>
          <cell r="DP245" t="str">
            <v>Municipal Office</v>
          </cell>
          <cell r="DQ245" t="str">
            <v/>
          </cell>
          <cell r="DR245" t="str">
            <v>Focal Person</v>
          </cell>
          <cell r="DS245" t="str">
            <v/>
          </cell>
          <cell r="DT245" t="str">
            <v/>
          </cell>
          <cell r="DU245" t="str">
            <v/>
          </cell>
          <cell r="DV245" t="str">
            <v/>
          </cell>
          <cell r="DW245" t="str">
            <v/>
          </cell>
          <cell r="DX245" t="str">
            <v/>
          </cell>
          <cell r="DY245" t="str">
            <v/>
          </cell>
          <cell r="DZ245" t="str">
            <v/>
          </cell>
          <cell r="EA245" t="str">
            <v/>
          </cell>
          <cell r="EB245" t="str">
            <v/>
          </cell>
          <cell r="EC245" t="str">
            <v/>
          </cell>
          <cell r="ED245" t="str">
            <v/>
          </cell>
          <cell r="EE245" t="str">
            <v/>
          </cell>
          <cell r="EF245" t="str">
            <v/>
          </cell>
          <cell r="EG245" t="str">
            <v/>
          </cell>
          <cell r="EH245" t="str">
            <v/>
          </cell>
          <cell r="EI245" t="str">
            <v/>
          </cell>
          <cell r="EJ245">
            <v>0</v>
          </cell>
          <cell r="EK245">
            <v>0</v>
          </cell>
          <cell r="EL245">
            <v>0</v>
          </cell>
          <cell r="EM245">
            <v>0</v>
          </cell>
          <cell r="EN245">
            <v>0</v>
          </cell>
          <cell r="EO245">
            <v>0</v>
          </cell>
          <cell r="EP245" t="str">
            <v/>
          </cell>
          <cell r="EQ245" t="str">
            <v>Housing Recovery and Reconstruction Platform</v>
          </cell>
          <cell r="ER245" t="str">
            <v/>
          </cell>
          <cell r="ES245" t="str">
            <v>District Coordinator</v>
          </cell>
          <cell r="ET245" t="str">
            <v/>
          </cell>
          <cell r="EU245" t="str">
            <v>Housing Recovery and Reconstruction Platform</v>
          </cell>
          <cell r="EV245" t="str">
            <v/>
          </cell>
          <cell r="EW245" t="str">
            <v>DIstrict Information Management Officer</v>
          </cell>
          <cell r="EX245" t="str">
            <v/>
          </cell>
          <cell r="EY245" t="str">
            <v>Housing Recovery and Reconstruction Platform</v>
          </cell>
          <cell r="EZ245" t="str">
            <v/>
          </cell>
          <cell r="FA245" t="str">
            <v>District Technical Officer</v>
          </cell>
          <cell r="FB245" t="str">
            <v/>
          </cell>
        </row>
        <row r="246">
          <cell r="A246">
            <v>46004</v>
          </cell>
          <cell r="B246" t="str">
            <v>Gulmi</v>
          </cell>
          <cell r="C246" t="str">
            <v>Gulmidarbar Gaunpalika</v>
          </cell>
          <cell r="D246">
            <v>79</v>
          </cell>
          <cell r="E246">
            <v>192</v>
          </cell>
          <cell r="F246">
            <v>271</v>
          </cell>
          <cell r="G246" t="str">
            <v>Stone and cement mortar masonry</v>
          </cell>
          <cell r="H246">
            <v>0.37</v>
          </cell>
          <cell r="I246">
            <v>0.82</v>
          </cell>
          <cell r="J246" t="str">
            <v>Stone and Mud Mortar Masonary</v>
          </cell>
          <cell r="K246">
            <v>97.79</v>
          </cell>
          <cell r="L246">
            <v>94.78</v>
          </cell>
          <cell r="M246" t="str">
            <v>Brick and Cement Mortar Masonary</v>
          </cell>
          <cell r="N246">
            <v>0</v>
          </cell>
          <cell r="O246">
            <v>0.21</v>
          </cell>
          <cell r="P246" t="str">
            <v>Brick and mud mortar Masonry</v>
          </cell>
          <cell r="Q246">
            <v>0</v>
          </cell>
          <cell r="R246">
            <v>0</v>
          </cell>
          <cell r="S246" t="str">
            <v>Reinforced cement concrete (RCC) frame</v>
          </cell>
          <cell r="T246">
            <v>0</v>
          </cell>
          <cell r="U246">
            <v>0.5</v>
          </cell>
          <cell r="V246" t="str">
            <v>Hybrid structure</v>
          </cell>
          <cell r="W246">
            <v>0</v>
          </cell>
          <cell r="X246">
            <v>0</v>
          </cell>
          <cell r="Y246" t="str">
            <v>Timber frame structure</v>
          </cell>
          <cell r="Z246">
            <v>0.37</v>
          </cell>
          <cell r="AA246">
            <v>0.17</v>
          </cell>
          <cell r="AB246" t="str">
            <v>Hollow concrete block Masonry</v>
          </cell>
          <cell r="AC246">
            <v>0</v>
          </cell>
          <cell r="AD246">
            <v>0</v>
          </cell>
          <cell r="AE246" t="str">
            <v>Dry stone Masonry</v>
          </cell>
          <cell r="AF246">
            <v>0</v>
          </cell>
          <cell r="AG246">
            <v>0.44</v>
          </cell>
          <cell r="AH246" t="str">
            <v>Adobe structures</v>
          </cell>
          <cell r="AI246">
            <v>1.48</v>
          </cell>
          <cell r="AJ246">
            <v>3.06</v>
          </cell>
          <cell r="AK246" t="str">
            <v>Bamboo</v>
          </cell>
          <cell r="AL246">
            <v>0</v>
          </cell>
          <cell r="AM246">
            <v>0.01</v>
          </cell>
          <cell r="AN246" t="str">
            <v>Compressed stabilized earth block (SCEB) Masonry</v>
          </cell>
          <cell r="AO246">
            <v>0</v>
          </cell>
          <cell r="AP246">
            <v>0</v>
          </cell>
          <cell r="AQ246" t="str">
            <v>Light steel frame structures</v>
          </cell>
          <cell r="AR246">
            <v>0</v>
          </cell>
          <cell r="AS246">
            <v>0</v>
          </cell>
          <cell r="AT246">
            <v>166</v>
          </cell>
          <cell r="AU246">
            <v>172</v>
          </cell>
          <cell r="AV246">
            <v>172</v>
          </cell>
          <cell r="AW246">
            <v>101</v>
          </cell>
          <cell r="AX246">
            <v>0</v>
          </cell>
          <cell r="AY246" t="str">
            <v/>
          </cell>
          <cell r="AZ246" t="str">
            <v/>
          </cell>
          <cell r="BA246">
            <v>20</v>
          </cell>
          <cell r="BB246" t="str">
            <v/>
          </cell>
          <cell r="BC246" t="str">
            <v/>
          </cell>
          <cell r="BD246" t="str">
            <v/>
          </cell>
          <cell r="BE246" t="str">
            <v/>
          </cell>
          <cell r="BF246" t="str">
            <v/>
          </cell>
          <cell r="BG246" t="str">
            <v/>
          </cell>
          <cell r="BH246" t="str">
            <v/>
          </cell>
          <cell r="BI246" t="str">
            <v/>
          </cell>
          <cell r="BJ246" t="str">
            <v/>
          </cell>
          <cell r="BK246">
            <v>5327</v>
          </cell>
          <cell r="BL246" t="str">
            <v/>
          </cell>
          <cell r="BM246" t="str">
            <v/>
          </cell>
          <cell r="BN246">
            <v>5082</v>
          </cell>
          <cell r="BO246" t="str">
            <v/>
          </cell>
          <cell r="BP246" t="str">
            <v/>
          </cell>
          <cell r="BQ246">
            <v>565</v>
          </cell>
          <cell r="BR246" t="str">
            <v/>
          </cell>
          <cell r="BS246" t="str">
            <v/>
          </cell>
          <cell r="BT246">
            <v>638</v>
          </cell>
          <cell r="BU246" t="str">
            <v/>
          </cell>
          <cell r="BV246" t="str">
            <v/>
          </cell>
          <cell r="BW246" t="str">
            <v/>
          </cell>
          <cell r="BX246" t="str">
            <v/>
          </cell>
          <cell r="BY246" t="str">
            <v/>
          </cell>
          <cell r="BZ246">
            <v>16702</v>
          </cell>
          <cell r="CA246" t="str">
            <v/>
          </cell>
          <cell r="CB246" t="str">
            <v/>
          </cell>
          <cell r="CC246">
            <v>58050</v>
          </cell>
          <cell r="CD246" t="str">
            <v/>
          </cell>
          <cell r="CE246" t="str">
            <v/>
          </cell>
          <cell r="CF246">
            <v>681</v>
          </cell>
          <cell r="CG246" t="str">
            <v/>
          </cell>
          <cell r="CH246" t="str">
            <v/>
          </cell>
          <cell r="CI246">
            <v>50222</v>
          </cell>
          <cell r="CJ246" t="str">
            <v/>
          </cell>
          <cell r="CK246" t="str">
            <v/>
          </cell>
          <cell r="CL246" t="str">
            <v>Skilled</v>
          </cell>
          <cell r="CM246" t="str">
            <v/>
          </cell>
          <cell r="CN246" t="str">
            <v>Labor</v>
          </cell>
          <cell r="CO246" t="str">
            <v/>
          </cell>
          <cell r="CP246" t="str">
            <v/>
          </cell>
          <cell r="CQ246" t="str">
            <v/>
          </cell>
          <cell r="CR246" t="str">
            <v/>
          </cell>
          <cell r="CS246" t="str">
            <v/>
          </cell>
          <cell r="CT246" t="str">
            <v/>
          </cell>
          <cell r="CU246" t="str">
            <v/>
          </cell>
          <cell r="CV246" t="str">
            <v>Municipal Office</v>
          </cell>
          <cell r="CW246" t="str">
            <v/>
          </cell>
          <cell r="CX246" t="str">
            <v>Chairman</v>
          </cell>
          <cell r="CY246" t="str">
            <v/>
          </cell>
          <cell r="CZ246" t="str">
            <v>Municipal Office</v>
          </cell>
          <cell r="DA246" t="str">
            <v/>
          </cell>
          <cell r="DB246" t="str">
            <v>Deputy Chairman</v>
          </cell>
          <cell r="DC246" t="str">
            <v/>
          </cell>
          <cell r="DD246" t="str">
            <v>Municipal Office</v>
          </cell>
          <cell r="DE246" t="str">
            <v/>
          </cell>
          <cell r="DF246" t="str">
            <v>Chief Adminstration Officer</v>
          </cell>
          <cell r="DG246" t="str">
            <v/>
          </cell>
          <cell r="DH246" t="str">
            <v>NRA/GMALI</v>
          </cell>
          <cell r="DI246" t="str">
            <v/>
          </cell>
          <cell r="DJ246" t="str">
            <v>NRA Chief-District</v>
          </cell>
          <cell r="DK246" t="str">
            <v/>
          </cell>
          <cell r="DL246" t="str">
            <v>DLPIU-Building</v>
          </cell>
          <cell r="DM246" t="str">
            <v/>
          </cell>
          <cell r="DN246" t="str">
            <v>DUDBC.DLPIU Chief</v>
          </cell>
          <cell r="DO246" t="str">
            <v/>
          </cell>
          <cell r="DP246" t="str">
            <v>Municipal Office</v>
          </cell>
          <cell r="DQ246" t="str">
            <v/>
          </cell>
          <cell r="DR246" t="str">
            <v>Focal Person</v>
          </cell>
          <cell r="DS246" t="str">
            <v/>
          </cell>
          <cell r="DT246" t="str">
            <v/>
          </cell>
          <cell r="DU246" t="str">
            <v/>
          </cell>
          <cell r="DV246" t="str">
            <v/>
          </cell>
          <cell r="DW246" t="str">
            <v/>
          </cell>
          <cell r="DX246" t="str">
            <v/>
          </cell>
          <cell r="DY246" t="str">
            <v/>
          </cell>
          <cell r="DZ246" t="str">
            <v/>
          </cell>
          <cell r="EA246" t="str">
            <v/>
          </cell>
          <cell r="EB246" t="str">
            <v/>
          </cell>
          <cell r="EC246" t="str">
            <v/>
          </cell>
          <cell r="ED246" t="str">
            <v/>
          </cell>
          <cell r="EE246" t="str">
            <v/>
          </cell>
          <cell r="EF246" t="str">
            <v/>
          </cell>
          <cell r="EG246" t="str">
            <v/>
          </cell>
          <cell r="EH246" t="str">
            <v/>
          </cell>
          <cell r="EI246" t="str">
            <v/>
          </cell>
          <cell r="EJ246">
            <v>0</v>
          </cell>
          <cell r="EK246">
            <v>0</v>
          </cell>
          <cell r="EL246">
            <v>0</v>
          </cell>
          <cell r="EM246">
            <v>0</v>
          </cell>
          <cell r="EN246">
            <v>0</v>
          </cell>
          <cell r="EO246">
            <v>0</v>
          </cell>
          <cell r="EP246" t="str">
            <v/>
          </cell>
          <cell r="EQ246" t="str">
            <v>Housing Recovery and Reconstruction Platform</v>
          </cell>
          <cell r="ER246" t="str">
            <v/>
          </cell>
          <cell r="ES246" t="str">
            <v>District Coordinator</v>
          </cell>
          <cell r="ET246" t="str">
            <v/>
          </cell>
          <cell r="EU246" t="str">
            <v>Housing Recovery and Reconstruction Platform</v>
          </cell>
          <cell r="EV246" t="str">
            <v/>
          </cell>
          <cell r="EW246" t="str">
            <v>DIstrict Information Management Officer</v>
          </cell>
          <cell r="EX246" t="str">
            <v/>
          </cell>
          <cell r="EY246" t="str">
            <v>Housing Recovery and Reconstruction Platform</v>
          </cell>
          <cell r="EZ246" t="str">
            <v/>
          </cell>
          <cell r="FA246" t="str">
            <v>District Technical Officer</v>
          </cell>
          <cell r="FB246" t="str">
            <v/>
          </cell>
        </row>
        <row r="247">
          <cell r="A247">
            <v>46005</v>
          </cell>
          <cell r="B247" t="str">
            <v>Gulmi</v>
          </cell>
          <cell r="C247" t="str">
            <v>Isma Gaunpalika</v>
          </cell>
          <cell r="D247">
            <v>25</v>
          </cell>
          <cell r="E247">
            <v>113</v>
          </cell>
          <cell r="F247">
            <v>138</v>
          </cell>
          <cell r="G247" t="str">
            <v>Stone and cement mortar masonry</v>
          </cell>
          <cell r="H247">
            <v>0</v>
          </cell>
          <cell r="I247">
            <v>0.82</v>
          </cell>
          <cell r="J247" t="str">
            <v>Stone and Mud Mortar Masonary</v>
          </cell>
          <cell r="K247">
            <v>100</v>
          </cell>
          <cell r="L247">
            <v>94.78</v>
          </cell>
          <cell r="M247" t="str">
            <v>Brick and Cement Mortar Masonary</v>
          </cell>
          <cell r="N247">
            <v>0</v>
          </cell>
          <cell r="O247">
            <v>0.21</v>
          </cell>
          <cell r="P247" t="str">
            <v>Brick and mud mortar Masonry</v>
          </cell>
          <cell r="Q247">
            <v>0</v>
          </cell>
          <cell r="R247">
            <v>0</v>
          </cell>
          <cell r="S247" t="str">
            <v>Reinforced cement concrete (RCC) frame</v>
          </cell>
          <cell r="T247">
            <v>0</v>
          </cell>
          <cell r="U247">
            <v>0.5</v>
          </cell>
          <cell r="V247" t="str">
            <v>Hybrid structure</v>
          </cell>
          <cell r="W247">
            <v>0</v>
          </cell>
          <cell r="X247">
            <v>0</v>
          </cell>
          <cell r="Y247" t="str">
            <v>Timber frame structure</v>
          </cell>
          <cell r="Z247">
            <v>0</v>
          </cell>
          <cell r="AA247">
            <v>0.17</v>
          </cell>
          <cell r="AB247" t="str">
            <v>Hollow concrete block Masonry</v>
          </cell>
          <cell r="AC247">
            <v>0</v>
          </cell>
          <cell r="AD247">
            <v>0</v>
          </cell>
          <cell r="AE247" t="str">
            <v>Dry stone Masonry</v>
          </cell>
          <cell r="AF247">
            <v>0</v>
          </cell>
          <cell r="AG247">
            <v>0.44</v>
          </cell>
          <cell r="AH247" t="str">
            <v>Adobe structures</v>
          </cell>
          <cell r="AI247">
            <v>0</v>
          </cell>
          <cell r="AJ247">
            <v>3.06</v>
          </cell>
          <cell r="AK247" t="str">
            <v>Bamboo</v>
          </cell>
          <cell r="AL247">
            <v>0</v>
          </cell>
          <cell r="AM247">
            <v>0.01</v>
          </cell>
          <cell r="AN247" t="str">
            <v>Compressed stabilized earth block (SCEB) Masonry</v>
          </cell>
          <cell r="AO247">
            <v>0</v>
          </cell>
          <cell r="AP247">
            <v>0</v>
          </cell>
          <cell r="AQ247" t="str">
            <v>Light steel frame structures</v>
          </cell>
          <cell r="AR247">
            <v>0</v>
          </cell>
          <cell r="AS247">
            <v>0</v>
          </cell>
          <cell r="AT247">
            <v>111</v>
          </cell>
          <cell r="AU247">
            <v>32</v>
          </cell>
          <cell r="AV247">
            <v>32</v>
          </cell>
          <cell r="AW247">
            <v>25</v>
          </cell>
          <cell r="AX247">
            <v>0</v>
          </cell>
          <cell r="AY247" t="str">
            <v/>
          </cell>
          <cell r="AZ247" t="str">
            <v/>
          </cell>
          <cell r="BA247">
            <v>1</v>
          </cell>
          <cell r="BB247" t="str">
            <v/>
          </cell>
          <cell r="BC247" t="str">
            <v/>
          </cell>
          <cell r="BD247" t="str">
            <v/>
          </cell>
          <cell r="BE247" t="str">
            <v/>
          </cell>
          <cell r="BF247" t="str">
            <v/>
          </cell>
          <cell r="BG247" t="str">
            <v/>
          </cell>
          <cell r="BH247" t="str">
            <v/>
          </cell>
          <cell r="BI247" t="str">
            <v/>
          </cell>
          <cell r="BJ247" t="str">
            <v/>
          </cell>
          <cell r="BK247">
            <v>902</v>
          </cell>
          <cell r="BL247" t="str">
            <v/>
          </cell>
          <cell r="BM247" t="str">
            <v/>
          </cell>
          <cell r="BN247">
            <v>953</v>
          </cell>
          <cell r="BO247" t="str">
            <v/>
          </cell>
          <cell r="BP247" t="str">
            <v/>
          </cell>
          <cell r="BQ247">
            <v>97</v>
          </cell>
          <cell r="BR247" t="str">
            <v/>
          </cell>
          <cell r="BS247" t="str">
            <v/>
          </cell>
          <cell r="BT247">
            <v>112</v>
          </cell>
          <cell r="BU247" t="str">
            <v/>
          </cell>
          <cell r="BV247" t="str">
            <v/>
          </cell>
          <cell r="BW247" t="str">
            <v/>
          </cell>
          <cell r="BX247" t="str">
            <v/>
          </cell>
          <cell r="BY247" t="str">
            <v/>
          </cell>
          <cell r="BZ247">
            <v>3134</v>
          </cell>
          <cell r="CA247" t="str">
            <v/>
          </cell>
          <cell r="CB247" t="str">
            <v/>
          </cell>
          <cell r="CC247">
            <v>9713</v>
          </cell>
          <cell r="CD247" t="str">
            <v/>
          </cell>
          <cell r="CE247" t="str">
            <v/>
          </cell>
          <cell r="CF247">
            <v>128</v>
          </cell>
          <cell r="CG247" t="str">
            <v/>
          </cell>
          <cell r="CH247" t="str">
            <v/>
          </cell>
          <cell r="CI247">
            <v>3959</v>
          </cell>
          <cell r="CJ247" t="str">
            <v/>
          </cell>
          <cell r="CK247" t="str">
            <v/>
          </cell>
          <cell r="CL247" t="str">
            <v>Skilled</v>
          </cell>
          <cell r="CM247" t="str">
            <v/>
          </cell>
          <cell r="CN247" t="str">
            <v>Labor</v>
          </cell>
          <cell r="CO247" t="str">
            <v/>
          </cell>
          <cell r="CP247" t="str">
            <v/>
          </cell>
          <cell r="CQ247" t="str">
            <v/>
          </cell>
          <cell r="CR247" t="str">
            <v/>
          </cell>
          <cell r="CS247" t="str">
            <v/>
          </cell>
          <cell r="CT247" t="str">
            <v/>
          </cell>
          <cell r="CU247" t="str">
            <v/>
          </cell>
          <cell r="CV247" t="str">
            <v>Municipal Office</v>
          </cell>
          <cell r="CW247" t="str">
            <v/>
          </cell>
          <cell r="CX247" t="str">
            <v>Chairman</v>
          </cell>
          <cell r="CY247" t="str">
            <v/>
          </cell>
          <cell r="CZ247" t="str">
            <v>Municipal Office</v>
          </cell>
          <cell r="DA247" t="str">
            <v/>
          </cell>
          <cell r="DB247" t="str">
            <v>Deputy Chairman</v>
          </cell>
          <cell r="DC247" t="str">
            <v/>
          </cell>
          <cell r="DD247" t="str">
            <v>Municipal Office</v>
          </cell>
          <cell r="DE247" t="str">
            <v/>
          </cell>
          <cell r="DF247" t="str">
            <v>Chief Adminstration Officer</v>
          </cell>
          <cell r="DG247" t="str">
            <v/>
          </cell>
          <cell r="DH247" t="str">
            <v>NRA/GMALI</v>
          </cell>
          <cell r="DI247" t="str">
            <v/>
          </cell>
          <cell r="DJ247" t="str">
            <v>NRA Chief-District</v>
          </cell>
          <cell r="DK247" t="str">
            <v/>
          </cell>
          <cell r="DL247" t="str">
            <v>DLPIU-Building</v>
          </cell>
          <cell r="DM247" t="str">
            <v/>
          </cell>
          <cell r="DN247" t="str">
            <v>DUDBC.DLPIU Chief</v>
          </cell>
          <cell r="DO247" t="str">
            <v/>
          </cell>
          <cell r="DP247" t="str">
            <v>Municipal Office</v>
          </cell>
          <cell r="DQ247" t="str">
            <v/>
          </cell>
          <cell r="DR247" t="str">
            <v>Focal Person</v>
          </cell>
          <cell r="DS247" t="str">
            <v/>
          </cell>
          <cell r="DT247" t="str">
            <v/>
          </cell>
          <cell r="DU247" t="str">
            <v/>
          </cell>
          <cell r="DV247" t="str">
            <v/>
          </cell>
          <cell r="DW247" t="str">
            <v/>
          </cell>
          <cell r="DX247" t="str">
            <v/>
          </cell>
          <cell r="DY247" t="str">
            <v/>
          </cell>
          <cell r="DZ247" t="str">
            <v/>
          </cell>
          <cell r="EA247" t="str">
            <v/>
          </cell>
          <cell r="EB247" t="str">
            <v/>
          </cell>
          <cell r="EC247" t="str">
            <v/>
          </cell>
          <cell r="ED247" t="str">
            <v/>
          </cell>
          <cell r="EE247" t="str">
            <v/>
          </cell>
          <cell r="EF247" t="str">
            <v/>
          </cell>
          <cell r="EG247" t="str">
            <v/>
          </cell>
          <cell r="EH247" t="str">
            <v/>
          </cell>
          <cell r="EI247" t="str">
            <v/>
          </cell>
          <cell r="EJ247">
            <v>0</v>
          </cell>
          <cell r="EK247">
            <v>0</v>
          </cell>
          <cell r="EL247">
            <v>0</v>
          </cell>
          <cell r="EM247">
            <v>0</v>
          </cell>
          <cell r="EN247">
            <v>0</v>
          </cell>
          <cell r="EO247">
            <v>0</v>
          </cell>
          <cell r="EP247" t="str">
            <v/>
          </cell>
          <cell r="EQ247" t="str">
            <v>Housing Recovery and Reconstruction Platform</v>
          </cell>
          <cell r="ER247" t="str">
            <v/>
          </cell>
          <cell r="ES247" t="str">
            <v>District Coordinator</v>
          </cell>
          <cell r="ET247" t="str">
            <v/>
          </cell>
          <cell r="EU247" t="str">
            <v>Housing Recovery and Reconstruction Platform</v>
          </cell>
          <cell r="EV247" t="str">
            <v/>
          </cell>
          <cell r="EW247" t="str">
            <v>DIstrict Information Management Officer</v>
          </cell>
          <cell r="EX247" t="str">
            <v/>
          </cell>
          <cell r="EY247" t="str">
            <v>Housing Recovery and Reconstruction Platform</v>
          </cell>
          <cell r="EZ247" t="str">
            <v/>
          </cell>
          <cell r="FA247" t="str">
            <v>District Technical Officer</v>
          </cell>
          <cell r="FB247" t="str">
            <v/>
          </cell>
        </row>
        <row r="248">
          <cell r="A248">
            <v>46006</v>
          </cell>
          <cell r="B248" t="str">
            <v>Gulmi</v>
          </cell>
          <cell r="C248" t="str">
            <v>Kaligandaki Gaunpalika</v>
          </cell>
          <cell r="D248">
            <v>633</v>
          </cell>
          <cell r="E248">
            <v>1190</v>
          </cell>
          <cell r="F248">
            <v>1823</v>
          </cell>
          <cell r="G248" t="str">
            <v>Stone and cement mortar masonry</v>
          </cell>
          <cell r="H248">
            <v>0.6</v>
          </cell>
          <cell r="I248">
            <v>0.82</v>
          </cell>
          <cell r="J248" t="str">
            <v>Stone and Mud Mortar Masonary</v>
          </cell>
          <cell r="K248">
            <v>98.52</v>
          </cell>
          <cell r="L248">
            <v>94.78</v>
          </cell>
          <cell r="M248" t="str">
            <v>Brick and Cement Mortar Masonary</v>
          </cell>
          <cell r="N248">
            <v>0.11</v>
          </cell>
          <cell r="O248">
            <v>0.21</v>
          </cell>
          <cell r="P248" t="str">
            <v>Brick and mud mortar Masonry</v>
          </cell>
          <cell r="Q248">
            <v>0</v>
          </cell>
          <cell r="R248">
            <v>0</v>
          </cell>
          <cell r="S248" t="str">
            <v>Reinforced cement concrete (RCC) frame</v>
          </cell>
          <cell r="T248">
            <v>0.22</v>
          </cell>
          <cell r="U248">
            <v>0.5</v>
          </cell>
          <cell r="V248" t="str">
            <v>Hybrid structure</v>
          </cell>
          <cell r="W248">
            <v>0</v>
          </cell>
          <cell r="X248">
            <v>0</v>
          </cell>
          <cell r="Y248" t="str">
            <v>Timber frame structure</v>
          </cell>
          <cell r="Z248">
            <v>0.38</v>
          </cell>
          <cell r="AA248">
            <v>0.17</v>
          </cell>
          <cell r="AB248" t="str">
            <v>Hollow concrete block Masonry</v>
          </cell>
          <cell r="AC248">
            <v>0</v>
          </cell>
          <cell r="AD248">
            <v>0</v>
          </cell>
          <cell r="AE248" t="str">
            <v>Dry stone Masonry</v>
          </cell>
          <cell r="AF248">
            <v>0.11</v>
          </cell>
          <cell r="AG248">
            <v>0.44</v>
          </cell>
          <cell r="AH248" t="str">
            <v>Adobe structures</v>
          </cell>
          <cell r="AI248">
            <v>0.05</v>
          </cell>
          <cell r="AJ248">
            <v>3.06</v>
          </cell>
          <cell r="AK248" t="str">
            <v>Bamboo</v>
          </cell>
          <cell r="AL248">
            <v>0</v>
          </cell>
          <cell r="AM248">
            <v>0.01</v>
          </cell>
          <cell r="AN248" t="str">
            <v>Compressed stabilized earth block (SCEB) Masonry</v>
          </cell>
          <cell r="AO248">
            <v>0</v>
          </cell>
          <cell r="AP248">
            <v>0</v>
          </cell>
          <cell r="AQ248" t="str">
            <v>Light steel frame structures</v>
          </cell>
          <cell r="AR248">
            <v>0</v>
          </cell>
          <cell r="AS248">
            <v>0</v>
          </cell>
          <cell r="AT248">
            <v>1071</v>
          </cell>
          <cell r="AU248">
            <v>298</v>
          </cell>
          <cell r="AV248">
            <v>298</v>
          </cell>
          <cell r="AW248">
            <v>235</v>
          </cell>
          <cell r="AX248">
            <v>35</v>
          </cell>
          <cell r="AY248" t="str">
            <v/>
          </cell>
          <cell r="AZ248" t="str">
            <v/>
          </cell>
          <cell r="BA248">
            <v>101</v>
          </cell>
          <cell r="BB248" t="str">
            <v/>
          </cell>
          <cell r="BC248" t="str">
            <v/>
          </cell>
          <cell r="BD248" t="str">
            <v/>
          </cell>
          <cell r="BE248" t="str">
            <v/>
          </cell>
          <cell r="BF248" t="str">
            <v/>
          </cell>
          <cell r="BG248" t="str">
            <v/>
          </cell>
          <cell r="BH248" t="str">
            <v/>
          </cell>
          <cell r="BI248" t="str">
            <v/>
          </cell>
          <cell r="BJ248" t="str">
            <v/>
          </cell>
          <cell r="BK248">
            <v>7546</v>
          </cell>
          <cell r="BL248" t="str">
            <v/>
          </cell>
          <cell r="BM248" t="str">
            <v/>
          </cell>
          <cell r="BN248">
            <v>7602</v>
          </cell>
          <cell r="BO248" t="str">
            <v/>
          </cell>
          <cell r="BP248" t="str">
            <v/>
          </cell>
          <cell r="BQ248">
            <v>805</v>
          </cell>
          <cell r="BR248" t="str">
            <v/>
          </cell>
          <cell r="BS248" t="str">
            <v/>
          </cell>
          <cell r="BT248">
            <v>926</v>
          </cell>
          <cell r="BU248" t="str">
            <v/>
          </cell>
          <cell r="BV248" t="str">
            <v/>
          </cell>
          <cell r="BW248" t="str">
            <v/>
          </cell>
          <cell r="BX248" t="str">
            <v/>
          </cell>
          <cell r="BY248" t="str">
            <v/>
          </cell>
          <cell r="BZ248">
            <v>25564</v>
          </cell>
          <cell r="CA248" t="str">
            <v/>
          </cell>
          <cell r="CB248" t="str">
            <v/>
          </cell>
          <cell r="CC248">
            <v>82480</v>
          </cell>
          <cell r="CD248" t="str">
            <v/>
          </cell>
          <cell r="CE248" t="str">
            <v/>
          </cell>
          <cell r="CF248">
            <v>1047</v>
          </cell>
          <cell r="CG248" t="str">
            <v/>
          </cell>
          <cell r="CH248" t="str">
            <v/>
          </cell>
          <cell r="CI248">
            <v>139036</v>
          </cell>
          <cell r="CJ248" t="str">
            <v/>
          </cell>
          <cell r="CK248" t="str">
            <v/>
          </cell>
          <cell r="CL248" t="str">
            <v>Skilled</v>
          </cell>
          <cell r="CM248" t="str">
            <v/>
          </cell>
          <cell r="CN248" t="str">
            <v>Labor</v>
          </cell>
          <cell r="CO248" t="str">
            <v/>
          </cell>
          <cell r="CP248" t="str">
            <v/>
          </cell>
          <cell r="CQ248" t="str">
            <v/>
          </cell>
          <cell r="CR248" t="str">
            <v/>
          </cell>
          <cell r="CS248" t="str">
            <v/>
          </cell>
          <cell r="CT248" t="str">
            <v/>
          </cell>
          <cell r="CU248" t="str">
            <v/>
          </cell>
          <cell r="CV248" t="str">
            <v>Municipal Office</v>
          </cell>
          <cell r="CW248" t="str">
            <v/>
          </cell>
          <cell r="CX248" t="str">
            <v>Chairman</v>
          </cell>
          <cell r="CY248" t="str">
            <v/>
          </cell>
          <cell r="CZ248" t="str">
            <v>Municipal Office</v>
          </cell>
          <cell r="DA248" t="str">
            <v/>
          </cell>
          <cell r="DB248" t="str">
            <v>Deputy Chairman</v>
          </cell>
          <cell r="DC248" t="str">
            <v/>
          </cell>
          <cell r="DD248" t="str">
            <v>Municipal Office</v>
          </cell>
          <cell r="DE248" t="str">
            <v/>
          </cell>
          <cell r="DF248" t="str">
            <v>Chief Adminstration Officer</v>
          </cell>
          <cell r="DG248" t="str">
            <v/>
          </cell>
          <cell r="DH248" t="str">
            <v>NRA/GMALI</v>
          </cell>
          <cell r="DI248" t="str">
            <v/>
          </cell>
          <cell r="DJ248" t="str">
            <v>NRA Chief-District</v>
          </cell>
          <cell r="DK248" t="str">
            <v/>
          </cell>
          <cell r="DL248" t="str">
            <v>DLPIU-Building</v>
          </cell>
          <cell r="DM248" t="str">
            <v/>
          </cell>
          <cell r="DN248" t="str">
            <v>DUDBC.DLPIU Chief</v>
          </cell>
          <cell r="DO248" t="str">
            <v/>
          </cell>
          <cell r="DP248" t="str">
            <v>Municipal Office</v>
          </cell>
          <cell r="DQ248" t="str">
            <v/>
          </cell>
          <cell r="DR248" t="str">
            <v>Focal Person</v>
          </cell>
          <cell r="DS248" t="str">
            <v/>
          </cell>
          <cell r="DT248" t="str">
            <v/>
          </cell>
          <cell r="DU248" t="str">
            <v/>
          </cell>
          <cell r="DV248" t="str">
            <v/>
          </cell>
          <cell r="DW248" t="str">
            <v/>
          </cell>
          <cell r="DX248" t="str">
            <v/>
          </cell>
          <cell r="DY248" t="str">
            <v/>
          </cell>
          <cell r="DZ248" t="str">
            <v/>
          </cell>
          <cell r="EA248" t="str">
            <v/>
          </cell>
          <cell r="EB248" t="str">
            <v/>
          </cell>
          <cell r="EC248" t="str">
            <v/>
          </cell>
          <cell r="ED248" t="str">
            <v/>
          </cell>
          <cell r="EE248" t="str">
            <v/>
          </cell>
          <cell r="EF248" t="str">
            <v/>
          </cell>
          <cell r="EG248" t="str">
            <v/>
          </cell>
          <cell r="EH248" t="str">
            <v/>
          </cell>
          <cell r="EI248" t="str">
            <v/>
          </cell>
          <cell r="EJ248">
            <v>0</v>
          </cell>
          <cell r="EK248">
            <v>0</v>
          </cell>
          <cell r="EL248">
            <v>0</v>
          </cell>
          <cell r="EM248">
            <v>0</v>
          </cell>
          <cell r="EN248">
            <v>0</v>
          </cell>
          <cell r="EO248">
            <v>0</v>
          </cell>
          <cell r="EP248" t="str">
            <v/>
          </cell>
          <cell r="EQ248" t="str">
            <v>Housing Recovery and Reconstruction Platform</v>
          </cell>
          <cell r="ER248" t="str">
            <v/>
          </cell>
          <cell r="ES248" t="str">
            <v>District Coordinator</v>
          </cell>
          <cell r="ET248" t="str">
            <v/>
          </cell>
          <cell r="EU248" t="str">
            <v>Housing Recovery and Reconstruction Platform</v>
          </cell>
          <cell r="EV248" t="str">
            <v/>
          </cell>
          <cell r="EW248" t="str">
            <v>DIstrict Information Management Officer</v>
          </cell>
          <cell r="EX248" t="str">
            <v/>
          </cell>
          <cell r="EY248" t="str">
            <v>Housing Recovery and Reconstruction Platform</v>
          </cell>
          <cell r="EZ248" t="str">
            <v/>
          </cell>
          <cell r="FA248" t="str">
            <v>District Technical Officer</v>
          </cell>
          <cell r="FB248" t="str">
            <v/>
          </cell>
        </row>
        <row r="249">
          <cell r="A249">
            <v>46007</v>
          </cell>
          <cell r="B249" t="str">
            <v>Gulmi</v>
          </cell>
          <cell r="C249" t="str">
            <v>Madane Gaunpalika</v>
          </cell>
          <cell r="D249">
            <v>127</v>
          </cell>
          <cell r="E249">
            <v>130</v>
          </cell>
          <cell r="F249">
            <v>257</v>
          </cell>
          <cell r="G249" t="str">
            <v>Stone and cement mortar masonry</v>
          </cell>
          <cell r="H249">
            <v>1.95</v>
          </cell>
          <cell r="I249">
            <v>0.82</v>
          </cell>
          <cell r="J249" t="str">
            <v>Stone and Mud Mortar Masonary</v>
          </cell>
          <cell r="K249">
            <v>97.67</v>
          </cell>
          <cell r="L249">
            <v>94.78</v>
          </cell>
          <cell r="M249" t="str">
            <v>Brick and Cement Mortar Masonary</v>
          </cell>
          <cell r="N249">
            <v>0</v>
          </cell>
          <cell r="O249">
            <v>0.21</v>
          </cell>
          <cell r="P249" t="str">
            <v>Brick and mud mortar Masonry</v>
          </cell>
          <cell r="Q249">
            <v>0</v>
          </cell>
          <cell r="R249">
            <v>0</v>
          </cell>
          <cell r="S249" t="str">
            <v>Reinforced cement concrete (RCC) frame</v>
          </cell>
          <cell r="T249">
            <v>0</v>
          </cell>
          <cell r="U249">
            <v>0.5</v>
          </cell>
          <cell r="V249" t="str">
            <v>Hybrid structure</v>
          </cell>
          <cell r="W249">
            <v>0</v>
          </cell>
          <cell r="X249">
            <v>0</v>
          </cell>
          <cell r="Y249" t="str">
            <v>Timber frame structure</v>
          </cell>
          <cell r="Z249">
            <v>0</v>
          </cell>
          <cell r="AA249">
            <v>0.17</v>
          </cell>
          <cell r="AB249" t="str">
            <v>Hollow concrete block Masonry</v>
          </cell>
          <cell r="AC249">
            <v>0</v>
          </cell>
          <cell r="AD249">
            <v>0</v>
          </cell>
          <cell r="AE249" t="str">
            <v>Dry stone Masonry</v>
          </cell>
          <cell r="AF249">
            <v>0</v>
          </cell>
          <cell r="AG249">
            <v>0.44</v>
          </cell>
          <cell r="AH249" t="str">
            <v>Adobe structures</v>
          </cell>
          <cell r="AI249">
            <v>0.39</v>
          </cell>
          <cell r="AJ249">
            <v>3.06</v>
          </cell>
          <cell r="AK249" t="str">
            <v>Bamboo</v>
          </cell>
          <cell r="AL249">
            <v>0</v>
          </cell>
          <cell r="AM249">
            <v>0.01</v>
          </cell>
          <cell r="AN249" t="str">
            <v>Compressed stabilized earth block (SCEB) Masonry</v>
          </cell>
          <cell r="AO249">
            <v>0</v>
          </cell>
          <cell r="AP249">
            <v>0</v>
          </cell>
          <cell r="AQ249" t="str">
            <v>Light steel frame structures</v>
          </cell>
          <cell r="AR249">
            <v>0</v>
          </cell>
          <cell r="AS249">
            <v>0</v>
          </cell>
          <cell r="AT249">
            <v>158</v>
          </cell>
          <cell r="AU249">
            <v>96</v>
          </cell>
          <cell r="AV249">
            <v>96</v>
          </cell>
          <cell r="AW249">
            <v>86</v>
          </cell>
          <cell r="AX249">
            <v>16</v>
          </cell>
          <cell r="AY249" t="str">
            <v/>
          </cell>
          <cell r="AZ249" t="str">
            <v/>
          </cell>
          <cell r="BA249">
            <v>1</v>
          </cell>
          <cell r="BB249" t="str">
            <v/>
          </cell>
          <cell r="BC249" t="str">
            <v/>
          </cell>
          <cell r="BD249" t="str">
            <v/>
          </cell>
          <cell r="BE249" t="str">
            <v/>
          </cell>
          <cell r="BF249" t="str">
            <v/>
          </cell>
          <cell r="BG249" t="str">
            <v/>
          </cell>
          <cell r="BH249" t="str">
            <v/>
          </cell>
          <cell r="BI249" t="str">
            <v/>
          </cell>
          <cell r="BJ249" t="str">
            <v/>
          </cell>
          <cell r="BK249">
            <v>2591</v>
          </cell>
          <cell r="BL249" t="str">
            <v/>
          </cell>
          <cell r="BM249" t="str">
            <v/>
          </cell>
          <cell r="BN249">
            <v>2346</v>
          </cell>
          <cell r="BO249" t="str">
            <v/>
          </cell>
          <cell r="BP249" t="str">
            <v/>
          </cell>
          <cell r="BQ249">
            <v>274</v>
          </cell>
          <cell r="BR249" t="str">
            <v/>
          </cell>
          <cell r="BS249" t="str">
            <v/>
          </cell>
          <cell r="BT249">
            <v>305</v>
          </cell>
          <cell r="BU249" t="str">
            <v/>
          </cell>
          <cell r="BV249" t="str">
            <v/>
          </cell>
          <cell r="BW249" t="str">
            <v/>
          </cell>
          <cell r="BX249" t="str">
            <v/>
          </cell>
          <cell r="BY249" t="str">
            <v/>
          </cell>
          <cell r="BZ249">
            <v>7734</v>
          </cell>
          <cell r="CA249" t="str">
            <v/>
          </cell>
          <cell r="CB249" t="str">
            <v/>
          </cell>
          <cell r="CC249">
            <v>28431</v>
          </cell>
          <cell r="CD249" t="str">
            <v/>
          </cell>
          <cell r="CE249" t="str">
            <v/>
          </cell>
          <cell r="CF249">
            <v>315</v>
          </cell>
          <cell r="CG249" t="str">
            <v/>
          </cell>
          <cell r="CH249" t="str">
            <v/>
          </cell>
          <cell r="CI249">
            <v>34500</v>
          </cell>
          <cell r="CJ249" t="str">
            <v/>
          </cell>
          <cell r="CK249" t="str">
            <v/>
          </cell>
          <cell r="CL249" t="str">
            <v>Skilled</v>
          </cell>
          <cell r="CM249" t="str">
            <v/>
          </cell>
          <cell r="CN249" t="str">
            <v>Labor</v>
          </cell>
          <cell r="CO249" t="str">
            <v/>
          </cell>
          <cell r="CP249" t="str">
            <v/>
          </cell>
          <cell r="CQ249" t="str">
            <v/>
          </cell>
          <cell r="CR249" t="str">
            <v/>
          </cell>
          <cell r="CS249" t="str">
            <v/>
          </cell>
          <cell r="CT249" t="str">
            <v/>
          </cell>
          <cell r="CU249" t="str">
            <v/>
          </cell>
          <cell r="CV249" t="str">
            <v>Municipal Office</v>
          </cell>
          <cell r="CW249" t="str">
            <v/>
          </cell>
          <cell r="CX249" t="str">
            <v>Chairman</v>
          </cell>
          <cell r="CY249" t="str">
            <v/>
          </cell>
          <cell r="CZ249" t="str">
            <v>Municipal Office</v>
          </cell>
          <cell r="DA249" t="str">
            <v/>
          </cell>
          <cell r="DB249" t="str">
            <v>Deputy Chairman</v>
          </cell>
          <cell r="DC249" t="str">
            <v/>
          </cell>
          <cell r="DD249" t="str">
            <v>Municipal Office</v>
          </cell>
          <cell r="DE249" t="str">
            <v/>
          </cell>
          <cell r="DF249" t="str">
            <v>Chief Adminstration Officer</v>
          </cell>
          <cell r="DG249" t="str">
            <v/>
          </cell>
          <cell r="DH249" t="str">
            <v>NRA/GMALI</v>
          </cell>
          <cell r="DI249" t="str">
            <v/>
          </cell>
          <cell r="DJ249" t="str">
            <v>NRA Chief-District</v>
          </cell>
          <cell r="DK249" t="str">
            <v/>
          </cell>
          <cell r="DL249" t="str">
            <v>DLPIU-Building</v>
          </cell>
          <cell r="DM249" t="str">
            <v/>
          </cell>
          <cell r="DN249" t="str">
            <v>DUDBC.DLPIU Chief</v>
          </cell>
          <cell r="DO249" t="str">
            <v/>
          </cell>
          <cell r="DP249" t="str">
            <v>Municipal Office</v>
          </cell>
          <cell r="DQ249" t="str">
            <v/>
          </cell>
          <cell r="DR249" t="str">
            <v>Focal Person</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v>0</v>
          </cell>
          <cell r="EK249">
            <v>0</v>
          </cell>
          <cell r="EL249">
            <v>0</v>
          </cell>
          <cell r="EM249">
            <v>0</v>
          </cell>
          <cell r="EN249">
            <v>0</v>
          </cell>
          <cell r="EO249">
            <v>0</v>
          </cell>
          <cell r="EP249" t="str">
            <v/>
          </cell>
          <cell r="EQ249" t="str">
            <v>Housing Recovery and Reconstruction Platform</v>
          </cell>
          <cell r="ER249" t="str">
            <v/>
          </cell>
          <cell r="ES249" t="str">
            <v>District Coordinator</v>
          </cell>
          <cell r="ET249" t="str">
            <v/>
          </cell>
          <cell r="EU249" t="str">
            <v>Housing Recovery and Reconstruction Platform</v>
          </cell>
          <cell r="EV249" t="str">
            <v/>
          </cell>
          <cell r="EW249" t="str">
            <v>DIstrict Information Management Officer</v>
          </cell>
          <cell r="EX249" t="str">
            <v/>
          </cell>
          <cell r="EY249" t="str">
            <v>Housing Recovery and Reconstruction Platform</v>
          </cell>
          <cell r="EZ249" t="str">
            <v/>
          </cell>
          <cell r="FA249" t="str">
            <v>District Technical Officer</v>
          </cell>
          <cell r="FB249" t="str">
            <v/>
          </cell>
        </row>
        <row r="250">
          <cell r="A250">
            <v>46008</v>
          </cell>
          <cell r="B250" t="str">
            <v>Gulmi</v>
          </cell>
          <cell r="C250" t="str">
            <v>Malika Gaunpalika</v>
          </cell>
          <cell r="D250">
            <v>25</v>
          </cell>
          <cell r="E250">
            <v>78</v>
          </cell>
          <cell r="F250">
            <v>103</v>
          </cell>
          <cell r="G250" t="str">
            <v>Stone and cement mortar masonry</v>
          </cell>
          <cell r="H250">
            <v>0</v>
          </cell>
          <cell r="I250">
            <v>0.82</v>
          </cell>
          <cell r="J250" t="str">
            <v>Stone and Mud Mortar Masonary</v>
          </cell>
          <cell r="K250">
            <v>98.06</v>
          </cell>
          <cell r="L250">
            <v>94.78</v>
          </cell>
          <cell r="M250" t="str">
            <v>Brick and Cement Mortar Masonary</v>
          </cell>
          <cell r="N250">
            <v>0</v>
          </cell>
          <cell r="O250">
            <v>0.21</v>
          </cell>
          <cell r="P250" t="str">
            <v>Brick and mud mortar Masonry</v>
          </cell>
          <cell r="Q250">
            <v>0</v>
          </cell>
          <cell r="R250">
            <v>0</v>
          </cell>
          <cell r="S250" t="str">
            <v>Reinforced cement concrete (RCC) frame</v>
          </cell>
          <cell r="T250">
            <v>1.94</v>
          </cell>
          <cell r="U250">
            <v>0.5</v>
          </cell>
          <cell r="V250" t="str">
            <v>Hybrid structure</v>
          </cell>
          <cell r="W250">
            <v>0</v>
          </cell>
          <cell r="X250">
            <v>0</v>
          </cell>
          <cell r="Y250" t="str">
            <v>Timber frame structure</v>
          </cell>
          <cell r="Z250">
            <v>0</v>
          </cell>
          <cell r="AA250">
            <v>0.17</v>
          </cell>
          <cell r="AB250" t="str">
            <v>Hollow concrete block Masonry</v>
          </cell>
          <cell r="AC250">
            <v>0</v>
          </cell>
          <cell r="AD250">
            <v>0</v>
          </cell>
          <cell r="AE250" t="str">
            <v>Dry stone Masonry</v>
          </cell>
          <cell r="AF250">
            <v>0</v>
          </cell>
          <cell r="AG250">
            <v>0.44</v>
          </cell>
          <cell r="AH250" t="str">
            <v>Adobe structures</v>
          </cell>
          <cell r="AI250">
            <v>0</v>
          </cell>
          <cell r="AJ250">
            <v>3.06</v>
          </cell>
          <cell r="AK250" t="str">
            <v>Bamboo</v>
          </cell>
          <cell r="AL250">
            <v>0</v>
          </cell>
          <cell r="AM250">
            <v>0.01</v>
          </cell>
          <cell r="AN250" t="str">
            <v>Compressed stabilized earth block (SCEB) Masonry</v>
          </cell>
          <cell r="AO250">
            <v>0</v>
          </cell>
          <cell r="AP250">
            <v>0</v>
          </cell>
          <cell r="AQ250" t="str">
            <v>Light steel frame structures</v>
          </cell>
          <cell r="AR250">
            <v>0</v>
          </cell>
          <cell r="AS250">
            <v>0</v>
          </cell>
          <cell r="AT250">
            <v>77</v>
          </cell>
          <cell r="AU250">
            <v>38</v>
          </cell>
          <cell r="AV250">
            <v>38</v>
          </cell>
          <cell r="AW250">
            <v>38</v>
          </cell>
          <cell r="AX250">
            <v>12</v>
          </cell>
          <cell r="AY250" t="str">
            <v/>
          </cell>
          <cell r="AZ250" t="str">
            <v/>
          </cell>
          <cell r="BA250">
            <v>0</v>
          </cell>
          <cell r="BB250" t="str">
            <v/>
          </cell>
          <cell r="BC250" t="str">
            <v/>
          </cell>
          <cell r="BD250" t="str">
            <v/>
          </cell>
          <cell r="BE250" t="str">
            <v/>
          </cell>
          <cell r="BF250" t="str">
            <v/>
          </cell>
          <cell r="BG250" t="str">
            <v/>
          </cell>
          <cell r="BH250" t="str">
            <v/>
          </cell>
          <cell r="BI250" t="str">
            <v/>
          </cell>
          <cell r="BJ250" t="str">
            <v/>
          </cell>
          <cell r="BK250">
            <v>823</v>
          </cell>
          <cell r="BL250" t="str">
            <v/>
          </cell>
          <cell r="BM250" t="str">
            <v/>
          </cell>
          <cell r="BN250">
            <v>765</v>
          </cell>
          <cell r="BO250" t="str">
            <v/>
          </cell>
          <cell r="BP250" t="str">
            <v/>
          </cell>
          <cell r="BQ250">
            <v>87</v>
          </cell>
          <cell r="BR250" t="str">
            <v/>
          </cell>
          <cell r="BS250" t="str">
            <v/>
          </cell>
          <cell r="BT250">
            <v>98</v>
          </cell>
          <cell r="BU250" t="str">
            <v/>
          </cell>
          <cell r="BV250" t="str">
            <v/>
          </cell>
          <cell r="BW250" t="str">
            <v/>
          </cell>
          <cell r="BX250" t="str">
            <v/>
          </cell>
          <cell r="BY250" t="str">
            <v/>
          </cell>
          <cell r="BZ250">
            <v>2519</v>
          </cell>
          <cell r="CA250" t="str">
            <v/>
          </cell>
          <cell r="CB250" t="str">
            <v/>
          </cell>
          <cell r="CC250">
            <v>9000</v>
          </cell>
          <cell r="CD250" t="str">
            <v/>
          </cell>
          <cell r="CE250" t="str">
            <v/>
          </cell>
          <cell r="CF250">
            <v>103</v>
          </cell>
          <cell r="CG250" t="str">
            <v/>
          </cell>
          <cell r="CH250" t="str">
            <v/>
          </cell>
          <cell r="CI250">
            <v>9344</v>
          </cell>
          <cell r="CJ250" t="str">
            <v/>
          </cell>
          <cell r="CK250" t="str">
            <v/>
          </cell>
          <cell r="CL250" t="str">
            <v>Skilled</v>
          </cell>
          <cell r="CM250" t="str">
            <v/>
          </cell>
          <cell r="CN250" t="str">
            <v>Labor</v>
          </cell>
          <cell r="CO250" t="str">
            <v/>
          </cell>
          <cell r="CP250" t="str">
            <v/>
          </cell>
          <cell r="CQ250" t="str">
            <v/>
          </cell>
          <cell r="CR250" t="str">
            <v/>
          </cell>
          <cell r="CS250" t="str">
            <v/>
          </cell>
          <cell r="CT250" t="str">
            <v/>
          </cell>
          <cell r="CU250" t="str">
            <v/>
          </cell>
          <cell r="CV250" t="str">
            <v>Municipal Office</v>
          </cell>
          <cell r="CW250" t="str">
            <v/>
          </cell>
          <cell r="CX250" t="str">
            <v>Chairman</v>
          </cell>
          <cell r="CY250" t="str">
            <v/>
          </cell>
          <cell r="CZ250" t="str">
            <v>Municipal Office</v>
          </cell>
          <cell r="DA250" t="str">
            <v/>
          </cell>
          <cell r="DB250" t="str">
            <v>Deputy Chairman</v>
          </cell>
          <cell r="DC250" t="str">
            <v/>
          </cell>
          <cell r="DD250" t="str">
            <v>Municipal Office</v>
          </cell>
          <cell r="DE250" t="str">
            <v/>
          </cell>
          <cell r="DF250" t="str">
            <v>Chief Adminstration Officer</v>
          </cell>
          <cell r="DG250" t="str">
            <v/>
          </cell>
          <cell r="DH250" t="str">
            <v>NRA/GMALI</v>
          </cell>
          <cell r="DI250" t="str">
            <v/>
          </cell>
          <cell r="DJ250" t="str">
            <v>NRA Chief-District</v>
          </cell>
          <cell r="DK250" t="str">
            <v/>
          </cell>
          <cell r="DL250" t="str">
            <v>DLPIU-Building</v>
          </cell>
          <cell r="DM250" t="str">
            <v/>
          </cell>
          <cell r="DN250" t="str">
            <v>DUDBC.DLPIU Chief</v>
          </cell>
          <cell r="DO250" t="str">
            <v/>
          </cell>
          <cell r="DP250" t="str">
            <v>Municipal Office</v>
          </cell>
          <cell r="DQ250" t="str">
            <v/>
          </cell>
          <cell r="DR250" t="str">
            <v>Focal Person</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v>0</v>
          </cell>
          <cell r="EK250">
            <v>0</v>
          </cell>
          <cell r="EL250">
            <v>0</v>
          </cell>
          <cell r="EM250">
            <v>0</v>
          </cell>
          <cell r="EN250">
            <v>0</v>
          </cell>
          <cell r="EO250">
            <v>0</v>
          </cell>
          <cell r="EP250" t="str">
            <v/>
          </cell>
          <cell r="EQ250" t="str">
            <v>Housing Recovery and Reconstruction Platform</v>
          </cell>
          <cell r="ER250" t="str">
            <v/>
          </cell>
          <cell r="ES250" t="str">
            <v>District Coordinator</v>
          </cell>
          <cell r="ET250" t="str">
            <v/>
          </cell>
          <cell r="EU250" t="str">
            <v>Housing Recovery and Reconstruction Platform</v>
          </cell>
          <cell r="EV250" t="str">
            <v/>
          </cell>
          <cell r="EW250" t="str">
            <v>DIstrict Information Management Officer</v>
          </cell>
          <cell r="EX250" t="str">
            <v/>
          </cell>
          <cell r="EY250" t="str">
            <v>Housing Recovery and Reconstruction Platform</v>
          </cell>
          <cell r="EZ250" t="str">
            <v/>
          </cell>
          <cell r="FA250" t="str">
            <v>District Technical Officer</v>
          </cell>
          <cell r="FB250" t="str">
            <v/>
          </cell>
        </row>
        <row r="251">
          <cell r="A251">
            <v>46009</v>
          </cell>
          <cell r="B251" t="str">
            <v>Gulmi</v>
          </cell>
          <cell r="C251" t="str">
            <v>Musikot Nagarpalika</v>
          </cell>
          <cell r="D251">
            <v>339</v>
          </cell>
          <cell r="E251">
            <v>829</v>
          </cell>
          <cell r="F251">
            <v>1168</v>
          </cell>
          <cell r="G251" t="str">
            <v>Stone and cement mortar masonry</v>
          </cell>
          <cell r="H251">
            <v>0.77</v>
          </cell>
          <cell r="I251">
            <v>0.82</v>
          </cell>
          <cell r="J251" t="str">
            <v>Stone and Mud Mortar Masonary</v>
          </cell>
          <cell r="K251">
            <v>85.45</v>
          </cell>
          <cell r="L251">
            <v>94.78</v>
          </cell>
          <cell r="M251" t="str">
            <v>Brick and Cement Mortar Masonary</v>
          </cell>
          <cell r="N251">
            <v>0.26</v>
          </cell>
          <cell r="O251">
            <v>0.21</v>
          </cell>
          <cell r="P251" t="str">
            <v>Brick and mud mortar Masonry</v>
          </cell>
          <cell r="Q251">
            <v>0</v>
          </cell>
          <cell r="R251">
            <v>0</v>
          </cell>
          <cell r="S251" t="str">
            <v>Reinforced cement concrete (RCC) frame</v>
          </cell>
          <cell r="T251">
            <v>1.2</v>
          </cell>
          <cell r="U251">
            <v>0.5</v>
          </cell>
          <cell r="V251" t="str">
            <v>Hybrid structure</v>
          </cell>
          <cell r="W251">
            <v>0</v>
          </cell>
          <cell r="X251">
            <v>0</v>
          </cell>
          <cell r="Y251" t="str">
            <v>Timber frame structure</v>
          </cell>
          <cell r="Z251">
            <v>0.09</v>
          </cell>
          <cell r="AA251">
            <v>0.17</v>
          </cell>
          <cell r="AB251" t="str">
            <v>Hollow concrete block Masonry</v>
          </cell>
          <cell r="AC251">
            <v>0</v>
          </cell>
          <cell r="AD251">
            <v>0</v>
          </cell>
          <cell r="AE251" t="str">
            <v>Dry stone Masonry</v>
          </cell>
          <cell r="AF251">
            <v>0.09</v>
          </cell>
          <cell r="AG251">
            <v>0.44</v>
          </cell>
          <cell r="AH251" t="str">
            <v>Adobe structures</v>
          </cell>
          <cell r="AI251">
            <v>12.16</v>
          </cell>
          <cell r="AJ251">
            <v>3.06</v>
          </cell>
          <cell r="AK251" t="str">
            <v>Bamboo</v>
          </cell>
          <cell r="AL251">
            <v>0</v>
          </cell>
          <cell r="AM251">
            <v>0.01</v>
          </cell>
          <cell r="AN251" t="str">
            <v>Compressed stabilized earth block (SCEB) Masonry</v>
          </cell>
          <cell r="AO251">
            <v>0</v>
          </cell>
          <cell r="AP251">
            <v>0</v>
          </cell>
          <cell r="AQ251" t="str">
            <v>Light steel frame structures</v>
          </cell>
          <cell r="AR251">
            <v>0</v>
          </cell>
          <cell r="AS251">
            <v>0</v>
          </cell>
          <cell r="AT251">
            <v>754</v>
          </cell>
          <cell r="AU251">
            <v>704</v>
          </cell>
          <cell r="AV251">
            <v>704</v>
          </cell>
          <cell r="AW251">
            <v>127</v>
          </cell>
          <cell r="AX251">
            <v>6</v>
          </cell>
          <cell r="AY251" t="str">
            <v/>
          </cell>
          <cell r="AZ251" t="str">
            <v/>
          </cell>
          <cell r="BA251">
            <v>14</v>
          </cell>
          <cell r="BB251" t="str">
            <v/>
          </cell>
          <cell r="BC251" t="str">
            <v/>
          </cell>
          <cell r="BD251" t="str">
            <v/>
          </cell>
          <cell r="BE251" t="str">
            <v/>
          </cell>
          <cell r="BF251" t="str">
            <v/>
          </cell>
          <cell r="BG251" t="str">
            <v/>
          </cell>
          <cell r="BH251" t="str">
            <v/>
          </cell>
          <cell r="BI251" t="str">
            <v/>
          </cell>
          <cell r="BJ251" t="str">
            <v/>
          </cell>
          <cell r="BK251">
            <v>22451</v>
          </cell>
          <cell r="BL251" t="str">
            <v/>
          </cell>
          <cell r="BM251" t="str">
            <v/>
          </cell>
          <cell r="BN251">
            <v>20365</v>
          </cell>
          <cell r="BO251" t="str">
            <v/>
          </cell>
          <cell r="BP251" t="str">
            <v/>
          </cell>
          <cell r="BQ251">
            <v>2372</v>
          </cell>
          <cell r="BR251" t="str">
            <v/>
          </cell>
          <cell r="BS251" t="str">
            <v/>
          </cell>
          <cell r="BT251">
            <v>2643</v>
          </cell>
          <cell r="BU251" t="str">
            <v/>
          </cell>
          <cell r="BV251" t="str">
            <v/>
          </cell>
          <cell r="BW251" t="str">
            <v/>
          </cell>
          <cell r="BX251" t="str">
            <v/>
          </cell>
          <cell r="BY251" t="str">
            <v/>
          </cell>
          <cell r="BZ251">
            <v>67343</v>
          </cell>
          <cell r="CA251" t="str">
            <v/>
          </cell>
          <cell r="CB251" t="str">
            <v/>
          </cell>
          <cell r="CC251">
            <v>246615</v>
          </cell>
          <cell r="CD251" t="str">
            <v/>
          </cell>
          <cell r="CE251" t="str">
            <v/>
          </cell>
          <cell r="CF251">
            <v>2745</v>
          </cell>
          <cell r="CG251" t="str">
            <v/>
          </cell>
          <cell r="CH251" t="str">
            <v/>
          </cell>
          <cell r="CI251">
            <v>330301</v>
          </cell>
          <cell r="CJ251" t="str">
            <v/>
          </cell>
          <cell r="CK251" t="str">
            <v/>
          </cell>
          <cell r="CL251" t="str">
            <v>Skilled</v>
          </cell>
          <cell r="CM251" t="str">
            <v/>
          </cell>
          <cell r="CN251" t="str">
            <v>Labor</v>
          </cell>
          <cell r="CO251" t="str">
            <v/>
          </cell>
          <cell r="CP251" t="str">
            <v/>
          </cell>
          <cell r="CQ251" t="str">
            <v/>
          </cell>
          <cell r="CR251" t="str">
            <v/>
          </cell>
          <cell r="CS251" t="str">
            <v/>
          </cell>
          <cell r="CT251" t="str">
            <v/>
          </cell>
          <cell r="CU251" t="str">
            <v/>
          </cell>
          <cell r="CV251" t="str">
            <v>Municipal Office</v>
          </cell>
          <cell r="CW251" t="str">
            <v/>
          </cell>
          <cell r="CX251" t="str">
            <v>Mayor</v>
          </cell>
          <cell r="CY251" t="str">
            <v/>
          </cell>
          <cell r="CZ251" t="str">
            <v>Municipal Office</v>
          </cell>
          <cell r="DA251" t="str">
            <v/>
          </cell>
          <cell r="DB251" t="str">
            <v>Deputy Mayor</v>
          </cell>
          <cell r="DC251" t="str">
            <v/>
          </cell>
          <cell r="DD251" t="str">
            <v>Municipal Office</v>
          </cell>
          <cell r="DE251" t="str">
            <v/>
          </cell>
          <cell r="DF251" t="str">
            <v>Chief Adminstration Officer</v>
          </cell>
          <cell r="DG251" t="str">
            <v/>
          </cell>
          <cell r="DH251" t="str">
            <v>NRA/GMALI</v>
          </cell>
          <cell r="DI251" t="str">
            <v/>
          </cell>
          <cell r="DJ251" t="str">
            <v>NRA Chief-District</v>
          </cell>
          <cell r="DK251" t="str">
            <v/>
          </cell>
          <cell r="DL251" t="str">
            <v>DLPIU-Building</v>
          </cell>
          <cell r="DM251" t="str">
            <v/>
          </cell>
          <cell r="DN251" t="str">
            <v>DUDBC.DLPIU Chief</v>
          </cell>
          <cell r="DO251" t="str">
            <v/>
          </cell>
          <cell r="DP251" t="str">
            <v>Municipal Office</v>
          </cell>
          <cell r="DQ251" t="str">
            <v/>
          </cell>
          <cell r="DR251" t="str">
            <v>Focal Person</v>
          </cell>
          <cell r="DS251" t="str">
            <v/>
          </cell>
          <cell r="DT251" t="str">
            <v/>
          </cell>
          <cell r="DU251" t="str">
            <v/>
          </cell>
          <cell r="DV251" t="str">
            <v/>
          </cell>
          <cell r="DW251" t="str">
            <v/>
          </cell>
          <cell r="DX251" t="str">
            <v/>
          </cell>
          <cell r="DY251" t="str">
            <v/>
          </cell>
          <cell r="DZ251" t="str">
            <v/>
          </cell>
          <cell r="EA251" t="str">
            <v/>
          </cell>
          <cell r="EB251" t="str">
            <v/>
          </cell>
          <cell r="EC251" t="str">
            <v/>
          </cell>
          <cell r="ED251" t="str">
            <v/>
          </cell>
          <cell r="EE251" t="str">
            <v/>
          </cell>
          <cell r="EF251" t="str">
            <v/>
          </cell>
          <cell r="EG251" t="str">
            <v/>
          </cell>
          <cell r="EH251" t="str">
            <v/>
          </cell>
          <cell r="EI251" t="str">
            <v/>
          </cell>
          <cell r="EJ251">
            <v>0</v>
          </cell>
          <cell r="EK251">
            <v>0</v>
          </cell>
          <cell r="EL251">
            <v>0</v>
          </cell>
          <cell r="EM251">
            <v>0</v>
          </cell>
          <cell r="EN251">
            <v>0</v>
          </cell>
          <cell r="EO251">
            <v>0</v>
          </cell>
          <cell r="EP251" t="str">
            <v/>
          </cell>
          <cell r="EQ251" t="str">
            <v>Housing Recovery and Reconstruction Platform</v>
          </cell>
          <cell r="ER251" t="str">
            <v/>
          </cell>
          <cell r="ES251" t="str">
            <v>District Coordinator</v>
          </cell>
          <cell r="ET251" t="str">
            <v/>
          </cell>
          <cell r="EU251" t="str">
            <v>Housing Recovery and Reconstruction Platform</v>
          </cell>
          <cell r="EV251" t="str">
            <v/>
          </cell>
          <cell r="EW251" t="str">
            <v>DIstrict Information Management Officer</v>
          </cell>
          <cell r="EX251" t="str">
            <v/>
          </cell>
          <cell r="EY251" t="str">
            <v>Housing Recovery and Reconstruction Platform</v>
          </cell>
          <cell r="EZ251" t="str">
            <v/>
          </cell>
          <cell r="FA251" t="str">
            <v>District Technical Officer</v>
          </cell>
          <cell r="FB251" t="str">
            <v/>
          </cell>
        </row>
        <row r="252">
          <cell r="A252">
            <v>46010</v>
          </cell>
          <cell r="B252" t="str">
            <v>Gulmi</v>
          </cell>
          <cell r="C252" t="str">
            <v>Resunga Nagarpalika</v>
          </cell>
          <cell r="D252">
            <v>158</v>
          </cell>
          <cell r="E252">
            <v>148</v>
          </cell>
          <cell r="F252">
            <v>306</v>
          </cell>
          <cell r="G252" t="str">
            <v>Stone and cement mortar masonry</v>
          </cell>
          <cell r="H252">
            <v>0</v>
          </cell>
          <cell r="I252">
            <v>0.82</v>
          </cell>
          <cell r="J252" t="str">
            <v>Stone and Mud Mortar Masonary</v>
          </cell>
          <cell r="K252">
            <v>98.04</v>
          </cell>
          <cell r="L252">
            <v>94.78</v>
          </cell>
          <cell r="M252" t="str">
            <v>Brick and Cement Mortar Masonary</v>
          </cell>
          <cell r="N252">
            <v>0.98</v>
          </cell>
          <cell r="O252">
            <v>0.21</v>
          </cell>
          <cell r="P252" t="str">
            <v>Brick and mud mortar Masonry</v>
          </cell>
          <cell r="Q252">
            <v>0</v>
          </cell>
          <cell r="R252">
            <v>0</v>
          </cell>
          <cell r="S252" t="str">
            <v>Reinforced cement concrete (RCC) frame</v>
          </cell>
          <cell r="T252">
            <v>0</v>
          </cell>
          <cell r="U252">
            <v>0.5</v>
          </cell>
          <cell r="V252" t="str">
            <v>Hybrid structure</v>
          </cell>
          <cell r="W252">
            <v>0</v>
          </cell>
          <cell r="X252">
            <v>0</v>
          </cell>
          <cell r="Y252" t="str">
            <v>Timber frame structure</v>
          </cell>
          <cell r="Z252">
            <v>0</v>
          </cell>
          <cell r="AA252">
            <v>0.17</v>
          </cell>
          <cell r="AB252" t="str">
            <v>Hollow concrete block Masonry</v>
          </cell>
          <cell r="AC252">
            <v>0</v>
          </cell>
          <cell r="AD252">
            <v>0</v>
          </cell>
          <cell r="AE252" t="str">
            <v>Dry stone Masonry</v>
          </cell>
          <cell r="AF252">
            <v>0.65</v>
          </cell>
          <cell r="AG252">
            <v>0.44</v>
          </cell>
          <cell r="AH252" t="str">
            <v>Adobe structures</v>
          </cell>
          <cell r="AI252">
            <v>0.33</v>
          </cell>
          <cell r="AJ252">
            <v>3.06</v>
          </cell>
          <cell r="AK252" t="str">
            <v>Bamboo</v>
          </cell>
          <cell r="AL252">
            <v>0</v>
          </cell>
          <cell r="AM252">
            <v>0.01</v>
          </cell>
          <cell r="AN252" t="str">
            <v>Compressed stabilized earth block (SCEB) Masonry</v>
          </cell>
          <cell r="AO252">
            <v>0</v>
          </cell>
          <cell r="AP252">
            <v>0</v>
          </cell>
          <cell r="AQ252" t="str">
            <v>Light steel frame structures</v>
          </cell>
          <cell r="AR252">
            <v>0</v>
          </cell>
          <cell r="AS252">
            <v>0</v>
          </cell>
          <cell r="AT252">
            <v>181</v>
          </cell>
          <cell r="AU252">
            <v>135</v>
          </cell>
          <cell r="AV252">
            <v>135</v>
          </cell>
          <cell r="AW252">
            <v>120</v>
          </cell>
          <cell r="AX252">
            <v>0</v>
          </cell>
          <cell r="AY252" t="str">
            <v/>
          </cell>
          <cell r="AZ252" t="str">
            <v/>
          </cell>
          <cell r="BA252">
            <v>2</v>
          </cell>
          <cell r="BB252" t="str">
            <v/>
          </cell>
          <cell r="BC252" t="str">
            <v/>
          </cell>
          <cell r="BD252" t="str">
            <v/>
          </cell>
          <cell r="BE252" t="str">
            <v/>
          </cell>
          <cell r="BF252" t="str">
            <v/>
          </cell>
          <cell r="BG252" t="str">
            <v/>
          </cell>
          <cell r="BH252" t="str">
            <v/>
          </cell>
          <cell r="BI252" t="str">
            <v/>
          </cell>
          <cell r="BJ252" t="str">
            <v/>
          </cell>
          <cell r="BK252">
            <v>3880</v>
          </cell>
          <cell r="BL252" t="str">
            <v/>
          </cell>
          <cell r="BM252" t="str">
            <v/>
          </cell>
          <cell r="BN252">
            <v>3936</v>
          </cell>
          <cell r="BO252" t="str">
            <v/>
          </cell>
          <cell r="BP252" t="str">
            <v/>
          </cell>
          <cell r="BQ252">
            <v>414</v>
          </cell>
          <cell r="BR252" t="str">
            <v/>
          </cell>
          <cell r="BS252" t="str">
            <v/>
          </cell>
          <cell r="BT252">
            <v>477</v>
          </cell>
          <cell r="BU252" t="str">
            <v/>
          </cell>
          <cell r="BV252" t="str">
            <v/>
          </cell>
          <cell r="BW252" t="str">
            <v/>
          </cell>
          <cell r="BX252" t="str">
            <v/>
          </cell>
          <cell r="BY252" t="str">
            <v/>
          </cell>
          <cell r="BZ252">
            <v>13194</v>
          </cell>
          <cell r="CA252" t="str">
            <v/>
          </cell>
          <cell r="CB252" t="str">
            <v/>
          </cell>
          <cell r="CC252">
            <v>42324</v>
          </cell>
          <cell r="CD252" t="str">
            <v/>
          </cell>
          <cell r="CE252" t="str">
            <v/>
          </cell>
          <cell r="CF252">
            <v>540</v>
          </cell>
          <cell r="CG252" t="str">
            <v/>
          </cell>
          <cell r="CH252" t="str">
            <v/>
          </cell>
          <cell r="CI252">
            <v>63760</v>
          </cell>
          <cell r="CJ252" t="str">
            <v/>
          </cell>
          <cell r="CK252" t="str">
            <v/>
          </cell>
          <cell r="CL252" t="str">
            <v>Skilled</v>
          </cell>
          <cell r="CM252" t="str">
            <v/>
          </cell>
          <cell r="CN252" t="str">
            <v>Labor</v>
          </cell>
          <cell r="CO252" t="str">
            <v/>
          </cell>
          <cell r="CP252" t="str">
            <v/>
          </cell>
          <cell r="CQ252" t="str">
            <v/>
          </cell>
          <cell r="CR252" t="str">
            <v/>
          </cell>
          <cell r="CS252" t="str">
            <v/>
          </cell>
          <cell r="CT252" t="str">
            <v/>
          </cell>
          <cell r="CU252" t="str">
            <v/>
          </cell>
          <cell r="CV252" t="str">
            <v>Municipal Office</v>
          </cell>
          <cell r="CW252" t="str">
            <v/>
          </cell>
          <cell r="CX252" t="str">
            <v>Mayor</v>
          </cell>
          <cell r="CY252" t="str">
            <v/>
          </cell>
          <cell r="CZ252" t="str">
            <v>Municipal Office</v>
          </cell>
          <cell r="DA252" t="str">
            <v/>
          </cell>
          <cell r="DB252" t="str">
            <v>Deputy Mayor</v>
          </cell>
          <cell r="DC252" t="str">
            <v/>
          </cell>
          <cell r="DD252" t="str">
            <v>Municipal Office</v>
          </cell>
          <cell r="DE252" t="str">
            <v/>
          </cell>
          <cell r="DF252" t="str">
            <v>Chief Adminstration Officer</v>
          </cell>
          <cell r="DG252" t="str">
            <v/>
          </cell>
          <cell r="DH252" t="str">
            <v>NRA/GMALI</v>
          </cell>
          <cell r="DI252" t="str">
            <v/>
          </cell>
          <cell r="DJ252" t="str">
            <v>NRA Chief-District</v>
          </cell>
          <cell r="DK252" t="str">
            <v/>
          </cell>
          <cell r="DL252" t="str">
            <v>DLPIU-Building</v>
          </cell>
          <cell r="DM252" t="str">
            <v/>
          </cell>
          <cell r="DN252" t="str">
            <v>DUDBC.DLPIU Chief</v>
          </cell>
          <cell r="DO252" t="str">
            <v/>
          </cell>
          <cell r="DP252" t="str">
            <v>Municipal Office</v>
          </cell>
          <cell r="DQ252" t="str">
            <v/>
          </cell>
          <cell r="DR252" t="str">
            <v>Focal Person</v>
          </cell>
          <cell r="DS252" t="str">
            <v/>
          </cell>
          <cell r="DT252" t="str">
            <v/>
          </cell>
          <cell r="DU252" t="str">
            <v/>
          </cell>
          <cell r="DV252" t="str">
            <v/>
          </cell>
          <cell r="DW252" t="str">
            <v/>
          </cell>
          <cell r="DX252" t="str">
            <v/>
          </cell>
          <cell r="DY252" t="str">
            <v/>
          </cell>
          <cell r="DZ252" t="str">
            <v/>
          </cell>
          <cell r="EA252" t="str">
            <v/>
          </cell>
          <cell r="EB252" t="str">
            <v/>
          </cell>
          <cell r="EC252" t="str">
            <v/>
          </cell>
          <cell r="ED252" t="str">
            <v/>
          </cell>
          <cell r="EE252" t="str">
            <v/>
          </cell>
          <cell r="EF252" t="str">
            <v/>
          </cell>
          <cell r="EG252" t="str">
            <v/>
          </cell>
          <cell r="EH252" t="str">
            <v/>
          </cell>
          <cell r="EI252" t="str">
            <v/>
          </cell>
          <cell r="EJ252">
            <v>0</v>
          </cell>
          <cell r="EK252">
            <v>0</v>
          </cell>
          <cell r="EL252">
            <v>0</v>
          </cell>
          <cell r="EM252">
            <v>0</v>
          </cell>
          <cell r="EN252">
            <v>0</v>
          </cell>
          <cell r="EO252">
            <v>0</v>
          </cell>
          <cell r="EP252" t="str">
            <v/>
          </cell>
          <cell r="EQ252" t="str">
            <v>Housing Recovery and Reconstruction Platform</v>
          </cell>
          <cell r="ER252" t="str">
            <v/>
          </cell>
          <cell r="ES252" t="str">
            <v>District Coordinator</v>
          </cell>
          <cell r="ET252" t="str">
            <v/>
          </cell>
          <cell r="EU252" t="str">
            <v>Housing Recovery and Reconstruction Platform</v>
          </cell>
          <cell r="EV252" t="str">
            <v/>
          </cell>
          <cell r="EW252" t="str">
            <v>DIstrict Information Management Officer</v>
          </cell>
          <cell r="EX252" t="str">
            <v/>
          </cell>
          <cell r="EY252" t="str">
            <v>Housing Recovery and Reconstruction Platform</v>
          </cell>
          <cell r="EZ252" t="str">
            <v/>
          </cell>
          <cell r="FA252" t="str">
            <v>District Technical Officer</v>
          </cell>
          <cell r="FB252" t="str">
            <v/>
          </cell>
        </row>
        <row r="253">
          <cell r="A253">
            <v>46011</v>
          </cell>
          <cell r="B253" t="str">
            <v>Gulmi</v>
          </cell>
          <cell r="C253" t="str">
            <v>Ruru Gaunpalika</v>
          </cell>
          <cell r="D253">
            <v>139</v>
          </cell>
          <cell r="E253">
            <v>300</v>
          </cell>
          <cell r="F253">
            <v>439</v>
          </cell>
          <cell r="G253" t="str">
            <v>Stone and cement mortar masonry</v>
          </cell>
          <cell r="H253">
            <v>0.23</v>
          </cell>
          <cell r="I253">
            <v>0.82</v>
          </cell>
          <cell r="J253" t="str">
            <v>Stone and Mud Mortar Masonary</v>
          </cell>
          <cell r="K253">
            <v>96.58</v>
          </cell>
          <cell r="L253">
            <v>94.78</v>
          </cell>
          <cell r="M253" t="str">
            <v>Brick and Cement Mortar Masonary</v>
          </cell>
          <cell r="N253">
            <v>0.23</v>
          </cell>
          <cell r="O253">
            <v>0.21</v>
          </cell>
          <cell r="P253" t="str">
            <v>Brick and mud mortar Masonry</v>
          </cell>
          <cell r="Q253">
            <v>0</v>
          </cell>
          <cell r="R253">
            <v>0</v>
          </cell>
          <cell r="S253" t="str">
            <v>Reinforced cement concrete (RCC) frame</v>
          </cell>
          <cell r="T253">
            <v>0.68</v>
          </cell>
          <cell r="U253">
            <v>0.5</v>
          </cell>
          <cell r="V253" t="str">
            <v>Hybrid structure</v>
          </cell>
          <cell r="W253">
            <v>0</v>
          </cell>
          <cell r="X253">
            <v>0</v>
          </cell>
          <cell r="Y253" t="str">
            <v>Timber frame structure</v>
          </cell>
          <cell r="Z253">
            <v>0</v>
          </cell>
          <cell r="AA253">
            <v>0.17</v>
          </cell>
          <cell r="AB253" t="str">
            <v>Hollow concrete block Masonry</v>
          </cell>
          <cell r="AC253">
            <v>0</v>
          </cell>
          <cell r="AD253">
            <v>0</v>
          </cell>
          <cell r="AE253" t="str">
            <v>Dry stone Masonry</v>
          </cell>
          <cell r="AF253">
            <v>0.23</v>
          </cell>
          <cell r="AG253">
            <v>0.44</v>
          </cell>
          <cell r="AH253" t="str">
            <v>Adobe structures</v>
          </cell>
          <cell r="AI253">
            <v>2.0499999999999998</v>
          </cell>
          <cell r="AJ253">
            <v>3.06</v>
          </cell>
          <cell r="AK253" t="str">
            <v>Bamboo</v>
          </cell>
          <cell r="AL253">
            <v>0</v>
          </cell>
          <cell r="AM253">
            <v>0.01</v>
          </cell>
          <cell r="AN253" t="str">
            <v>Compressed stabilized earth block (SCEB) Masonry</v>
          </cell>
          <cell r="AO253">
            <v>0</v>
          </cell>
          <cell r="AP253">
            <v>0</v>
          </cell>
          <cell r="AQ253" t="str">
            <v>Light steel frame structures</v>
          </cell>
          <cell r="AR253">
            <v>0</v>
          </cell>
          <cell r="AS253">
            <v>0</v>
          </cell>
          <cell r="AT253">
            <v>289</v>
          </cell>
          <cell r="AU253">
            <v>423</v>
          </cell>
          <cell r="AV253">
            <v>423</v>
          </cell>
          <cell r="AW253">
            <v>149</v>
          </cell>
          <cell r="AX253">
            <v>34</v>
          </cell>
          <cell r="AY253" t="str">
            <v/>
          </cell>
          <cell r="AZ253" t="str">
            <v/>
          </cell>
          <cell r="BA253">
            <v>7</v>
          </cell>
          <cell r="BB253" t="str">
            <v/>
          </cell>
          <cell r="BC253" t="str">
            <v/>
          </cell>
          <cell r="BD253" t="str">
            <v/>
          </cell>
          <cell r="BE253" t="str">
            <v/>
          </cell>
          <cell r="BF253" t="str">
            <v/>
          </cell>
          <cell r="BG253" t="str">
            <v/>
          </cell>
          <cell r="BH253" t="str">
            <v/>
          </cell>
          <cell r="BI253" t="str">
            <v/>
          </cell>
          <cell r="BJ253" t="str">
            <v/>
          </cell>
          <cell r="BK253">
            <v>10970</v>
          </cell>
          <cell r="BL253" t="str">
            <v/>
          </cell>
          <cell r="BM253" t="str">
            <v/>
          </cell>
          <cell r="BN253">
            <v>11501</v>
          </cell>
          <cell r="BO253" t="str">
            <v/>
          </cell>
          <cell r="BP253" t="str">
            <v/>
          </cell>
          <cell r="BQ253">
            <v>1173</v>
          </cell>
          <cell r="BR253" t="str">
            <v/>
          </cell>
          <cell r="BS253" t="str">
            <v/>
          </cell>
          <cell r="BT253">
            <v>1362</v>
          </cell>
          <cell r="BU253" t="str">
            <v/>
          </cell>
          <cell r="BV253" t="str">
            <v/>
          </cell>
          <cell r="BW253" t="str">
            <v/>
          </cell>
          <cell r="BX253" t="str">
            <v/>
          </cell>
          <cell r="BY253" t="str">
            <v/>
          </cell>
          <cell r="BZ253">
            <v>37953</v>
          </cell>
          <cell r="CA253" t="str">
            <v/>
          </cell>
          <cell r="CB253" t="str">
            <v/>
          </cell>
          <cell r="CC253">
            <v>118386</v>
          </cell>
          <cell r="CD253" t="str">
            <v/>
          </cell>
          <cell r="CE253" t="str">
            <v/>
          </cell>
          <cell r="CF253">
            <v>1551</v>
          </cell>
          <cell r="CG253" t="str">
            <v/>
          </cell>
          <cell r="CH253" t="str">
            <v/>
          </cell>
          <cell r="CI253">
            <v>72510</v>
          </cell>
          <cell r="CJ253" t="str">
            <v/>
          </cell>
          <cell r="CK253" t="str">
            <v/>
          </cell>
          <cell r="CL253" t="str">
            <v>Skilled</v>
          </cell>
          <cell r="CM253" t="str">
            <v/>
          </cell>
          <cell r="CN253" t="str">
            <v>Labor</v>
          </cell>
          <cell r="CO253" t="str">
            <v/>
          </cell>
          <cell r="CP253" t="str">
            <v/>
          </cell>
          <cell r="CQ253" t="str">
            <v/>
          </cell>
          <cell r="CR253" t="str">
            <v/>
          </cell>
          <cell r="CS253" t="str">
            <v/>
          </cell>
          <cell r="CT253" t="str">
            <v/>
          </cell>
          <cell r="CU253" t="str">
            <v/>
          </cell>
          <cell r="CV253" t="str">
            <v>Municipal Office</v>
          </cell>
          <cell r="CW253" t="str">
            <v/>
          </cell>
          <cell r="CX253" t="str">
            <v>Chairman</v>
          </cell>
          <cell r="CY253" t="str">
            <v/>
          </cell>
          <cell r="CZ253" t="str">
            <v>Municipal Office</v>
          </cell>
          <cell r="DA253" t="str">
            <v/>
          </cell>
          <cell r="DB253" t="str">
            <v>Deputy Chairman</v>
          </cell>
          <cell r="DC253" t="str">
            <v/>
          </cell>
          <cell r="DD253" t="str">
            <v>Municipal Office</v>
          </cell>
          <cell r="DE253" t="str">
            <v/>
          </cell>
          <cell r="DF253" t="str">
            <v>Chief Adminstration Officer</v>
          </cell>
          <cell r="DG253" t="str">
            <v/>
          </cell>
          <cell r="DH253" t="str">
            <v>NRA/GMALI</v>
          </cell>
          <cell r="DI253" t="str">
            <v/>
          </cell>
          <cell r="DJ253" t="str">
            <v>NRA Chief-District</v>
          </cell>
          <cell r="DK253" t="str">
            <v/>
          </cell>
          <cell r="DL253" t="str">
            <v>DLPIU-Building</v>
          </cell>
          <cell r="DM253" t="str">
            <v/>
          </cell>
          <cell r="DN253" t="str">
            <v>DUDBC.DLPIU Chief</v>
          </cell>
          <cell r="DO253" t="str">
            <v/>
          </cell>
          <cell r="DP253" t="str">
            <v>Municipal Office</v>
          </cell>
          <cell r="DQ253" t="str">
            <v/>
          </cell>
          <cell r="DR253" t="str">
            <v>Focal Person</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v>0</v>
          </cell>
          <cell r="EK253">
            <v>0</v>
          </cell>
          <cell r="EL253">
            <v>0</v>
          </cell>
          <cell r="EM253">
            <v>0</v>
          </cell>
          <cell r="EN253">
            <v>0</v>
          </cell>
          <cell r="EO253">
            <v>0</v>
          </cell>
          <cell r="EP253" t="str">
            <v/>
          </cell>
          <cell r="EQ253" t="str">
            <v>Housing Recovery and Reconstruction Platform</v>
          </cell>
          <cell r="ER253" t="str">
            <v/>
          </cell>
          <cell r="ES253" t="str">
            <v>District Coordinator</v>
          </cell>
          <cell r="ET253" t="str">
            <v/>
          </cell>
          <cell r="EU253" t="str">
            <v>Housing Recovery and Reconstruction Platform</v>
          </cell>
          <cell r="EV253" t="str">
            <v/>
          </cell>
          <cell r="EW253" t="str">
            <v>DIstrict Information Management Officer</v>
          </cell>
          <cell r="EX253" t="str">
            <v/>
          </cell>
          <cell r="EY253" t="str">
            <v>Housing Recovery and Reconstruction Platform</v>
          </cell>
          <cell r="EZ253" t="str">
            <v/>
          </cell>
          <cell r="FA253" t="str">
            <v>District Technical Officer</v>
          </cell>
          <cell r="FB253" t="str">
            <v/>
          </cell>
        </row>
        <row r="254">
          <cell r="A254">
            <v>46012</v>
          </cell>
          <cell r="B254" t="str">
            <v>Gulmi</v>
          </cell>
          <cell r="C254" t="str">
            <v>Satyawati Gaunpalika</v>
          </cell>
          <cell r="D254">
            <v>361</v>
          </cell>
          <cell r="E254">
            <v>481</v>
          </cell>
          <cell r="F254">
            <v>842</v>
          </cell>
          <cell r="G254" t="str">
            <v>Stone and cement mortar masonry</v>
          </cell>
          <cell r="H254">
            <v>0.36</v>
          </cell>
          <cell r="I254">
            <v>0.82</v>
          </cell>
          <cell r="J254" t="str">
            <v>Stone and Mud Mortar Masonary</v>
          </cell>
          <cell r="K254">
            <v>98.57</v>
          </cell>
          <cell r="L254">
            <v>94.78</v>
          </cell>
          <cell r="M254" t="str">
            <v>Brick and Cement Mortar Masonary</v>
          </cell>
          <cell r="N254">
            <v>0</v>
          </cell>
          <cell r="O254">
            <v>0.21</v>
          </cell>
          <cell r="P254" t="str">
            <v>Brick and mud mortar Masonry</v>
          </cell>
          <cell r="Q254">
            <v>0</v>
          </cell>
          <cell r="R254">
            <v>0</v>
          </cell>
          <cell r="S254" t="str">
            <v>Reinforced cement concrete (RCC) frame</v>
          </cell>
          <cell r="T254">
            <v>0.83</v>
          </cell>
          <cell r="U254">
            <v>0.5</v>
          </cell>
          <cell r="V254" t="str">
            <v>Hybrid structure</v>
          </cell>
          <cell r="W254">
            <v>0</v>
          </cell>
          <cell r="X254">
            <v>0</v>
          </cell>
          <cell r="Y254" t="str">
            <v>Timber frame structure</v>
          </cell>
          <cell r="Z254">
            <v>0.12</v>
          </cell>
          <cell r="AA254">
            <v>0.17</v>
          </cell>
          <cell r="AB254" t="str">
            <v>Hollow concrete block Masonry</v>
          </cell>
          <cell r="AC254">
            <v>0</v>
          </cell>
          <cell r="AD254">
            <v>0</v>
          </cell>
          <cell r="AE254" t="str">
            <v>Dry stone Masonry</v>
          </cell>
          <cell r="AF254">
            <v>0</v>
          </cell>
          <cell r="AG254">
            <v>0.44</v>
          </cell>
          <cell r="AH254" t="str">
            <v>Adobe structures</v>
          </cell>
          <cell r="AI254">
            <v>0.12</v>
          </cell>
          <cell r="AJ254">
            <v>3.06</v>
          </cell>
          <cell r="AK254" t="str">
            <v>Bamboo</v>
          </cell>
          <cell r="AL254">
            <v>0</v>
          </cell>
          <cell r="AM254">
            <v>0.01</v>
          </cell>
          <cell r="AN254" t="str">
            <v>Compressed stabilized earth block (SCEB) Masonry</v>
          </cell>
          <cell r="AO254">
            <v>0</v>
          </cell>
          <cell r="AP254">
            <v>0</v>
          </cell>
          <cell r="AQ254" t="str">
            <v>Light steel frame structures</v>
          </cell>
          <cell r="AR254">
            <v>0</v>
          </cell>
          <cell r="AS254">
            <v>0</v>
          </cell>
          <cell r="AT254">
            <v>454</v>
          </cell>
          <cell r="AU254">
            <v>556</v>
          </cell>
          <cell r="AV254">
            <v>556</v>
          </cell>
          <cell r="AW254">
            <v>135</v>
          </cell>
          <cell r="AX254">
            <v>26</v>
          </cell>
          <cell r="AY254" t="str">
            <v/>
          </cell>
          <cell r="AZ254" t="str">
            <v/>
          </cell>
          <cell r="BA254">
            <v>23</v>
          </cell>
          <cell r="BB254" t="str">
            <v/>
          </cell>
          <cell r="BC254" t="str">
            <v/>
          </cell>
          <cell r="BD254" t="str">
            <v/>
          </cell>
          <cell r="BE254" t="str">
            <v/>
          </cell>
          <cell r="BF254" t="str">
            <v/>
          </cell>
          <cell r="BG254" t="str">
            <v/>
          </cell>
          <cell r="BH254" t="str">
            <v/>
          </cell>
          <cell r="BI254" t="str">
            <v/>
          </cell>
          <cell r="BJ254" t="str">
            <v/>
          </cell>
          <cell r="BK254">
            <v>15614</v>
          </cell>
          <cell r="BL254" t="str">
            <v/>
          </cell>
          <cell r="BM254" t="str">
            <v/>
          </cell>
          <cell r="BN254">
            <v>15639</v>
          </cell>
          <cell r="BO254" t="str">
            <v/>
          </cell>
          <cell r="BP254" t="str">
            <v/>
          </cell>
          <cell r="BQ254">
            <v>1663</v>
          </cell>
          <cell r="BR254" t="str">
            <v/>
          </cell>
          <cell r="BS254" t="str">
            <v/>
          </cell>
          <cell r="BT254">
            <v>1906</v>
          </cell>
          <cell r="BU254" t="str">
            <v/>
          </cell>
          <cell r="BV254" t="str">
            <v/>
          </cell>
          <cell r="BW254" t="str">
            <v/>
          </cell>
          <cell r="BX254" t="str">
            <v/>
          </cell>
          <cell r="BY254" t="str">
            <v/>
          </cell>
          <cell r="BZ254">
            <v>51698</v>
          </cell>
          <cell r="CA254" t="str">
            <v/>
          </cell>
          <cell r="CB254" t="str">
            <v/>
          </cell>
          <cell r="CC254">
            <v>169578</v>
          </cell>
          <cell r="CD254" t="str">
            <v/>
          </cell>
          <cell r="CE254" t="str">
            <v/>
          </cell>
          <cell r="CF254">
            <v>2111</v>
          </cell>
          <cell r="CG254" t="str">
            <v/>
          </cell>
          <cell r="CH254" t="str">
            <v/>
          </cell>
          <cell r="CI254">
            <v>154198</v>
          </cell>
          <cell r="CJ254" t="str">
            <v/>
          </cell>
          <cell r="CK254" t="str">
            <v/>
          </cell>
          <cell r="CL254" t="str">
            <v>Skilled</v>
          </cell>
          <cell r="CM254" t="str">
            <v/>
          </cell>
          <cell r="CN254" t="str">
            <v>Labor</v>
          </cell>
          <cell r="CO254" t="str">
            <v/>
          </cell>
          <cell r="CP254" t="str">
            <v/>
          </cell>
          <cell r="CQ254" t="str">
            <v/>
          </cell>
          <cell r="CR254" t="str">
            <v/>
          </cell>
          <cell r="CS254" t="str">
            <v/>
          </cell>
          <cell r="CT254" t="str">
            <v/>
          </cell>
          <cell r="CU254" t="str">
            <v/>
          </cell>
          <cell r="CV254" t="str">
            <v>Municipal Office</v>
          </cell>
          <cell r="CW254" t="str">
            <v/>
          </cell>
          <cell r="CX254" t="str">
            <v>Chairman</v>
          </cell>
          <cell r="CY254" t="str">
            <v/>
          </cell>
          <cell r="CZ254" t="str">
            <v>Municipal Office</v>
          </cell>
          <cell r="DA254" t="str">
            <v/>
          </cell>
          <cell r="DB254" t="str">
            <v>Deputy Chairman</v>
          </cell>
          <cell r="DC254" t="str">
            <v/>
          </cell>
          <cell r="DD254" t="str">
            <v>Municipal Office</v>
          </cell>
          <cell r="DE254" t="str">
            <v/>
          </cell>
          <cell r="DF254" t="str">
            <v>Chief Adminstration Officer</v>
          </cell>
          <cell r="DG254" t="str">
            <v/>
          </cell>
          <cell r="DH254" t="str">
            <v>NRA/GMALI</v>
          </cell>
          <cell r="DI254" t="str">
            <v/>
          </cell>
          <cell r="DJ254" t="str">
            <v>NRA Chief-District</v>
          </cell>
          <cell r="DK254" t="str">
            <v/>
          </cell>
          <cell r="DL254" t="str">
            <v>DLPIU-Building</v>
          </cell>
          <cell r="DM254" t="str">
            <v/>
          </cell>
          <cell r="DN254" t="str">
            <v>DUDBC.DLPIU Chief</v>
          </cell>
          <cell r="DO254" t="str">
            <v/>
          </cell>
          <cell r="DP254" t="str">
            <v>Municipal Office</v>
          </cell>
          <cell r="DQ254" t="str">
            <v/>
          </cell>
          <cell r="DR254" t="str">
            <v>Focal Person</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v>0</v>
          </cell>
          <cell r="EK254">
            <v>0</v>
          </cell>
          <cell r="EL254">
            <v>0</v>
          </cell>
          <cell r="EM254">
            <v>0</v>
          </cell>
          <cell r="EN254">
            <v>0</v>
          </cell>
          <cell r="EO254">
            <v>0</v>
          </cell>
          <cell r="EP254" t="str">
            <v/>
          </cell>
          <cell r="EQ254" t="str">
            <v>Housing Recovery and Reconstruction Platform</v>
          </cell>
          <cell r="ER254" t="str">
            <v/>
          </cell>
          <cell r="ES254" t="str">
            <v>District Coordinator</v>
          </cell>
          <cell r="ET254" t="str">
            <v/>
          </cell>
          <cell r="EU254" t="str">
            <v>Housing Recovery and Reconstruction Platform</v>
          </cell>
          <cell r="EV254" t="str">
            <v/>
          </cell>
          <cell r="EW254" t="str">
            <v>DIstrict Information Management Officer</v>
          </cell>
          <cell r="EX254" t="str">
            <v/>
          </cell>
          <cell r="EY254" t="str">
            <v>Housing Recovery and Reconstruction Platform</v>
          </cell>
          <cell r="EZ254" t="str">
            <v/>
          </cell>
          <cell r="FA254" t="str">
            <v>District Technical Officer</v>
          </cell>
          <cell r="FB254" t="str">
            <v/>
          </cell>
        </row>
        <row r="255">
          <cell r="A255">
            <v>47001</v>
          </cell>
          <cell r="B255" t="str">
            <v>Palpa</v>
          </cell>
          <cell r="C255" t="str">
            <v>Bagnaskali Gaunpalika</v>
          </cell>
          <cell r="D255">
            <v>514</v>
          </cell>
          <cell r="E255">
            <v>603</v>
          </cell>
          <cell r="F255">
            <v>1117</v>
          </cell>
          <cell r="G255" t="str">
            <v>Stone and cement mortar masonry</v>
          </cell>
          <cell r="H255">
            <v>2.15</v>
          </cell>
          <cell r="I255">
            <v>1.65</v>
          </cell>
          <cell r="J255" t="str">
            <v>Stone and Mud Mortar Masonary</v>
          </cell>
          <cell r="K255">
            <v>87.65</v>
          </cell>
          <cell r="L255">
            <v>84.49</v>
          </cell>
          <cell r="M255" t="str">
            <v>Brick and Cement Mortar Masonary</v>
          </cell>
          <cell r="N255">
            <v>0.81</v>
          </cell>
          <cell r="O255">
            <v>0.98</v>
          </cell>
          <cell r="P255" t="str">
            <v>Brick and mud mortar Masonry</v>
          </cell>
          <cell r="Q255">
            <v>1.07</v>
          </cell>
          <cell r="R255">
            <v>1.52</v>
          </cell>
          <cell r="S255" t="str">
            <v>Reinforced cement concrete (RCC) frame</v>
          </cell>
          <cell r="T255">
            <v>0.27</v>
          </cell>
          <cell r="U255">
            <v>1.1200000000000001</v>
          </cell>
          <cell r="V255" t="str">
            <v>Hybrid structure</v>
          </cell>
          <cell r="W255">
            <v>0</v>
          </cell>
          <cell r="X255">
            <v>0</v>
          </cell>
          <cell r="Y255" t="str">
            <v>Timber frame structure</v>
          </cell>
          <cell r="Z255">
            <v>0</v>
          </cell>
          <cell r="AA255">
            <v>0.17</v>
          </cell>
          <cell r="AB255" t="str">
            <v>Hollow concrete block Masonry</v>
          </cell>
          <cell r="AC255">
            <v>0</v>
          </cell>
          <cell r="AD255">
            <v>0</v>
          </cell>
          <cell r="AE255" t="str">
            <v>Dry stone Masonry</v>
          </cell>
          <cell r="AF255">
            <v>0.09</v>
          </cell>
          <cell r="AG255">
            <v>0.06</v>
          </cell>
          <cell r="AH255" t="str">
            <v>Adobe structures</v>
          </cell>
          <cell r="AI255">
            <v>7.97</v>
          </cell>
          <cell r="AJ255">
            <v>9.92</v>
          </cell>
          <cell r="AK255" t="str">
            <v>Bamboo</v>
          </cell>
          <cell r="AL255">
            <v>0</v>
          </cell>
          <cell r="AM255">
            <v>0.09</v>
          </cell>
          <cell r="AN255" t="str">
            <v>Compressed stabilized earth block (SCEB) Masonry</v>
          </cell>
          <cell r="AO255">
            <v>0</v>
          </cell>
          <cell r="AP255">
            <v>0</v>
          </cell>
          <cell r="AQ255" t="str">
            <v>Light steel frame structures</v>
          </cell>
          <cell r="AR255">
            <v>0</v>
          </cell>
          <cell r="AS255">
            <v>0</v>
          </cell>
          <cell r="AT255">
            <v>571</v>
          </cell>
          <cell r="AU255">
            <v>524</v>
          </cell>
          <cell r="AV255">
            <v>524</v>
          </cell>
          <cell r="AW255">
            <v>168</v>
          </cell>
          <cell r="AX255">
            <v>53</v>
          </cell>
          <cell r="AY255" t="str">
            <v/>
          </cell>
          <cell r="AZ255" t="str">
            <v/>
          </cell>
          <cell r="BA255">
            <v>55</v>
          </cell>
          <cell r="BB255" t="str">
            <v/>
          </cell>
          <cell r="BC255" t="str">
            <v/>
          </cell>
          <cell r="BD255" t="str">
            <v/>
          </cell>
          <cell r="BE255" t="str">
            <v/>
          </cell>
          <cell r="BF255" t="str">
            <v/>
          </cell>
          <cell r="BG255" t="str">
            <v/>
          </cell>
          <cell r="BH255" t="str">
            <v/>
          </cell>
          <cell r="BI255" t="str">
            <v/>
          </cell>
          <cell r="BJ255" t="str">
            <v/>
          </cell>
          <cell r="BK255">
            <v>13737</v>
          </cell>
          <cell r="BL255" t="str">
            <v/>
          </cell>
          <cell r="BM255" t="str">
            <v/>
          </cell>
          <cell r="BN255">
            <v>13725</v>
          </cell>
          <cell r="BO255" t="str">
            <v/>
          </cell>
          <cell r="BP255" t="str">
            <v/>
          </cell>
          <cell r="BQ255">
            <v>1464</v>
          </cell>
          <cell r="BR255" t="str">
            <v/>
          </cell>
          <cell r="BS255" t="str">
            <v/>
          </cell>
          <cell r="BT255">
            <v>1679</v>
          </cell>
          <cell r="BU255" t="str">
            <v/>
          </cell>
          <cell r="BV255" t="str">
            <v/>
          </cell>
          <cell r="BW255" t="str">
            <v/>
          </cell>
          <cell r="BX255" t="str">
            <v/>
          </cell>
          <cell r="BY255" t="str">
            <v/>
          </cell>
          <cell r="BZ255">
            <v>45972</v>
          </cell>
          <cell r="CA255" t="str">
            <v/>
          </cell>
          <cell r="CB255" t="str">
            <v/>
          </cell>
          <cell r="CC255">
            <v>150048</v>
          </cell>
          <cell r="CD255" t="str">
            <v/>
          </cell>
          <cell r="CE255" t="str">
            <v/>
          </cell>
          <cell r="CF255">
            <v>1881</v>
          </cell>
          <cell r="CG255" t="str">
            <v/>
          </cell>
          <cell r="CH255" t="str">
            <v/>
          </cell>
          <cell r="CI255">
            <v>229369</v>
          </cell>
          <cell r="CJ255" t="str">
            <v/>
          </cell>
          <cell r="CK255" t="str">
            <v/>
          </cell>
          <cell r="CL255" t="str">
            <v>Skilled</v>
          </cell>
          <cell r="CM255" t="str">
            <v/>
          </cell>
          <cell r="CN255" t="str">
            <v>Labor</v>
          </cell>
          <cell r="CO255" t="str">
            <v/>
          </cell>
          <cell r="CP255" t="str">
            <v/>
          </cell>
          <cell r="CQ255" t="str">
            <v/>
          </cell>
          <cell r="CR255" t="str">
            <v/>
          </cell>
          <cell r="CS255" t="str">
            <v/>
          </cell>
          <cell r="CT255" t="str">
            <v/>
          </cell>
          <cell r="CU255" t="str">
            <v/>
          </cell>
          <cell r="CV255" t="str">
            <v>Municipal Office</v>
          </cell>
          <cell r="CW255" t="str">
            <v/>
          </cell>
          <cell r="CX255" t="str">
            <v>Chairman</v>
          </cell>
          <cell r="CY255" t="str">
            <v/>
          </cell>
          <cell r="CZ255" t="str">
            <v>Municipal Office</v>
          </cell>
          <cell r="DA255" t="str">
            <v/>
          </cell>
          <cell r="DB255" t="str">
            <v>Deputy Chairman</v>
          </cell>
          <cell r="DC255" t="str">
            <v/>
          </cell>
          <cell r="DD255" t="str">
            <v>Municipal Office</v>
          </cell>
          <cell r="DE255" t="str">
            <v/>
          </cell>
          <cell r="DF255" t="str">
            <v>Chief Adminstration Officer</v>
          </cell>
          <cell r="DG255" t="str">
            <v/>
          </cell>
          <cell r="DH255" t="str">
            <v>NRA/GMALI</v>
          </cell>
          <cell r="DI255" t="str">
            <v/>
          </cell>
          <cell r="DJ255" t="str">
            <v>NRA Chief-District</v>
          </cell>
          <cell r="DK255" t="str">
            <v/>
          </cell>
          <cell r="DL255" t="str">
            <v>DLPIU-Building</v>
          </cell>
          <cell r="DM255" t="str">
            <v/>
          </cell>
          <cell r="DN255" t="str">
            <v>DUDBC.DLPIU Chief</v>
          </cell>
          <cell r="DO255" t="str">
            <v/>
          </cell>
          <cell r="DP255" t="str">
            <v>Municipal Office</v>
          </cell>
          <cell r="DQ255" t="str">
            <v/>
          </cell>
          <cell r="DR255" t="str">
            <v>Focal Person</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v>0</v>
          </cell>
          <cell r="EK255">
            <v>0</v>
          </cell>
          <cell r="EL255">
            <v>0</v>
          </cell>
          <cell r="EM255">
            <v>0</v>
          </cell>
          <cell r="EN255">
            <v>0</v>
          </cell>
          <cell r="EO255">
            <v>0</v>
          </cell>
          <cell r="EP255" t="str">
            <v/>
          </cell>
          <cell r="EQ255" t="str">
            <v>Housing Recovery and Reconstruction Platform</v>
          </cell>
          <cell r="ER255" t="str">
            <v/>
          </cell>
          <cell r="ES255" t="str">
            <v>District Coordinator</v>
          </cell>
          <cell r="ET255" t="str">
            <v/>
          </cell>
          <cell r="EU255" t="str">
            <v>Housing Recovery and Reconstruction Platform</v>
          </cell>
          <cell r="EV255" t="str">
            <v/>
          </cell>
          <cell r="EW255" t="str">
            <v>DIstrict Information Management Officer</v>
          </cell>
          <cell r="EX255" t="str">
            <v/>
          </cell>
          <cell r="EY255" t="str">
            <v>Housing Recovery and Reconstruction Platform</v>
          </cell>
          <cell r="EZ255" t="str">
            <v/>
          </cell>
          <cell r="FA255" t="str">
            <v>District Technical Officer</v>
          </cell>
          <cell r="FB255" t="str">
            <v/>
          </cell>
        </row>
        <row r="256">
          <cell r="A256">
            <v>47002</v>
          </cell>
          <cell r="B256" t="str">
            <v>Palpa</v>
          </cell>
          <cell r="C256" t="str">
            <v>Mathagadhi Gaunpalika</v>
          </cell>
          <cell r="D256">
            <v>580</v>
          </cell>
          <cell r="E256">
            <v>677</v>
          </cell>
          <cell r="F256">
            <v>1257</v>
          </cell>
          <cell r="G256" t="str">
            <v>Stone and cement mortar masonry</v>
          </cell>
          <cell r="H256">
            <v>0.4</v>
          </cell>
          <cell r="I256">
            <v>1.65</v>
          </cell>
          <cell r="J256" t="str">
            <v>Stone and Mud Mortar Masonary</v>
          </cell>
          <cell r="K256">
            <v>97.77</v>
          </cell>
          <cell r="L256">
            <v>84.49</v>
          </cell>
          <cell r="M256" t="str">
            <v>Brick and Cement Mortar Masonary</v>
          </cell>
          <cell r="N256">
            <v>0.56000000000000005</v>
          </cell>
          <cell r="O256">
            <v>0.98</v>
          </cell>
          <cell r="P256" t="str">
            <v>Brick and mud mortar Masonry</v>
          </cell>
          <cell r="Q256">
            <v>0.08</v>
          </cell>
          <cell r="R256">
            <v>1.52</v>
          </cell>
          <cell r="S256" t="str">
            <v>Reinforced cement concrete (RCC) frame</v>
          </cell>
          <cell r="T256">
            <v>0.64</v>
          </cell>
          <cell r="U256">
            <v>1.1200000000000001</v>
          </cell>
          <cell r="V256" t="str">
            <v>Hybrid structure</v>
          </cell>
          <cell r="W256">
            <v>0</v>
          </cell>
          <cell r="X256">
            <v>0</v>
          </cell>
          <cell r="Y256" t="str">
            <v>Timber frame structure</v>
          </cell>
          <cell r="Z256">
            <v>0.08</v>
          </cell>
          <cell r="AA256">
            <v>0.17</v>
          </cell>
          <cell r="AB256" t="str">
            <v>Hollow concrete block Masonry</v>
          </cell>
          <cell r="AC256">
            <v>0</v>
          </cell>
          <cell r="AD256">
            <v>0</v>
          </cell>
          <cell r="AE256" t="str">
            <v>Dry stone Masonry</v>
          </cell>
          <cell r="AF256">
            <v>0.08</v>
          </cell>
          <cell r="AG256">
            <v>0.06</v>
          </cell>
          <cell r="AH256" t="str">
            <v>Adobe structures</v>
          </cell>
          <cell r="AI256">
            <v>0.16</v>
          </cell>
          <cell r="AJ256">
            <v>9.92</v>
          </cell>
          <cell r="AK256" t="str">
            <v>Bamboo</v>
          </cell>
          <cell r="AL256">
            <v>0.24</v>
          </cell>
          <cell r="AM256">
            <v>0.09</v>
          </cell>
          <cell r="AN256" t="str">
            <v>Compressed stabilized earth block (SCEB) Masonry</v>
          </cell>
          <cell r="AO256">
            <v>0</v>
          </cell>
          <cell r="AP256">
            <v>0</v>
          </cell>
          <cell r="AQ256" t="str">
            <v>Light steel frame structures</v>
          </cell>
          <cell r="AR256">
            <v>0</v>
          </cell>
          <cell r="AS256">
            <v>0</v>
          </cell>
          <cell r="AT256">
            <v>604</v>
          </cell>
          <cell r="AU256">
            <v>372</v>
          </cell>
          <cell r="AV256">
            <v>372</v>
          </cell>
          <cell r="AW256">
            <v>130</v>
          </cell>
          <cell r="AX256">
            <v>0</v>
          </cell>
          <cell r="AY256" t="str">
            <v/>
          </cell>
          <cell r="AZ256" t="str">
            <v/>
          </cell>
          <cell r="BA256">
            <v>14</v>
          </cell>
          <cell r="BB256" t="str">
            <v/>
          </cell>
          <cell r="BC256" t="str">
            <v/>
          </cell>
          <cell r="BD256" t="str">
            <v/>
          </cell>
          <cell r="BE256" t="str">
            <v/>
          </cell>
          <cell r="BF256" t="str">
            <v/>
          </cell>
          <cell r="BG256" t="str">
            <v/>
          </cell>
          <cell r="BH256" t="str">
            <v/>
          </cell>
          <cell r="BI256" t="str">
            <v/>
          </cell>
          <cell r="BJ256" t="str">
            <v/>
          </cell>
          <cell r="BK256">
            <v>10476</v>
          </cell>
          <cell r="BL256" t="str">
            <v/>
          </cell>
          <cell r="BM256" t="str">
            <v/>
          </cell>
          <cell r="BN256">
            <v>11091</v>
          </cell>
          <cell r="BO256" t="str">
            <v/>
          </cell>
          <cell r="BP256" t="str">
            <v/>
          </cell>
          <cell r="BQ256">
            <v>1121</v>
          </cell>
          <cell r="BR256" t="str">
            <v/>
          </cell>
          <cell r="BS256" t="str">
            <v/>
          </cell>
          <cell r="BT256">
            <v>1305</v>
          </cell>
          <cell r="BU256" t="str">
            <v/>
          </cell>
          <cell r="BV256" t="str">
            <v/>
          </cell>
          <cell r="BW256" t="str">
            <v/>
          </cell>
          <cell r="BX256" t="str">
            <v/>
          </cell>
          <cell r="BY256" t="str">
            <v/>
          </cell>
          <cell r="BZ256">
            <v>36434</v>
          </cell>
          <cell r="CA256" t="str">
            <v/>
          </cell>
          <cell r="CB256" t="str">
            <v/>
          </cell>
          <cell r="CC256">
            <v>112699</v>
          </cell>
          <cell r="CD256" t="str">
            <v/>
          </cell>
          <cell r="CE256" t="str">
            <v/>
          </cell>
          <cell r="CF256">
            <v>1488</v>
          </cell>
          <cell r="CG256" t="str">
            <v/>
          </cell>
          <cell r="CH256" t="str">
            <v/>
          </cell>
          <cell r="CI256">
            <v>38409</v>
          </cell>
          <cell r="CJ256" t="str">
            <v/>
          </cell>
          <cell r="CK256" t="str">
            <v/>
          </cell>
          <cell r="CL256" t="str">
            <v>Skilled</v>
          </cell>
          <cell r="CM256" t="str">
            <v/>
          </cell>
          <cell r="CN256" t="str">
            <v>Labor</v>
          </cell>
          <cell r="CO256" t="str">
            <v/>
          </cell>
          <cell r="CP256" t="str">
            <v/>
          </cell>
          <cell r="CQ256" t="str">
            <v/>
          </cell>
          <cell r="CR256" t="str">
            <v/>
          </cell>
          <cell r="CS256" t="str">
            <v/>
          </cell>
          <cell r="CT256" t="str">
            <v/>
          </cell>
          <cell r="CU256" t="str">
            <v/>
          </cell>
          <cell r="CV256" t="str">
            <v>Municipal Office</v>
          </cell>
          <cell r="CW256" t="str">
            <v/>
          </cell>
          <cell r="CX256" t="str">
            <v>Chairman</v>
          </cell>
          <cell r="CY256" t="str">
            <v/>
          </cell>
          <cell r="CZ256" t="str">
            <v>Municipal Office</v>
          </cell>
          <cell r="DA256" t="str">
            <v/>
          </cell>
          <cell r="DB256" t="str">
            <v>Deputy Chairman</v>
          </cell>
          <cell r="DC256" t="str">
            <v/>
          </cell>
          <cell r="DD256" t="str">
            <v>Municipal Office</v>
          </cell>
          <cell r="DE256" t="str">
            <v/>
          </cell>
          <cell r="DF256" t="str">
            <v>Chief Adminstration Officer</v>
          </cell>
          <cell r="DG256" t="str">
            <v/>
          </cell>
          <cell r="DH256" t="str">
            <v>NRA/GMALI</v>
          </cell>
          <cell r="DI256" t="str">
            <v/>
          </cell>
          <cell r="DJ256" t="str">
            <v>NRA Chief-District</v>
          </cell>
          <cell r="DK256" t="str">
            <v/>
          </cell>
          <cell r="DL256" t="str">
            <v>DLPIU-Building</v>
          </cell>
          <cell r="DM256" t="str">
            <v/>
          </cell>
          <cell r="DN256" t="str">
            <v>DUDBC.DLPIU Chief</v>
          </cell>
          <cell r="DO256" t="str">
            <v/>
          </cell>
          <cell r="DP256" t="str">
            <v>Municipal Office</v>
          </cell>
          <cell r="DQ256" t="str">
            <v/>
          </cell>
          <cell r="DR256" t="str">
            <v>Focal Person</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v>0</v>
          </cell>
          <cell r="EK256">
            <v>0</v>
          </cell>
          <cell r="EL256">
            <v>0</v>
          </cell>
          <cell r="EM256">
            <v>0</v>
          </cell>
          <cell r="EN256">
            <v>0</v>
          </cell>
          <cell r="EO256">
            <v>0</v>
          </cell>
          <cell r="EP256" t="str">
            <v/>
          </cell>
          <cell r="EQ256" t="str">
            <v>Housing Recovery and Reconstruction Platform</v>
          </cell>
          <cell r="ER256" t="str">
            <v/>
          </cell>
          <cell r="ES256" t="str">
            <v>District Coordinator</v>
          </cell>
          <cell r="ET256" t="str">
            <v/>
          </cell>
          <cell r="EU256" t="str">
            <v>Housing Recovery and Reconstruction Platform</v>
          </cell>
          <cell r="EV256" t="str">
            <v/>
          </cell>
          <cell r="EW256" t="str">
            <v>DIstrict Information Management Officer</v>
          </cell>
          <cell r="EX256" t="str">
            <v/>
          </cell>
          <cell r="EY256" t="str">
            <v>Housing Recovery and Reconstruction Platform</v>
          </cell>
          <cell r="EZ256" t="str">
            <v/>
          </cell>
          <cell r="FA256" t="str">
            <v>District Technical Officer</v>
          </cell>
          <cell r="FB256" t="str">
            <v/>
          </cell>
        </row>
        <row r="257">
          <cell r="A257">
            <v>47003</v>
          </cell>
          <cell r="B257" t="str">
            <v>Palpa</v>
          </cell>
          <cell r="C257" t="str">
            <v>Nisdi Gaunpalika</v>
          </cell>
          <cell r="D257">
            <v>288</v>
          </cell>
          <cell r="E257">
            <v>794</v>
          </cell>
          <cell r="F257">
            <v>1082</v>
          </cell>
          <cell r="G257" t="str">
            <v>Stone and cement mortar masonry</v>
          </cell>
          <cell r="H257">
            <v>0.46</v>
          </cell>
          <cell r="I257">
            <v>1.65</v>
          </cell>
          <cell r="J257" t="str">
            <v>Stone and Mud Mortar Masonary</v>
          </cell>
          <cell r="K257">
            <v>98.7</v>
          </cell>
          <cell r="L257">
            <v>84.49</v>
          </cell>
          <cell r="M257" t="str">
            <v>Brick and Cement Mortar Masonary</v>
          </cell>
          <cell r="N257">
            <v>0.28000000000000003</v>
          </cell>
          <cell r="O257">
            <v>0.98</v>
          </cell>
          <cell r="P257" t="str">
            <v>Brick and mud mortar Masonry</v>
          </cell>
          <cell r="Q257">
            <v>0.09</v>
          </cell>
          <cell r="R257">
            <v>1.52</v>
          </cell>
          <cell r="S257" t="str">
            <v>Reinforced cement concrete (RCC) frame</v>
          </cell>
          <cell r="T257">
            <v>0</v>
          </cell>
          <cell r="U257">
            <v>1.1200000000000001</v>
          </cell>
          <cell r="V257" t="str">
            <v>Hybrid structure</v>
          </cell>
          <cell r="W257">
            <v>0</v>
          </cell>
          <cell r="X257">
            <v>0</v>
          </cell>
          <cell r="Y257" t="str">
            <v>Timber frame structure</v>
          </cell>
          <cell r="Z257">
            <v>0</v>
          </cell>
          <cell r="AA257">
            <v>0.17</v>
          </cell>
          <cell r="AB257" t="str">
            <v>Hollow concrete block Masonry</v>
          </cell>
          <cell r="AC257">
            <v>0</v>
          </cell>
          <cell r="AD257">
            <v>0</v>
          </cell>
          <cell r="AE257" t="str">
            <v>Dry stone Masonry</v>
          </cell>
          <cell r="AF257">
            <v>0</v>
          </cell>
          <cell r="AG257">
            <v>0.06</v>
          </cell>
          <cell r="AH257" t="str">
            <v>Adobe structures</v>
          </cell>
          <cell r="AI257">
            <v>0.37</v>
          </cell>
          <cell r="AJ257">
            <v>9.92</v>
          </cell>
          <cell r="AK257" t="str">
            <v>Bamboo</v>
          </cell>
          <cell r="AL257">
            <v>0.09</v>
          </cell>
          <cell r="AM257">
            <v>0.09</v>
          </cell>
          <cell r="AN257" t="str">
            <v>Compressed stabilized earth block (SCEB) Masonry</v>
          </cell>
          <cell r="AO257">
            <v>0</v>
          </cell>
          <cell r="AP257">
            <v>0</v>
          </cell>
          <cell r="AQ257" t="str">
            <v>Light steel frame structures</v>
          </cell>
          <cell r="AR257">
            <v>0</v>
          </cell>
          <cell r="AS257">
            <v>0</v>
          </cell>
          <cell r="AT257">
            <v>739</v>
          </cell>
          <cell r="AU257">
            <v>372</v>
          </cell>
          <cell r="AV257">
            <v>372</v>
          </cell>
          <cell r="AW257">
            <v>130</v>
          </cell>
          <cell r="AX257">
            <v>15</v>
          </cell>
          <cell r="AY257" t="str">
            <v/>
          </cell>
          <cell r="AZ257" t="str">
            <v/>
          </cell>
          <cell r="BA257">
            <v>22</v>
          </cell>
          <cell r="BB257" t="str">
            <v/>
          </cell>
          <cell r="BC257" t="str">
            <v/>
          </cell>
          <cell r="BD257" t="str">
            <v/>
          </cell>
          <cell r="BE257" t="str">
            <v/>
          </cell>
          <cell r="BF257" t="str">
            <v/>
          </cell>
          <cell r="BG257" t="str">
            <v/>
          </cell>
          <cell r="BH257" t="str">
            <v/>
          </cell>
          <cell r="BI257" t="str">
            <v/>
          </cell>
          <cell r="BJ257" t="str">
            <v/>
          </cell>
          <cell r="BK257">
            <v>10134</v>
          </cell>
          <cell r="BL257" t="str">
            <v/>
          </cell>
          <cell r="BM257" t="str">
            <v/>
          </cell>
          <cell r="BN257">
            <v>10679</v>
          </cell>
          <cell r="BO257" t="str">
            <v/>
          </cell>
          <cell r="BP257" t="str">
            <v/>
          </cell>
          <cell r="BQ257">
            <v>1084</v>
          </cell>
          <cell r="BR257" t="str">
            <v/>
          </cell>
          <cell r="BS257" t="str">
            <v/>
          </cell>
          <cell r="BT257">
            <v>1259</v>
          </cell>
          <cell r="BU257" t="str">
            <v/>
          </cell>
          <cell r="BV257" t="str">
            <v/>
          </cell>
          <cell r="BW257" t="str">
            <v/>
          </cell>
          <cell r="BX257" t="str">
            <v/>
          </cell>
          <cell r="BY257" t="str">
            <v/>
          </cell>
          <cell r="BZ257">
            <v>34944</v>
          </cell>
          <cell r="CA257" t="str">
            <v/>
          </cell>
          <cell r="CB257" t="str">
            <v/>
          </cell>
          <cell r="CC257">
            <v>108898</v>
          </cell>
          <cell r="CD257" t="str">
            <v/>
          </cell>
          <cell r="CE257" t="str">
            <v/>
          </cell>
          <cell r="CF257">
            <v>1426</v>
          </cell>
          <cell r="CG257" t="str">
            <v/>
          </cell>
          <cell r="CH257" t="str">
            <v/>
          </cell>
          <cell r="CI257">
            <v>18889</v>
          </cell>
          <cell r="CJ257" t="str">
            <v/>
          </cell>
          <cell r="CK257" t="str">
            <v/>
          </cell>
          <cell r="CL257" t="str">
            <v>Skilled</v>
          </cell>
          <cell r="CM257" t="str">
            <v/>
          </cell>
          <cell r="CN257" t="str">
            <v>Labor</v>
          </cell>
          <cell r="CO257" t="str">
            <v/>
          </cell>
          <cell r="CP257" t="str">
            <v/>
          </cell>
          <cell r="CQ257" t="str">
            <v/>
          </cell>
          <cell r="CR257" t="str">
            <v/>
          </cell>
          <cell r="CS257" t="str">
            <v/>
          </cell>
          <cell r="CT257" t="str">
            <v/>
          </cell>
          <cell r="CU257" t="str">
            <v/>
          </cell>
          <cell r="CV257" t="str">
            <v>Municipal Office</v>
          </cell>
          <cell r="CW257" t="str">
            <v/>
          </cell>
          <cell r="CX257" t="str">
            <v>Chairman</v>
          </cell>
          <cell r="CY257" t="str">
            <v/>
          </cell>
          <cell r="CZ257" t="str">
            <v>Municipal Office</v>
          </cell>
          <cell r="DA257" t="str">
            <v/>
          </cell>
          <cell r="DB257" t="str">
            <v>Deputy Chairman</v>
          </cell>
          <cell r="DC257" t="str">
            <v/>
          </cell>
          <cell r="DD257" t="str">
            <v>Municipal Office</v>
          </cell>
          <cell r="DE257" t="str">
            <v/>
          </cell>
          <cell r="DF257" t="str">
            <v>Chief Adminstration Officer</v>
          </cell>
          <cell r="DG257" t="str">
            <v/>
          </cell>
          <cell r="DH257" t="str">
            <v>NRA/GMALI</v>
          </cell>
          <cell r="DI257" t="str">
            <v/>
          </cell>
          <cell r="DJ257" t="str">
            <v>NRA Chief-District</v>
          </cell>
          <cell r="DK257" t="str">
            <v/>
          </cell>
          <cell r="DL257" t="str">
            <v>DLPIU-Building</v>
          </cell>
          <cell r="DM257" t="str">
            <v/>
          </cell>
          <cell r="DN257" t="str">
            <v>DUDBC.DLPIU Chief</v>
          </cell>
          <cell r="DO257" t="str">
            <v/>
          </cell>
          <cell r="DP257" t="str">
            <v>Municipal Office</v>
          </cell>
          <cell r="DQ257" t="str">
            <v/>
          </cell>
          <cell r="DR257" t="str">
            <v>Focal Person</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v>0</v>
          </cell>
          <cell r="EK257">
            <v>0</v>
          </cell>
          <cell r="EL257">
            <v>0</v>
          </cell>
          <cell r="EM257">
            <v>0</v>
          </cell>
          <cell r="EN257">
            <v>0</v>
          </cell>
          <cell r="EO257">
            <v>0</v>
          </cell>
          <cell r="EP257" t="str">
            <v/>
          </cell>
          <cell r="EQ257" t="str">
            <v>Housing Recovery and Reconstruction Platform</v>
          </cell>
          <cell r="ER257" t="str">
            <v/>
          </cell>
          <cell r="ES257" t="str">
            <v>District Coordinator</v>
          </cell>
          <cell r="ET257" t="str">
            <v/>
          </cell>
          <cell r="EU257" t="str">
            <v>Housing Recovery and Reconstruction Platform</v>
          </cell>
          <cell r="EV257" t="str">
            <v/>
          </cell>
          <cell r="EW257" t="str">
            <v>DIstrict Information Management Officer</v>
          </cell>
          <cell r="EX257" t="str">
            <v/>
          </cell>
          <cell r="EY257" t="str">
            <v>Housing Recovery and Reconstruction Platform</v>
          </cell>
          <cell r="EZ257" t="str">
            <v/>
          </cell>
          <cell r="FA257" t="str">
            <v>District Technical Officer</v>
          </cell>
          <cell r="FB257" t="str">
            <v/>
          </cell>
        </row>
        <row r="258">
          <cell r="A258">
            <v>47004</v>
          </cell>
          <cell r="B258" t="str">
            <v>Palpa</v>
          </cell>
          <cell r="C258" t="str">
            <v>Purbakhola Gaunpalika</v>
          </cell>
          <cell r="D258">
            <v>481</v>
          </cell>
          <cell r="E258">
            <v>311</v>
          </cell>
          <cell r="F258">
            <v>792</v>
          </cell>
          <cell r="G258" t="str">
            <v>Stone and cement mortar masonry</v>
          </cell>
          <cell r="H258">
            <v>0.25</v>
          </cell>
          <cell r="I258">
            <v>1.65</v>
          </cell>
          <cell r="J258" t="str">
            <v>Stone and Mud Mortar Masonary</v>
          </cell>
          <cell r="K258">
            <v>97.6</v>
          </cell>
          <cell r="L258">
            <v>84.49</v>
          </cell>
          <cell r="M258" t="str">
            <v>Brick and Cement Mortar Masonary</v>
          </cell>
          <cell r="N258">
            <v>0.51</v>
          </cell>
          <cell r="O258">
            <v>0.98</v>
          </cell>
          <cell r="P258" t="str">
            <v>Brick and mud mortar Masonry</v>
          </cell>
          <cell r="Q258">
            <v>0.25</v>
          </cell>
          <cell r="R258">
            <v>1.52</v>
          </cell>
          <cell r="S258" t="str">
            <v>Reinforced cement concrete (RCC) frame</v>
          </cell>
          <cell r="T258">
            <v>0.76</v>
          </cell>
          <cell r="U258">
            <v>1.1200000000000001</v>
          </cell>
          <cell r="V258" t="str">
            <v>Hybrid structure</v>
          </cell>
          <cell r="W258">
            <v>0</v>
          </cell>
          <cell r="X258">
            <v>0</v>
          </cell>
          <cell r="Y258" t="str">
            <v>Timber frame structure</v>
          </cell>
          <cell r="Z258">
            <v>0.13</v>
          </cell>
          <cell r="AA258">
            <v>0.17</v>
          </cell>
          <cell r="AB258" t="str">
            <v>Hollow concrete block Masonry</v>
          </cell>
          <cell r="AC258">
            <v>0</v>
          </cell>
          <cell r="AD258">
            <v>0</v>
          </cell>
          <cell r="AE258" t="str">
            <v>Dry stone Masonry</v>
          </cell>
          <cell r="AF258">
            <v>0</v>
          </cell>
          <cell r="AG258">
            <v>0.06</v>
          </cell>
          <cell r="AH258" t="str">
            <v>Adobe structures</v>
          </cell>
          <cell r="AI258">
            <v>0.38</v>
          </cell>
          <cell r="AJ258">
            <v>9.92</v>
          </cell>
          <cell r="AK258" t="str">
            <v>Bamboo</v>
          </cell>
          <cell r="AL258">
            <v>0.13</v>
          </cell>
          <cell r="AM258">
            <v>0.09</v>
          </cell>
          <cell r="AN258" t="str">
            <v>Compressed stabilized earth block (SCEB) Masonry</v>
          </cell>
          <cell r="AO258">
            <v>0</v>
          </cell>
          <cell r="AP258">
            <v>0</v>
          </cell>
          <cell r="AQ258" t="str">
            <v>Light steel frame structures</v>
          </cell>
          <cell r="AR258">
            <v>0</v>
          </cell>
          <cell r="AS258">
            <v>0</v>
          </cell>
          <cell r="AT258">
            <v>247</v>
          </cell>
          <cell r="AU258">
            <v>258</v>
          </cell>
          <cell r="AV258">
            <v>258</v>
          </cell>
          <cell r="AW258">
            <v>96</v>
          </cell>
          <cell r="AX258">
            <v>25</v>
          </cell>
          <cell r="AY258" t="str">
            <v/>
          </cell>
          <cell r="AZ258" t="str">
            <v/>
          </cell>
          <cell r="BA258">
            <v>73</v>
          </cell>
          <cell r="BB258" t="str">
            <v/>
          </cell>
          <cell r="BC258" t="str">
            <v/>
          </cell>
          <cell r="BD258" t="str">
            <v/>
          </cell>
          <cell r="BE258" t="str">
            <v/>
          </cell>
          <cell r="BF258" t="str">
            <v/>
          </cell>
          <cell r="BG258" t="str">
            <v/>
          </cell>
          <cell r="BH258" t="str">
            <v/>
          </cell>
          <cell r="BI258" t="str">
            <v/>
          </cell>
          <cell r="BJ258" t="str">
            <v/>
          </cell>
          <cell r="BK258">
            <v>7395</v>
          </cell>
          <cell r="BL258" t="str">
            <v/>
          </cell>
          <cell r="BM258" t="str">
            <v/>
          </cell>
          <cell r="BN258">
            <v>6841</v>
          </cell>
          <cell r="BO258" t="str">
            <v/>
          </cell>
          <cell r="BP258" t="str">
            <v/>
          </cell>
          <cell r="BQ258">
            <v>782</v>
          </cell>
          <cell r="BR258" t="str">
            <v/>
          </cell>
          <cell r="BS258" t="str">
            <v/>
          </cell>
          <cell r="BT258">
            <v>876</v>
          </cell>
          <cell r="BU258" t="str">
            <v/>
          </cell>
          <cell r="BV258" t="str">
            <v/>
          </cell>
          <cell r="BW258" t="str">
            <v/>
          </cell>
          <cell r="BX258" t="str">
            <v/>
          </cell>
          <cell r="BY258" t="str">
            <v/>
          </cell>
          <cell r="BZ258">
            <v>22570</v>
          </cell>
          <cell r="CA258" t="str">
            <v/>
          </cell>
          <cell r="CB258" t="str">
            <v/>
          </cell>
          <cell r="CC258">
            <v>80988</v>
          </cell>
          <cell r="CD258" t="str">
            <v/>
          </cell>
          <cell r="CE258" t="str">
            <v/>
          </cell>
          <cell r="CF258">
            <v>920</v>
          </cell>
          <cell r="CG258" t="str">
            <v/>
          </cell>
          <cell r="CH258" t="str">
            <v/>
          </cell>
          <cell r="CI258">
            <v>94477</v>
          </cell>
          <cell r="CJ258" t="str">
            <v/>
          </cell>
          <cell r="CK258" t="str">
            <v/>
          </cell>
          <cell r="CL258" t="str">
            <v>Skilled</v>
          </cell>
          <cell r="CM258" t="str">
            <v/>
          </cell>
          <cell r="CN258" t="str">
            <v>Labor</v>
          </cell>
          <cell r="CO258" t="str">
            <v/>
          </cell>
          <cell r="CP258" t="str">
            <v/>
          </cell>
          <cell r="CQ258" t="str">
            <v/>
          </cell>
          <cell r="CR258" t="str">
            <v/>
          </cell>
          <cell r="CS258" t="str">
            <v/>
          </cell>
          <cell r="CT258" t="str">
            <v/>
          </cell>
          <cell r="CU258" t="str">
            <v/>
          </cell>
          <cell r="CV258" t="str">
            <v>Municipal Office</v>
          </cell>
          <cell r="CW258" t="str">
            <v/>
          </cell>
          <cell r="CX258" t="str">
            <v>Chairman</v>
          </cell>
          <cell r="CY258" t="str">
            <v/>
          </cell>
          <cell r="CZ258" t="str">
            <v>Municipal Office</v>
          </cell>
          <cell r="DA258" t="str">
            <v/>
          </cell>
          <cell r="DB258" t="str">
            <v>Deputy Chairman</v>
          </cell>
          <cell r="DC258" t="str">
            <v/>
          </cell>
          <cell r="DD258" t="str">
            <v>Municipal Office</v>
          </cell>
          <cell r="DE258" t="str">
            <v/>
          </cell>
          <cell r="DF258" t="str">
            <v>Chief Adminstration Officer</v>
          </cell>
          <cell r="DG258" t="str">
            <v/>
          </cell>
          <cell r="DH258" t="str">
            <v>NRA/GMALI</v>
          </cell>
          <cell r="DI258" t="str">
            <v/>
          </cell>
          <cell r="DJ258" t="str">
            <v>NRA Chief-District</v>
          </cell>
          <cell r="DK258" t="str">
            <v/>
          </cell>
          <cell r="DL258" t="str">
            <v>DLPIU-Building</v>
          </cell>
          <cell r="DM258" t="str">
            <v/>
          </cell>
          <cell r="DN258" t="str">
            <v>DUDBC.DLPIU Chief</v>
          </cell>
          <cell r="DO258" t="str">
            <v/>
          </cell>
          <cell r="DP258" t="str">
            <v>Municipal Office</v>
          </cell>
          <cell r="DQ258" t="str">
            <v/>
          </cell>
          <cell r="DR258" t="str">
            <v>Focal Person</v>
          </cell>
          <cell r="DS258" t="str">
            <v/>
          </cell>
          <cell r="DT258" t="str">
            <v/>
          </cell>
          <cell r="DU258" t="str">
            <v/>
          </cell>
          <cell r="DV258" t="str">
            <v/>
          </cell>
          <cell r="DW258" t="str">
            <v/>
          </cell>
          <cell r="DX258" t="str">
            <v/>
          </cell>
          <cell r="DY258" t="str">
            <v/>
          </cell>
          <cell r="DZ258" t="str">
            <v/>
          </cell>
          <cell r="EA258" t="str">
            <v/>
          </cell>
          <cell r="EB258" t="str">
            <v/>
          </cell>
          <cell r="EC258" t="str">
            <v/>
          </cell>
          <cell r="ED258" t="str">
            <v/>
          </cell>
          <cell r="EE258" t="str">
            <v/>
          </cell>
          <cell r="EF258" t="str">
            <v/>
          </cell>
          <cell r="EG258" t="str">
            <v/>
          </cell>
          <cell r="EH258" t="str">
            <v/>
          </cell>
          <cell r="EI258" t="str">
            <v/>
          </cell>
          <cell r="EJ258">
            <v>0</v>
          </cell>
          <cell r="EK258">
            <v>0</v>
          </cell>
          <cell r="EL258">
            <v>0</v>
          </cell>
          <cell r="EM258">
            <v>0</v>
          </cell>
          <cell r="EN258">
            <v>0</v>
          </cell>
          <cell r="EO258">
            <v>0</v>
          </cell>
          <cell r="EP258" t="str">
            <v/>
          </cell>
          <cell r="EQ258" t="str">
            <v>Housing Recovery and Reconstruction Platform</v>
          </cell>
          <cell r="ER258" t="str">
            <v/>
          </cell>
          <cell r="ES258" t="str">
            <v>District Coordinator</v>
          </cell>
          <cell r="ET258" t="str">
            <v/>
          </cell>
          <cell r="EU258" t="str">
            <v>Housing Recovery and Reconstruction Platform</v>
          </cell>
          <cell r="EV258" t="str">
            <v/>
          </cell>
          <cell r="EW258" t="str">
            <v>DIstrict Information Management Officer</v>
          </cell>
          <cell r="EX258" t="str">
            <v/>
          </cell>
          <cell r="EY258" t="str">
            <v>Housing Recovery and Reconstruction Platform</v>
          </cell>
          <cell r="EZ258" t="str">
            <v/>
          </cell>
          <cell r="FA258" t="str">
            <v>District Technical Officer</v>
          </cell>
          <cell r="FB258" t="str">
            <v/>
          </cell>
        </row>
        <row r="259">
          <cell r="A259">
            <v>47005</v>
          </cell>
          <cell r="B259" t="str">
            <v>Palpa</v>
          </cell>
          <cell r="C259" t="str">
            <v>Rainadevi Chhahara Gaunpalika</v>
          </cell>
          <cell r="D259">
            <v>264</v>
          </cell>
          <cell r="E259">
            <v>372</v>
          </cell>
          <cell r="F259">
            <v>636</v>
          </cell>
          <cell r="G259" t="str">
            <v>Stone and cement mortar masonry</v>
          </cell>
          <cell r="H259">
            <v>0</v>
          </cell>
          <cell r="I259">
            <v>1.65</v>
          </cell>
          <cell r="J259" t="str">
            <v>Stone and Mud Mortar Masonary</v>
          </cell>
          <cell r="K259">
            <v>97.8</v>
          </cell>
          <cell r="L259">
            <v>84.49</v>
          </cell>
          <cell r="M259" t="str">
            <v>Brick and Cement Mortar Masonary</v>
          </cell>
          <cell r="N259">
            <v>0.31</v>
          </cell>
          <cell r="O259">
            <v>0.98</v>
          </cell>
          <cell r="P259" t="str">
            <v>Brick and mud mortar Masonry</v>
          </cell>
          <cell r="Q259">
            <v>0</v>
          </cell>
          <cell r="R259">
            <v>1.52</v>
          </cell>
          <cell r="S259" t="str">
            <v>Reinforced cement concrete (RCC) frame</v>
          </cell>
          <cell r="T259">
            <v>1.42</v>
          </cell>
          <cell r="U259">
            <v>1.1200000000000001</v>
          </cell>
          <cell r="V259" t="str">
            <v>Hybrid structure</v>
          </cell>
          <cell r="W259">
            <v>0</v>
          </cell>
          <cell r="X259">
            <v>0</v>
          </cell>
          <cell r="Y259" t="str">
            <v>Timber frame structure</v>
          </cell>
          <cell r="Z259">
            <v>0.16</v>
          </cell>
          <cell r="AA259">
            <v>0.17</v>
          </cell>
          <cell r="AB259" t="str">
            <v>Hollow concrete block Masonry</v>
          </cell>
          <cell r="AC259">
            <v>0</v>
          </cell>
          <cell r="AD259">
            <v>0</v>
          </cell>
          <cell r="AE259" t="str">
            <v>Dry stone Masonry</v>
          </cell>
          <cell r="AF259">
            <v>0</v>
          </cell>
          <cell r="AG259">
            <v>0.06</v>
          </cell>
          <cell r="AH259" t="str">
            <v>Adobe structures</v>
          </cell>
          <cell r="AI259">
            <v>0.16</v>
          </cell>
          <cell r="AJ259">
            <v>9.92</v>
          </cell>
          <cell r="AK259" t="str">
            <v>Bamboo</v>
          </cell>
          <cell r="AL259">
            <v>0.16</v>
          </cell>
          <cell r="AM259">
            <v>0.09</v>
          </cell>
          <cell r="AN259" t="str">
            <v>Compressed stabilized earth block (SCEB) Masonry</v>
          </cell>
          <cell r="AO259">
            <v>0</v>
          </cell>
          <cell r="AP259">
            <v>0</v>
          </cell>
          <cell r="AQ259" t="str">
            <v>Light steel frame structures</v>
          </cell>
          <cell r="AR259">
            <v>0</v>
          </cell>
          <cell r="AS259">
            <v>0</v>
          </cell>
          <cell r="AT259">
            <v>351</v>
          </cell>
          <cell r="AU259">
            <v>284</v>
          </cell>
          <cell r="AV259">
            <v>284</v>
          </cell>
          <cell r="AW259">
            <v>60</v>
          </cell>
          <cell r="AX259">
            <v>14</v>
          </cell>
          <cell r="AY259" t="str">
            <v/>
          </cell>
          <cell r="AZ259" t="str">
            <v/>
          </cell>
          <cell r="BA259">
            <v>24</v>
          </cell>
          <cell r="BB259" t="str">
            <v/>
          </cell>
          <cell r="BC259" t="str">
            <v/>
          </cell>
          <cell r="BD259" t="str">
            <v/>
          </cell>
          <cell r="BE259" t="str">
            <v/>
          </cell>
          <cell r="BF259" t="str">
            <v/>
          </cell>
          <cell r="BG259" t="str">
            <v/>
          </cell>
          <cell r="BH259" t="str">
            <v/>
          </cell>
          <cell r="BI259" t="str">
            <v/>
          </cell>
          <cell r="BJ259" t="str">
            <v/>
          </cell>
          <cell r="BK259">
            <v>8156</v>
          </cell>
          <cell r="BL259" t="str">
            <v/>
          </cell>
          <cell r="BM259" t="str">
            <v/>
          </cell>
          <cell r="BN259">
            <v>7943</v>
          </cell>
          <cell r="BO259" t="str">
            <v/>
          </cell>
          <cell r="BP259" t="str">
            <v/>
          </cell>
          <cell r="BQ259">
            <v>867</v>
          </cell>
          <cell r="BR259" t="str">
            <v/>
          </cell>
          <cell r="BS259" t="str">
            <v/>
          </cell>
          <cell r="BT259">
            <v>984</v>
          </cell>
          <cell r="BU259" t="str">
            <v/>
          </cell>
          <cell r="BV259" t="str">
            <v/>
          </cell>
          <cell r="BW259" t="str">
            <v/>
          </cell>
          <cell r="BX259" t="str">
            <v/>
          </cell>
          <cell r="BY259" t="str">
            <v/>
          </cell>
          <cell r="BZ259">
            <v>26125</v>
          </cell>
          <cell r="CA259" t="str">
            <v/>
          </cell>
          <cell r="CB259" t="str">
            <v/>
          </cell>
          <cell r="CC259">
            <v>88694</v>
          </cell>
          <cell r="CD259" t="str">
            <v/>
          </cell>
          <cell r="CE259" t="str">
            <v/>
          </cell>
          <cell r="CF259">
            <v>1065</v>
          </cell>
          <cell r="CG259" t="str">
            <v/>
          </cell>
          <cell r="CH259" t="str">
            <v/>
          </cell>
          <cell r="CI259">
            <v>71182</v>
          </cell>
          <cell r="CJ259" t="str">
            <v/>
          </cell>
          <cell r="CK259" t="str">
            <v/>
          </cell>
          <cell r="CL259" t="str">
            <v>Skilled</v>
          </cell>
          <cell r="CM259" t="str">
            <v/>
          </cell>
          <cell r="CN259" t="str">
            <v>Labor</v>
          </cell>
          <cell r="CO259" t="str">
            <v/>
          </cell>
          <cell r="CP259" t="str">
            <v/>
          </cell>
          <cell r="CQ259" t="str">
            <v/>
          </cell>
          <cell r="CR259" t="str">
            <v/>
          </cell>
          <cell r="CS259" t="str">
            <v/>
          </cell>
          <cell r="CT259" t="str">
            <v/>
          </cell>
          <cell r="CU259" t="str">
            <v/>
          </cell>
          <cell r="CV259" t="str">
            <v>Municipal Office</v>
          </cell>
          <cell r="CW259" t="str">
            <v/>
          </cell>
          <cell r="CX259" t="str">
            <v>Chairman</v>
          </cell>
          <cell r="CY259" t="str">
            <v/>
          </cell>
          <cell r="CZ259" t="str">
            <v>Municipal Office</v>
          </cell>
          <cell r="DA259" t="str">
            <v/>
          </cell>
          <cell r="DB259" t="str">
            <v>Deputy Chairman</v>
          </cell>
          <cell r="DC259" t="str">
            <v/>
          </cell>
          <cell r="DD259" t="str">
            <v>Municipal Office</v>
          </cell>
          <cell r="DE259" t="str">
            <v/>
          </cell>
          <cell r="DF259" t="str">
            <v>Chief Adminstration Officer</v>
          </cell>
          <cell r="DG259" t="str">
            <v/>
          </cell>
          <cell r="DH259" t="str">
            <v>NRA/GMALI</v>
          </cell>
          <cell r="DI259" t="str">
            <v/>
          </cell>
          <cell r="DJ259" t="str">
            <v>NRA Chief-District</v>
          </cell>
          <cell r="DK259" t="str">
            <v/>
          </cell>
          <cell r="DL259" t="str">
            <v>DLPIU-Building</v>
          </cell>
          <cell r="DM259" t="str">
            <v/>
          </cell>
          <cell r="DN259" t="str">
            <v>DUDBC.DLPIU Chief</v>
          </cell>
          <cell r="DO259" t="str">
            <v/>
          </cell>
          <cell r="DP259" t="str">
            <v>Municipal Office</v>
          </cell>
          <cell r="DQ259" t="str">
            <v/>
          </cell>
          <cell r="DR259" t="str">
            <v>Focal Person</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v>0</v>
          </cell>
          <cell r="EK259">
            <v>0</v>
          </cell>
          <cell r="EL259">
            <v>0</v>
          </cell>
          <cell r="EM259">
            <v>0</v>
          </cell>
          <cell r="EN259">
            <v>0</v>
          </cell>
          <cell r="EO259">
            <v>0</v>
          </cell>
          <cell r="EP259" t="str">
            <v/>
          </cell>
          <cell r="EQ259" t="str">
            <v>Housing Recovery and Reconstruction Platform</v>
          </cell>
          <cell r="ER259" t="str">
            <v/>
          </cell>
          <cell r="ES259" t="str">
            <v>District Coordinator</v>
          </cell>
          <cell r="ET259" t="str">
            <v/>
          </cell>
          <cell r="EU259" t="str">
            <v>Housing Recovery and Reconstruction Platform</v>
          </cell>
          <cell r="EV259" t="str">
            <v/>
          </cell>
          <cell r="EW259" t="str">
            <v>DIstrict Information Management Officer</v>
          </cell>
          <cell r="EX259" t="str">
            <v/>
          </cell>
          <cell r="EY259" t="str">
            <v>Housing Recovery and Reconstruction Platform</v>
          </cell>
          <cell r="EZ259" t="str">
            <v/>
          </cell>
          <cell r="FA259" t="str">
            <v>District Technical Officer</v>
          </cell>
          <cell r="FB259" t="str">
            <v/>
          </cell>
        </row>
        <row r="260">
          <cell r="A260">
            <v>47006</v>
          </cell>
          <cell r="B260" t="str">
            <v>Palpa</v>
          </cell>
          <cell r="C260" t="str">
            <v>Rambha Gaunpalika</v>
          </cell>
          <cell r="D260">
            <v>537</v>
          </cell>
          <cell r="E260">
            <v>436</v>
          </cell>
          <cell r="F260">
            <v>973</v>
          </cell>
          <cell r="G260" t="str">
            <v>Stone and cement mortar masonry</v>
          </cell>
          <cell r="H260">
            <v>0</v>
          </cell>
          <cell r="I260">
            <v>1.65</v>
          </cell>
          <cell r="J260" t="str">
            <v>Stone and Mud Mortar Masonary</v>
          </cell>
          <cell r="K260">
            <v>98.05</v>
          </cell>
          <cell r="L260">
            <v>84.49</v>
          </cell>
          <cell r="M260" t="str">
            <v>Brick and Cement Mortar Masonary</v>
          </cell>
          <cell r="N260">
            <v>0.21</v>
          </cell>
          <cell r="O260">
            <v>0.98</v>
          </cell>
          <cell r="P260" t="str">
            <v>Brick and mud mortar Masonry</v>
          </cell>
          <cell r="Q260">
            <v>0.21</v>
          </cell>
          <cell r="R260">
            <v>1.52</v>
          </cell>
          <cell r="S260" t="str">
            <v>Reinforced cement concrete (RCC) frame</v>
          </cell>
          <cell r="T260">
            <v>1.34</v>
          </cell>
          <cell r="U260">
            <v>1.1200000000000001</v>
          </cell>
          <cell r="V260" t="str">
            <v>Hybrid structure</v>
          </cell>
          <cell r="W260">
            <v>0</v>
          </cell>
          <cell r="X260">
            <v>0</v>
          </cell>
          <cell r="Y260" t="str">
            <v>Timber frame structure</v>
          </cell>
          <cell r="Z260">
            <v>0</v>
          </cell>
          <cell r="AA260">
            <v>0.17</v>
          </cell>
          <cell r="AB260" t="str">
            <v>Hollow concrete block Masonry</v>
          </cell>
          <cell r="AC260">
            <v>0</v>
          </cell>
          <cell r="AD260">
            <v>0</v>
          </cell>
          <cell r="AE260" t="str">
            <v>Dry stone Masonry</v>
          </cell>
          <cell r="AF260">
            <v>0</v>
          </cell>
          <cell r="AG260">
            <v>0.06</v>
          </cell>
          <cell r="AH260" t="str">
            <v>Adobe structures</v>
          </cell>
          <cell r="AI260">
            <v>0.21</v>
          </cell>
          <cell r="AJ260">
            <v>9.92</v>
          </cell>
          <cell r="AK260" t="str">
            <v>Bamboo</v>
          </cell>
          <cell r="AL260">
            <v>0</v>
          </cell>
          <cell r="AM260">
            <v>0.09</v>
          </cell>
          <cell r="AN260" t="str">
            <v>Compressed stabilized earth block (SCEB) Masonry</v>
          </cell>
          <cell r="AO260">
            <v>0</v>
          </cell>
          <cell r="AP260">
            <v>0</v>
          </cell>
          <cell r="AQ260" t="str">
            <v>Light steel frame structures</v>
          </cell>
          <cell r="AR260">
            <v>0</v>
          </cell>
          <cell r="AS260">
            <v>0</v>
          </cell>
          <cell r="AT260">
            <v>293</v>
          </cell>
          <cell r="AU260">
            <v>352</v>
          </cell>
          <cell r="AV260">
            <v>352</v>
          </cell>
          <cell r="AW260">
            <v>127</v>
          </cell>
          <cell r="AX260">
            <v>34</v>
          </cell>
          <cell r="AY260" t="str">
            <v/>
          </cell>
          <cell r="AZ260" t="str">
            <v/>
          </cell>
          <cell r="BA260">
            <v>123</v>
          </cell>
          <cell r="BB260" t="str">
            <v/>
          </cell>
          <cell r="BC260" t="str">
            <v/>
          </cell>
          <cell r="BD260" t="str">
            <v/>
          </cell>
          <cell r="BE260" t="str">
            <v/>
          </cell>
          <cell r="BF260" t="str">
            <v/>
          </cell>
          <cell r="BG260" t="str">
            <v/>
          </cell>
          <cell r="BH260" t="str">
            <v/>
          </cell>
          <cell r="BI260" t="str">
            <v/>
          </cell>
          <cell r="BJ260" t="str">
            <v/>
          </cell>
          <cell r="BK260">
            <v>8959</v>
          </cell>
          <cell r="BL260" t="str">
            <v/>
          </cell>
          <cell r="BM260" t="str">
            <v/>
          </cell>
          <cell r="BN260">
            <v>9387</v>
          </cell>
          <cell r="BO260" t="str">
            <v/>
          </cell>
          <cell r="BP260" t="str">
            <v/>
          </cell>
          <cell r="BQ260">
            <v>958</v>
          </cell>
          <cell r="BR260" t="str">
            <v/>
          </cell>
          <cell r="BS260" t="str">
            <v/>
          </cell>
          <cell r="BT260">
            <v>1112</v>
          </cell>
          <cell r="BU260" t="str">
            <v/>
          </cell>
          <cell r="BV260" t="str">
            <v/>
          </cell>
          <cell r="BW260" t="str">
            <v/>
          </cell>
          <cell r="BX260" t="str">
            <v/>
          </cell>
          <cell r="BY260" t="str">
            <v/>
          </cell>
          <cell r="BZ260">
            <v>30986</v>
          </cell>
          <cell r="CA260" t="str">
            <v/>
          </cell>
          <cell r="CB260" t="str">
            <v/>
          </cell>
          <cell r="CC260">
            <v>96713</v>
          </cell>
          <cell r="CD260" t="str">
            <v/>
          </cell>
          <cell r="CE260" t="str">
            <v/>
          </cell>
          <cell r="CF260">
            <v>1266</v>
          </cell>
          <cell r="CG260" t="str">
            <v/>
          </cell>
          <cell r="CH260" t="str">
            <v/>
          </cell>
          <cell r="CI260">
            <v>61179</v>
          </cell>
          <cell r="CJ260" t="str">
            <v/>
          </cell>
          <cell r="CK260" t="str">
            <v/>
          </cell>
          <cell r="CL260" t="str">
            <v>Skilled</v>
          </cell>
          <cell r="CM260" t="str">
            <v/>
          </cell>
          <cell r="CN260" t="str">
            <v>Labor</v>
          </cell>
          <cell r="CO260" t="str">
            <v/>
          </cell>
          <cell r="CP260" t="str">
            <v/>
          </cell>
          <cell r="CQ260" t="str">
            <v/>
          </cell>
          <cell r="CR260" t="str">
            <v/>
          </cell>
          <cell r="CS260" t="str">
            <v/>
          </cell>
          <cell r="CT260" t="str">
            <v/>
          </cell>
          <cell r="CU260" t="str">
            <v/>
          </cell>
          <cell r="CV260" t="str">
            <v>Municipal Office</v>
          </cell>
          <cell r="CW260" t="str">
            <v/>
          </cell>
          <cell r="CX260" t="str">
            <v>Chairman</v>
          </cell>
          <cell r="CY260" t="str">
            <v/>
          </cell>
          <cell r="CZ260" t="str">
            <v>Municipal Office</v>
          </cell>
          <cell r="DA260" t="str">
            <v/>
          </cell>
          <cell r="DB260" t="str">
            <v>Deputy Chairman</v>
          </cell>
          <cell r="DC260" t="str">
            <v/>
          </cell>
          <cell r="DD260" t="str">
            <v>Municipal Office</v>
          </cell>
          <cell r="DE260" t="str">
            <v/>
          </cell>
          <cell r="DF260" t="str">
            <v>Chief Adminstration Officer</v>
          </cell>
          <cell r="DG260" t="str">
            <v/>
          </cell>
          <cell r="DH260" t="str">
            <v>NRA/GMALI</v>
          </cell>
          <cell r="DI260" t="str">
            <v/>
          </cell>
          <cell r="DJ260" t="str">
            <v>NRA Chief-District</v>
          </cell>
          <cell r="DK260" t="str">
            <v/>
          </cell>
          <cell r="DL260" t="str">
            <v>DLPIU-Building</v>
          </cell>
          <cell r="DM260" t="str">
            <v/>
          </cell>
          <cell r="DN260" t="str">
            <v>DUDBC.DLPIU Chief</v>
          </cell>
          <cell r="DO260" t="str">
            <v/>
          </cell>
          <cell r="DP260" t="str">
            <v>Municipal Office</v>
          </cell>
          <cell r="DQ260" t="str">
            <v/>
          </cell>
          <cell r="DR260" t="str">
            <v>Focal Person</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v>0</v>
          </cell>
          <cell r="EK260">
            <v>0</v>
          </cell>
          <cell r="EL260">
            <v>0</v>
          </cell>
          <cell r="EM260">
            <v>0</v>
          </cell>
          <cell r="EN260">
            <v>0</v>
          </cell>
          <cell r="EO260">
            <v>0</v>
          </cell>
          <cell r="EP260" t="str">
            <v/>
          </cell>
          <cell r="EQ260" t="str">
            <v>Housing Recovery and Reconstruction Platform</v>
          </cell>
          <cell r="ER260" t="str">
            <v/>
          </cell>
          <cell r="ES260" t="str">
            <v>District Coordinator</v>
          </cell>
          <cell r="ET260" t="str">
            <v/>
          </cell>
          <cell r="EU260" t="str">
            <v>Housing Recovery and Reconstruction Platform</v>
          </cell>
          <cell r="EV260" t="str">
            <v/>
          </cell>
          <cell r="EW260" t="str">
            <v>DIstrict Information Management Officer</v>
          </cell>
          <cell r="EX260" t="str">
            <v/>
          </cell>
          <cell r="EY260" t="str">
            <v>Housing Recovery and Reconstruction Platform</v>
          </cell>
          <cell r="EZ260" t="str">
            <v/>
          </cell>
          <cell r="FA260" t="str">
            <v>District Technical Officer</v>
          </cell>
          <cell r="FB260" t="str">
            <v/>
          </cell>
        </row>
        <row r="261">
          <cell r="A261">
            <v>47007</v>
          </cell>
          <cell r="B261" t="str">
            <v>Palpa</v>
          </cell>
          <cell r="C261" t="str">
            <v>Rampur Nagarpalika</v>
          </cell>
          <cell r="D261">
            <v>150</v>
          </cell>
          <cell r="E261">
            <v>376</v>
          </cell>
          <cell r="F261">
            <v>526</v>
          </cell>
          <cell r="G261" t="str">
            <v>Stone and cement mortar masonry</v>
          </cell>
          <cell r="H261">
            <v>0</v>
          </cell>
          <cell r="I261">
            <v>1.65</v>
          </cell>
          <cell r="J261" t="str">
            <v>Stone and Mud Mortar Masonary</v>
          </cell>
          <cell r="K261">
            <v>77.95</v>
          </cell>
          <cell r="L261">
            <v>84.49</v>
          </cell>
          <cell r="M261" t="str">
            <v>Brick and Cement Mortar Masonary</v>
          </cell>
          <cell r="N261">
            <v>1.33</v>
          </cell>
          <cell r="O261">
            <v>0.98</v>
          </cell>
          <cell r="P261" t="str">
            <v>Brick and mud mortar Masonry</v>
          </cell>
          <cell r="Q261">
            <v>19.39</v>
          </cell>
          <cell r="R261">
            <v>1.52</v>
          </cell>
          <cell r="S261" t="str">
            <v>Reinforced cement concrete (RCC) frame</v>
          </cell>
          <cell r="T261">
            <v>1.1399999999999999</v>
          </cell>
          <cell r="U261">
            <v>1.1200000000000001</v>
          </cell>
          <cell r="V261" t="str">
            <v>Hybrid structure</v>
          </cell>
          <cell r="W261">
            <v>0</v>
          </cell>
          <cell r="X261">
            <v>0</v>
          </cell>
          <cell r="Y261" t="str">
            <v>Timber frame structure</v>
          </cell>
          <cell r="Z261">
            <v>0</v>
          </cell>
          <cell r="AA261">
            <v>0.17</v>
          </cell>
          <cell r="AB261" t="str">
            <v>Hollow concrete block Masonry</v>
          </cell>
          <cell r="AC261">
            <v>0</v>
          </cell>
          <cell r="AD261">
            <v>0</v>
          </cell>
          <cell r="AE261" t="str">
            <v>Dry stone Masonry</v>
          </cell>
          <cell r="AF261">
            <v>0</v>
          </cell>
          <cell r="AG261">
            <v>0.06</v>
          </cell>
          <cell r="AH261" t="str">
            <v>Adobe structures</v>
          </cell>
          <cell r="AI261">
            <v>0.19</v>
          </cell>
          <cell r="AJ261">
            <v>9.92</v>
          </cell>
          <cell r="AK261" t="str">
            <v>Bamboo</v>
          </cell>
          <cell r="AL261">
            <v>0</v>
          </cell>
          <cell r="AM261">
            <v>0.09</v>
          </cell>
          <cell r="AN261" t="str">
            <v>Compressed stabilized earth block (SCEB) Masonry</v>
          </cell>
          <cell r="AO261">
            <v>0</v>
          </cell>
          <cell r="AP261">
            <v>0</v>
          </cell>
          <cell r="AQ261" t="str">
            <v>Light steel frame structures</v>
          </cell>
          <cell r="AR261">
            <v>0</v>
          </cell>
          <cell r="AS261">
            <v>0</v>
          </cell>
          <cell r="AT261">
            <v>345</v>
          </cell>
          <cell r="AU261">
            <v>299</v>
          </cell>
          <cell r="AV261">
            <v>299</v>
          </cell>
          <cell r="AW261">
            <v>52</v>
          </cell>
          <cell r="AX261">
            <v>2</v>
          </cell>
          <cell r="AY261" t="str">
            <v/>
          </cell>
          <cell r="AZ261" t="str">
            <v/>
          </cell>
          <cell r="BA261">
            <v>5</v>
          </cell>
          <cell r="BB261" t="str">
            <v/>
          </cell>
          <cell r="BC261" t="str">
            <v/>
          </cell>
          <cell r="BD261" t="str">
            <v/>
          </cell>
          <cell r="BE261" t="str">
            <v/>
          </cell>
          <cell r="BF261" t="str">
            <v/>
          </cell>
          <cell r="BG261" t="str">
            <v/>
          </cell>
          <cell r="BH261" t="str">
            <v/>
          </cell>
          <cell r="BI261" t="str">
            <v/>
          </cell>
          <cell r="BJ261" t="str">
            <v/>
          </cell>
          <cell r="BK261">
            <v>8420</v>
          </cell>
          <cell r="BL261" t="str">
            <v/>
          </cell>
          <cell r="BM261" t="str">
            <v/>
          </cell>
          <cell r="BN261">
            <v>8792</v>
          </cell>
          <cell r="BO261" t="str">
            <v/>
          </cell>
          <cell r="BP261" t="str">
            <v/>
          </cell>
          <cell r="BQ261">
            <v>900</v>
          </cell>
          <cell r="BR261" t="str">
            <v/>
          </cell>
          <cell r="BS261" t="str">
            <v/>
          </cell>
          <cell r="BT261">
            <v>1044</v>
          </cell>
          <cell r="BU261" t="str">
            <v/>
          </cell>
          <cell r="BV261" t="str">
            <v/>
          </cell>
          <cell r="BW261" t="str">
            <v/>
          </cell>
          <cell r="BX261" t="str">
            <v/>
          </cell>
          <cell r="BY261" t="str">
            <v/>
          </cell>
          <cell r="BZ261">
            <v>29068</v>
          </cell>
          <cell r="CA261" t="str">
            <v/>
          </cell>
          <cell r="CB261" t="str">
            <v/>
          </cell>
          <cell r="CC261">
            <v>90996</v>
          </cell>
          <cell r="CD261" t="str">
            <v/>
          </cell>
          <cell r="CE261" t="str">
            <v/>
          </cell>
          <cell r="CF261">
            <v>1188</v>
          </cell>
          <cell r="CG261" t="str">
            <v/>
          </cell>
          <cell r="CH261" t="str">
            <v/>
          </cell>
          <cell r="CI261">
            <v>66256</v>
          </cell>
          <cell r="CJ261" t="str">
            <v/>
          </cell>
          <cell r="CK261" t="str">
            <v/>
          </cell>
          <cell r="CL261" t="str">
            <v>Skilled</v>
          </cell>
          <cell r="CM261" t="str">
            <v/>
          </cell>
          <cell r="CN261" t="str">
            <v>Labor</v>
          </cell>
          <cell r="CO261" t="str">
            <v/>
          </cell>
          <cell r="CP261" t="str">
            <v/>
          </cell>
          <cell r="CQ261" t="str">
            <v/>
          </cell>
          <cell r="CR261" t="str">
            <v/>
          </cell>
          <cell r="CS261" t="str">
            <v/>
          </cell>
          <cell r="CT261" t="str">
            <v/>
          </cell>
          <cell r="CU261" t="str">
            <v/>
          </cell>
          <cell r="CV261" t="str">
            <v>Municipal Office</v>
          </cell>
          <cell r="CW261" t="str">
            <v/>
          </cell>
          <cell r="CX261" t="str">
            <v>Mayor</v>
          </cell>
          <cell r="CY261" t="str">
            <v/>
          </cell>
          <cell r="CZ261" t="str">
            <v>Municipal Office</v>
          </cell>
          <cell r="DA261" t="str">
            <v/>
          </cell>
          <cell r="DB261" t="str">
            <v>Deputy Mayor</v>
          </cell>
          <cell r="DC261" t="str">
            <v/>
          </cell>
          <cell r="DD261" t="str">
            <v>Municipal Office</v>
          </cell>
          <cell r="DE261" t="str">
            <v/>
          </cell>
          <cell r="DF261" t="str">
            <v>Chief Adminstration Officer</v>
          </cell>
          <cell r="DG261" t="str">
            <v/>
          </cell>
          <cell r="DH261" t="str">
            <v>NRA/GMALI</v>
          </cell>
          <cell r="DI261" t="str">
            <v/>
          </cell>
          <cell r="DJ261" t="str">
            <v>NRA Chief-District</v>
          </cell>
          <cell r="DK261" t="str">
            <v/>
          </cell>
          <cell r="DL261" t="str">
            <v>DLPIU-Building</v>
          </cell>
          <cell r="DM261" t="str">
            <v/>
          </cell>
          <cell r="DN261" t="str">
            <v>DUDBC.DLPIU Chief</v>
          </cell>
          <cell r="DO261" t="str">
            <v/>
          </cell>
          <cell r="DP261" t="str">
            <v>Municipal Office</v>
          </cell>
          <cell r="DQ261" t="str">
            <v/>
          </cell>
          <cell r="DR261" t="str">
            <v>Focal Person</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v>0</v>
          </cell>
          <cell r="EK261">
            <v>0</v>
          </cell>
          <cell r="EL261">
            <v>0</v>
          </cell>
          <cell r="EM261">
            <v>0</v>
          </cell>
          <cell r="EN261">
            <v>0</v>
          </cell>
          <cell r="EO261">
            <v>0</v>
          </cell>
          <cell r="EP261" t="str">
            <v/>
          </cell>
          <cell r="EQ261" t="str">
            <v>Housing Recovery and Reconstruction Platform</v>
          </cell>
          <cell r="ER261" t="str">
            <v/>
          </cell>
          <cell r="ES261" t="str">
            <v>District Coordinator</v>
          </cell>
          <cell r="ET261" t="str">
            <v/>
          </cell>
          <cell r="EU261" t="str">
            <v>Housing Recovery and Reconstruction Platform</v>
          </cell>
          <cell r="EV261" t="str">
            <v/>
          </cell>
          <cell r="EW261" t="str">
            <v>DIstrict Information Management Officer</v>
          </cell>
          <cell r="EX261" t="str">
            <v/>
          </cell>
          <cell r="EY261" t="str">
            <v>Housing Recovery and Reconstruction Platform</v>
          </cell>
          <cell r="EZ261" t="str">
            <v/>
          </cell>
          <cell r="FA261" t="str">
            <v>District Technical Officer</v>
          </cell>
          <cell r="FB261" t="str">
            <v/>
          </cell>
        </row>
        <row r="262">
          <cell r="A262">
            <v>47008</v>
          </cell>
          <cell r="B262" t="str">
            <v>Palpa</v>
          </cell>
          <cell r="C262" t="str">
            <v>Ribdikot Gaunpalika</v>
          </cell>
          <cell r="D262">
            <v>884</v>
          </cell>
          <cell r="E262">
            <v>857</v>
          </cell>
          <cell r="F262">
            <v>1741</v>
          </cell>
          <cell r="G262" t="str">
            <v>Stone and cement mortar masonry</v>
          </cell>
          <cell r="H262">
            <v>7.06</v>
          </cell>
          <cell r="I262">
            <v>1.65</v>
          </cell>
          <cell r="J262" t="str">
            <v>Stone and Mud Mortar Masonary</v>
          </cell>
          <cell r="K262">
            <v>65.709999999999994</v>
          </cell>
          <cell r="L262">
            <v>84.49</v>
          </cell>
          <cell r="M262" t="str">
            <v>Brick and Cement Mortar Masonary</v>
          </cell>
          <cell r="N262">
            <v>0.52</v>
          </cell>
          <cell r="O262">
            <v>0.98</v>
          </cell>
          <cell r="P262" t="str">
            <v>Brick and mud mortar Masonry</v>
          </cell>
          <cell r="Q262">
            <v>0.46</v>
          </cell>
          <cell r="R262">
            <v>1.52</v>
          </cell>
          <cell r="S262" t="str">
            <v>Reinforced cement concrete (RCC) frame</v>
          </cell>
          <cell r="T262">
            <v>0.28999999999999998</v>
          </cell>
          <cell r="U262">
            <v>1.1200000000000001</v>
          </cell>
          <cell r="V262" t="str">
            <v>Hybrid structure</v>
          </cell>
          <cell r="W262">
            <v>0</v>
          </cell>
          <cell r="X262">
            <v>0</v>
          </cell>
          <cell r="Y262" t="str">
            <v>Timber frame structure</v>
          </cell>
          <cell r="Z262">
            <v>0.69</v>
          </cell>
          <cell r="AA262">
            <v>0.17</v>
          </cell>
          <cell r="AB262" t="str">
            <v>Hollow concrete block Masonry</v>
          </cell>
          <cell r="AC262">
            <v>0</v>
          </cell>
          <cell r="AD262">
            <v>0</v>
          </cell>
          <cell r="AE262" t="str">
            <v>Dry stone Masonry</v>
          </cell>
          <cell r="AF262">
            <v>0.23</v>
          </cell>
          <cell r="AG262">
            <v>0.06</v>
          </cell>
          <cell r="AH262" t="str">
            <v>Adobe structures</v>
          </cell>
          <cell r="AI262">
            <v>24.93</v>
          </cell>
          <cell r="AJ262">
            <v>9.92</v>
          </cell>
          <cell r="AK262" t="str">
            <v>Bamboo</v>
          </cell>
          <cell r="AL262">
            <v>0.11</v>
          </cell>
          <cell r="AM262">
            <v>0.09</v>
          </cell>
          <cell r="AN262" t="str">
            <v>Compressed stabilized earth block (SCEB) Masonry</v>
          </cell>
          <cell r="AO262">
            <v>0</v>
          </cell>
          <cell r="AP262">
            <v>0</v>
          </cell>
          <cell r="AQ262" t="str">
            <v>Light steel frame structures</v>
          </cell>
          <cell r="AR262">
            <v>0</v>
          </cell>
          <cell r="AS262">
            <v>0</v>
          </cell>
          <cell r="AT262">
            <v>691</v>
          </cell>
          <cell r="AU262">
            <v>377</v>
          </cell>
          <cell r="AV262">
            <v>377</v>
          </cell>
          <cell r="AW262">
            <v>110</v>
          </cell>
          <cell r="AX262">
            <v>41</v>
          </cell>
          <cell r="AY262" t="str">
            <v/>
          </cell>
          <cell r="AZ262" t="str">
            <v/>
          </cell>
          <cell r="BA262">
            <v>187</v>
          </cell>
          <cell r="BB262" t="str">
            <v/>
          </cell>
          <cell r="BC262" t="str">
            <v/>
          </cell>
          <cell r="BD262" t="str">
            <v/>
          </cell>
          <cell r="BE262" t="str">
            <v/>
          </cell>
          <cell r="BF262" t="str">
            <v/>
          </cell>
          <cell r="BG262" t="str">
            <v/>
          </cell>
          <cell r="BH262" t="str">
            <v/>
          </cell>
          <cell r="BI262" t="str">
            <v/>
          </cell>
          <cell r="BJ262" t="str">
            <v/>
          </cell>
          <cell r="BK262">
            <v>10672</v>
          </cell>
          <cell r="BL262" t="str">
            <v/>
          </cell>
          <cell r="BM262" t="str">
            <v/>
          </cell>
          <cell r="BN262">
            <v>9426</v>
          </cell>
          <cell r="BO262" t="str">
            <v/>
          </cell>
          <cell r="BP262" t="str">
            <v/>
          </cell>
          <cell r="BQ262">
            <v>1127</v>
          </cell>
          <cell r="BR262" t="str">
            <v/>
          </cell>
          <cell r="BS262" t="str">
            <v/>
          </cell>
          <cell r="BT262">
            <v>1252</v>
          </cell>
          <cell r="BU262" t="str">
            <v/>
          </cell>
          <cell r="BV262" t="str">
            <v/>
          </cell>
          <cell r="BW262" t="str">
            <v/>
          </cell>
          <cell r="BX262" t="str">
            <v/>
          </cell>
          <cell r="BY262" t="str">
            <v/>
          </cell>
          <cell r="BZ262">
            <v>32354</v>
          </cell>
          <cell r="CA262" t="str">
            <v/>
          </cell>
          <cell r="CB262" t="str">
            <v/>
          </cell>
          <cell r="CC262">
            <v>119149</v>
          </cell>
          <cell r="CD262" t="str">
            <v/>
          </cell>
          <cell r="CE262" t="str">
            <v/>
          </cell>
          <cell r="CF262">
            <v>1325</v>
          </cell>
          <cell r="CG262" t="str">
            <v/>
          </cell>
          <cell r="CH262" t="str">
            <v/>
          </cell>
          <cell r="CI262">
            <v>351011</v>
          </cell>
          <cell r="CJ262" t="str">
            <v/>
          </cell>
          <cell r="CK262" t="str">
            <v/>
          </cell>
          <cell r="CL262" t="str">
            <v>Skilled</v>
          </cell>
          <cell r="CM262" t="str">
            <v/>
          </cell>
          <cell r="CN262" t="str">
            <v>Labor</v>
          </cell>
          <cell r="CO262" t="str">
            <v/>
          </cell>
          <cell r="CP262" t="str">
            <v/>
          </cell>
          <cell r="CQ262" t="str">
            <v/>
          </cell>
          <cell r="CR262" t="str">
            <v/>
          </cell>
          <cell r="CS262" t="str">
            <v/>
          </cell>
          <cell r="CT262" t="str">
            <v/>
          </cell>
          <cell r="CU262" t="str">
            <v/>
          </cell>
          <cell r="CV262" t="str">
            <v>Municipal Office</v>
          </cell>
          <cell r="CW262" t="str">
            <v/>
          </cell>
          <cell r="CX262" t="str">
            <v>Chairman</v>
          </cell>
          <cell r="CY262" t="str">
            <v/>
          </cell>
          <cell r="CZ262" t="str">
            <v>Municipal Office</v>
          </cell>
          <cell r="DA262" t="str">
            <v/>
          </cell>
          <cell r="DB262" t="str">
            <v>Deputy Chairman</v>
          </cell>
          <cell r="DC262" t="str">
            <v/>
          </cell>
          <cell r="DD262" t="str">
            <v>Municipal Office</v>
          </cell>
          <cell r="DE262" t="str">
            <v/>
          </cell>
          <cell r="DF262" t="str">
            <v>Chief Adminstration Officer</v>
          </cell>
          <cell r="DG262" t="str">
            <v/>
          </cell>
          <cell r="DH262" t="str">
            <v>NRA/GMALI</v>
          </cell>
          <cell r="DI262" t="str">
            <v/>
          </cell>
          <cell r="DJ262" t="str">
            <v>NRA Chief-District</v>
          </cell>
          <cell r="DK262" t="str">
            <v/>
          </cell>
          <cell r="DL262" t="str">
            <v>DLPIU-Building</v>
          </cell>
          <cell r="DM262" t="str">
            <v/>
          </cell>
          <cell r="DN262" t="str">
            <v>DUDBC.DLPIU Chief</v>
          </cell>
          <cell r="DO262" t="str">
            <v/>
          </cell>
          <cell r="DP262" t="str">
            <v>Municipal Office</v>
          </cell>
          <cell r="DQ262" t="str">
            <v/>
          </cell>
          <cell r="DR262" t="str">
            <v>Focal Person</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v>0</v>
          </cell>
          <cell r="EK262">
            <v>0</v>
          </cell>
          <cell r="EL262">
            <v>0</v>
          </cell>
          <cell r="EM262">
            <v>0</v>
          </cell>
          <cell r="EN262">
            <v>0</v>
          </cell>
          <cell r="EO262">
            <v>0</v>
          </cell>
          <cell r="EP262" t="str">
            <v/>
          </cell>
          <cell r="EQ262" t="str">
            <v>Housing Recovery and Reconstruction Platform</v>
          </cell>
          <cell r="ER262" t="str">
            <v/>
          </cell>
          <cell r="ES262" t="str">
            <v>District Coordinator</v>
          </cell>
          <cell r="ET262" t="str">
            <v/>
          </cell>
          <cell r="EU262" t="str">
            <v>Housing Recovery and Reconstruction Platform</v>
          </cell>
          <cell r="EV262" t="str">
            <v/>
          </cell>
          <cell r="EW262" t="str">
            <v>DIstrict Information Management Officer</v>
          </cell>
          <cell r="EX262" t="str">
            <v/>
          </cell>
          <cell r="EY262" t="str">
            <v>Housing Recovery and Reconstruction Platform</v>
          </cell>
          <cell r="EZ262" t="str">
            <v/>
          </cell>
          <cell r="FA262" t="str">
            <v>District Technical Officer</v>
          </cell>
          <cell r="FB262" t="str">
            <v/>
          </cell>
        </row>
        <row r="263">
          <cell r="A263">
            <v>47009</v>
          </cell>
          <cell r="B263" t="str">
            <v>Palpa</v>
          </cell>
          <cell r="C263" t="str">
            <v>Tansen Nagarpalika</v>
          </cell>
          <cell r="D263">
            <v>1372</v>
          </cell>
          <cell r="E263">
            <v>602</v>
          </cell>
          <cell r="F263">
            <v>1974</v>
          </cell>
          <cell r="G263" t="str">
            <v>Stone and cement mortar masonry</v>
          </cell>
          <cell r="H263">
            <v>0.61</v>
          </cell>
          <cell r="I263">
            <v>1.65</v>
          </cell>
          <cell r="J263" t="str">
            <v>Stone and Mud Mortar Masonary</v>
          </cell>
          <cell r="K263">
            <v>64.290000000000006</v>
          </cell>
          <cell r="L263">
            <v>84.49</v>
          </cell>
          <cell r="M263" t="str">
            <v>Brick and Cement Mortar Masonary</v>
          </cell>
          <cell r="N263">
            <v>2.99</v>
          </cell>
          <cell r="O263">
            <v>0.98</v>
          </cell>
          <cell r="P263" t="str">
            <v>Brick and mud mortar Masonry</v>
          </cell>
          <cell r="Q263">
            <v>1.77</v>
          </cell>
          <cell r="R263">
            <v>1.52</v>
          </cell>
          <cell r="S263" t="str">
            <v>Reinforced cement concrete (RCC) frame</v>
          </cell>
          <cell r="T263">
            <v>3.55</v>
          </cell>
          <cell r="U263">
            <v>1.1200000000000001</v>
          </cell>
          <cell r="V263" t="str">
            <v>Hybrid structure</v>
          </cell>
          <cell r="W263">
            <v>0</v>
          </cell>
          <cell r="X263">
            <v>0</v>
          </cell>
          <cell r="Y263" t="str">
            <v>Timber frame structure</v>
          </cell>
          <cell r="Z263">
            <v>0.1</v>
          </cell>
          <cell r="AA263">
            <v>0.17</v>
          </cell>
          <cell r="AB263" t="str">
            <v>Hollow concrete block Masonry</v>
          </cell>
          <cell r="AC263">
            <v>0</v>
          </cell>
          <cell r="AD263">
            <v>0</v>
          </cell>
          <cell r="AE263" t="str">
            <v>Dry stone Masonry</v>
          </cell>
          <cell r="AF263">
            <v>0</v>
          </cell>
          <cell r="AG263">
            <v>0.06</v>
          </cell>
          <cell r="AH263" t="str">
            <v>Adobe structures</v>
          </cell>
          <cell r="AI263">
            <v>26.6</v>
          </cell>
          <cell r="AJ263">
            <v>9.92</v>
          </cell>
          <cell r="AK263" t="str">
            <v>Bamboo</v>
          </cell>
          <cell r="AL263">
            <v>0.1</v>
          </cell>
          <cell r="AM263">
            <v>0.09</v>
          </cell>
          <cell r="AN263" t="str">
            <v>Compressed stabilized earth block (SCEB) Masonry</v>
          </cell>
          <cell r="AO263">
            <v>0</v>
          </cell>
          <cell r="AP263">
            <v>0</v>
          </cell>
          <cell r="AQ263" t="str">
            <v>Light steel frame structures</v>
          </cell>
          <cell r="AR263">
            <v>0</v>
          </cell>
          <cell r="AS263">
            <v>0</v>
          </cell>
          <cell r="AT263">
            <v>520</v>
          </cell>
          <cell r="AU263">
            <v>386</v>
          </cell>
          <cell r="AV263">
            <v>386</v>
          </cell>
          <cell r="AW263">
            <v>86</v>
          </cell>
          <cell r="AX263">
            <v>0</v>
          </cell>
          <cell r="AY263" t="str">
            <v/>
          </cell>
          <cell r="AZ263" t="str">
            <v/>
          </cell>
          <cell r="BA263">
            <v>36</v>
          </cell>
          <cell r="BB263" t="str">
            <v/>
          </cell>
          <cell r="BC263" t="str">
            <v/>
          </cell>
          <cell r="BD263" t="str">
            <v/>
          </cell>
          <cell r="BE263" t="str">
            <v/>
          </cell>
          <cell r="BF263" t="str">
            <v/>
          </cell>
          <cell r="BG263" t="str">
            <v/>
          </cell>
          <cell r="BH263" t="str">
            <v/>
          </cell>
          <cell r="BI263" t="str">
            <v/>
          </cell>
          <cell r="BJ263" t="str">
            <v/>
          </cell>
          <cell r="BK263">
            <v>12013</v>
          </cell>
          <cell r="BL263" t="str">
            <v/>
          </cell>
          <cell r="BM263" t="str">
            <v/>
          </cell>
          <cell r="BN263">
            <v>11249</v>
          </cell>
          <cell r="BO263" t="str">
            <v/>
          </cell>
          <cell r="BP263" t="str">
            <v/>
          </cell>
          <cell r="BQ263">
            <v>1273</v>
          </cell>
          <cell r="BR263" t="str">
            <v/>
          </cell>
          <cell r="BS263" t="str">
            <v/>
          </cell>
          <cell r="BT263">
            <v>1432</v>
          </cell>
          <cell r="BU263" t="str">
            <v/>
          </cell>
          <cell r="BV263" t="str">
            <v/>
          </cell>
          <cell r="BW263" t="str">
            <v/>
          </cell>
          <cell r="BX263" t="str">
            <v/>
          </cell>
          <cell r="BY263" t="str">
            <v/>
          </cell>
          <cell r="BZ263">
            <v>37388</v>
          </cell>
          <cell r="CA263" t="str">
            <v/>
          </cell>
          <cell r="CB263" t="str">
            <v/>
          </cell>
          <cell r="CC263">
            <v>131766</v>
          </cell>
          <cell r="CD263" t="str">
            <v/>
          </cell>
          <cell r="CE263" t="str">
            <v/>
          </cell>
          <cell r="CF263">
            <v>1526</v>
          </cell>
          <cell r="CG263" t="str">
            <v/>
          </cell>
          <cell r="CH263" t="str">
            <v/>
          </cell>
          <cell r="CI263">
            <v>188515</v>
          </cell>
          <cell r="CJ263" t="str">
            <v/>
          </cell>
          <cell r="CK263" t="str">
            <v/>
          </cell>
          <cell r="CL263" t="str">
            <v>Skilled</v>
          </cell>
          <cell r="CM263" t="str">
            <v/>
          </cell>
          <cell r="CN263" t="str">
            <v>Labor</v>
          </cell>
          <cell r="CO263" t="str">
            <v/>
          </cell>
          <cell r="CP263" t="str">
            <v/>
          </cell>
          <cell r="CQ263" t="str">
            <v/>
          </cell>
          <cell r="CR263" t="str">
            <v/>
          </cell>
          <cell r="CS263" t="str">
            <v/>
          </cell>
          <cell r="CT263" t="str">
            <v/>
          </cell>
          <cell r="CU263" t="str">
            <v/>
          </cell>
          <cell r="CV263" t="str">
            <v>Municipal Office</v>
          </cell>
          <cell r="CW263" t="str">
            <v/>
          </cell>
          <cell r="CX263" t="str">
            <v>Mayor</v>
          </cell>
          <cell r="CY263" t="str">
            <v/>
          </cell>
          <cell r="CZ263" t="str">
            <v>Municipal Office</v>
          </cell>
          <cell r="DA263" t="str">
            <v/>
          </cell>
          <cell r="DB263" t="str">
            <v>Deputy Mayor</v>
          </cell>
          <cell r="DC263" t="str">
            <v/>
          </cell>
          <cell r="DD263" t="str">
            <v>Municipal Office</v>
          </cell>
          <cell r="DE263" t="str">
            <v/>
          </cell>
          <cell r="DF263" t="str">
            <v>Chief Adminstration Officer</v>
          </cell>
          <cell r="DG263" t="str">
            <v/>
          </cell>
          <cell r="DH263" t="str">
            <v>NRA/GMALI</v>
          </cell>
          <cell r="DI263" t="str">
            <v/>
          </cell>
          <cell r="DJ263" t="str">
            <v>NRA Chief-District</v>
          </cell>
          <cell r="DK263" t="str">
            <v/>
          </cell>
          <cell r="DL263" t="str">
            <v>DLPIU-Building</v>
          </cell>
          <cell r="DM263" t="str">
            <v/>
          </cell>
          <cell r="DN263" t="str">
            <v>DUDBC.DLPIU Chief</v>
          </cell>
          <cell r="DO263" t="str">
            <v/>
          </cell>
          <cell r="DP263" t="str">
            <v>Municipal Office</v>
          </cell>
          <cell r="DQ263" t="str">
            <v/>
          </cell>
          <cell r="DR263" t="str">
            <v>Focal Person</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v>0</v>
          </cell>
          <cell r="EK263">
            <v>0</v>
          </cell>
          <cell r="EL263">
            <v>0</v>
          </cell>
          <cell r="EM263">
            <v>0</v>
          </cell>
          <cell r="EN263">
            <v>0</v>
          </cell>
          <cell r="EO263">
            <v>0</v>
          </cell>
          <cell r="EP263" t="str">
            <v/>
          </cell>
          <cell r="EQ263" t="str">
            <v>Housing Recovery and Reconstruction Platform</v>
          </cell>
          <cell r="ER263" t="str">
            <v/>
          </cell>
          <cell r="ES263" t="str">
            <v>District Coordinator</v>
          </cell>
          <cell r="ET263" t="str">
            <v/>
          </cell>
          <cell r="EU263" t="str">
            <v>Housing Recovery and Reconstruction Platform</v>
          </cell>
          <cell r="EV263" t="str">
            <v/>
          </cell>
          <cell r="EW263" t="str">
            <v>DIstrict Information Management Officer</v>
          </cell>
          <cell r="EX263" t="str">
            <v/>
          </cell>
          <cell r="EY263" t="str">
            <v>Housing Recovery and Reconstruction Platform</v>
          </cell>
          <cell r="EZ263" t="str">
            <v/>
          </cell>
          <cell r="FA263" t="str">
            <v>District Technical Officer</v>
          </cell>
          <cell r="FB263" t="str">
            <v/>
          </cell>
        </row>
        <row r="264">
          <cell r="A264">
            <v>47010</v>
          </cell>
          <cell r="B264" t="str">
            <v>Palpa</v>
          </cell>
          <cell r="C264" t="str">
            <v>Tinau Gaunpalika</v>
          </cell>
          <cell r="D264">
            <v>277</v>
          </cell>
          <cell r="E264">
            <v>352</v>
          </cell>
          <cell r="F264">
            <v>629</v>
          </cell>
          <cell r="G264" t="str">
            <v>Stone and cement mortar masonry</v>
          </cell>
          <cell r="H264">
            <v>0.95</v>
          </cell>
          <cell r="I264">
            <v>1.65</v>
          </cell>
          <cell r="J264" t="str">
            <v>Stone and Mud Mortar Masonary</v>
          </cell>
          <cell r="K264">
            <v>97.93</v>
          </cell>
          <cell r="L264">
            <v>84.49</v>
          </cell>
          <cell r="M264" t="str">
            <v>Brick and Cement Mortar Masonary</v>
          </cell>
          <cell r="N264">
            <v>0.48</v>
          </cell>
          <cell r="O264">
            <v>0.98</v>
          </cell>
          <cell r="P264" t="str">
            <v>Brick and mud mortar Masonry</v>
          </cell>
          <cell r="Q264">
            <v>0</v>
          </cell>
          <cell r="R264">
            <v>1.52</v>
          </cell>
          <cell r="S264" t="str">
            <v>Reinforced cement concrete (RCC) frame</v>
          </cell>
          <cell r="T264">
            <v>0</v>
          </cell>
          <cell r="U264">
            <v>1.1200000000000001</v>
          </cell>
          <cell r="V264" t="str">
            <v>Hybrid structure</v>
          </cell>
          <cell r="W264">
            <v>0</v>
          </cell>
          <cell r="X264">
            <v>0</v>
          </cell>
          <cell r="Y264" t="str">
            <v>Timber frame structure</v>
          </cell>
          <cell r="Z264">
            <v>0.16</v>
          </cell>
          <cell r="AA264">
            <v>0.17</v>
          </cell>
          <cell r="AB264" t="str">
            <v>Hollow concrete block Masonry</v>
          </cell>
          <cell r="AC264">
            <v>0</v>
          </cell>
          <cell r="AD264">
            <v>0</v>
          </cell>
          <cell r="AE264" t="str">
            <v>Dry stone Masonry</v>
          </cell>
          <cell r="AF264">
            <v>0</v>
          </cell>
          <cell r="AG264">
            <v>0.06</v>
          </cell>
          <cell r="AH264" t="str">
            <v>Adobe structures</v>
          </cell>
          <cell r="AI264">
            <v>0.48</v>
          </cell>
          <cell r="AJ264">
            <v>9.92</v>
          </cell>
          <cell r="AK264" t="str">
            <v>Bamboo</v>
          </cell>
          <cell r="AL264">
            <v>0</v>
          </cell>
          <cell r="AM264">
            <v>0.09</v>
          </cell>
          <cell r="AN264" t="str">
            <v>Compressed stabilized earth block (SCEB) Masonry</v>
          </cell>
          <cell r="AO264">
            <v>0</v>
          </cell>
          <cell r="AP264">
            <v>0</v>
          </cell>
          <cell r="AQ264" t="str">
            <v>Light steel frame structures</v>
          </cell>
          <cell r="AR264">
            <v>0</v>
          </cell>
          <cell r="AS264">
            <v>0</v>
          </cell>
          <cell r="AT264">
            <v>326</v>
          </cell>
          <cell r="AU264">
            <v>88</v>
          </cell>
          <cell r="AV264">
            <v>88</v>
          </cell>
          <cell r="AW264">
            <v>48</v>
          </cell>
          <cell r="AX264">
            <v>12</v>
          </cell>
          <cell r="AY264" t="str">
            <v/>
          </cell>
          <cell r="AZ264" t="str">
            <v/>
          </cell>
          <cell r="BA264">
            <v>51</v>
          </cell>
          <cell r="BB264" t="str">
            <v/>
          </cell>
          <cell r="BC264" t="str">
            <v/>
          </cell>
          <cell r="BD264" t="str">
            <v/>
          </cell>
          <cell r="BE264" t="str">
            <v/>
          </cell>
          <cell r="BF264" t="str">
            <v/>
          </cell>
          <cell r="BG264" t="str">
            <v/>
          </cell>
          <cell r="BH264" t="str">
            <v/>
          </cell>
          <cell r="BI264" t="str">
            <v/>
          </cell>
          <cell r="BJ264" t="str">
            <v/>
          </cell>
          <cell r="BK264">
            <v>2237</v>
          </cell>
          <cell r="BL264" t="str">
            <v/>
          </cell>
          <cell r="BM264" t="str">
            <v/>
          </cell>
          <cell r="BN264">
            <v>2217</v>
          </cell>
          <cell r="BO264" t="str">
            <v/>
          </cell>
          <cell r="BP264" t="str">
            <v/>
          </cell>
          <cell r="BQ264">
            <v>238</v>
          </cell>
          <cell r="BR264" t="str">
            <v/>
          </cell>
          <cell r="BS264" t="str">
            <v/>
          </cell>
          <cell r="BT264">
            <v>272</v>
          </cell>
          <cell r="BU264" t="str">
            <v/>
          </cell>
          <cell r="BV264" t="str">
            <v/>
          </cell>
          <cell r="BW264" t="str">
            <v/>
          </cell>
          <cell r="BX264" t="str">
            <v/>
          </cell>
          <cell r="BY264" t="str">
            <v/>
          </cell>
          <cell r="BZ264">
            <v>7412</v>
          </cell>
          <cell r="CA264" t="str">
            <v/>
          </cell>
          <cell r="CB264" t="str">
            <v/>
          </cell>
          <cell r="CC264">
            <v>24441</v>
          </cell>
          <cell r="CD264" t="str">
            <v/>
          </cell>
          <cell r="CE264" t="str">
            <v/>
          </cell>
          <cell r="CF264">
            <v>303</v>
          </cell>
          <cell r="CG264" t="str">
            <v/>
          </cell>
          <cell r="CH264" t="str">
            <v/>
          </cell>
          <cell r="CI264">
            <v>36236</v>
          </cell>
          <cell r="CJ264" t="str">
            <v/>
          </cell>
          <cell r="CK264" t="str">
            <v/>
          </cell>
          <cell r="CL264" t="str">
            <v>Skilled</v>
          </cell>
          <cell r="CM264" t="str">
            <v/>
          </cell>
          <cell r="CN264" t="str">
            <v>Labor</v>
          </cell>
          <cell r="CO264" t="str">
            <v/>
          </cell>
          <cell r="CP264" t="str">
            <v/>
          </cell>
          <cell r="CQ264" t="str">
            <v/>
          </cell>
          <cell r="CR264" t="str">
            <v/>
          </cell>
          <cell r="CS264" t="str">
            <v/>
          </cell>
          <cell r="CT264" t="str">
            <v/>
          </cell>
          <cell r="CU264" t="str">
            <v/>
          </cell>
          <cell r="CV264" t="str">
            <v>Municipal Office</v>
          </cell>
          <cell r="CW264" t="str">
            <v/>
          </cell>
          <cell r="CX264" t="str">
            <v>Chairman</v>
          </cell>
          <cell r="CY264" t="str">
            <v/>
          </cell>
          <cell r="CZ264" t="str">
            <v>Municipal Office</v>
          </cell>
          <cell r="DA264" t="str">
            <v/>
          </cell>
          <cell r="DB264" t="str">
            <v>Deputy Chairman</v>
          </cell>
          <cell r="DC264" t="str">
            <v/>
          </cell>
          <cell r="DD264" t="str">
            <v>Municipal Office</v>
          </cell>
          <cell r="DE264" t="str">
            <v/>
          </cell>
          <cell r="DF264" t="str">
            <v>Chief Adminstration Officer</v>
          </cell>
          <cell r="DG264" t="str">
            <v/>
          </cell>
          <cell r="DH264" t="str">
            <v>NRA/GMALI</v>
          </cell>
          <cell r="DI264" t="str">
            <v/>
          </cell>
          <cell r="DJ264" t="str">
            <v>NRA Chief-District</v>
          </cell>
          <cell r="DK264" t="str">
            <v/>
          </cell>
          <cell r="DL264" t="str">
            <v>DLPIU-Building</v>
          </cell>
          <cell r="DM264" t="str">
            <v/>
          </cell>
          <cell r="DN264" t="str">
            <v>DUDBC.DLPIU Chief</v>
          </cell>
          <cell r="DO264" t="str">
            <v/>
          </cell>
          <cell r="DP264" t="str">
            <v>Municipal Office</v>
          </cell>
          <cell r="DQ264" t="str">
            <v/>
          </cell>
          <cell r="DR264" t="str">
            <v>Focal Person</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v>0</v>
          </cell>
          <cell r="EK264">
            <v>0</v>
          </cell>
          <cell r="EL264">
            <v>0</v>
          </cell>
          <cell r="EM264">
            <v>0</v>
          </cell>
          <cell r="EN264">
            <v>0</v>
          </cell>
          <cell r="EO264">
            <v>0</v>
          </cell>
          <cell r="EP264" t="str">
            <v>q</v>
          </cell>
          <cell r="EQ264" t="str">
            <v>Housing Recovery and Reconstruction Platform</v>
          </cell>
          <cell r="ER264" t="str">
            <v/>
          </cell>
          <cell r="ES264" t="str">
            <v>District Coordinator</v>
          </cell>
          <cell r="ET264" t="str">
            <v/>
          </cell>
          <cell r="EU264" t="str">
            <v>Housing Recovery and Reconstruction Platform</v>
          </cell>
          <cell r="EV264" t="str">
            <v/>
          </cell>
          <cell r="EW264" t="str">
            <v>DIstrict Information Management Officer</v>
          </cell>
          <cell r="EX264" t="str">
            <v/>
          </cell>
          <cell r="EY264" t="str">
            <v>Housing Recovery and Reconstruction Platform</v>
          </cell>
          <cell r="EZ264" t="str">
            <v/>
          </cell>
          <cell r="FA264" t="str">
            <v>District Technical Officer</v>
          </cell>
          <cell r="FB264" t="str">
            <v/>
          </cell>
        </row>
        <row r="265">
          <cell r="A265">
            <v>48001</v>
          </cell>
          <cell r="B265" t="str">
            <v>Nawalparasi</v>
          </cell>
          <cell r="C265" t="str">
            <v>Bardaghat Nagarpalika</v>
          </cell>
          <cell r="D265">
            <v>0</v>
          </cell>
          <cell r="E265">
            <v>4</v>
          </cell>
          <cell r="F265">
            <v>4</v>
          </cell>
          <cell r="G265" t="str">
            <v>Stone and cement mortar masonry</v>
          </cell>
          <cell r="H265">
            <v>0</v>
          </cell>
          <cell r="I265">
            <v>0.81</v>
          </cell>
          <cell r="J265" t="str">
            <v>Stone and Mud Mortar Masonary</v>
          </cell>
          <cell r="K265">
            <v>50</v>
          </cell>
          <cell r="L265">
            <v>95.12</v>
          </cell>
          <cell r="M265" t="str">
            <v>Brick and Cement Mortar Masonary</v>
          </cell>
          <cell r="N265">
            <v>25</v>
          </cell>
          <cell r="O265">
            <v>1.83</v>
          </cell>
          <cell r="P265" t="str">
            <v>Brick and mud mortar Masonry</v>
          </cell>
          <cell r="Q265">
            <v>25</v>
          </cell>
          <cell r="R265">
            <v>0.92</v>
          </cell>
          <cell r="S265" t="str">
            <v>Reinforced cement concrete (RCC) frame</v>
          </cell>
          <cell r="T265">
            <v>0</v>
          </cell>
          <cell r="U265">
            <v>0</v>
          </cell>
          <cell r="V265" t="str">
            <v>Hybrid structure</v>
          </cell>
          <cell r="W265">
            <v>0</v>
          </cell>
          <cell r="X265">
            <v>0</v>
          </cell>
          <cell r="Y265" t="str">
            <v>Timber frame structure</v>
          </cell>
          <cell r="Z265">
            <v>0</v>
          </cell>
          <cell r="AA265">
            <v>0.92</v>
          </cell>
          <cell r="AB265" t="str">
            <v>Hollow concrete block Masonry</v>
          </cell>
          <cell r="AC265">
            <v>0</v>
          </cell>
          <cell r="AD265">
            <v>0</v>
          </cell>
          <cell r="AE265" t="str">
            <v>Dry stone Masonry</v>
          </cell>
          <cell r="AF265">
            <v>0</v>
          </cell>
          <cell r="AG265">
            <v>0.31</v>
          </cell>
          <cell r="AH265" t="str">
            <v>Adobe structures</v>
          </cell>
          <cell r="AI265">
            <v>0</v>
          </cell>
          <cell r="AJ265">
            <v>0.1</v>
          </cell>
          <cell r="AK265" t="str">
            <v>Bamboo</v>
          </cell>
          <cell r="AL265">
            <v>0</v>
          </cell>
          <cell r="AM265">
            <v>0</v>
          </cell>
          <cell r="AN265" t="str">
            <v>Compressed stabilized earth block (SCEB) Masonry</v>
          </cell>
          <cell r="AO265">
            <v>0</v>
          </cell>
          <cell r="AP265">
            <v>0</v>
          </cell>
          <cell r="AQ265" t="str">
            <v>Light steel frame structures</v>
          </cell>
          <cell r="AR265">
            <v>0</v>
          </cell>
          <cell r="AS265">
            <v>0</v>
          </cell>
          <cell r="AT265">
            <v>4</v>
          </cell>
          <cell r="AU265">
            <v>4</v>
          </cell>
          <cell r="AV265">
            <v>4</v>
          </cell>
          <cell r="AW265">
            <v>3</v>
          </cell>
          <cell r="AX265">
            <v>2</v>
          </cell>
          <cell r="AY265">
            <v>3</v>
          </cell>
          <cell r="AZ265">
            <v>0</v>
          </cell>
          <cell r="BA265">
            <v>0</v>
          </cell>
          <cell r="BB265" t="str">
            <v/>
          </cell>
          <cell r="BC265" t="str">
            <v/>
          </cell>
          <cell r="BD265" t="str">
            <v/>
          </cell>
          <cell r="BE265">
            <v>0</v>
          </cell>
          <cell r="BF265" t="str">
            <v/>
          </cell>
          <cell r="BG265" t="str">
            <v/>
          </cell>
          <cell r="BH265" t="str">
            <v/>
          </cell>
          <cell r="BI265" t="str">
            <v/>
          </cell>
          <cell r="BJ265" t="str">
            <v/>
          </cell>
          <cell r="BK265">
            <v>570</v>
          </cell>
          <cell r="BL265" t="str">
            <v/>
          </cell>
          <cell r="BM265" t="str">
            <v/>
          </cell>
          <cell r="BN265">
            <v>404</v>
          </cell>
          <cell r="BO265" t="str">
            <v/>
          </cell>
          <cell r="BP265" t="str">
            <v/>
          </cell>
          <cell r="BQ265">
            <v>60</v>
          </cell>
          <cell r="BR265" t="str">
            <v/>
          </cell>
          <cell r="BS265" t="str">
            <v/>
          </cell>
          <cell r="BT265">
            <v>64</v>
          </cell>
          <cell r="BU265" t="str">
            <v/>
          </cell>
          <cell r="BV265" t="str">
            <v/>
          </cell>
          <cell r="BW265" t="str">
            <v/>
          </cell>
          <cell r="BX265" t="str">
            <v/>
          </cell>
          <cell r="BY265" t="str">
            <v/>
          </cell>
          <cell r="BZ265">
            <v>1632</v>
          </cell>
          <cell r="CA265" t="str">
            <v/>
          </cell>
          <cell r="CB265" t="str">
            <v/>
          </cell>
          <cell r="CC265">
            <v>6800</v>
          </cell>
          <cell r="CD265" t="str">
            <v/>
          </cell>
          <cell r="CE265" t="str">
            <v/>
          </cell>
          <cell r="CF265">
            <v>68</v>
          </cell>
          <cell r="CG265" t="str">
            <v/>
          </cell>
          <cell r="CH265" t="str">
            <v/>
          </cell>
          <cell r="CI265">
            <v>59415</v>
          </cell>
          <cell r="CJ265" t="str">
            <v/>
          </cell>
          <cell r="CK265" t="str">
            <v/>
          </cell>
          <cell r="CL265" t="str">
            <v>Skilled</v>
          </cell>
          <cell r="CM265" t="str">
            <v/>
          </cell>
          <cell r="CN265" t="str">
            <v>Labor</v>
          </cell>
          <cell r="CO265" t="str">
            <v/>
          </cell>
          <cell r="CP265" t="str">
            <v/>
          </cell>
          <cell r="CQ265" t="str">
            <v/>
          </cell>
          <cell r="CR265" t="str">
            <v/>
          </cell>
          <cell r="CS265" t="str">
            <v/>
          </cell>
          <cell r="CT265" t="str">
            <v/>
          </cell>
          <cell r="CU265" t="str">
            <v/>
          </cell>
          <cell r="CV265" t="str">
            <v>Municipal Office</v>
          </cell>
          <cell r="CW265" t="str">
            <v>Dhiraj Shrma Basyal</v>
          </cell>
          <cell r="CX265" t="str">
            <v>Mayor</v>
          </cell>
          <cell r="CY265">
            <v>9857027036</v>
          </cell>
          <cell r="CZ265" t="str">
            <v>Municipal Office</v>
          </cell>
          <cell r="DA265" t="str">
            <v>Maya devi paudel</v>
          </cell>
          <cell r="DB265" t="str">
            <v>Deputy Mayor</v>
          </cell>
          <cell r="DC265">
            <v>9847032541</v>
          </cell>
          <cell r="DD265" t="str">
            <v>Municipal Office</v>
          </cell>
          <cell r="DE265" t="str">
            <v>Balram Aryal</v>
          </cell>
          <cell r="DF265" t="str">
            <v>Chief Adminstration Officer</v>
          </cell>
          <cell r="DG265">
            <v>9857643111</v>
          </cell>
          <cell r="DH265" t="str">
            <v>NRA/GMALI</v>
          </cell>
          <cell r="DI265" t="str">
            <v xml:space="preserve">Rajendra  Karki </v>
          </cell>
          <cell r="DJ265" t="str">
            <v>NRA Chief-District</v>
          </cell>
          <cell r="DK265">
            <v>9857087637</v>
          </cell>
          <cell r="DL265" t="str">
            <v>DLPIU-Building</v>
          </cell>
          <cell r="DM265" t="str">
            <v/>
          </cell>
          <cell r="DN265" t="str">
            <v>DUDBC.DLPIU Chief</v>
          </cell>
          <cell r="DO265" t="str">
            <v/>
          </cell>
          <cell r="DP265" t="str">
            <v>Municipal Office</v>
          </cell>
          <cell r="DQ265" t="str">
            <v>Sita Paudel</v>
          </cell>
          <cell r="DR265" t="str">
            <v>Focal Person</v>
          </cell>
          <cell r="DS265">
            <v>9847958120</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v>0</v>
          </cell>
          <cell r="EK265">
            <v>0</v>
          </cell>
          <cell r="EL265">
            <v>0</v>
          </cell>
          <cell r="EM265">
            <v>0</v>
          </cell>
          <cell r="EN265">
            <v>0</v>
          </cell>
          <cell r="EO265">
            <v>0</v>
          </cell>
          <cell r="EP265" t="str">
            <v/>
          </cell>
          <cell r="EQ265" t="str">
            <v>Housing Recovery and Reconstruction Platform</v>
          </cell>
          <cell r="ER265" t="str">
            <v>Hari Prasad Thalang</v>
          </cell>
          <cell r="ES265" t="str">
            <v>District Coordinator</v>
          </cell>
          <cell r="ET265">
            <v>9851224505</v>
          </cell>
          <cell r="EU265" t="str">
            <v>Housing Recovery and Reconstruction Platform</v>
          </cell>
          <cell r="EV265" t="str">
            <v>Nirmal Nepali</v>
          </cell>
          <cell r="EW265" t="str">
            <v>DIstrict Information Management Officer</v>
          </cell>
          <cell r="EX265">
            <v>9848500348</v>
          </cell>
          <cell r="EY265" t="str">
            <v>Housing Recovery and Reconstruction Platform</v>
          </cell>
          <cell r="EZ265" t="str">
            <v xml:space="preserve">Kausal Bist </v>
          </cell>
          <cell r="FA265" t="str">
            <v>District Technical Officer</v>
          </cell>
          <cell r="FB265">
            <v>9849787273</v>
          </cell>
        </row>
        <row r="266">
          <cell r="A266">
            <v>48002</v>
          </cell>
          <cell r="B266" t="str">
            <v>Nawalparasi</v>
          </cell>
          <cell r="C266" t="str">
            <v>Binayee Tribeni Gaunpalika</v>
          </cell>
          <cell r="D266">
            <v>2</v>
          </cell>
          <cell r="E266">
            <v>68</v>
          </cell>
          <cell r="F266">
            <v>70</v>
          </cell>
          <cell r="G266" t="str">
            <v>Stone and cement mortar masonry</v>
          </cell>
          <cell r="H266">
            <v>0</v>
          </cell>
          <cell r="I266">
            <v>0.81</v>
          </cell>
          <cell r="J266" t="str">
            <v>Stone and Mud Mortar Masonary</v>
          </cell>
          <cell r="K266">
            <v>98.57</v>
          </cell>
          <cell r="L266">
            <v>95.12</v>
          </cell>
          <cell r="M266" t="str">
            <v>Brick and Cement Mortar Masonary</v>
          </cell>
          <cell r="N266">
            <v>0</v>
          </cell>
          <cell r="O266">
            <v>1.83</v>
          </cell>
          <cell r="P266" t="str">
            <v>Brick and mud mortar Masonry</v>
          </cell>
          <cell r="Q266">
            <v>0</v>
          </cell>
          <cell r="R266">
            <v>0.92</v>
          </cell>
          <cell r="S266" t="str">
            <v>Reinforced cement concrete (RCC) frame</v>
          </cell>
          <cell r="T266">
            <v>0</v>
          </cell>
          <cell r="U266">
            <v>0</v>
          </cell>
          <cell r="V266" t="str">
            <v>Hybrid structure</v>
          </cell>
          <cell r="W266">
            <v>0</v>
          </cell>
          <cell r="X266">
            <v>0</v>
          </cell>
          <cell r="Y266" t="str">
            <v>Timber frame structure</v>
          </cell>
          <cell r="Z266">
            <v>1.43</v>
          </cell>
          <cell r="AA266">
            <v>0.92</v>
          </cell>
          <cell r="AB266" t="str">
            <v>Hollow concrete block Masonry</v>
          </cell>
          <cell r="AC266">
            <v>0</v>
          </cell>
          <cell r="AD266">
            <v>0</v>
          </cell>
          <cell r="AE266" t="str">
            <v>Dry stone Masonry</v>
          </cell>
          <cell r="AF266">
            <v>0</v>
          </cell>
          <cell r="AG266">
            <v>0.31</v>
          </cell>
          <cell r="AH266" t="str">
            <v>Adobe structures</v>
          </cell>
          <cell r="AI266">
            <v>0</v>
          </cell>
          <cell r="AJ266">
            <v>0.1</v>
          </cell>
          <cell r="AK266" t="str">
            <v>Bamboo</v>
          </cell>
          <cell r="AL266">
            <v>0</v>
          </cell>
          <cell r="AM266">
            <v>0</v>
          </cell>
          <cell r="AN266" t="str">
            <v>Compressed stabilized earth block (SCEB) Masonry</v>
          </cell>
          <cell r="AO266">
            <v>0</v>
          </cell>
          <cell r="AP266">
            <v>0</v>
          </cell>
          <cell r="AQ266" t="str">
            <v>Light steel frame structures</v>
          </cell>
          <cell r="AR266">
            <v>0</v>
          </cell>
          <cell r="AS266">
            <v>0</v>
          </cell>
          <cell r="AT266">
            <v>70</v>
          </cell>
          <cell r="AU266">
            <v>69</v>
          </cell>
          <cell r="AV266">
            <v>69</v>
          </cell>
          <cell r="AW266">
            <v>56</v>
          </cell>
          <cell r="AX266">
            <v>40</v>
          </cell>
          <cell r="AY266">
            <v>69</v>
          </cell>
          <cell r="AZ266">
            <v>0</v>
          </cell>
          <cell r="BA266">
            <v>2</v>
          </cell>
          <cell r="BB266" t="str">
            <v/>
          </cell>
          <cell r="BC266" t="str">
            <v/>
          </cell>
          <cell r="BD266" t="str">
            <v/>
          </cell>
          <cell r="BE266">
            <v>28</v>
          </cell>
          <cell r="BF266" t="str">
            <v/>
          </cell>
          <cell r="BG266" t="str">
            <v/>
          </cell>
          <cell r="BH266" t="str">
            <v/>
          </cell>
          <cell r="BI266" t="str">
            <v/>
          </cell>
          <cell r="BJ266" t="str">
            <v/>
          </cell>
          <cell r="BK266">
            <v>7145</v>
          </cell>
          <cell r="BL266" t="str">
            <v/>
          </cell>
          <cell r="BM266" t="str">
            <v/>
          </cell>
          <cell r="BN266">
            <v>7656</v>
          </cell>
          <cell r="BO266" t="str">
            <v/>
          </cell>
          <cell r="BP266" t="str">
            <v/>
          </cell>
          <cell r="BQ266">
            <v>766</v>
          </cell>
          <cell r="BR266" t="str">
            <v/>
          </cell>
          <cell r="BS266" t="str">
            <v/>
          </cell>
          <cell r="BT266">
            <v>893</v>
          </cell>
          <cell r="BU266" t="str">
            <v/>
          </cell>
          <cell r="BV266" t="str">
            <v/>
          </cell>
          <cell r="BW266" t="str">
            <v/>
          </cell>
          <cell r="BX266" t="str">
            <v/>
          </cell>
          <cell r="BY266" t="str">
            <v/>
          </cell>
          <cell r="BZ266">
            <v>25009</v>
          </cell>
          <cell r="CA266" t="str">
            <v/>
          </cell>
          <cell r="CB266" t="str">
            <v/>
          </cell>
          <cell r="CC266">
            <v>76557</v>
          </cell>
          <cell r="CD266" t="str">
            <v/>
          </cell>
          <cell r="CE266" t="str">
            <v/>
          </cell>
          <cell r="CF266">
            <v>1021</v>
          </cell>
          <cell r="CG266" t="str">
            <v/>
          </cell>
          <cell r="CH266" t="str">
            <v/>
          </cell>
          <cell r="CI266">
            <v>0</v>
          </cell>
          <cell r="CJ266" t="str">
            <v/>
          </cell>
          <cell r="CK266" t="str">
            <v/>
          </cell>
          <cell r="CL266" t="str">
            <v>Skilled</v>
          </cell>
          <cell r="CM266" t="str">
            <v/>
          </cell>
          <cell r="CN266" t="str">
            <v>Labor</v>
          </cell>
          <cell r="CO266" t="str">
            <v/>
          </cell>
          <cell r="CP266" t="str">
            <v/>
          </cell>
          <cell r="CQ266" t="str">
            <v/>
          </cell>
          <cell r="CR266" t="str">
            <v/>
          </cell>
          <cell r="CS266" t="str">
            <v/>
          </cell>
          <cell r="CT266" t="str">
            <v/>
          </cell>
          <cell r="CU266" t="str">
            <v/>
          </cell>
          <cell r="CV266" t="str">
            <v>Municipal Office</v>
          </cell>
          <cell r="CW266" t="str">
            <v>Dambar Bdr. G.C.</v>
          </cell>
          <cell r="CX266" t="str">
            <v xml:space="preserve">Chairman </v>
          </cell>
          <cell r="CY266">
            <v>9847006802</v>
          </cell>
          <cell r="CZ266" t="str">
            <v>Municipal Office</v>
          </cell>
          <cell r="DA266" t="str">
            <v>Mina Kumari Gupata</v>
          </cell>
          <cell r="DB266" t="str">
            <v>Deputy Chairman</v>
          </cell>
          <cell r="DC266">
            <v>9847083541</v>
          </cell>
          <cell r="DD266" t="str">
            <v>Municipal Office</v>
          </cell>
          <cell r="DE266" t="str">
            <v>Surendra Basyal</v>
          </cell>
          <cell r="DF266" t="str">
            <v>Chief Adminstration Officer</v>
          </cell>
          <cell r="DG266">
            <v>9851178364</v>
          </cell>
          <cell r="DH266" t="str">
            <v>NRA/GMALI</v>
          </cell>
          <cell r="DI266" t="str">
            <v xml:space="preserve">Rajendra  Karki </v>
          </cell>
          <cell r="DJ266" t="str">
            <v>NRA Chief-District</v>
          </cell>
          <cell r="DK266">
            <v>9857087637</v>
          </cell>
          <cell r="DL266" t="str">
            <v>DLPIU-Building</v>
          </cell>
          <cell r="DM266" t="str">
            <v/>
          </cell>
          <cell r="DN266" t="str">
            <v>DUDBC.DLPIU Chief</v>
          </cell>
          <cell r="DO266" t="str">
            <v/>
          </cell>
          <cell r="DP266" t="str">
            <v>Municipal Office</v>
          </cell>
          <cell r="DQ266" t="str">
            <v>Sita Paudel</v>
          </cell>
          <cell r="DR266" t="str">
            <v>Focal Person</v>
          </cell>
          <cell r="DS266">
            <v>9847958120</v>
          </cell>
          <cell r="DT266" t="str">
            <v/>
          </cell>
          <cell r="DU266" t="str">
            <v/>
          </cell>
          <cell r="DV266" t="str">
            <v/>
          </cell>
          <cell r="DW266" t="str">
            <v/>
          </cell>
          <cell r="DX266" t="str">
            <v/>
          </cell>
          <cell r="DY266" t="str">
            <v/>
          </cell>
          <cell r="DZ266" t="str">
            <v/>
          </cell>
          <cell r="EA266" t="str">
            <v/>
          </cell>
          <cell r="EB266" t="str">
            <v/>
          </cell>
          <cell r="EC266" t="str">
            <v/>
          </cell>
          <cell r="ED266" t="str">
            <v/>
          </cell>
          <cell r="EE266" t="str">
            <v/>
          </cell>
          <cell r="EF266" t="str">
            <v/>
          </cell>
          <cell r="EG266" t="str">
            <v/>
          </cell>
          <cell r="EH266" t="str">
            <v/>
          </cell>
          <cell r="EI266" t="str">
            <v/>
          </cell>
          <cell r="EJ266">
            <v>0</v>
          </cell>
          <cell r="EK266">
            <v>0</v>
          </cell>
          <cell r="EL266">
            <v>0</v>
          </cell>
          <cell r="EM266">
            <v>0</v>
          </cell>
          <cell r="EN266">
            <v>0</v>
          </cell>
          <cell r="EO266">
            <v>0</v>
          </cell>
          <cell r="EP266" t="str">
            <v/>
          </cell>
          <cell r="EQ266" t="str">
            <v>Housing Recovery and Reconstruction Platform</v>
          </cell>
          <cell r="ER266" t="str">
            <v>Hari Prasad Thalang</v>
          </cell>
          <cell r="ES266" t="str">
            <v>District Coordinator</v>
          </cell>
          <cell r="ET266">
            <v>9851224505</v>
          </cell>
          <cell r="EU266" t="str">
            <v>Housing Recovery and Reconstruction Platform</v>
          </cell>
          <cell r="EV266" t="str">
            <v>Nirmal Nepali</v>
          </cell>
          <cell r="EW266" t="str">
            <v>DIstrict Information Management Officer</v>
          </cell>
          <cell r="EX266">
            <v>9848500348</v>
          </cell>
          <cell r="EY266" t="str">
            <v>Housing Recovery and Reconstruction Platform</v>
          </cell>
          <cell r="EZ266" t="str">
            <v xml:space="preserve">Kausal Bist </v>
          </cell>
          <cell r="FA266" t="str">
            <v>District Technical Officer</v>
          </cell>
          <cell r="FB266">
            <v>9849787273</v>
          </cell>
        </row>
        <row r="267">
          <cell r="A267">
            <v>48003</v>
          </cell>
          <cell r="B267" t="str">
            <v>Nawalparasi</v>
          </cell>
          <cell r="C267" t="str">
            <v>Bulingtar Gaunpalika</v>
          </cell>
          <cell r="D267">
            <v>18</v>
          </cell>
          <cell r="E267">
            <v>262</v>
          </cell>
          <cell r="F267">
            <v>280</v>
          </cell>
          <cell r="G267" t="str">
            <v>Stone and cement mortar masonry</v>
          </cell>
          <cell r="H267">
            <v>0</v>
          </cell>
          <cell r="I267">
            <v>0.81</v>
          </cell>
          <cell r="J267" t="str">
            <v>Stone and Mud Mortar Masonary</v>
          </cell>
          <cell r="K267">
            <v>98.21</v>
          </cell>
          <cell r="L267">
            <v>95.12</v>
          </cell>
          <cell r="M267" t="str">
            <v>Brick and Cement Mortar Masonary</v>
          </cell>
          <cell r="N267">
            <v>1.07</v>
          </cell>
          <cell r="O267">
            <v>1.83</v>
          </cell>
          <cell r="P267" t="str">
            <v>Brick and mud mortar Masonry</v>
          </cell>
          <cell r="Q267">
            <v>0.36</v>
          </cell>
          <cell r="R267">
            <v>0.92</v>
          </cell>
          <cell r="S267" t="str">
            <v>Reinforced cement concrete (RCC) frame</v>
          </cell>
          <cell r="T267">
            <v>0</v>
          </cell>
          <cell r="U267">
            <v>0</v>
          </cell>
          <cell r="V267" t="str">
            <v>Hybrid structure</v>
          </cell>
          <cell r="W267">
            <v>0</v>
          </cell>
          <cell r="X267">
            <v>0</v>
          </cell>
          <cell r="Y267" t="str">
            <v>Timber frame structure</v>
          </cell>
          <cell r="Z267">
            <v>0.36</v>
          </cell>
          <cell r="AA267">
            <v>0.92</v>
          </cell>
          <cell r="AB267" t="str">
            <v>Hollow concrete block Masonry</v>
          </cell>
          <cell r="AC267">
            <v>0</v>
          </cell>
          <cell r="AD267">
            <v>0</v>
          </cell>
          <cell r="AE267" t="str">
            <v>Dry stone Masonry</v>
          </cell>
          <cell r="AF267">
            <v>0</v>
          </cell>
          <cell r="AG267">
            <v>0.31</v>
          </cell>
          <cell r="AH267" t="str">
            <v>Adobe structures</v>
          </cell>
          <cell r="AI267">
            <v>0</v>
          </cell>
          <cell r="AJ267">
            <v>0.1</v>
          </cell>
          <cell r="AK267" t="str">
            <v>Bamboo</v>
          </cell>
          <cell r="AL267">
            <v>0</v>
          </cell>
          <cell r="AM267">
            <v>0</v>
          </cell>
          <cell r="AN267" t="str">
            <v>Compressed stabilized earth block (SCEB) Masonry</v>
          </cell>
          <cell r="AO267">
            <v>0</v>
          </cell>
          <cell r="AP267">
            <v>0</v>
          </cell>
          <cell r="AQ267" t="str">
            <v>Light steel frame structures</v>
          </cell>
          <cell r="AR267">
            <v>0</v>
          </cell>
          <cell r="AS267">
            <v>0</v>
          </cell>
          <cell r="AT267">
            <v>260</v>
          </cell>
          <cell r="AU267">
            <v>260</v>
          </cell>
          <cell r="AV267">
            <v>260</v>
          </cell>
          <cell r="AW267">
            <v>194</v>
          </cell>
          <cell r="AX267">
            <v>56</v>
          </cell>
          <cell r="AY267">
            <v>194</v>
          </cell>
          <cell r="AZ267">
            <v>0</v>
          </cell>
          <cell r="BA267">
            <v>5</v>
          </cell>
          <cell r="BB267" t="str">
            <v/>
          </cell>
          <cell r="BC267" t="str">
            <v/>
          </cell>
          <cell r="BD267" t="str">
            <v/>
          </cell>
          <cell r="BE267">
            <v>406</v>
          </cell>
          <cell r="BF267">
            <v>10</v>
          </cell>
          <cell r="BG267" t="str">
            <v/>
          </cell>
          <cell r="BH267" t="str">
            <v/>
          </cell>
          <cell r="BI267" t="str">
            <v/>
          </cell>
          <cell r="BJ267" t="str">
            <v/>
          </cell>
          <cell r="BK267">
            <v>780</v>
          </cell>
          <cell r="BL267" t="str">
            <v/>
          </cell>
          <cell r="BM267" t="str">
            <v/>
          </cell>
          <cell r="BN267">
            <v>771</v>
          </cell>
          <cell r="BO267" t="str">
            <v/>
          </cell>
          <cell r="BP267" t="str">
            <v/>
          </cell>
          <cell r="BQ267">
            <v>83</v>
          </cell>
          <cell r="BR267" t="str">
            <v/>
          </cell>
          <cell r="BS267" t="str">
            <v/>
          </cell>
          <cell r="BT267">
            <v>95</v>
          </cell>
          <cell r="BU267" t="str">
            <v/>
          </cell>
          <cell r="BV267" t="str">
            <v/>
          </cell>
          <cell r="BW267" t="str">
            <v/>
          </cell>
          <cell r="BX267" t="str">
            <v/>
          </cell>
          <cell r="BY267" t="str">
            <v/>
          </cell>
          <cell r="BZ267">
            <v>2522</v>
          </cell>
          <cell r="CA267" t="str">
            <v/>
          </cell>
          <cell r="CB267" t="str">
            <v/>
          </cell>
          <cell r="CC267">
            <v>8445</v>
          </cell>
          <cell r="CD267" t="str">
            <v/>
          </cell>
          <cell r="CE267" t="str">
            <v/>
          </cell>
          <cell r="CF267">
            <v>103</v>
          </cell>
          <cell r="CG267" t="str">
            <v/>
          </cell>
          <cell r="CH267" t="str">
            <v/>
          </cell>
          <cell r="CI267">
            <v>4176</v>
          </cell>
          <cell r="CJ267" t="str">
            <v/>
          </cell>
          <cell r="CK267" t="str">
            <v/>
          </cell>
          <cell r="CL267" t="str">
            <v>Skilled</v>
          </cell>
          <cell r="CM267" t="str">
            <v/>
          </cell>
          <cell r="CN267" t="str">
            <v>Labor</v>
          </cell>
          <cell r="CO267" t="str">
            <v/>
          </cell>
          <cell r="CP267" t="str">
            <v/>
          </cell>
          <cell r="CQ267" t="str">
            <v/>
          </cell>
          <cell r="CR267" t="str">
            <v/>
          </cell>
          <cell r="CS267" t="str">
            <v/>
          </cell>
          <cell r="CT267" t="str">
            <v/>
          </cell>
          <cell r="CU267" t="str">
            <v/>
          </cell>
          <cell r="CV267" t="str">
            <v>Municipal Office</v>
          </cell>
          <cell r="CW267" t="str">
            <v>Shashi Kiran Bastakoti</v>
          </cell>
          <cell r="CX267" t="str">
            <v xml:space="preserve">Chairman </v>
          </cell>
          <cell r="CY267">
            <v>9857062005</v>
          </cell>
          <cell r="CZ267" t="str">
            <v>Municipal Office</v>
          </cell>
          <cell r="DA267" t="str">
            <v>Maina Bk</v>
          </cell>
          <cell r="DB267" t="str">
            <v>Deputy Chairman</v>
          </cell>
          <cell r="DC267">
            <v>9821206523</v>
          </cell>
          <cell r="DD267" t="str">
            <v>Municipal Office</v>
          </cell>
          <cell r="DE267" t="str">
            <v>Ghanshyam Gaha</v>
          </cell>
          <cell r="DF267" t="str">
            <v>Chief Adminstration Officer</v>
          </cell>
          <cell r="DG267">
            <v>9847356965</v>
          </cell>
          <cell r="DH267" t="str">
            <v>NRA/GMALI</v>
          </cell>
          <cell r="DI267" t="str">
            <v xml:space="preserve">Rajendra  Karki </v>
          </cell>
          <cell r="DJ267" t="str">
            <v>NRA Chief-District</v>
          </cell>
          <cell r="DK267">
            <v>9857087637</v>
          </cell>
          <cell r="DL267" t="str">
            <v>DLPIU-Building</v>
          </cell>
          <cell r="DM267" t="str">
            <v/>
          </cell>
          <cell r="DN267" t="str">
            <v>DUDBC.DLPIU Chief</v>
          </cell>
          <cell r="DO267" t="str">
            <v/>
          </cell>
          <cell r="DP267" t="str">
            <v>Municipal Office</v>
          </cell>
          <cell r="DQ267" t="str">
            <v>Narayan Pandey</v>
          </cell>
          <cell r="DR267" t="str">
            <v>Focal Person</v>
          </cell>
          <cell r="DS267">
            <v>9812916749</v>
          </cell>
          <cell r="DT267" t="str">
            <v/>
          </cell>
          <cell r="DU267" t="str">
            <v/>
          </cell>
          <cell r="DV267" t="str">
            <v/>
          </cell>
          <cell r="DW267" t="str">
            <v/>
          </cell>
          <cell r="DX267" t="str">
            <v/>
          </cell>
          <cell r="DY267" t="str">
            <v/>
          </cell>
          <cell r="DZ267" t="str">
            <v/>
          </cell>
          <cell r="EA267" t="str">
            <v/>
          </cell>
          <cell r="EB267" t="str">
            <v/>
          </cell>
          <cell r="EC267" t="str">
            <v/>
          </cell>
          <cell r="ED267" t="str">
            <v/>
          </cell>
          <cell r="EE267" t="str">
            <v/>
          </cell>
          <cell r="EF267" t="str">
            <v/>
          </cell>
          <cell r="EG267" t="str">
            <v/>
          </cell>
          <cell r="EH267" t="str">
            <v/>
          </cell>
          <cell r="EI267" t="str">
            <v/>
          </cell>
          <cell r="EJ267">
            <v>0</v>
          </cell>
          <cell r="EK267">
            <v>0</v>
          </cell>
          <cell r="EL267">
            <v>0</v>
          </cell>
          <cell r="EM267">
            <v>0</v>
          </cell>
          <cell r="EN267">
            <v>0</v>
          </cell>
          <cell r="EO267">
            <v>0</v>
          </cell>
          <cell r="EP267" t="str">
            <v/>
          </cell>
          <cell r="EQ267" t="str">
            <v>Housing Recovery and Reconstruction Platform</v>
          </cell>
          <cell r="ER267" t="str">
            <v>Hari Prasad Thalang</v>
          </cell>
          <cell r="ES267" t="str">
            <v>District Coordinator</v>
          </cell>
          <cell r="ET267">
            <v>9851224505</v>
          </cell>
          <cell r="EU267" t="str">
            <v>Housing Recovery and Reconstruction Platform</v>
          </cell>
          <cell r="EV267" t="str">
            <v>Nirmal Nepali</v>
          </cell>
          <cell r="EW267" t="str">
            <v>DIstrict Information Management Officer</v>
          </cell>
          <cell r="EX267">
            <v>9848500348</v>
          </cell>
          <cell r="EY267" t="str">
            <v>Housing Recovery and Reconstruction Platform</v>
          </cell>
          <cell r="EZ267" t="str">
            <v xml:space="preserve">Kausal Bist </v>
          </cell>
          <cell r="FA267" t="str">
            <v>District Technical Officer</v>
          </cell>
          <cell r="FB267">
            <v>9849787273</v>
          </cell>
        </row>
        <row r="268">
          <cell r="A268">
            <v>48004</v>
          </cell>
          <cell r="B268" t="str">
            <v>Nawalparasi</v>
          </cell>
          <cell r="C268" t="str">
            <v>Bungdikali Gaunpalika</v>
          </cell>
          <cell r="D268">
            <v>56</v>
          </cell>
          <cell r="E268">
            <v>77</v>
          </cell>
          <cell r="F268">
            <v>133</v>
          </cell>
          <cell r="G268" t="str">
            <v>Stone and cement mortar masonry</v>
          </cell>
          <cell r="H268">
            <v>0</v>
          </cell>
          <cell r="I268">
            <v>0.81</v>
          </cell>
          <cell r="J268" t="str">
            <v>Stone and Mud Mortar Masonary</v>
          </cell>
          <cell r="K268">
            <v>100</v>
          </cell>
          <cell r="L268">
            <v>95.12</v>
          </cell>
          <cell r="M268" t="str">
            <v>Brick and Cement Mortar Masonary</v>
          </cell>
          <cell r="N268">
            <v>0</v>
          </cell>
          <cell r="O268">
            <v>1.83</v>
          </cell>
          <cell r="P268" t="str">
            <v>Brick and mud mortar Masonry</v>
          </cell>
          <cell r="Q268">
            <v>0</v>
          </cell>
          <cell r="R268">
            <v>0.92</v>
          </cell>
          <cell r="S268" t="str">
            <v>Reinforced cement concrete (RCC) frame</v>
          </cell>
          <cell r="T268">
            <v>0</v>
          </cell>
          <cell r="U268">
            <v>0</v>
          </cell>
          <cell r="V268" t="str">
            <v>Hybrid structure</v>
          </cell>
          <cell r="W268">
            <v>0</v>
          </cell>
          <cell r="X268">
            <v>0</v>
          </cell>
          <cell r="Y268" t="str">
            <v>Timber frame structure</v>
          </cell>
          <cell r="Z268">
            <v>0</v>
          </cell>
          <cell r="AA268">
            <v>0.92</v>
          </cell>
          <cell r="AB268" t="str">
            <v>Hollow concrete block Masonry</v>
          </cell>
          <cell r="AC268">
            <v>0</v>
          </cell>
          <cell r="AD268">
            <v>0</v>
          </cell>
          <cell r="AE268" t="str">
            <v>Dry stone Masonry</v>
          </cell>
          <cell r="AF268">
            <v>0</v>
          </cell>
          <cell r="AG268">
            <v>0.31</v>
          </cell>
          <cell r="AH268" t="str">
            <v>Adobe structures</v>
          </cell>
          <cell r="AI268">
            <v>0</v>
          </cell>
          <cell r="AJ268">
            <v>0.1</v>
          </cell>
          <cell r="AK268" t="str">
            <v>Bamboo</v>
          </cell>
          <cell r="AL268">
            <v>0</v>
          </cell>
          <cell r="AM268">
            <v>0</v>
          </cell>
          <cell r="AN268" t="str">
            <v>Compressed stabilized earth block (SCEB) Masonry</v>
          </cell>
          <cell r="AO268">
            <v>0</v>
          </cell>
          <cell r="AP268">
            <v>0</v>
          </cell>
          <cell r="AQ268" t="str">
            <v>Light steel frame structures</v>
          </cell>
          <cell r="AR268">
            <v>0</v>
          </cell>
          <cell r="AS268">
            <v>0</v>
          </cell>
          <cell r="AT268">
            <v>72</v>
          </cell>
          <cell r="AU268">
            <v>72</v>
          </cell>
          <cell r="AV268">
            <v>72</v>
          </cell>
          <cell r="AW268">
            <v>55</v>
          </cell>
          <cell r="AX268">
            <v>38</v>
          </cell>
          <cell r="AY268">
            <v>55</v>
          </cell>
          <cell r="AZ268">
            <v>0</v>
          </cell>
          <cell r="BA268">
            <v>1</v>
          </cell>
          <cell r="BB268" t="str">
            <v/>
          </cell>
          <cell r="BC268" t="str">
            <v/>
          </cell>
          <cell r="BD268" t="str">
            <v/>
          </cell>
          <cell r="BE268">
            <v>106</v>
          </cell>
          <cell r="BF268" t="str">
            <v/>
          </cell>
          <cell r="BG268" t="str">
            <v/>
          </cell>
          <cell r="BH268" t="str">
            <v/>
          </cell>
          <cell r="BI268" t="str">
            <v/>
          </cell>
          <cell r="BJ268" t="str">
            <v/>
          </cell>
          <cell r="BK268">
            <v>2829</v>
          </cell>
          <cell r="BL268" t="str">
            <v/>
          </cell>
          <cell r="BM268" t="str">
            <v/>
          </cell>
          <cell r="BN268">
            <v>2968</v>
          </cell>
          <cell r="BO268" t="str">
            <v/>
          </cell>
          <cell r="BP268" t="str">
            <v/>
          </cell>
          <cell r="BQ268">
            <v>303</v>
          </cell>
          <cell r="BR268" t="str">
            <v/>
          </cell>
          <cell r="BS268" t="str">
            <v/>
          </cell>
          <cell r="BT268">
            <v>351</v>
          </cell>
          <cell r="BU268" t="str">
            <v/>
          </cell>
          <cell r="BV268" t="str">
            <v/>
          </cell>
          <cell r="BW268" t="str">
            <v/>
          </cell>
          <cell r="BX268" t="str">
            <v/>
          </cell>
          <cell r="BY268" t="str">
            <v/>
          </cell>
          <cell r="BZ268">
            <v>9790</v>
          </cell>
          <cell r="CA268" t="str">
            <v/>
          </cell>
          <cell r="CB268" t="str">
            <v/>
          </cell>
          <cell r="CC268">
            <v>30519</v>
          </cell>
          <cell r="CD268" t="str">
            <v/>
          </cell>
          <cell r="CE268" t="str">
            <v/>
          </cell>
          <cell r="CF268">
            <v>400</v>
          </cell>
          <cell r="CG268" t="str">
            <v/>
          </cell>
          <cell r="CH268" t="str">
            <v/>
          </cell>
          <cell r="CI268">
            <v>18156</v>
          </cell>
          <cell r="CJ268" t="str">
            <v/>
          </cell>
          <cell r="CK268" t="str">
            <v/>
          </cell>
          <cell r="CL268" t="str">
            <v>Skilled</v>
          </cell>
          <cell r="CM268" t="str">
            <v/>
          </cell>
          <cell r="CN268" t="str">
            <v>Labor</v>
          </cell>
          <cell r="CO268" t="str">
            <v/>
          </cell>
          <cell r="CP268" t="str">
            <v/>
          </cell>
          <cell r="CQ268" t="str">
            <v/>
          </cell>
          <cell r="CR268" t="str">
            <v/>
          </cell>
          <cell r="CS268" t="str">
            <v/>
          </cell>
          <cell r="CT268" t="str">
            <v/>
          </cell>
          <cell r="CU268" t="str">
            <v/>
          </cell>
          <cell r="CV268" t="str">
            <v>Municipal Office</v>
          </cell>
          <cell r="CW268" t="str">
            <v>Durga bahadur Rana</v>
          </cell>
          <cell r="CX268" t="str">
            <v xml:space="preserve">Chairman </v>
          </cell>
          <cell r="CY268">
            <v>9847048773</v>
          </cell>
          <cell r="CZ268" t="str">
            <v>Municipal Office</v>
          </cell>
          <cell r="DA268" t="str">
            <v>Maya devi Shrestha</v>
          </cell>
          <cell r="DB268" t="str">
            <v>Deputy Chairman</v>
          </cell>
          <cell r="DC268">
            <v>9808926232</v>
          </cell>
          <cell r="DD268" t="str">
            <v>Municipal Office</v>
          </cell>
          <cell r="DE268" t="str">
            <v>Krishna Prasad Gyawali</v>
          </cell>
          <cell r="DF268" t="str">
            <v>Chief Adminstration Officer</v>
          </cell>
          <cell r="DG268">
            <v>9857046264</v>
          </cell>
          <cell r="DH268" t="str">
            <v>NRA/GMALI</v>
          </cell>
          <cell r="DI268" t="str">
            <v xml:space="preserve">Rajendra  Karki </v>
          </cell>
          <cell r="DJ268" t="str">
            <v>NRA Chief-District</v>
          </cell>
          <cell r="DK268">
            <v>9857087637</v>
          </cell>
          <cell r="DL268" t="str">
            <v>DLPIU-Building</v>
          </cell>
          <cell r="DM268" t="str">
            <v/>
          </cell>
          <cell r="DN268" t="str">
            <v>DUDBC.DLPIU Chief</v>
          </cell>
          <cell r="DO268" t="str">
            <v/>
          </cell>
          <cell r="DP268" t="str">
            <v>Municipal Office</v>
          </cell>
          <cell r="DQ268" t="str">
            <v>Dinesh paneru</v>
          </cell>
          <cell r="DR268" t="str">
            <v>Focal Person</v>
          </cell>
          <cell r="DS268">
            <v>9848643281</v>
          </cell>
          <cell r="DT268" t="str">
            <v/>
          </cell>
          <cell r="DU268" t="str">
            <v/>
          </cell>
          <cell r="DV268" t="str">
            <v/>
          </cell>
          <cell r="DW268" t="str">
            <v/>
          </cell>
          <cell r="DX268" t="str">
            <v/>
          </cell>
          <cell r="DY268" t="str">
            <v/>
          </cell>
          <cell r="DZ268" t="str">
            <v/>
          </cell>
          <cell r="EA268" t="str">
            <v/>
          </cell>
          <cell r="EB268" t="str">
            <v/>
          </cell>
          <cell r="EC268" t="str">
            <v/>
          </cell>
          <cell r="ED268" t="str">
            <v/>
          </cell>
          <cell r="EE268" t="str">
            <v/>
          </cell>
          <cell r="EF268" t="str">
            <v/>
          </cell>
          <cell r="EG268" t="str">
            <v/>
          </cell>
          <cell r="EH268" t="str">
            <v/>
          </cell>
          <cell r="EI268" t="str">
            <v/>
          </cell>
          <cell r="EJ268">
            <v>0</v>
          </cell>
          <cell r="EK268">
            <v>0</v>
          </cell>
          <cell r="EL268">
            <v>0</v>
          </cell>
          <cell r="EM268">
            <v>0</v>
          </cell>
          <cell r="EN268">
            <v>0</v>
          </cell>
          <cell r="EO268">
            <v>0</v>
          </cell>
          <cell r="EP268" t="str">
            <v/>
          </cell>
          <cell r="EQ268" t="str">
            <v>Housing Recovery and Reconstruction Platform</v>
          </cell>
          <cell r="ER268" t="str">
            <v>Hari Prasad Thalang</v>
          </cell>
          <cell r="ES268" t="str">
            <v>District Coordinator</v>
          </cell>
          <cell r="ET268">
            <v>9851224505</v>
          </cell>
          <cell r="EU268" t="str">
            <v>Housing Recovery and Reconstruction Platform</v>
          </cell>
          <cell r="EV268" t="str">
            <v>Nirmal Nepali</v>
          </cell>
          <cell r="EW268" t="str">
            <v>DIstrict Information Management Officer</v>
          </cell>
          <cell r="EX268">
            <v>9848500348</v>
          </cell>
          <cell r="EY268" t="str">
            <v>Housing Recovery and Reconstruction Platform</v>
          </cell>
          <cell r="EZ268" t="str">
            <v xml:space="preserve">Kausal Bist </v>
          </cell>
          <cell r="FA268" t="str">
            <v>District Technical Officer</v>
          </cell>
          <cell r="FB268">
            <v>9849787273</v>
          </cell>
        </row>
        <row r="269">
          <cell r="A269">
            <v>48005</v>
          </cell>
          <cell r="B269" t="str">
            <v>Nawalparasi</v>
          </cell>
          <cell r="C269" t="str">
            <v>Devchuli Nagarpalika</v>
          </cell>
          <cell r="D269">
            <v>0</v>
          </cell>
          <cell r="E269">
            <v>177</v>
          </cell>
          <cell r="F269">
            <v>177</v>
          </cell>
          <cell r="G269" t="str">
            <v>Stone and cement mortar masonry</v>
          </cell>
          <cell r="H269">
            <v>2.2599999999999998</v>
          </cell>
          <cell r="I269">
            <v>0.81</v>
          </cell>
          <cell r="J269" t="str">
            <v>Stone and Mud Mortar Masonary</v>
          </cell>
          <cell r="K269">
            <v>96.05</v>
          </cell>
          <cell r="L269">
            <v>95.12</v>
          </cell>
          <cell r="M269" t="str">
            <v>Brick and Cement Mortar Masonary</v>
          </cell>
          <cell r="N269">
            <v>0</v>
          </cell>
          <cell r="O269">
            <v>1.83</v>
          </cell>
          <cell r="P269" t="str">
            <v>Brick and mud mortar Masonry</v>
          </cell>
          <cell r="Q269">
            <v>0</v>
          </cell>
          <cell r="R269">
            <v>0.92</v>
          </cell>
          <cell r="S269" t="str">
            <v>Reinforced cement concrete (RCC) frame</v>
          </cell>
          <cell r="T269">
            <v>0</v>
          </cell>
          <cell r="U269">
            <v>0</v>
          </cell>
          <cell r="V269" t="str">
            <v>Hybrid structure</v>
          </cell>
          <cell r="W269">
            <v>0</v>
          </cell>
          <cell r="X269">
            <v>0</v>
          </cell>
          <cell r="Y269" t="str">
            <v>Timber frame structure</v>
          </cell>
          <cell r="Z269">
            <v>0</v>
          </cell>
          <cell r="AA269">
            <v>0.92</v>
          </cell>
          <cell r="AB269" t="str">
            <v>Hollow concrete block Masonry</v>
          </cell>
          <cell r="AC269">
            <v>0</v>
          </cell>
          <cell r="AD269">
            <v>0</v>
          </cell>
          <cell r="AE269" t="str">
            <v>Dry stone Masonry</v>
          </cell>
          <cell r="AF269">
            <v>1.69</v>
          </cell>
          <cell r="AG269">
            <v>0.31</v>
          </cell>
          <cell r="AH269" t="str">
            <v>Adobe structures</v>
          </cell>
          <cell r="AI269">
            <v>0</v>
          </cell>
          <cell r="AJ269">
            <v>0.1</v>
          </cell>
          <cell r="AK269" t="str">
            <v>Bamboo</v>
          </cell>
          <cell r="AL269">
            <v>0</v>
          </cell>
          <cell r="AM269">
            <v>0</v>
          </cell>
          <cell r="AN269" t="str">
            <v>Compressed stabilized earth block (SCEB) Masonry</v>
          </cell>
          <cell r="AO269">
            <v>0</v>
          </cell>
          <cell r="AP269">
            <v>0</v>
          </cell>
          <cell r="AQ269" t="str">
            <v>Light steel frame structures</v>
          </cell>
          <cell r="AR269">
            <v>0</v>
          </cell>
          <cell r="AS269">
            <v>0</v>
          </cell>
          <cell r="AT269">
            <v>177</v>
          </cell>
          <cell r="AU269">
            <v>177</v>
          </cell>
          <cell r="AV269">
            <v>177</v>
          </cell>
          <cell r="AW269">
            <v>169</v>
          </cell>
          <cell r="AX269">
            <v>22</v>
          </cell>
          <cell r="AY269">
            <v>169</v>
          </cell>
          <cell r="AZ269">
            <v>22</v>
          </cell>
          <cell r="BA269">
            <v>1</v>
          </cell>
          <cell r="BB269" t="str">
            <v/>
          </cell>
          <cell r="BC269" t="str">
            <v/>
          </cell>
          <cell r="BD269" t="str">
            <v/>
          </cell>
          <cell r="BE269">
            <v>224</v>
          </cell>
          <cell r="BF269" t="str">
            <v/>
          </cell>
          <cell r="BG269" t="str">
            <v/>
          </cell>
          <cell r="BH269" t="str">
            <v/>
          </cell>
          <cell r="BI269" t="str">
            <v/>
          </cell>
          <cell r="BJ269" t="str">
            <v/>
          </cell>
          <cell r="BK269">
            <v>57</v>
          </cell>
          <cell r="BL269" t="str">
            <v/>
          </cell>
          <cell r="BM269" t="str">
            <v/>
          </cell>
          <cell r="BN269">
            <v>59</v>
          </cell>
          <cell r="BO269" t="str">
            <v/>
          </cell>
          <cell r="BP269" t="str">
            <v/>
          </cell>
          <cell r="BQ269">
            <v>6</v>
          </cell>
          <cell r="BR269" t="str">
            <v/>
          </cell>
          <cell r="BS269" t="str">
            <v/>
          </cell>
          <cell r="BT269">
            <v>7</v>
          </cell>
          <cell r="BU269" t="str">
            <v/>
          </cell>
          <cell r="BV269" t="str">
            <v/>
          </cell>
          <cell r="BW269" t="str">
            <v/>
          </cell>
          <cell r="BX269" t="str">
            <v/>
          </cell>
          <cell r="BY269" t="str">
            <v/>
          </cell>
          <cell r="BZ269">
            <v>196</v>
          </cell>
          <cell r="CA269" t="str">
            <v/>
          </cell>
          <cell r="CB269" t="str">
            <v/>
          </cell>
          <cell r="CC269">
            <v>623</v>
          </cell>
          <cell r="CD269" t="str">
            <v/>
          </cell>
          <cell r="CE269" t="str">
            <v/>
          </cell>
          <cell r="CF269">
            <v>8</v>
          </cell>
          <cell r="CG269" t="str">
            <v/>
          </cell>
          <cell r="CH269" t="str">
            <v/>
          </cell>
          <cell r="CI269">
            <v>790</v>
          </cell>
          <cell r="CJ269" t="str">
            <v/>
          </cell>
          <cell r="CK269" t="str">
            <v/>
          </cell>
          <cell r="CL269" t="str">
            <v>Skilled</v>
          </cell>
          <cell r="CM269" t="str">
            <v/>
          </cell>
          <cell r="CN269" t="str">
            <v>Labor</v>
          </cell>
          <cell r="CO269" t="str">
            <v/>
          </cell>
          <cell r="CP269" t="str">
            <v/>
          </cell>
          <cell r="CQ269" t="str">
            <v/>
          </cell>
          <cell r="CR269" t="str">
            <v/>
          </cell>
          <cell r="CS269" t="str">
            <v/>
          </cell>
          <cell r="CT269" t="str">
            <v/>
          </cell>
          <cell r="CU269" t="str">
            <v/>
          </cell>
          <cell r="CV269" t="str">
            <v>Municipal Office</v>
          </cell>
          <cell r="CW269" t="str">
            <v>Purna Kumara Shrestha</v>
          </cell>
          <cell r="CX269" t="str">
            <v>Mayor</v>
          </cell>
          <cell r="CY269">
            <v>9847271538</v>
          </cell>
          <cell r="CZ269" t="str">
            <v>Municipal Office</v>
          </cell>
          <cell r="DA269" t="str">
            <v>Parbata Tiwari</v>
          </cell>
          <cell r="DB269" t="str">
            <v>Deputy Mayor</v>
          </cell>
          <cell r="DC269">
            <v>9857040742</v>
          </cell>
          <cell r="DD269" t="str">
            <v>Municipal Office</v>
          </cell>
          <cell r="DE269" t="str">
            <v>Man Bahadur Khadka</v>
          </cell>
          <cell r="DF269" t="str">
            <v>Chief Adminstration Officer</v>
          </cell>
          <cell r="DG269">
            <v>9857642111</v>
          </cell>
          <cell r="DH269" t="str">
            <v>NRA/GMALI</v>
          </cell>
          <cell r="DI269" t="str">
            <v xml:space="preserve">Rajendra  Karki </v>
          </cell>
          <cell r="DJ269" t="str">
            <v>NRA Chief-District</v>
          </cell>
          <cell r="DK269">
            <v>9857087637</v>
          </cell>
          <cell r="DL269" t="str">
            <v>DLPIU-Building</v>
          </cell>
          <cell r="DM269" t="str">
            <v/>
          </cell>
          <cell r="DN269" t="str">
            <v>DUDBC.DLPIU Chief</v>
          </cell>
          <cell r="DO269" t="str">
            <v/>
          </cell>
          <cell r="DP269" t="str">
            <v>Municipal Office</v>
          </cell>
          <cell r="DQ269" t="str">
            <v>Dhurba Ghaire</v>
          </cell>
          <cell r="DR269" t="str">
            <v>Focal Person</v>
          </cell>
          <cell r="DS269">
            <v>9855063606</v>
          </cell>
          <cell r="DT269" t="str">
            <v/>
          </cell>
          <cell r="DU269" t="str">
            <v/>
          </cell>
          <cell r="DV269" t="str">
            <v/>
          </cell>
          <cell r="DW269" t="str">
            <v/>
          </cell>
          <cell r="DX269" t="str">
            <v/>
          </cell>
          <cell r="DY269" t="str">
            <v/>
          </cell>
          <cell r="DZ269" t="str">
            <v/>
          </cell>
          <cell r="EA269" t="str">
            <v/>
          </cell>
          <cell r="EB269" t="str">
            <v/>
          </cell>
          <cell r="EC269" t="str">
            <v/>
          </cell>
          <cell r="ED269" t="str">
            <v/>
          </cell>
          <cell r="EE269" t="str">
            <v/>
          </cell>
          <cell r="EF269" t="str">
            <v/>
          </cell>
          <cell r="EG269" t="str">
            <v/>
          </cell>
          <cell r="EH269" t="str">
            <v/>
          </cell>
          <cell r="EI269" t="str">
            <v/>
          </cell>
          <cell r="EJ269">
            <v>0</v>
          </cell>
          <cell r="EK269">
            <v>0</v>
          </cell>
          <cell r="EL269">
            <v>0</v>
          </cell>
          <cell r="EM269">
            <v>0</v>
          </cell>
          <cell r="EN269">
            <v>0</v>
          </cell>
          <cell r="EO269">
            <v>0</v>
          </cell>
          <cell r="EP269" t="str">
            <v/>
          </cell>
          <cell r="EQ269" t="str">
            <v>Housing Recovery and Reconstruction Platform</v>
          </cell>
          <cell r="ER269" t="str">
            <v>Hari Prasad Thalang</v>
          </cell>
          <cell r="ES269" t="str">
            <v>District Coordinator</v>
          </cell>
          <cell r="ET269">
            <v>9851224505</v>
          </cell>
          <cell r="EU269" t="str">
            <v>Housing Recovery and Reconstruction Platform</v>
          </cell>
          <cell r="EV269" t="str">
            <v>Nirmal Nepali</v>
          </cell>
          <cell r="EW269" t="str">
            <v>DIstrict Information Management Officer</v>
          </cell>
          <cell r="EX269">
            <v>9848500348</v>
          </cell>
          <cell r="EY269" t="str">
            <v>Housing Recovery and Reconstruction Platform</v>
          </cell>
          <cell r="EZ269" t="str">
            <v xml:space="preserve">Kausal Bist </v>
          </cell>
          <cell r="FA269" t="str">
            <v>District Technical Officer</v>
          </cell>
          <cell r="FB269">
            <v>9849787273</v>
          </cell>
        </row>
        <row r="270">
          <cell r="A270">
            <v>48006</v>
          </cell>
          <cell r="B270" t="str">
            <v>Nawalparasi</v>
          </cell>
          <cell r="C270" t="str">
            <v>Gaidakot Nagarpalika</v>
          </cell>
          <cell r="D270">
            <v>5</v>
          </cell>
          <cell r="E270">
            <v>98</v>
          </cell>
          <cell r="F270">
            <v>103</v>
          </cell>
          <cell r="G270" t="str">
            <v>Stone and cement mortar masonry</v>
          </cell>
          <cell r="H270">
            <v>0.97</v>
          </cell>
          <cell r="I270">
            <v>0.81</v>
          </cell>
          <cell r="J270" t="str">
            <v>Stone and Mud Mortar Masonary</v>
          </cell>
          <cell r="K270">
            <v>93.2</v>
          </cell>
          <cell r="L270">
            <v>95.12</v>
          </cell>
          <cell r="M270" t="str">
            <v>Brick and Cement Mortar Masonary</v>
          </cell>
          <cell r="N270">
            <v>4.8499999999999996</v>
          </cell>
          <cell r="O270">
            <v>1.83</v>
          </cell>
          <cell r="P270" t="str">
            <v>Brick and mud mortar Masonry</v>
          </cell>
          <cell r="Q270">
            <v>0</v>
          </cell>
          <cell r="R270">
            <v>0.92</v>
          </cell>
          <cell r="S270" t="str">
            <v>Reinforced cement concrete (RCC) frame</v>
          </cell>
          <cell r="T270">
            <v>0</v>
          </cell>
          <cell r="U270">
            <v>0</v>
          </cell>
          <cell r="V270" t="str">
            <v>Hybrid structure</v>
          </cell>
          <cell r="W270">
            <v>0</v>
          </cell>
          <cell r="X270">
            <v>0</v>
          </cell>
          <cell r="Y270" t="str">
            <v>Timber frame structure</v>
          </cell>
          <cell r="Z270">
            <v>0</v>
          </cell>
          <cell r="AA270">
            <v>0.92</v>
          </cell>
          <cell r="AB270" t="str">
            <v>Hollow concrete block Masonry</v>
          </cell>
          <cell r="AC270">
            <v>0</v>
          </cell>
          <cell r="AD270">
            <v>0</v>
          </cell>
          <cell r="AE270" t="str">
            <v>Dry stone Masonry</v>
          </cell>
          <cell r="AF270">
            <v>0</v>
          </cell>
          <cell r="AG270">
            <v>0.31</v>
          </cell>
          <cell r="AH270" t="str">
            <v>Adobe structures</v>
          </cell>
          <cell r="AI270">
            <v>0.97</v>
          </cell>
          <cell r="AJ270">
            <v>0.1</v>
          </cell>
          <cell r="AK270" t="str">
            <v>Bamboo</v>
          </cell>
          <cell r="AL270">
            <v>0</v>
          </cell>
          <cell r="AM270">
            <v>0</v>
          </cell>
          <cell r="AN270" t="str">
            <v>Compressed stabilized earth block (SCEB) Masonry</v>
          </cell>
          <cell r="AO270">
            <v>0</v>
          </cell>
          <cell r="AP270">
            <v>0</v>
          </cell>
          <cell r="AQ270" t="str">
            <v>Light steel frame structures</v>
          </cell>
          <cell r="AR270">
            <v>0</v>
          </cell>
          <cell r="AS270">
            <v>0</v>
          </cell>
          <cell r="AT270">
            <v>49</v>
          </cell>
          <cell r="AU270">
            <v>49</v>
          </cell>
          <cell r="AV270">
            <v>49</v>
          </cell>
          <cell r="AW270">
            <v>41</v>
          </cell>
          <cell r="AX270">
            <v>1</v>
          </cell>
          <cell r="AY270">
            <v>38</v>
          </cell>
          <cell r="AZ270">
            <v>0</v>
          </cell>
          <cell r="BA270">
            <v>0</v>
          </cell>
          <cell r="BB270" t="str">
            <v/>
          </cell>
          <cell r="BC270" t="str">
            <v/>
          </cell>
          <cell r="BD270" t="str">
            <v/>
          </cell>
          <cell r="BE270">
            <v>46</v>
          </cell>
          <cell r="BF270" t="str">
            <v/>
          </cell>
          <cell r="BG270" t="str">
            <v/>
          </cell>
          <cell r="BH270" t="str">
            <v/>
          </cell>
          <cell r="BI270" t="str">
            <v/>
          </cell>
          <cell r="BJ270" t="str">
            <v/>
          </cell>
          <cell r="BK270">
            <v>2341</v>
          </cell>
          <cell r="BL270" t="str">
            <v/>
          </cell>
          <cell r="BM270" t="str">
            <v/>
          </cell>
          <cell r="BN270">
            <v>2347</v>
          </cell>
          <cell r="BO270" t="str">
            <v/>
          </cell>
          <cell r="BP270" t="str">
            <v/>
          </cell>
          <cell r="BQ270">
            <v>250</v>
          </cell>
          <cell r="BR270" t="str">
            <v/>
          </cell>
          <cell r="BS270" t="str">
            <v/>
          </cell>
          <cell r="BT270">
            <v>287</v>
          </cell>
          <cell r="BU270" t="str">
            <v/>
          </cell>
          <cell r="BV270" t="str">
            <v/>
          </cell>
          <cell r="BW270" t="str">
            <v/>
          </cell>
          <cell r="BX270" t="str">
            <v/>
          </cell>
          <cell r="BY270" t="str">
            <v/>
          </cell>
          <cell r="BZ270">
            <v>7912</v>
          </cell>
          <cell r="CA270" t="str">
            <v/>
          </cell>
          <cell r="CB270" t="str">
            <v/>
          </cell>
          <cell r="CC270">
            <v>25622</v>
          </cell>
          <cell r="CD270" t="str">
            <v/>
          </cell>
          <cell r="CE270" t="str">
            <v/>
          </cell>
          <cell r="CF270">
            <v>324</v>
          </cell>
          <cell r="CG270" t="str">
            <v/>
          </cell>
          <cell r="CH270" t="str">
            <v/>
          </cell>
          <cell r="CI270">
            <v>46220</v>
          </cell>
          <cell r="CJ270" t="str">
            <v/>
          </cell>
          <cell r="CK270" t="str">
            <v/>
          </cell>
          <cell r="CL270" t="str">
            <v>Skilled</v>
          </cell>
          <cell r="CM270" t="str">
            <v/>
          </cell>
          <cell r="CN270" t="str">
            <v>Labor</v>
          </cell>
          <cell r="CO270" t="str">
            <v/>
          </cell>
          <cell r="CP270" t="str">
            <v/>
          </cell>
          <cell r="CQ270" t="str">
            <v/>
          </cell>
          <cell r="CR270" t="str">
            <v/>
          </cell>
          <cell r="CS270" t="str">
            <v/>
          </cell>
          <cell r="CT270" t="str">
            <v/>
          </cell>
          <cell r="CU270" t="str">
            <v/>
          </cell>
          <cell r="CV270" t="str">
            <v>Municipal Office</v>
          </cell>
          <cell r="CW270" t="str">
            <v>Chhab raj Paudel</v>
          </cell>
          <cell r="CX270" t="str">
            <v>Mayor</v>
          </cell>
          <cell r="CY270">
            <v>9845064964</v>
          </cell>
          <cell r="CZ270" t="str">
            <v>Municipal Office</v>
          </cell>
          <cell r="DA270" t="str">
            <v>Bishnu Kumari kandel</v>
          </cell>
          <cell r="DB270" t="str">
            <v>Deputy Mayor</v>
          </cell>
          <cell r="DC270">
            <v>9855011601</v>
          </cell>
          <cell r="DD270" t="str">
            <v>Municipal Office</v>
          </cell>
          <cell r="DE270" t="str">
            <v>Shiv Prasad Rijal</v>
          </cell>
          <cell r="DF270" t="str">
            <v>Chief Adminstration Officer</v>
          </cell>
          <cell r="DG270">
            <v>9857639111</v>
          </cell>
          <cell r="DH270" t="str">
            <v>NRA/GMALI</v>
          </cell>
          <cell r="DI270" t="str">
            <v xml:space="preserve">Rajendra  Karki </v>
          </cell>
          <cell r="DJ270" t="str">
            <v>NRA Chief-District</v>
          </cell>
          <cell r="DK270">
            <v>9857087637</v>
          </cell>
          <cell r="DL270" t="str">
            <v>DLPIU-Building</v>
          </cell>
          <cell r="DM270" t="str">
            <v/>
          </cell>
          <cell r="DN270" t="str">
            <v>DUDBC.DLPIU Chief</v>
          </cell>
          <cell r="DO270" t="str">
            <v/>
          </cell>
          <cell r="DP270" t="str">
            <v>Municipal Office</v>
          </cell>
          <cell r="DQ270" t="str">
            <v>Dhurba Ghaire</v>
          </cell>
          <cell r="DR270" t="str">
            <v>Focal Person</v>
          </cell>
          <cell r="DS270">
            <v>9855063606</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v>0</v>
          </cell>
          <cell r="EK270">
            <v>0</v>
          </cell>
          <cell r="EL270">
            <v>0</v>
          </cell>
          <cell r="EM270">
            <v>0</v>
          </cell>
          <cell r="EN270">
            <v>0</v>
          </cell>
          <cell r="EO270">
            <v>0</v>
          </cell>
          <cell r="EP270" t="str">
            <v/>
          </cell>
          <cell r="EQ270" t="str">
            <v>Housing Recovery and Reconstruction Platform</v>
          </cell>
          <cell r="ER270" t="str">
            <v>Hari Prasad Thalang</v>
          </cell>
          <cell r="ES270" t="str">
            <v>District Coordinator</v>
          </cell>
          <cell r="ET270">
            <v>9851224505</v>
          </cell>
          <cell r="EU270" t="str">
            <v>Housing Recovery and Reconstruction Platform</v>
          </cell>
          <cell r="EV270" t="str">
            <v>Nirmal Nepali</v>
          </cell>
          <cell r="EW270" t="str">
            <v>DIstrict Information Management Officer</v>
          </cell>
          <cell r="EX270">
            <v>9848500348</v>
          </cell>
          <cell r="EY270" t="str">
            <v>Housing Recovery and Reconstruction Platform</v>
          </cell>
          <cell r="EZ270" t="str">
            <v xml:space="preserve">Kausal Bist </v>
          </cell>
          <cell r="FA270" t="str">
            <v>District Technical Officer</v>
          </cell>
          <cell r="FB270">
            <v>9849787273</v>
          </cell>
        </row>
        <row r="271">
          <cell r="A271">
            <v>48007</v>
          </cell>
          <cell r="B271" t="str">
            <v>Nawalparasi</v>
          </cell>
          <cell r="C271" t="str">
            <v>Hupsekot Gaunpalika</v>
          </cell>
          <cell r="D271">
            <v>13</v>
          </cell>
          <cell r="E271">
            <v>142</v>
          </cell>
          <cell r="F271">
            <v>155</v>
          </cell>
          <cell r="G271" t="str">
            <v>Stone and cement mortar masonry</v>
          </cell>
          <cell r="H271">
            <v>0</v>
          </cell>
          <cell r="I271">
            <v>0.81</v>
          </cell>
          <cell r="J271" t="str">
            <v>Stone and Mud Mortar Masonary</v>
          </cell>
          <cell r="K271">
            <v>96.13</v>
          </cell>
          <cell r="L271">
            <v>95.12</v>
          </cell>
          <cell r="M271" t="str">
            <v>Brick and Cement Mortar Masonary</v>
          </cell>
          <cell r="N271">
            <v>0</v>
          </cell>
          <cell r="O271">
            <v>1.83</v>
          </cell>
          <cell r="P271" t="str">
            <v>Brick and mud mortar Masonry</v>
          </cell>
          <cell r="Q271">
            <v>0.65</v>
          </cell>
          <cell r="R271">
            <v>0.92</v>
          </cell>
          <cell r="S271" t="str">
            <v>Reinforced cement concrete (RCC) frame</v>
          </cell>
          <cell r="T271">
            <v>0</v>
          </cell>
          <cell r="U271">
            <v>0</v>
          </cell>
          <cell r="V271" t="str">
            <v>Hybrid structure</v>
          </cell>
          <cell r="W271">
            <v>0</v>
          </cell>
          <cell r="X271">
            <v>0</v>
          </cell>
          <cell r="Y271" t="str">
            <v>Timber frame structure</v>
          </cell>
          <cell r="Z271">
            <v>3.23</v>
          </cell>
          <cell r="AA271">
            <v>0.92</v>
          </cell>
          <cell r="AB271" t="str">
            <v>Hollow concrete block Masonry</v>
          </cell>
          <cell r="AC271">
            <v>0</v>
          </cell>
          <cell r="AD271">
            <v>0</v>
          </cell>
          <cell r="AE271" t="str">
            <v>Dry stone Masonry</v>
          </cell>
          <cell r="AF271">
            <v>0</v>
          </cell>
          <cell r="AG271">
            <v>0.31</v>
          </cell>
          <cell r="AH271" t="str">
            <v>Adobe structures</v>
          </cell>
          <cell r="AI271">
            <v>0</v>
          </cell>
          <cell r="AJ271">
            <v>0.1</v>
          </cell>
          <cell r="AK271" t="str">
            <v>Bamboo</v>
          </cell>
          <cell r="AL271">
            <v>0</v>
          </cell>
          <cell r="AM271">
            <v>0</v>
          </cell>
          <cell r="AN271" t="str">
            <v>Compressed stabilized earth block (SCEB) Masonry</v>
          </cell>
          <cell r="AO271">
            <v>0</v>
          </cell>
          <cell r="AP271">
            <v>0</v>
          </cell>
          <cell r="AQ271" t="str">
            <v>Light steel frame structures</v>
          </cell>
          <cell r="AR271">
            <v>0</v>
          </cell>
          <cell r="AS271">
            <v>0</v>
          </cell>
          <cell r="AT271">
            <v>139</v>
          </cell>
          <cell r="AU271">
            <v>139</v>
          </cell>
          <cell r="AV271">
            <v>139</v>
          </cell>
          <cell r="AW271">
            <v>113</v>
          </cell>
          <cell r="AX271">
            <v>57</v>
          </cell>
          <cell r="AY271">
            <v>139</v>
          </cell>
          <cell r="AZ271">
            <v>0</v>
          </cell>
          <cell r="BA271">
            <v>2</v>
          </cell>
          <cell r="BB271" t="str">
            <v/>
          </cell>
          <cell r="BC271" t="str">
            <v/>
          </cell>
          <cell r="BD271" t="str">
            <v/>
          </cell>
          <cell r="BE271">
            <v>181</v>
          </cell>
          <cell r="BF271" t="str">
            <v/>
          </cell>
          <cell r="BG271" t="str">
            <v/>
          </cell>
          <cell r="BH271" t="str">
            <v/>
          </cell>
          <cell r="BI271" t="str">
            <v/>
          </cell>
          <cell r="BJ271" t="str">
            <v/>
          </cell>
          <cell r="BK271">
            <v>112</v>
          </cell>
          <cell r="BL271" t="str">
            <v/>
          </cell>
          <cell r="BM271" t="str">
            <v/>
          </cell>
          <cell r="BN271">
            <v>120</v>
          </cell>
          <cell r="BO271" t="str">
            <v/>
          </cell>
          <cell r="BP271" t="str">
            <v/>
          </cell>
          <cell r="BQ271">
            <v>12</v>
          </cell>
          <cell r="BR271" t="str">
            <v/>
          </cell>
          <cell r="BS271" t="str">
            <v/>
          </cell>
          <cell r="BT271">
            <v>14</v>
          </cell>
          <cell r="BU271" t="str">
            <v/>
          </cell>
          <cell r="BV271" t="str">
            <v/>
          </cell>
          <cell r="BW271" t="str">
            <v/>
          </cell>
          <cell r="BX271" t="str">
            <v/>
          </cell>
          <cell r="BY271" t="str">
            <v/>
          </cell>
          <cell r="BZ271">
            <v>392</v>
          </cell>
          <cell r="CA271" t="str">
            <v/>
          </cell>
          <cell r="CB271" t="str">
            <v/>
          </cell>
          <cell r="CC271">
            <v>1200</v>
          </cell>
          <cell r="CD271" t="str">
            <v/>
          </cell>
          <cell r="CE271" t="str">
            <v/>
          </cell>
          <cell r="CF271">
            <v>16</v>
          </cell>
          <cell r="CG271" t="str">
            <v/>
          </cell>
          <cell r="CH271" t="str">
            <v/>
          </cell>
          <cell r="CI271">
            <v>0</v>
          </cell>
          <cell r="CJ271" t="str">
            <v/>
          </cell>
          <cell r="CK271" t="str">
            <v/>
          </cell>
          <cell r="CL271" t="str">
            <v>Skilled</v>
          </cell>
          <cell r="CM271" t="str">
            <v/>
          </cell>
          <cell r="CN271" t="str">
            <v>Labor</v>
          </cell>
          <cell r="CO271" t="str">
            <v/>
          </cell>
          <cell r="CP271" t="str">
            <v/>
          </cell>
          <cell r="CQ271" t="str">
            <v/>
          </cell>
          <cell r="CR271" t="str">
            <v/>
          </cell>
          <cell r="CS271" t="str">
            <v/>
          </cell>
          <cell r="CT271" t="str">
            <v/>
          </cell>
          <cell r="CU271" t="str">
            <v/>
          </cell>
          <cell r="CV271" t="str">
            <v>Municipal Office</v>
          </cell>
          <cell r="CW271" t="str">
            <v>Laxmi Pandey</v>
          </cell>
          <cell r="CX271" t="str">
            <v xml:space="preserve">Chairman </v>
          </cell>
          <cell r="CY271">
            <v>9857040631</v>
          </cell>
          <cell r="CZ271" t="str">
            <v>Municipal Office</v>
          </cell>
          <cell r="DA271" t="str">
            <v>Swatantra Kopila Malla</v>
          </cell>
          <cell r="DB271" t="str">
            <v>Deputy Chairman</v>
          </cell>
          <cell r="DC271">
            <v>9847415770</v>
          </cell>
          <cell r="DD271" t="str">
            <v>Municipal Office</v>
          </cell>
          <cell r="DE271" t="str">
            <v>Chhatra Adhikari</v>
          </cell>
          <cell r="DF271" t="str">
            <v>Chief Adminstration Officer</v>
          </cell>
          <cell r="DG271">
            <v>9841904764</v>
          </cell>
          <cell r="DH271" t="str">
            <v>NRA/GMALI</v>
          </cell>
          <cell r="DI271" t="str">
            <v xml:space="preserve">Rajendra  Karki </v>
          </cell>
          <cell r="DJ271" t="str">
            <v>NRA Chief-District</v>
          </cell>
          <cell r="DK271">
            <v>9857087637</v>
          </cell>
          <cell r="DL271" t="str">
            <v>DLPIU-Building</v>
          </cell>
          <cell r="DM271" t="str">
            <v/>
          </cell>
          <cell r="DN271" t="str">
            <v>DUDBC.DLPIU Chief</v>
          </cell>
          <cell r="DO271" t="str">
            <v/>
          </cell>
          <cell r="DP271" t="str">
            <v>Municipal Office</v>
          </cell>
          <cell r="DQ271" t="str">
            <v>Ganesh MC</v>
          </cell>
          <cell r="DR271" t="str">
            <v>Focal Person</v>
          </cell>
          <cell r="DS271">
            <v>9857036027</v>
          </cell>
          <cell r="DT271" t="str">
            <v/>
          </cell>
          <cell r="DU271" t="str">
            <v/>
          </cell>
          <cell r="DV271" t="str">
            <v/>
          </cell>
          <cell r="DW271" t="str">
            <v/>
          </cell>
          <cell r="DX271" t="str">
            <v/>
          </cell>
          <cell r="DY271" t="str">
            <v/>
          </cell>
          <cell r="DZ271" t="str">
            <v/>
          </cell>
          <cell r="EA271" t="str">
            <v/>
          </cell>
          <cell r="EB271" t="str">
            <v/>
          </cell>
          <cell r="EC271" t="str">
            <v/>
          </cell>
          <cell r="ED271" t="str">
            <v/>
          </cell>
          <cell r="EE271" t="str">
            <v/>
          </cell>
          <cell r="EF271" t="str">
            <v/>
          </cell>
          <cell r="EG271" t="str">
            <v/>
          </cell>
          <cell r="EH271" t="str">
            <v/>
          </cell>
          <cell r="EI271" t="str">
            <v/>
          </cell>
          <cell r="EJ271">
            <v>0</v>
          </cell>
          <cell r="EK271">
            <v>0</v>
          </cell>
          <cell r="EL271">
            <v>0</v>
          </cell>
          <cell r="EM271">
            <v>0</v>
          </cell>
          <cell r="EN271">
            <v>0</v>
          </cell>
          <cell r="EO271">
            <v>0</v>
          </cell>
          <cell r="EP271" t="str">
            <v/>
          </cell>
          <cell r="EQ271" t="str">
            <v>Housing Recovery and Reconstruction Platform</v>
          </cell>
          <cell r="ER271" t="str">
            <v>Hari Prasad Thalang</v>
          </cell>
          <cell r="ES271" t="str">
            <v>District Coordinator</v>
          </cell>
          <cell r="ET271">
            <v>9851224505</v>
          </cell>
          <cell r="EU271" t="str">
            <v>Housing Recovery and Reconstruction Platform</v>
          </cell>
          <cell r="EV271" t="str">
            <v>Nirmal Nepali</v>
          </cell>
          <cell r="EW271" t="str">
            <v>DIstrict Information Management Officer</v>
          </cell>
          <cell r="EX271">
            <v>9848500348</v>
          </cell>
          <cell r="EY271" t="str">
            <v>Housing Recovery and Reconstruction Platform</v>
          </cell>
          <cell r="EZ271" t="str">
            <v xml:space="preserve">Kausal Bist </v>
          </cell>
          <cell r="FA271" t="str">
            <v>District Technical Officer</v>
          </cell>
          <cell r="FB271">
            <v>9849787273</v>
          </cell>
        </row>
        <row r="272">
          <cell r="A272">
            <v>48008</v>
          </cell>
          <cell r="B272" t="str">
            <v>Nawalparasi</v>
          </cell>
          <cell r="C272" t="str">
            <v>Kawasoti Nagarpalika</v>
          </cell>
          <cell r="D272">
            <v>0</v>
          </cell>
          <cell r="E272">
            <v>4</v>
          </cell>
          <cell r="F272">
            <v>4</v>
          </cell>
          <cell r="G272" t="str">
            <v>Stone and cement mortar masonry</v>
          </cell>
          <cell r="H272">
            <v>25</v>
          </cell>
          <cell r="I272">
            <v>0.81</v>
          </cell>
          <cell r="J272" t="str">
            <v>Stone and Mud Mortar Masonary</v>
          </cell>
          <cell r="K272">
            <v>50</v>
          </cell>
          <cell r="L272">
            <v>95.12</v>
          </cell>
          <cell r="M272" t="str">
            <v>Brick and Cement Mortar Masonary</v>
          </cell>
          <cell r="N272">
            <v>25</v>
          </cell>
          <cell r="O272">
            <v>1.83</v>
          </cell>
          <cell r="P272" t="str">
            <v>Brick and mud mortar Masonry</v>
          </cell>
          <cell r="Q272">
            <v>0</v>
          </cell>
          <cell r="R272">
            <v>0.92</v>
          </cell>
          <cell r="S272" t="str">
            <v>Reinforced cement concrete (RCC) frame</v>
          </cell>
          <cell r="T272">
            <v>0</v>
          </cell>
          <cell r="U272">
            <v>0</v>
          </cell>
          <cell r="V272" t="str">
            <v>Hybrid structure</v>
          </cell>
          <cell r="W272">
            <v>0</v>
          </cell>
          <cell r="X272">
            <v>0</v>
          </cell>
          <cell r="Y272" t="str">
            <v>Timber frame structure</v>
          </cell>
          <cell r="Z272">
            <v>0</v>
          </cell>
          <cell r="AA272">
            <v>0.92</v>
          </cell>
          <cell r="AB272" t="str">
            <v>Hollow concrete block Masonry</v>
          </cell>
          <cell r="AC272">
            <v>0</v>
          </cell>
          <cell r="AD272">
            <v>0</v>
          </cell>
          <cell r="AE272" t="str">
            <v>Dry stone Masonry</v>
          </cell>
          <cell r="AF272">
            <v>0</v>
          </cell>
          <cell r="AG272">
            <v>0.31</v>
          </cell>
          <cell r="AH272" t="str">
            <v>Adobe structures</v>
          </cell>
          <cell r="AI272">
            <v>0</v>
          </cell>
          <cell r="AJ272">
            <v>0.1</v>
          </cell>
          <cell r="AK272" t="str">
            <v>Bamboo</v>
          </cell>
          <cell r="AL272">
            <v>0</v>
          </cell>
          <cell r="AM272">
            <v>0</v>
          </cell>
          <cell r="AN272" t="str">
            <v>Compressed stabilized earth block (SCEB) Masonry</v>
          </cell>
          <cell r="AO272">
            <v>0</v>
          </cell>
          <cell r="AP272">
            <v>0</v>
          </cell>
          <cell r="AQ272" t="str">
            <v>Light steel frame structures</v>
          </cell>
          <cell r="AR272">
            <v>0</v>
          </cell>
          <cell r="AS272">
            <v>0</v>
          </cell>
          <cell r="AT272">
            <v>4</v>
          </cell>
          <cell r="AU272">
            <v>4</v>
          </cell>
          <cell r="AV272">
            <v>4</v>
          </cell>
          <cell r="AW272">
            <v>3</v>
          </cell>
          <cell r="AX272">
            <v>2</v>
          </cell>
          <cell r="AY272">
            <v>3</v>
          </cell>
          <cell r="AZ272">
            <v>0</v>
          </cell>
          <cell r="BA272">
            <v>0</v>
          </cell>
          <cell r="BB272" t="str">
            <v/>
          </cell>
          <cell r="BC272" t="str">
            <v/>
          </cell>
          <cell r="BD272" t="str">
            <v/>
          </cell>
          <cell r="BE272">
            <v>2</v>
          </cell>
          <cell r="BF272" t="str">
            <v/>
          </cell>
          <cell r="BG272" t="str">
            <v/>
          </cell>
          <cell r="BH272" t="str">
            <v/>
          </cell>
          <cell r="BI272" t="str">
            <v/>
          </cell>
          <cell r="BJ272" t="str">
            <v/>
          </cell>
          <cell r="BK272">
            <v>4368</v>
          </cell>
          <cell r="BL272" t="str">
            <v/>
          </cell>
          <cell r="BM272" t="str">
            <v/>
          </cell>
          <cell r="BN272">
            <v>1960</v>
          </cell>
          <cell r="BO272" t="str">
            <v/>
          </cell>
          <cell r="BP272" t="str">
            <v/>
          </cell>
          <cell r="BQ272">
            <v>448</v>
          </cell>
          <cell r="BR272" t="str">
            <v/>
          </cell>
          <cell r="BS272" t="str">
            <v/>
          </cell>
          <cell r="BT272">
            <v>448</v>
          </cell>
          <cell r="BU272" t="str">
            <v/>
          </cell>
          <cell r="BV272" t="str">
            <v/>
          </cell>
          <cell r="BW272" t="str">
            <v/>
          </cell>
          <cell r="BX272" t="str">
            <v/>
          </cell>
          <cell r="BY272" t="str">
            <v/>
          </cell>
          <cell r="BZ272">
            <v>10528</v>
          </cell>
          <cell r="CA272" t="str">
            <v/>
          </cell>
          <cell r="CB272" t="str">
            <v/>
          </cell>
          <cell r="CC272">
            <v>56000</v>
          </cell>
          <cell r="CD272" t="str">
            <v/>
          </cell>
          <cell r="CE272" t="str">
            <v/>
          </cell>
          <cell r="CF272">
            <v>448</v>
          </cell>
          <cell r="CG272" t="str">
            <v/>
          </cell>
          <cell r="CH272" t="str">
            <v/>
          </cell>
          <cell r="CI272">
            <v>782880</v>
          </cell>
          <cell r="CJ272" t="str">
            <v/>
          </cell>
          <cell r="CK272" t="str">
            <v/>
          </cell>
          <cell r="CL272" t="str">
            <v>Skilled</v>
          </cell>
          <cell r="CM272" t="str">
            <v/>
          </cell>
          <cell r="CN272" t="str">
            <v>Labor</v>
          </cell>
          <cell r="CO272" t="str">
            <v/>
          </cell>
          <cell r="CP272" t="str">
            <v/>
          </cell>
          <cell r="CQ272" t="str">
            <v/>
          </cell>
          <cell r="CR272" t="str">
            <v/>
          </cell>
          <cell r="CS272" t="str">
            <v/>
          </cell>
          <cell r="CT272" t="str">
            <v/>
          </cell>
          <cell r="CU272" t="str">
            <v/>
          </cell>
          <cell r="CV272" t="str">
            <v>Municipal Office</v>
          </cell>
          <cell r="CW272" t="str">
            <v>Chandra Kumari Pun</v>
          </cell>
          <cell r="CX272" t="str">
            <v xml:space="preserve">Chairman </v>
          </cell>
          <cell r="CY272">
            <v>9857046212</v>
          </cell>
          <cell r="CZ272" t="str">
            <v>Municipal Office</v>
          </cell>
          <cell r="DA272" t="str">
            <v>Prem Shankar Mardaniya</v>
          </cell>
          <cell r="DB272" t="str">
            <v>Deputy Chairman</v>
          </cell>
          <cell r="DC272">
            <v>9857046213</v>
          </cell>
          <cell r="DD272" t="str">
            <v>Municipal Office</v>
          </cell>
          <cell r="DE272" t="str">
            <v>Roshan Gyanwali</v>
          </cell>
          <cell r="DF272" t="str">
            <v>Chief Adminstration Officer</v>
          </cell>
          <cell r="DG272">
            <v>9857641111</v>
          </cell>
          <cell r="DH272" t="str">
            <v>NRA/GMALI</v>
          </cell>
          <cell r="DI272" t="str">
            <v xml:space="preserve">Rajendra  Karki </v>
          </cell>
          <cell r="DJ272" t="str">
            <v>NRA Chief-District</v>
          </cell>
          <cell r="DK272">
            <v>9857087637</v>
          </cell>
          <cell r="DL272" t="str">
            <v>DLPIU-Building</v>
          </cell>
          <cell r="DM272" t="str">
            <v/>
          </cell>
          <cell r="DN272" t="str">
            <v>DUDBC.DLPIU Chief</v>
          </cell>
          <cell r="DO272" t="str">
            <v/>
          </cell>
          <cell r="DP272" t="str">
            <v>Municipal Office</v>
          </cell>
          <cell r="DQ272" t="str">
            <v>Ganesh MC</v>
          </cell>
          <cell r="DR272" t="str">
            <v>Focal Person</v>
          </cell>
          <cell r="DS272">
            <v>9857036027</v>
          </cell>
          <cell r="DT272" t="str">
            <v/>
          </cell>
          <cell r="DU272" t="str">
            <v/>
          </cell>
          <cell r="DV272" t="str">
            <v/>
          </cell>
          <cell r="DW272" t="str">
            <v/>
          </cell>
          <cell r="DX272" t="str">
            <v/>
          </cell>
          <cell r="DY272" t="str">
            <v/>
          </cell>
          <cell r="DZ272" t="str">
            <v/>
          </cell>
          <cell r="EA272" t="str">
            <v/>
          </cell>
          <cell r="EB272" t="str">
            <v/>
          </cell>
          <cell r="EC272" t="str">
            <v/>
          </cell>
          <cell r="ED272" t="str">
            <v/>
          </cell>
          <cell r="EE272" t="str">
            <v/>
          </cell>
          <cell r="EF272" t="str">
            <v/>
          </cell>
          <cell r="EG272" t="str">
            <v/>
          </cell>
          <cell r="EH272" t="str">
            <v/>
          </cell>
          <cell r="EI272" t="str">
            <v/>
          </cell>
          <cell r="EJ272">
            <v>0</v>
          </cell>
          <cell r="EK272">
            <v>0</v>
          </cell>
          <cell r="EL272">
            <v>0</v>
          </cell>
          <cell r="EM272">
            <v>0</v>
          </cell>
          <cell r="EN272">
            <v>0</v>
          </cell>
          <cell r="EO272">
            <v>0</v>
          </cell>
          <cell r="EP272" t="str">
            <v/>
          </cell>
          <cell r="EQ272" t="str">
            <v>Housing Recovery and Reconstruction Platform</v>
          </cell>
          <cell r="ER272" t="str">
            <v>Hari Prasad Thalang</v>
          </cell>
          <cell r="ES272" t="str">
            <v>District Coordinator</v>
          </cell>
          <cell r="ET272">
            <v>9851224505</v>
          </cell>
          <cell r="EU272" t="str">
            <v>Housing Recovery and Reconstruction Platform</v>
          </cell>
          <cell r="EV272" t="str">
            <v>Nirmal Nepali</v>
          </cell>
          <cell r="EW272" t="str">
            <v>DIstrict Information Management Officer</v>
          </cell>
          <cell r="EX272">
            <v>9848500348</v>
          </cell>
          <cell r="EY272" t="str">
            <v>Housing Recovery and Reconstruction Platform</v>
          </cell>
          <cell r="EZ272" t="str">
            <v xml:space="preserve">Kausal Bist </v>
          </cell>
          <cell r="FA272" t="str">
            <v>District Technical Officer</v>
          </cell>
          <cell r="FB272">
            <v>9849787273</v>
          </cell>
        </row>
        <row r="273">
          <cell r="A273">
            <v>48009</v>
          </cell>
          <cell r="B273" t="str">
            <v>Nawalparasi</v>
          </cell>
          <cell r="C273" t="str">
            <v>Madhyabindu Nagarpalika</v>
          </cell>
          <cell r="D273">
            <v>0</v>
          </cell>
          <cell r="E273">
            <v>41</v>
          </cell>
          <cell r="F273">
            <v>41</v>
          </cell>
          <cell r="G273" t="str">
            <v>Stone and cement mortar masonry</v>
          </cell>
          <cell r="H273">
            <v>4.88</v>
          </cell>
          <cell r="I273">
            <v>0.81</v>
          </cell>
          <cell r="J273" t="str">
            <v>Stone and Mud Mortar Masonary</v>
          </cell>
          <cell r="K273">
            <v>90.24</v>
          </cell>
          <cell r="L273">
            <v>95.12</v>
          </cell>
          <cell r="M273" t="str">
            <v>Brick and Cement Mortar Masonary</v>
          </cell>
          <cell r="N273">
            <v>4.88</v>
          </cell>
          <cell r="O273">
            <v>1.83</v>
          </cell>
          <cell r="P273" t="str">
            <v>Brick and mud mortar Masonry</v>
          </cell>
          <cell r="Q273">
            <v>0</v>
          </cell>
          <cell r="R273">
            <v>0.92</v>
          </cell>
          <cell r="S273" t="str">
            <v>Reinforced cement concrete (RCC) frame</v>
          </cell>
          <cell r="T273">
            <v>0</v>
          </cell>
          <cell r="U273">
            <v>0</v>
          </cell>
          <cell r="V273" t="str">
            <v>Hybrid structure</v>
          </cell>
          <cell r="W273">
            <v>0</v>
          </cell>
          <cell r="X273">
            <v>0</v>
          </cell>
          <cell r="Y273" t="str">
            <v>Timber frame structure</v>
          </cell>
          <cell r="Z273">
            <v>0</v>
          </cell>
          <cell r="AA273">
            <v>0.92</v>
          </cell>
          <cell r="AB273" t="str">
            <v>Hollow concrete block Masonry</v>
          </cell>
          <cell r="AC273">
            <v>0</v>
          </cell>
          <cell r="AD273">
            <v>0</v>
          </cell>
          <cell r="AE273" t="str">
            <v>Dry stone Masonry</v>
          </cell>
          <cell r="AF273">
            <v>0</v>
          </cell>
          <cell r="AG273">
            <v>0.31</v>
          </cell>
          <cell r="AH273" t="str">
            <v>Adobe structures</v>
          </cell>
          <cell r="AI273">
            <v>0</v>
          </cell>
          <cell r="AJ273">
            <v>0.1</v>
          </cell>
          <cell r="AK273" t="str">
            <v>Bamboo</v>
          </cell>
          <cell r="AL273">
            <v>0</v>
          </cell>
          <cell r="AM273">
            <v>0</v>
          </cell>
          <cell r="AN273" t="str">
            <v>Compressed stabilized earth block (SCEB) Masonry</v>
          </cell>
          <cell r="AO273">
            <v>0</v>
          </cell>
          <cell r="AP273">
            <v>0</v>
          </cell>
          <cell r="AQ273" t="str">
            <v>Light steel frame structures</v>
          </cell>
          <cell r="AR273">
            <v>0</v>
          </cell>
          <cell r="AS273">
            <v>0</v>
          </cell>
          <cell r="AT273">
            <v>81</v>
          </cell>
          <cell r="AU273">
            <v>81</v>
          </cell>
          <cell r="AV273">
            <v>81</v>
          </cell>
          <cell r="AW273">
            <v>63</v>
          </cell>
          <cell r="AX273">
            <v>52</v>
          </cell>
          <cell r="AY273">
            <v>63</v>
          </cell>
          <cell r="AZ273">
            <v>52</v>
          </cell>
          <cell r="BA273">
            <v>3</v>
          </cell>
          <cell r="BB273" t="str">
            <v/>
          </cell>
          <cell r="BC273" t="str">
            <v/>
          </cell>
          <cell r="BD273" t="str">
            <v/>
          </cell>
          <cell r="BE273">
            <v>218</v>
          </cell>
          <cell r="BF273" t="str">
            <v/>
          </cell>
          <cell r="BG273" t="str">
            <v/>
          </cell>
          <cell r="BH273" t="str">
            <v/>
          </cell>
          <cell r="BI273" t="str">
            <v/>
          </cell>
          <cell r="BJ273" t="str">
            <v/>
          </cell>
          <cell r="BK273">
            <v>35</v>
          </cell>
          <cell r="BL273" t="str">
            <v/>
          </cell>
          <cell r="BM273" t="str">
            <v/>
          </cell>
          <cell r="BN273">
            <v>28</v>
          </cell>
          <cell r="BO273" t="str">
            <v/>
          </cell>
          <cell r="BP273" t="str">
            <v/>
          </cell>
          <cell r="BQ273">
            <v>4</v>
          </cell>
          <cell r="BR273" t="str">
            <v/>
          </cell>
          <cell r="BS273" t="str">
            <v/>
          </cell>
          <cell r="BT273">
            <v>4</v>
          </cell>
          <cell r="BU273" t="str">
            <v/>
          </cell>
          <cell r="BV273" t="str">
            <v/>
          </cell>
          <cell r="BW273" t="str">
            <v/>
          </cell>
          <cell r="BX273" t="str">
            <v/>
          </cell>
          <cell r="BY273" t="str">
            <v/>
          </cell>
          <cell r="BZ273">
            <v>96</v>
          </cell>
          <cell r="CA273" t="str">
            <v/>
          </cell>
          <cell r="CB273" t="str">
            <v/>
          </cell>
          <cell r="CC273">
            <v>398</v>
          </cell>
          <cell r="CD273" t="str">
            <v/>
          </cell>
          <cell r="CE273" t="str">
            <v/>
          </cell>
          <cell r="CF273">
            <v>4</v>
          </cell>
          <cell r="CG273" t="str">
            <v/>
          </cell>
          <cell r="CH273" t="str">
            <v/>
          </cell>
          <cell r="CI273">
            <v>1025</v>
          </cell>
          <cell r="CJ273" t="str">
            <v/>
          </cell>
          <cell r="CK273" t="str">
            <v/>
          </cell>
          <cell r="CL273" t="str">
            <v>Skilled</v>
          </cell>
          <cell r="CM273" t="str">
            <v/>
          </cell>
          <cell r="CN273" t="str">
            <v>Labor</v>
          </cell>
          <cell r="CO273" t="str">
            <v/>
          </cell>
          <cell r="CP273" t="str">
            <v/>
          </cell>
          <cell r="CQ273" t="str">
            <v/>
          </cell>
          <cell r="CR273" t="str">
            <v/>
          </cell>
          <cell r="CS273" t="str">
            <v/>
          </cell>
          <cell r="CT273" t="str">
            <v/>
          </cell>
          <cell r="CU273" t="str">
            <v/>
          </cell>
          <cell r="CV273" t="str">
            <v>Municipal Office</v>
          </cell>
          <cell r="CW273" t="str">
            <v>Chandra Bahadur Rana</v>
          </cell>
          <cell r="CX273" t="str">
            <v xml:space="preserve">Chairman </v>
          </cell>
          <cell r="CY273">
            <v>9857040250</v>
          </cell>
          <cell r="CZ273" t="str">
            <v>Municipal Office</v>
          </cell>
          <cell r="DA273" t="str">
            <v>Om Kumari Mahato</v>
          </cell>
          <cell r="DB273" t="str">
            <v>Deputy Chairman</v>
          </cell>
          <cell r="DC273">
            <v>9847425348</v>
          </cell>
          <cell r="DD273" t="str">
            <v>Municipal Office</v>
          </cell>
          <cell r="DE273" t="str">
            <v>Shiv Raj Bhattarai</v>
          </cell>
          <cell r="DF273" t="str">
            <v>Chief Adminstration Officer</v>
          </cell>
          <cell r="DG273">
            <v>9857041003</v>
          </cell>
          <cell r="DH273" t="str">
            <v>NRA/GMALI</v>
          </cell>
          <cell r="DI273" t="str">
            <v xml:space="preserve">Rajendra  Karki </v>
          </cell>
          <cell r="DJ273" t="str">
            <v>NRA Chief-District</v>
          </cell>
          <cell r="DK273">
            <v>9857087637</v>
          </cell>
          <cell r="DL273" t="str">
            <v>DLPIU-Building</v>
          </cell>
          <cell r="DM273" t="str">
            <v/>
          </cell>
          <cell r="DN273" t="str">
            <v>DUDBC.DLPIU Chief</v>
          </cell>
          <cell r="DO273" t="str">
            <v/>
          </cell>
          <cell r="DP273" t="str">
            <v>Municipal Office</v>
          </cell>
          <cell r="DQ273" t="str">
            <v>Dipak Tiwari</v>
          </cell>
          <cell r="DR273" t="str">
            <v>Focal Person</v>
          </cell>
          <cell r="DS273">
            <v>9847250774</v>
          </cell>
          <cell r="DT273" t="str">
            <v/>
          </cell>
          <cell r="DU273" t="str">
            <v/>
          </cell>
          <cell r="DV273" t="str">
            <v/>
          </cell>
          <cell r="DW273" t="str">
            <v/>
          </cell>
          <cell r="DX273" t="str">
            <v/>
          </cell>
          <cell r="DY273" t="str">
            <v/>
          </cell>
          <cell r="DZ273" t="str">
            <v/>
          </cell>
          <cell r="EA273" t="str">
            <v/>
          </cell>
          <cell r="EB273" t="str">
            <v/>
          </cell>
          <cell r="EC273" t="str">
            <v/>
          </cell>
          <cell r="ED273" t="str">
            <v/>
          </cell>
          <cell r="EE273" t="str">
            <v/>
          </cell>
          <cell r="EF273" t="str">
            <v/>
          </cell>
          <cell r="EG273" t="str">
            <v/>
          </cell>
          <cell r="EH273" t="str">
            <v/>
          </cell>
          <cell r="EI273" t="str">
            <v/>
          </cell>
          <cell r="EJ273">
            <v>0</v>
          </cell>
          <cell r="EK273">
            <v>0</v>
          </cell>
          <cell r="EL273">
            <v>0</v>
          </cell>
          <cell r="EM273">
            <v>0</v>
          </cell>
          <cell r="EN273">
            <v>0</v>
          </cell>
          <cell r="EO273">
            <v>0</v>
          </cell>
          <cell r="EP273" t="str">
            <v/>
          </cell>
          <cell r="EQ273" t="str">
            <v>Housing Recovery and Reconstruction Platform</v>
          </cell>
          <cell r="ER273" t="str">
            <v>Hari Prasad Thalang</v>
          </cell>
          <cell r="ES273" t="str">
            <v>District Coordinator</v>
          </cell>
          <cell r="ET273">
            <v>9851224505</v>
          </cell>
          <cell r="EU273" t="str">
            <v>Housing Recovery and Reconstruction Platform</v>
          </cell>
          <cell r="EV273" t="str">
            <v>Nirmal Nepali</v>
          </cell>
          <cell r="EW273" t="str">
            <v>DIstrict Information Management Officer</v>
          </cell>
          <cell r="EX273">
            <v>9848500348</v>
          </cell>
          <cell r="EY273" t="str">
            <v>Housing Recovery and Reconstruction Platform</v>
          </cell>
          <cell r="EZ273" t="str">
            <v xml:space="preserve">Kausal Bist </v>
          </cell>
          <cell r="FA273" t="str">
            <v>District Technical Officer</v>
          </cell>
          <cell r="FB273">
            <v>9849787273</v>
          </cell>
        </row>
        <row r="274">
          <cell r="A274">
            <v>48012</v>
          </cell>
          <cell r="B274" t="str">
            <v>Nawalparasi</v>
          </cell>
          <cell r="C274" t="str">
            <v>Ramgram Nagarpalika</v>
          </cell>
          <cell r="D274">
            <v>0</v>
          </cell>
          <cell r="E274">
            <v>0</v>
          </cell>
          <cell r="F274">
            <v>0</v>
          </cell>
          <cell r="G274" t="str">
            <v>Stone and cement mortar masonry</v>
          </cell>
          <cell r="H274">
            <v>0</v>
          </cell>
          <cell r="I274">
            <v>0.81</v>
          </cell>
          <cell r="J274" t="str">
            <v>Stone and Mud Mortar Masonary</v>
          </cell>
          <cell r="K274">
            <v>0</v>
          </cell>
          <cell r="L274">
            <v>95.12</v>
          </cell>
          <cell r="M274" t="str">
            <v>Brick and Cement Mortar Masonary</v>
          </cell>
          <cell r="N274">
            <v>0</v>
          </cell>
          <cell r="O274">
            <v>1.83</v>
          </cell>
          <cell r="P274" t="str">
            <v>Brick and mud mortar Masonry</v>
          </cell>
          <cell r="Q274">
            <v>0</v>
          </cell>
          <cell r="R274">
            <v>0.92</v>
          </cell>
          <cell r="S274" t="str">
            <v>Reinforced cement concrete (RCC) frame</v>
          </cell>
          <cell r="T274">
            <v>0</v>
          </cell>
          <cell r="U274">
            <v>0</v>
          </cell>
          <cell r="V274" t="str">
            <v>Hybrid structure</v>
          </cell>
          <cell r="W274">
            <v>0</v>
          </cell>
          <cell r="X274">
            <v>0</v>
          </cell>
          <cell r="Y274" t="str">
            <v>Timber frame structure</v>
          </cell>
          <cell r="Z274">
            <v>0</v>
          </cell>
          <cell r="AA274">
            <v>0.92</v>
          </cell>
          <cell r="AB274" t="str">
            <v>Hollow concrete block Masonry</v>
          </cell>
          <cell r="AC274">
            <v>0</v>
          </cell>
          <cell r="AD274">
            <v>0</v>
          </cell>
          <cell r="AE274" t="str">
            <v>Dry stone Masonry</v>
          </cell>
          <cell r="AF274">
            <v>0</v>
          </cell>
          <cell r="AG274">
            <v>0.31</v>
          </cell>
          <cell r="AH274" t="str">
            <v>Adobe structures</v>
          </cell>
          <cell r="AI274">
            <v>0</v>
          </cell>
          <cell r="AJ274">
            <v>0.1</v>
          </cell>
          <cell r="AK274" t="str">
            <v>Bamboo</v>
          </cell>
          <cell r="AL274">
            <v>0</v>
          </cell>
          <cell r="AM274">
            <v>0</v>
          </cell>
          <cell r="AN274" t="str">
            <v>Compressed stabilized earth block (SCEB) Masonry</v>
          </cell>
          <cell r="AO274">
            <v>0</v>
          </cell>
          <cell r="AP274">
            <v>0</v>
          </cell>
          <cell r="AQ274" t="str">
            <v>Light steel frame structures</v>
          </cell>
          <cell r="AR274">
            <v>0</v>
          </cell>
          <cell r="AS274">
            <v>0</v>
          </cell>
          <cell r="AT274">
            <v>0</v>
          </cell>
          <cell r="AU274">
            <v>0</v>
          </cell>
          <cell r="AV274">
            <v>0</v>
          </cell>
          <cell r="AW274">
            <v>0</v>
          </cell>
          <cell r="AX274">
            <v>0</v>
          </cell>
          <cell r="AY274">
            <v>0</v>
          </cell>
          <cell r="AZ274">
            <v>0</v>
          </cell>
          <cell r="BA274">
            <v>0</v>
          </cell>
          <cell r="BB274" t="str">
            <v/>
          </cell>
          <cell r="BC274" t="str">
            <v/>
          </cell>
          <cell r="BD274" t="str">
            <v/>
          </cell>
          <cell r="BE274">
            <v>0</v>
          </cell>
          <cell r="BF274" t="str">
            <v/>
          </cell>
          <cell r="BG274" t="str">
            <v/>
          </cell>
          <cell r="BH274" t="str">
            <v/>
          </cell>
          <cell r="BI274" t="str">
            <v/>
          </cell>
          <cell r="BJ274" t="str">
            <v/>
          </cell>
          <cell r="BK274">
            <v>0</v>
          </cell>
          <cell r="BL274" t="str">
            <v/>
          </cell>
          <cell r="BM274" t="str">
            <v/>
          </cell>
          <cell r="BN274">
            <v>0</v>
          </cell>
          <cell r="BO274" t="str">
            <v/>
          </cell>
          <cell r="BP274" t="str">
            <v/>
          </cell>
          <cell r="BQ274">
            <v>0</v>
          </cell>
          <cell r="BR274" t="str">
            <v/>
          </cell>
          <cell r="BS274" t="str">
            <v/>
          </cell>
          <cell r="BT274">
            <v>0</v>
          </cell>
          <cell r="BU274" t="str">
            <v/>
          </cell>
          <cell r="BV274" t="str">
            <v/>
          </cell>
          <cell r="BW274" t="str">
            <v/>
          </cell>
          <cell r="BX274" t="str">
            <v/>
          </cell>
          <cell r="BY274" t="str">
            <v/>
          </cell>
          <cell r="BZ274">
            <v>0</v>
          </cell>
          <cell r="CA274" t="str">
            <v/>
          </cell>
          <cell r="CB274" t="str">
            <v/>
          </cell>
          <cell r="CC274">
            <v>0</v>
          </cell>
          <cell r="CD274" t="str">
            <v/>
          </cell>
          <cell r="CE274" t="str">
            <v/>
          </cell>
          <cell r="CF274">
            <v>0</v>
          </cell>
          <cell r="CG274" t="str">
            <v/>
          </cell>
          <cell r="CH274" t="str">
            <v/>
          </cell>
          <cell r="CI274">
            <v>0</v>
          </cell>
          <cell r="CJ274" t="str">
            <v/>
          </cell>
          <cell r="CK274" t="str">
            <v/>
          </cell>
          <cell r="CL274" t="str">
            <v>Skilled</v>
          </cell>
          <cell r="CM274" t="str">
            <v/>
          </cell>
          <cell r="CN274" t="str">
            <v>Labor</v>
          </cell>
          <cell r="CO274" t="str">
            <v/>
          </cell>
          <cell r="CP274" t="str">
            <v/>
          </cell>
          <cell r="CQ274" t="str">
            <v/>
          </cell>
          <cell r="CR274" t="str">
            <v/>
          </cell>
          <cell r="CS274" t="str">
            <v/>
          </cell>
          <cell r="CT274" t="str">
            <v/>
          </cell>
          <cell r="CU274" t="str">
            <v/>
          </cell>
          <cell r="CV274" t="str">
            <v>Municipal Office</v>
          </cell>
          <cell r="CW274" t="str">
            <v>Narendra Kumar Gupta</v>
          </cell>
          <cell r="CX274" t="str">
            <v>Mayor</v>
          </cell>
          <cell r="CY274">
            <v>9857021533</v>
          </cell>
          <cell r="CZ274" t="str">
            <v>Municipal Office</v>
          </cell>
          <cell r="DA274" t="str">
            <v>Rambha Kunwar</v>
          </cell>
          <cell r="DB274" t="str">
            <v>Deputy Mayor</v>
          </cell>
          <cell r="DC274">
            <v>9847214199</v>
          </cell>
          <cell r="DD274" t="str">
            <v>Municipal Office</v>
          </cell>
          <cell r="DE274" t="str">
            <v>Krishan Prasad Chapagain</v>
          </cell>
          <cell r="DF274" t="str">
            <v>Chief Adminstration Officer</v>
          </cell>
          <cell r="DG274">
            <v>9843165905</v>
          </cell>
          <cell r="DH274" t="str">
            <v>NRA/GMALI</v>
          </cell>
          <cell r="DI274" t="str">
            <v xml:space="preserve">Rajendra  Karki </v>
          </cell>
          <cell r="DJ274" t="str">
            <v>NRA Chief-District</v>
          </cell>
          <cell r="DK274">
            <v>9857087637</v>
          </cell>
          <cell r="DL274" t="str">
            <v>DLPIU-Building</v>
          </cell>
          <cell r="DM274" t="str">
            <v/>
          </cell>
          <cell r="DN274" t="str">
            <v>DUDBC.DLPIU Chief</v>
          </cell>
          <cell r="DO274" t="str">
            <v/>
          </cell>
          <cell r="DP274" t="str">
            <v>Municipal Office</v>
          </cell>
          <cell r="DQ274" t="str">
            <v>Sita Paudel</v>
          </cell>
          <cell r="DR274" t="str">
            <v>Focal Person</v>
          </cell>
          <cell r="DS274">
            <v>9847958120</v>
          </cell>
          <cell r="DT274" t="str">
            <v/>
          </cell>
          <cell r="DU274" t="str">
            <v/>
          </cell>
          <cell r="DV274" t="str">
            <v/>
          </cell>
          <cell r="DW274" t="str">
            <v/>
          </cell>
          <cell r="DX274" t="str">
            <v/>
          </cell>
          <cell r="DY274" t="str">
            <v/>
          </cell>
          <cell r="DZ274" t="str">
            <v/>
          </cell>
          <cell r="EA274" t="str">
            <v/>
          </cell>
          <cell r="EB274" t="str">
            <v/>
          </cell>
          <cell r="EC274" t="str">
            <v/>
          </cell>
          <cell r="ED274" t="str">
            <v/>
          </cell>
          <cell r="EE274" t="str">
            <v/>
          </cell>
          <cell r="EF274" t="str">
            <v/>
          </cell>
          <cell r="EG274" t="str">
            <v/>
          </cell>
          <cell r="EH274" t="str">
            <v/>
          </cell>
          <cell r="EI274" t="str">
            <v/>
          </cell>
          <cell r="EJ274">
            <v>0</v>
          </cell>
          <cell r="EK274">
            <v>0</v>
          </cell>
          <cell r="EL274">
            <v>0</v>
          </cell>
          <cell r="EM274">
            <v>0</v>
          </cell>
          <cell r="EN274">
            <v>0</v>
          </cell>
          <cell r="EO274">
            <v>0</v>
          </cell>
          <cell r="EP274" t="str">
            <v/>
          </cell>
          <cell r="EQ274" t="str">
            <v>Housing Recovery and Reconstruction Platform</v>
          </cell>
          <cell r="ER274" t="str">
            <v>Hari Prasad Thalang</v>
          </cell>
          <cell r="ES274" t="str">
            <v>District Coordinator</v>
          </cell>
          <cell r="ET274">
            <v>9851224505</v>
          </cell>
          <cell r="EU274" t="str">
            <v>Housing Recovery and Reconstruction Platform</v>
          </cell>
          <cell r="EV274" t="str">
            <v>Nirmal Nepali</v>
          </cell>
          <cell r="EW274" t="str">
            <v>DIstrict Information Management Officer</v>
          </cell>
          <cell r="EX274">
            <v>9848500348</v>
          </cell>
          <cell r="EY274" t="str">
            <v>Housing Recovery and Reconstruction Platform</v>
          </cell>
          <cell r="EZ274" t="str">
            <v xml:space="preserve">Kausal Bist </v>
          </cell>
          <cell r="FA274" t="str">
            <v>District Technical Officer</v>
          </cell>
          <cell r="FB274">
            <v>9849787273</v>
          </cell>
        </row>
        <row r="275">
          <cell r="A275">
            <v>48020</v>
          </cell>
          <cell r="B275" t="str">
            <v>Nawalparasi</v>
          </cell>
          <cell r="C275" t="str">
            <v>Palhi Nandan Gaunpalika</v>
          </cell>
          <cell r="D275">
            <v>1</v>
          </cell>
          <cell r="E275">
            <v>5</v>
          </cell>
          <cell r="F275">
            <v>6</v>
          </cell>
          <cell r="G275" t="str">
            <v>Stone and cement mortar masonry</v>
          </cell>
          <cell r="H275">
            <v>0</v>
          </cell>
          <cell r="I275">
            <v>0.81</v>
          </cell>
          <cell r="J275" t="str">
            <v>Stone and Mud Mortar Masonary</v>
          </cell>
          <cell r="K275">
            <v>0</v>
          </cell>
          <cell r="L275">
            <v>95.12</v>
          </cell>
          <cell r="M275" t="str">
            <v>Brick and Cement Mortar Masonary</v>
          </cell>
          <cell r="N275">
            <v>33.33</v>
          </cell>
          <cell r="O275">
            <v>1.83</v>
          </cell>
          <cell r="P275" t="str">
            <v>Brick and mud mortar Masonry</v>
          </cell>
          <cell r="Q275">
            <v>50</v>
          </cell>
          <cell r="R275">
            <v>0.92</v>
          </cell>
          <cell r="S275" t="str">
            <v>Reinforced cement concrete (RCC) frame</v>
          </cell>
          <cell r="T275">
            <v>0</v>
          </cell>
          <cell r="U275">
            <v>0</v>
          </cell>
          <cell r="V275" t="str">
            <v>Hybrid structure</v>
          </cell>
          <cell r="W275">
            <v>0</v>
          </cell>
          <cell r="X275">
            <v>0</v>
          </cell>
          <cell r="Y275" t="str">
            <v>Timber frame structure</v>
          </cell>
          <cell r="Z275">
            <v>16.670000000000002</v>
          </cell>
          <cell r="AA275">
            <v>0.92</v>
          </cell>
          <cell r="AB275" t="str">
            <v>Hollow concrete block Masonry</v>
          </cell>
          <cell r="AC275">
            <v>0</v>
          </cell>
          <cell r="AD275">
            <v>0</v>
          </cell>
          <cell r="AE275" t="str">
            <v>Dry stone Masonry</v>
          </cell>
          <cell r="AF275">
            <v>0</v>
          </cell>
          <cell r="AG275">
            <v>0.31</v>
          </cell>
          <cell r="AH275" t="str">
            <v>Adobe structures</v>
          </cell>
          <cell r="AI275">
            <v>0</v>
          </cell>
          <cell r="AJ275">
            <v>0.1</v>
          </cell>
          <cell r="AK275" t="str">
            <v>Bamboo</v>
          </cell>
          <cell r="AL275">
            <v>0</v>
          </cell>
          <cell r="AM275">
            <v>0</v>
          </cell>
          <cell r="AN275" t="str">
            <v>Compressed stabilized earth block (SCEB) Masonry</v>
          </cell>
          <cell r="AO275">
            <v>0</v>
          </cell>
          <cell r="AP275">
            <v>0</v>
          </cell>
          <cell r="AQ275" t="str">
            <v>Light steel frame structures</v>
          </cell>
          <cell r="AR275">
            <v>0</v>
          </cell>
          <cell r="AS275">
            <v>0</v>
          </cell>
          <cell r="AT275">
            <v>4</v>
          </cell>
          <cell r="AU275">
            <v>4</v>
          </cell>
          <cell r="AV275">
            <v>4</v>
          </cell>
          <cell r="AW275">
            <v>3</v>
          </cell>
          <cell r="AX275">
            <v>3</v>
          </cell>
          <cell r="AY275">
            <v>3</v>
          </cell>
          <cell r="AZ275">
            <v>0</v>
          </cell>
          <cell r="BA275">
            <v>0</v>
          </cell>
          <cell r="BB275" t="str">
            <v/>
          </cell>
          <cell r="BC275" t="str">
            <v/>
          </cell>
          <cell r="BD275" t="str">
            <v/>
          </cell>
          <cell r="BE275">
            <v>0</v>
          </cell>
          <cell r="BF275" t="str">
            <v/>
          </cell>
          <cell r="BG275" t="str">
            <v/>
          </cell>
          <cell r="BH275" t="str">
            <v/>
          </cell>
          <cell r="BI275" t="str">
            <v/>
          </cell>
          <cell r="BJ275" t="str">
            <v/>
          </cell>
          <cell r="BK275">
            <v>45</v>
          </cell>
          <cell r="BL275" t="str">
            <v/>
          </cell>
          <cell r="BM275" t="str">
            <v/>
          </cell>
          <cell r="BN275">
            <v>48</v>
          </cell>
          <cell r="BO275" t="str">
            <v/>
          </cell>
          <cell r="BP275" t="str">
            <v/>
          </cell>
          <cell r="BQ275">
            <v>5</v>
          </cell>
          <cell r="BR275" t="str">
            <v/>
          </cell>
          <cell r="BS275" t="str">
            <v/>
          </cell>
          <cell r="BT275">
            <v>6</v>
          </cell>
          <cell r="BU275" t="str">
            <v/>
          </cell>
          <cell r="BV275" t="str">
            <v/>
          </cell>
          <cell r="BW275" t="str">
            <v/>
          </cell>
          <cell r="BX275" t="str">
            <v/>
          </cell>
          <cell r="BY275" t="str">
            <v/>
          </cell>
          <cell r="BZ275">
            <v>157</v>
          </cell>
          <cell r="CA275" t="str">
            <v/>
          </cell>
          <cell r="CB275" t="str">
            <v/>
          </cell>
          <cell r="CC275">
            <v>480</v>
          </cell>
          <cell r="CD275" t="str">
            <v/>
          </cell>
          <cell r="CE275" t="str">
            <v/>
          </cell>
          <cell r="CF275">
            <v>6</v>
          </cell>
          <cell r="CG275" t="str">
            <v/>
          </cell>
          <cell r="CH275" t="str">
            <v/>
          </cell>
          <cell r="CI275">
            <v>0</v>
          </cell>
          <cell r="CJ275" t="str">
            <v/>
          </cell>
          <cell r="CK275" t="str">
            <v/>
          </cell>
          <cell r="CL275" t="str">
            <v>Skilled</v>
          </cell>
          <cell r="CM275" t="str">
            <v/>
          </cell>
          <cell r="CN275" t="str">
            <v>Labor</v>
          </cell>
          <cell r="CO275" t="str">
            <v/>
          </cell>
          <cell r="CP275" t="str">
            <v/>
          </cell>
          <cell r="CQ275" t="str">
            <v/>
          </cell>
          <cell r="CR275" t="str">
            <v/>
          </cell>
          <cell r="CS275" t="str">
            <v/>
          </cell>
          <cell r="CT275" t="str">
            <v/>
          </cell>
          <cell r="CU275" t="str">
            <v/>
          </cell>
          <cell r="CV275" t="str">
            <v>Municipal Office</v>
          </cell>
          <cell r="CW275" t="str">
            <v>Biaju Prasad Gupta</v>
          </cell>
          <cell r="CX275" t="str">
            <v xml:space="preserve">Chairman </v>
          </cell>
          <cell r="CY275">
            <v>9857024296</v>
          </cell>
          <cell r="CZ275" t="str">
            <v>Municipal Office</v>
          </cell>
          <cell r="DA275" t="str">
            <v>Parbati Kumari Kohar</v>
          </cell>
          <cell r="DB275" t="str">
            <v>Deputy Chairman</v>
          </cell>
          <cell r="DC275">
            <v>9867000725</v>
          </cell>
          <cell r="DD275" t="str">
            <v>Municipal Office</v>
          </cell>
          <cell r="DE275" t="str">
            <v>Shashi Paudel</v>
          </cell>
          <cell r="DF275" t="str">
            <v>Chief Adminstration Officer</v>
          </cell>
          <cell r="DG275">
            <v>9857046036</v>
          </cell>
          <cell r="DH275" t="str">
            <v>NRA/GMALI</v>
          </cell>
          <cell r="DI275" t="str">
            <v xml:space="preserve">Rajendra  Karki </v>
          </cell>
          <cell r="DJ275" t="str">
            <v>NRA Chief-District</v>
          </cell>
          <cell r="DK275">
            <v>9857087637</v>
          </cell>
          <cell r="DL275" t="str">
            <v>DLPIU-Building</v>
          </cell>
          <cell r="DM275" t="str">
            <v/>
          </cell>
          <cell r="DN275" t="str">
            <v>DUDBC.DLPIU Chief</v>
          </cell>
          <cell r="DO275" t="str">
            <v/>
          </cell>
          <cell r="DP275" t="str">
            <v>Municipal Office</v>
          </cell>
          <cell r="DQ275" t="str">
            <v>Sita Paudel</v>
          </cell>
          <cell r="DR275" t="str">
            <v>Focal Person</v>
          </cell>
          <cell r="DS275">
            <v>9847958120</v>
          </cell>
          <cell r="DT275" t="str">
            <v/>
          </cell>
          <cell r="DU275" t="str">
            <v/>
          </cell>
          <cell r="DV275" t="str">
            <v/>
          </cell>
          <cell r="DW275" t="str">
            <v/>
          </cell>
          <cell r="DX275" t="str">
            <v/>
          </cell>
          <cell r="DY275" t="str">
            <v/>
          </cell>
          <cell r="DZ275" t="str">
            <v/>
          </cell>
          <cell r="EA275" t="str">
            <v/>
          </cell>
          <cell r="EB275" t="str">
            <v/>
          </cell>
          <cell r="EC275" t="str">
            <v/>
          </cell>
          <cell r="ED275" t="str">
            <v/>
          </cell>
          <cell r="EE275" t="str">
            <v/>
          </cell>
          <cell r="EF275" t="str">
            <v/>
          </cell>
          <cell r="EG275" t="str">
            <v/>
          </cell>
          <cell r="EH275" t="str">
            <v/>
          </cell>
          <cell r="EI275" t="str">
            <v/>
          </cell>
          <cell r="EJ275">
            <v>0</v>
          </cell>
          <cell r="EK275">
            <v>0</v>
          </cell>
          <cell r="EL275">
            <v>0</v>
          </cell>
          <cell r="EM275">
            <v>0</v>
          </cell>
          <cell r="EN275">
            <v>0</v>
          </cell>
          <cell r="EO275">
            <v>0</v>
          </cell>
          <cell r="EP275" t="str">
            <v/>
          </cell>
          <cell r="EQ275" t="str">
            <v>Housing Recovery and Reconstruction Platform</v>
          </cell>
          <cell r="ER275" t="str">
            <v>Hari Prasad Thalang</v>
          </cell>
          <cell r="ES275" t="str">
            <v>District Coordinator</v>
          </cell>
          <cell r="ET275">
            <v>9851224505</v>
          </cell>
          <cell r="EU275" t="str">
            <v>Housing Recovery and Reconstruction Platform</v>
          </cell>
          <cell r="EV275" t="str">
            <v>Nirmal Nepali</v>
          </cell>
          <cell r="EW275" t="str">
            <v>DIstrict Information Management Officer</v>
          </cell>
          <cell r="EX275">
            <v>9848500348</v>
          </cell>
          <cell r="EY275" t="str">
            <v>Housing Recovery and Reconstruction Platform</v>
          </cell>
          <cell r="EZ275" t="str">
            <v xml:space="preserve">Kausal Bist </v>
          </cell>
          <cell r="FA275" t="str">
            <v>District Technical Officer</v>
          </cell>
          <cell r="FB275">
            <v>9849787273</v>
          </cell>
        </row>
        <row r="276">
          <cell r="A276">
            <v>48030</v>
          </cell>
          <cell r="B276" t="str">
            <v>Nawalparasi</v>
          </cell>
          <cell r="C276" t="str">
            <v>Pratappur Gaunpalika</v>
          </cell>
          <cell r="D276">
            <v>0</v>
          </cell>
          <cell r="E276">
            <v>3</v>
          </cell>
          <cell r="F276">
            <v>3</v>
          </cell>
          <cell r="G276" t="str">
            <v>Stone and cement mortar masonry</v>
          </cell>
          <cell r="H276">
            <v>0</v>
          </cell>
          <cell r="I276">
            <v>0.81</v>
          </cell>
          <cell r="J276" t="str">
            <v>Stone and Mud Mortar Masonary</v>
          </cell>
          <cell r="K276">
            <v>33.33</v>
          </cell>
          <cell r="L276">
            <v>95.12</v>
          </cell>
          <cell r="M276" t="str">
            <v>Brick and Cement Mortar Masonary</v>
          </cell>
          <cell r="N276">
            <v>33.33</v>
          </cell>
          <cell r="O276">
            <v>1.83</v>
          </cell>
          <cell r="P276" t="str">
            <v>Brick and mud mortar Masonry</v>
          </cell>
          <cell r="Q276">
            <v>33.33</v>
          </cell>
          <cell r="R276">
            <v>0.92</v>
          </cell>
          <cell r="S276" t="str">
            <v>Reinforced cement concrete (RCC) frame</v>
          </cell>
          <cell r="T276">
            <v>0</v>
          </cell>
          <cell r="U276">
            <v>0</v>
          </cell>
          <cell r="V276" t="str">
            <v>Hybrid structure</v>
          </cell>
          <cell r="W276">
            <v>0</v>
          </cell>
          <cell r="X276">
            <v>0</v>
          </cell>
          <cell r="Y276" t="str">
            <v>Timber frame structure</v>
          </cell>
          <cell r="Z276">
            <v>0</v>
          </cell>
          <cell r="AA276">
            <v>0.92</v>
          </cell>
          <cell r="AB276" t="str">
            <v>Hollow concrete block Masonry</v>
          </cell>
          <cell r="AC276">
            <v>0</v>
          </cell>
          <cell r="AD276">
            <v>0</v>
          </cell>
          <cell r="AE276" t="str">
            <v>Dry stone Masonry</v>
          </cell>
          <cell r="AF276">
            <v>0</v>
          </cell>
          <cell r="AG276">
            <v>0.31</v>
          </cell>
          <cell r="AH276" t="str">
            <v>Adobe structures</v>
          </cell>
          <cell r="AI276">
            <v>0</v>
          </cell>
          <cell r="AJ276">
            <v>0.1</v>
          </cell>
          <cell r="AK276" t="str">
            <v>Bamboo</v>
          </cell>
          <cell r="AL276">
            <v>0</v>
          </cell>
          <cell r="AM276">
            <v>0</v>
          </cell>
          <cell r="AN276" t="str">
            <v>Compressed stabilized earth block (SCEB) Masonry</v>
          </cell>
          <cell r="AO276">
            <v>0</v>
          </cell>
          <cell r="AP276">
            <v>0</v>
          </cell>
          <cell r="AQ276" t="str">
            <v>Light steel frame structures</v>
          </cell>
          <cell r="AR276">
            <v>0</v>
          </cell>
          <cell r="AS276">
            <v>0</v>
          </cell>
          <cell r="AT276">
            <v>3</v>
          </cell>
          <cell r="AU276">
            <v>3</v>
          </cell>
          <cell r="AV276">
            <v>3</v>
          </cell>
          <cell r="AW276">
            <v>2</v>
          </cell>
          <cell r="AX276">
            <v>2</v>
          </cell>
          <cell r="AY276">
            <v>3</v>
          </cell>
          <cell r="AZ276">
            <v>0</v>
          </cell>
          <cell r="BA276">
            <v>0</v>
          </cell>
          <cell r="BB276" t="str">
            <v/>
          </cell>
          <cell r="BC276" t="str">
            <v/>
          </cell>
          <cell r="BD276" t="str">
            <v/>
          </cell>
          <cell r="BE276">
            <v>4</v>
          </cell>
          <cell r="BF276" t="str">
            <v/>
          </cell>
          <cell r="BG276" t="str">
            <v/>
          </cell>
          <cell r="BH276" t="str">
            <v/>
          </cell>
          <cell r="BI276" t="str">
            <v/>
          </cell>
          <cell r="BJ276" t="str">
            <v/>
          </cell>
          <cell r="BK276">
            <v>35</v>
          </cell>
          <cell r="BL276" t="str">
            <v/>
          </cell>
          <cell r="BM276" t="str">
            <v/>
          </cell>
          <cell r="BN276">
            <v>22</v>
          </cell>
          <cell r="BO276" t="str">
            <v/>
          </cell>
          <cell r="BP276" t="str">
            <v/>
          </cell>
          <cell r="BQ276">
            <v>4</v>
          </cell>
          <cell r="BR276" t="str">
            <v/>
          </cell>
          <cell r="BS276" t="str">
            <v/>
          </cell>
          <cell r="BT276">
            <v>4</v>
          </cell>
          <cell r="BU276" t="str">
            <v/>
          </cell>
          <cell r="BV276" t="str">
            <v/>
          </cell>
          <cell r="BW276" t="str">
            <v/>
          </cell>
          <cell r="BX276" t="str">
            <v/>
          </cell>
          <cell r="BY276" t="str">
            <v/>
          </cell>
          <cell r="BZ276">
            <v>95</v>
          </cell>
          <cell r="CA276" t="str">
            <v/>
          </cell>
          <cell r="CB276" t="str">
            <v/>
          </cell>
          <cell r="CC276">
            <v>433</v>
          </cell>
          <cell r="CD276" t="str">
            <v/>
          </cell>
          <cell r="CE276" t="str">
            <v/>
          </cell>
          <cell r="CF276">
            <v>4</v>
          </cell>
          <cell r="CG276" t="str">
            <v/>
          </cell>
          <cell r="CH276" t="str">
            <v/>
          </cell>
          <cell r="CI276">
            <v>4660</v>
          </cell>
          <cell r="CJ276" t="str">
            <v/>
          </cell>
          <cell r="CK276" t="str">
            <v/>
          </cell>
          <cell r="CL276" t="str">
            <v>Skilled</v>
          </cell>
          <cell r="CM276" t="str">
            <v/>
          </cell>
          <cell r="CN276" t="str">
            <v>Labor</v>
          </cell>
          <cell r="CO276" t="str">
            <v/>
          </cell>
          <cell r="CP276" t="str">
            <v/>
          </cell>
          <cell r="CQ276" t="str">
            <v/>
          </cell>
          <cell r="CR276" t="str">
            <v/>
          </cell>
          <cell r="CS276" t="str">
            <v/>
          </cell>
          <cell r="CT276" t="str">
            <v/>
          </cell>
          <cell r="CU276" t="str">
            <v/>
          </cell>
          <cell r="CV276" t="str">
            <v>Municipal Office</v>
          </cell>
          <cell r="CW276" t="str">
            <v>Raj Kumar Sharma</v>
          </cell>
          <cell r="CX276" t="str">
            <v xml:space="preserve">Chairman </v>
          </cell>
          <cell r="CY276">
            <v>9847127007</v>
          </cell>
          <cell r="CZ276" t="str">
            <v>Municipal Office</v>
          </cell>
          <cell r="DA276" t="str">
            <v xml:space="preserve">Anju Kumari Chaudhary </v>
          </cell>
          <cell r="DB276" t="str">
            <v>Deputy Chairman</v>
          </cell>
          <cell r="DC276">
            <v>9857046053</v>
          </cell>
          <cell r="DD276" t="str">
            <v>Municipal Office</v>
          </cell>
          <cell r="DE276" t="str">
            <v>Bodh Raj Basyal</v>
          </cell>
          <cell r="DF276" t="str">
            <v>Chief Adminstration Officer</v>
          </cell>
          <cell r="DG276">
            <v>9857080095</v>
          </cell>
          <cell r="DH276" t="str">
            <v>NRA/GMALI</v>
          </cell>
          <cell r="DI276" t="str">
            <v xml:space="preserve">Rajendra  Karki </v>
          </cell>
          <cell r="DJ276" t="str">
            <v>NRA Chief-District</v>
          </cell>
          <cell r="DK276">
            <v>9857087637</v>
          </cell>
          <cell r="DL276" t="str">
            <v>DLPIU-Building</v>
          </cell>
          <cell r="DM276" t="str">
            <v/>
          </cell>
          <cell r="DN276" t="str">
            <v>DUDBC.DLPIU Chief</v>
          </cell>
          <cell r="DO276" t="str">
            <v/>
          </cell>
          <cell r="DP276" t="str">
            <v>Municipal Office</v>
          </cell>
          <cell r="DQ276" t="str">
            <v>Sita Paudel</v>
          </cell>
          <cell r="DR276" t="str">
            <v>Focal Person</v>
          </cell>
          <cell r="DS276">
            <v>9847958120</v>
          </cell>
          <cell r="DT276" t="str">
            <v/>
          </cell>
          <cell r="DU276" t="str">
            <v/>
          </cell>
          <cell r="DV276" t="str">
            <v/>
          </cell>
          <cell r="DW276" t="str">
            <v/>
          </cell>
          <cell r="DX276" t="str">
            <v/>
          </cell>
          <cell r="DY276" t="str">
            <v/>
          </cell>
          <cell r="DZ276" t="str">
            <v/>
          </cell>
          <cell r="EA276" t="str">
            <v/>
          </cell>
          <cell r="EB276" t="str">
            <v/>
          </cell>
          <cell r="EC276" t="str">
            <v/>
          </cell>
          <cell r="ED276" t="str">
            <v/>
          </cell>
          <cell r="EE276" t="str">
            <v/>
          </cell>
          <cell r="EF276" t="str">
            <v/>
          </cell>
          <cell r="EG276" t="str">
            <v/>
          </cell>
          <cell r="EH276" t="str">
            <v/>
          </cell>
          <cell r="EI276" t="str">
            <v/>
          </cell>
          <cell r="EJ276">
            <v>0</v>
          </cell>
          <cell r="EK276">
            <v>0</v>
          </cell>
          <cell r="EL276">
            <v>0</v>
          </cell>
          <cell r="EM276">
            <v>0</v>
          </cell>
          <cell r="EN276">
            <v>0</v>
          </cell>
          <cell r="EO276">
            <v>0</v>
          </cell>
          <cell r="EP276" t="str">
            <v/>
          </cell>
          <cell r="EQ276" t="str">
            <v>Housing Recovery and Reconstruction Platform</v>
          </cell>
          <cell r="ER276" t="str">
            <v>Hari Prasad Thalang</v>
          </cell>
          <cell r="ES276" t="str">
            <v>District Coordinator</v>
          </cell>
          <cell r="ET276">
            <v>9851224505</v>
          </cell>
          <cell r="EU276" t="str">
            <v>Housing Recovery and Reconstruction Platform</v>
          </cell>
          <cell r="EV276" t="str">
            <v>Nirmal Nepali</v>
          </cell>
          <cell r="EW276" t="str">
            <v>DIstrict Information Management Officer</v>
          </cell>
          <cell r="EX276">
            <v>9848500348</v>
          </cell>
          <cell r="EY276" t="str">
            <v>Housing Recovery and Reconstruction Platform</v>
          </cell>
          <cell r="EZ276" t="str">
            <v xml:space="preserve">Kausal Bist </v>
          </cell>
          <cell r="FA276" t="str">
            <v>District Technical Officer</v>
          </cell>
          <cell r="FB276">
            <v>9849787273</v>
          </cell>
        </row>
        <row r="277">
          <cell r="A277">
            <v>48050</v>
          </cell>
          <cell r="B277" t="str">
            <v>Nawalparasi</v>
          </cell>
          <cell r="C277" t="str">
            <v>Sarawal Gaunpalika</v>
          </cell>
          <cell r="D277">
            <v>0</v>
          </cell>
          <cell r="E277">
            <v>4</v>
          </cell>
          <cell r="F277">
            <v>4</v>
          </cell>
          <cell r="G277" t="str">
            <v>Stone and cement mortar masonry</v>
          </cell>
          <cell r="H277">
            <v>0</v>
          </cell>
          <cell r="I277">
            <v>0.81</v>
          </cell>
          <cell r="J277" t="str">
            <v>Stone and Mud Mortar Masonary</v>
          </cell>
          <cell r="K277">
            <v>0</v>
          </cell>
          <cell r="L277">
            <v>95.12</v>
          </cell>
          <cell r="M277" t="str">
            <v>Brick and Cement Mortar Masonary</v>
          </cell>
          <cell r="N277">
            <v>50</v>
          </cell>
          <cell r="O277">
            <v>1.83</v>
          </cell>
          <cell r="P277" t="str">
            <v>Brick and mud mortar Masonry</v>
          </cell>
          <cell r="Q277">
            <v>50</v>
          </cell>
          <cell r="R277">
            <v>0.92</v>
          </cell>
          <cell r="S277" t="str">
            <v>Reinforced cement concrete (RCC) frame</v>
          </cell>
          <cell r="T277">
            <v>0</v>
          </cell>
          <cell r="U277">
            <v>0</v>
          </cell>
          <cell r="V277" t="str">
            <v>Hybrid structure</v>
          </cell>
          <cell r="W277">
            <v>0</v>
          </cell>
          <cell r="X277">
            <v>0</v>
          </cell>
          <cell r="Y277" t="str">
            <v>Timber frame structure</v>
          </cell>
          <cell r="Z277">
            <v>0</v>
          </cell>
          <cell r="AA277">
            <v>0.92</v>
          </cell>
          <cell r="AB277" t="str">
            <v>Hollow concrete block Masonry</v>
          </cell>
          <cell r="AC277">
            <v>0</v>
          </cell>
          <cell r="AD277">
            <v>0</v>
          </cell>
          <cell r="AE277" t="str">
            <v>Dry stone Masonry</v>
          </cell>
          <cell r="AF277">
            <v>0</v>
          </cell>
          <cell r="AG277">
            <v>0.31</v>
          </cell>
          <cell r="AH277" t="str">
            <v>Adobe structures</v>
          </cell>
          <cell r="AI277">
            <v>0</v>
          </cell>
          <cell r="AJ277">
            <v>0.1</v>
          </cell>
          <cell r="AK277" t="str">
            <v>Bamboo</v>
          </cell>
          <cell r="AL277">
            <v>0</v>
          </cell>
          <cell r="AM277">
            <v>0</v>
          </cell>
          <cell r="AN277" t="str">
            <v>Compressed stabilized earth block (SCEB) Masonry</v>
          </cell>
          <cell r="AO277">
            <v>0</v>
          </cell>
          <cell r="AP277">
            <v>0</v>
          </cell>
          <cell r="AQ277" t="str">
            <v>Light steel frame structures</v>
          </cell>
          <cell r="AR277">
            <v>0</v>
          </cell>
          <cell r="AS277">
            <v>0</v>
          </cell>
          <cell r="AT277">
            <v>4</v>
          </cell>
          <cell r="AU277">
            <v>3</v>
          </cell>
          <cell r="AV277">
            <v>3</v>
          </cell>
          <cell r="AW277">
            <v>0</v>
          </cell>
          <cell r="AX277">
            <v>0</v>
          </cell>
          <cell r="AY277">
            <v>0</v>
          </cell>
          <cell r="AZ277">
            <v>0</v>
          </cell>
          <cell r="BA277">
            <v>0</v>
          </cell>
          <cell r="BB277" t="str">
            <v/>
          </cell>
          <cell r="BC277" t="str">
            <v/>
          </cell>
          <cell r="BD277" t="str">
            <v/>
          </cell>
          <cell r="BE277">
            <v>1</v>
          </cell>
          <cell r="BF277" t="str">
            <v/>
          </cell>
          <cell r="BG277" t="str">
            <v/>
          </cell>
          <cell r="BH277" t="str">
            <v/>
          </cell>
          <cell r="BI277" t="str">
            <v/>
          </cell>
          <cell r="BJ277" t="str">
            <v/>
          </cell>
          <cell r="BK277">
            <v>437</v>
          </cell>
          <cell r="BL277" t="str">
            <v/>
          </cell>
          <cell r="BM277" t="str">
            <v/>
          </cell>
          <cell r="BN277">
            <v>17</v>
          </cell>
          <cell r="BO277" t="str">
            <v/>
          </cell>
          <cell r="BP277" t="str">
            <v/>
          </cell>
          <cell r="BQ277">
            <v>42</v>
          </cell>
          <cell r="BR277" t="str">
            <v/>
          </cell>
          <cell r="BS277" t="str">
            <v/>
          </cell>
          <cell r="BT277">
            <v>34</v>
          </cell>
          <cell r="BU277" t="str">
            <v/>
          </cell>
          <cell r="BV277" t="str">
            <v/>
          </cell>
          <cell r="BW277" t="str">
            <v/>
          </cell>
          <cell r="BX277" t="str">
            <v/>
          </cell>
          <cell r="BY277" t="str">
            <v/>
          </cell>
          <cell r="BZ277">
            <v>30</v>
          </cell>
          <cell r="CA277" t="str">
            <v/>
          </cell>
          <cell r="CB277" t="str">
            <v/>
          </cell>
          <cell r="CC277">
            <v>5250</v>
          </cell>
          <cell r="CD277" t="str">
            <v/>
          </cell>
          <cell r="CE277" t="str">
            <v/>
          </cell>
          <cell r="CF277">
            <v>0</v>
          </cell>
          <cell r="CG277" t="str">
            <v/>
          </cell>
          <cell r="CH277" t="str">
            <v/>
          </cell>
          <cell r="CI277">
            <v>21077</v>
          </cell>
          <cell r="CJ277" t="str">
            <v/>
          </cell>
          <cell r="CK277" t="str">
            <v/>
          </cell>
          <cell r="CL277" t="str">
            <v>Skilled</v>
          </cell>
          <cell r="CM277" t="str">
            <v/>
          </cell>
          <cell r="CN277" t="str">
            <v>Labor</v>
          </cell>
          <cell r="CO277" t="str">
            <v/>
          </cell>
          <cell r="CP277" t="str">
            <v/>
          </cell>
          <cell r="CQ277" t="str">
            <v/>
          </cell>
          <cell r="CR277" t="str">
            <v/>
          </cell>
          <cell r="CS277" t="str">
            <v/>
          </cell>
          <cell r="CT277" t="str">
            <v/>
          </cell>
          <cell r="CU277" t="str">
            <v/>
          </cell>
          <cell r="CV277" t="str">
            <v>Municipal Office</v>
          </cell>
          <cell r="CW277" t="str">
            <v>RadheShyam Chaudhari</v>
          </cell>
          <cell r="CX277" t="str">
            <v xml:space="preserve">Chairman </v>
          </cell>
          <cell r="CY277">
            <v>9847041511</v>
          </cell>
          <cell r="CZ277" t="str">
            <v>Municipal Office</v>
          </cell>
          <cell r="DA277" t="str">
            <v>Uttama Ray</v>
          </cell>
          <cell r="DB277" t="str">
            <v>Deputy Chairman</v>
          </cell>
          <cell r="DC277">
            <v>9857046185</v>
          </cell>
          <cell r="DD277" t="str">
            <v>Municipal Office</v>
          </cell>
          <cell r="DE277" t="str">
            <v>Jhabishwor Regmi</v>
          </cell>
          <cell r="DF277" t="str">
            <v>Chief Adminstration Officer</v>
          </cell>
          <cell r="DG277">
            <v>9857046266</v>
          </cell>
          <cell r="DH277" t="str">
            <v>NRA/GMALI</v>
          </cell>
          <cell r="DI277" t="str">
            <v xml:space="preserve">Rajendra  Karki </v>
          </cell>
          <cell r="DJ277" t="str">
            <v>NRA Chief-District</v>
          </cell>
          <cell r="DK277">
            <v>9857087637</v>
          </cell>
          <cell r="DL277" t="str">
            <v>DLPIU-Building</v>
          </cell>
          <cell r="DM277" t="str">
            <v/>
          </cell>
          <cell r="DN277" t="str">
            <v>DUDBC.DLPIU Chief</v>
          </cell>
          <cell r="DO277" t="str">
            <v/>
          </cell>
          <cell r="DP277" t="str">
            <v>Municipal Office</v>
          </cell>
          <cell r="DQ277" t="str">
            <v>Sita Paudel</v>
          </cell>
          <cell r="DR277" t="str">
            <v>Focal Person</v>
          </cell>
          <cell r="DS277">
            <v>9847958120</v>
          </cell>
          <cell r="DT277" t="str">
            <v/>
          </cell>
          <cell r="DU277" t="str">
            <v/>
          </cell>
          <cell r="DV277" t="str">
            <v/>
          </cell>
          <cell r="DW277" t="str">
            <v/>
          </cell>
          <cell r="DX277" t="str">
            <v/>
          </cell>
          <cell r="DY277" t="str">
            <v/>
          </cell>
          <cell r="DZ277" t="str">
            <v/>
          </cell>
          <cell r="EA277" t="str">
            <v/>
          </cell>
          <cell r="EB277" t="str">
            <v/>
          </cell>
          <cell r="EC277" t="str">
            <v/>
          </cell>
          <cell r="ED277" t="str">
            <v/>
          </cell>
          <cell r="EE277" t="str">
            <v/>
          </cell>
          <cell r="EF277" t="str">
            <v/>
          </cell>
          <cell r="EG277" t="str">
            <v/>
          </cell>
          <cell r="EH277" t="str">
            <v/>
          </cell>
          <cell r="EI277" t="str">
            <v/>
          </cell>
          <cell r="EJ277">
            <v>0</v>
          </cell>
          <cell r="EK277">
            <v>0</v>
          </cell>
          <cell r="EL277">
            <v>0</v>
          </cell>
          <cell r="EM277">
            <v>0</v>
          </cell>
          <cell r="EN277">
            <v>0</v>
          </cell>
          <cell r="EO277">
            <v>0</v>
          </cell>
          <cell r="EP277" t="str">
            <v/>
          </cell>
          <cell r="EQ277" t="str">
            <v>Housing Recovery and Reconstruction Platform</v>
          </cell>
          <cell r="ER277" t="str">
            <v>Hari Prasad Thalang</v>
          </cell>
          <cell r="ES277" t="str">
            <v>District Coordinator</v>
          </cell>
          <cell r="ET277">
            <v>9851224505</v>
          </cell>
          <cell r="EU277" t="str">
            <v>Housing Recovery and Reconstruction Platform</v>
          </cell>
          <cell r="EV277" t="str">
            <v>Nirmal Nepali</v>
          </cell>
          <cell r="EW277" t="str">
            <v>DIstrict Information Management Officer</v>
          </cell>
          <cell r="EX277">
            <v>9848500348</v>
          </cell>
          <cell r="EY277" t="str">
            <v>Housing Recovery and Reconstruction Platform</v>
          </cell>
          <cell r="EZ277" t="str">
            <v xml:space="preserve">Kausal Bist </v>
          </cell>
          <cell r="FA277" t="str">
            <v>District Technical Officer</v>
          </cell>
          <cell r="FB277">
            <v>9849787273</v>
          </cell>
        </row>
        <row r="278">
          <cell r="A278">
            <v>48060</v>
          </cell>
          <cell r="B278" t="str">
            <v>Nawalparasi</v>
          </cell>
          <cell r="C278" t="str">
            <v>Sunwal Nagarpalika</v>
          </cell>
          <cell r="D278">
            <v>0</v>
          </cell>
          <cell r="E278">
            <v>2</v>
          </cell>
          <cell r="F278">
            <v>2</v>
          </cell>
          <cell r="G278" t="str">
            <v>Stone and cement mortar masonry</v>
          </cell>
          <cell r="H278">
            <v>0</v>
          </cell>
          <cell r="I278">
            <v>0.81</v>
          </cell>
          <cell r="J278" t="str">
            <v>Stone and Mud Mortar Masonary</v>
          </cell>
          <cell r="K278">
            <v>0</v>
          </cell>
          <cell r="L278">
            <v>95.12</v>
          </cell>
          <cell r="M278" t="str">
            <v>Brick and Cement Mortar Masonary</v>
          </cell>
          <cell r="N278">
            <v>50</v>
          </cell>
          <cell r="O278">
            <v>1.83</v>
          </cell>
          <cell r="P278" t="str">
            <v>Brick and mud mortar Masonry</v>
          </cell>
          <cell r="Q278">
            <v>0</v>
          </cell>
          <cell r="R278">
            <v>0.92</v>
          </cell>
          <cell r="S278" t="str">
            <v>Reinforced cement concrete (RCC) frame</v>
          </cell>
          <cell r="T278">
            <v>0</v>
          </cell>
          <cell r="U278">
            <v>0</v>
          </cell>
          <cell r="V278" t="str">
            <v>Hybrid structure</v>
          </cell>
          <cell r="W278">
            <v>0</v>
          </cell>
          <cell r="X278">
            <v>0</v>
          </cell>
          <cell r="Y278" t="str">
            <v>Timber frame structure</v>
          </cell>
          <cell r="Z278">
            <v>50</v>
          </cell>
          <cell r="AA278">
            <v>0.92</v>
          </cell>
          <cell r="AB278" t="str">
            <v>Hollow concrete block Masonry</v>
          </cell>
          <cell r="AC278">
            <v>0</v>
          </cell>
          <cell r="AD278">
            <v>0</v>
          </cell>
          <cell r="AE278" t="str">
            <v>Dry stone Masonry</v>
          </cell>
          <cell r="AF278">
            <v>0</v>
          </cell>
          <cell r="AG278">
            <v>0.31</v>
          </cell>
          <cell r="AH278" t="str">
            <v>Adobe structures</v>
          </cell>
          <cell r="AI278">
            <v>0</v>
          </cell>
          <cell r="AJ278">
            <v>0.1</v>
          </cell>
          <cell r="AK278" t="str">
            <v>Bamboo</v>
          </cell>
          <cell r="AL278">
            <v>0</v>
          </cell>
          <cell r="AM278">
            <v>0</v>
          </cell>
          <cell r="AN278" t="str">
            <v>Compressed stabilized earth block (SCEB) Masonry</v>
          </cell>
          <cell r="AO278">
            <v>0</v>
          </cell>
          <cell r="AP278">
            <v>0</v>
          </cell>
          <cell r="AQ278" t="str">
            <v>Light steel frame structures</v>
          </cell>
          <cell r="AR278">
            <v>0</v>
          </cell>
          <cell r="AS278">
            <v>0</v>
          </cell>
          <cell r="AT278">
            <v>2</v>
          </cell>
          <cell r="AU278">
            <v>2</v>
          </cell>
          <cell r="AV278">
            <v>2</v>
          </cell>
          <cell r="AW278">
            <v>2</v>
          </cell>
          <cell r="AX278">
            <v>1</v>
          </cell>
          <cell r="AY278">
            <v>2</v>
          </cell>
          <cell r="AZ278">
            <v>0</v>
          </cell>
          <cell r="BA278">
            <v>0</v>
          </cell>
          <cell r="BB278" t="str">
            <v/>
          </cell>
          <cell r="BC278" t="str">
            <v/>
          </cell>
          <cell r="BD278" t="str">
            <v/>
          </cell>
          <cell r="BE278">
            <v>0</v>
          </cell>
          <cell r="BF278" t="str">
            <v/>
          </cell>
          <cell r="BG278" t="str">
            <v/>
          </cell>
          <cell r="BH278" t="str">
            <v/>
          </cell>
          <cell r="BI278" t="str">
            <v/>
          </cell>
          <cell r="BJ278" t="str">
            <v/>
          </cell>
          <cell r="BK278">
            <v>28</v>
          </cell>
          <cell r="BL278" t="str">
            <v/>
          </cell>
          <cell r="BM278" t="str">
            <v/>
          </cell>
          <cell r="BN278">
            <v>30</v>
          </cell>
          <cell r="BO278" t="str">
            <v/>
          </cell>
          <cell r="BP278" t="str">
            <v/>
          </cell>
          <cell r="BQ278">
            <v>3</v>
          </cell>
          <cell r="BR278" t="str">
            <v/>
          </cell>
          <cell r="BS278" t="str">
            <v/>
          </cell>
          <cell r="BT278">
            <v>4</v>
          </cell>
          <cell r="BU278" t="str">
            <v/>
          </cell>
          <cell r="BV278" t="str">
            <v/>
          </cell>
          <cell r="BW278" t="str">
            <v/>
          </cell>
          <cell r="BX278" t="str">
            <v/>
          </cell>
          <cell r="BY278" t="str">
            <v/>
          </cell>
          <cell r="BZ278">
            <v>98</v>
          </cell>
          <cell r="CA278" t="str">
            <v/>
          </cell>
          <cell r="CB278" t="str">
            <v/>
          </cell>
          <cell r="CC278">
            <v>300</v>
          </cell>
          <cell r="CD278" t="str">
            <v/>
          </cell>
          <cell r="CE278" t="str">
            <v/>
          </cell>
          <cell r="CF278">
            <v>4</v>
          </cell>
          <cell r="CG278" t="str">
            <v/>
          </cell>
          <cell r="CH278" t="str">
            <v/>
          </cell>
          <cell r="CI278">
            <v>0</v>
          </cell>
          <cell r="CJ278" t="str">
            <v/>
          </cell>
          <cell r="CK278" t="str">
            <v/>
          </cell>
          <cell r="CL278" t="str">
            <v>Skilled</v>
          </cell>
          <cell r="CM278" t="str">
            <v/>
          </cell>
          <cell r="CN278" t="str">
            <v>Labor</v>
          </cell>
          <cell r="CO278" t="str">
            <v/>
          </cell>
          <cell r="CP278" t="str">
            <v/>
          </cell>
          <cell r="CQ278" t="str">
            <v/>
          </cell>
          <cell r="CR278" t="str">
            <v/>
          </cell>
          <cell r="CS278" t="str">
            <v/>
          </cell>
          <cell r="CT278" t="str">
            <v/>
          </cell>
          <cell r="CU278" t="str">
            <v/>
          </cell>
          <cell r="CV278" t="str">
            <v>Municipal Office</v>
          </cell>
          <cell r="CW278" t="str">
            <v>Bhumi Bahadur Thapa</v>
          </cell>
          <cell r="CX278" t="str">
            <v>Mayor</v>
          </cell>
          <cell r="CY278">
            <v>9857021658</v>
          </cell>
          <cell r="CZ278" t="str">
            <v>Municipal Office</v>
          </cell>
          <cell r="DA278" t="str">
            <v>Dadhi Ram Aryal</v>
          </cell>
          <cell r="DB278" t="str">
            <v>Deputy Mayor</v>
          </cell>
          <cell r="DC278">
            <v>9857045561</v>
          </cell>
          <cell r="DD278" t="str">
            <v>Municipal Office</v>
          </cell>
          <cell r="DE278" t="str">
            <v>Ram lal Shrestha</v>
          </cell>
          <cell r="DF278" t="str">
            <v>Chief Adminstration Officer</v>
          </cell>
          <cell r="DG278">
            <v>9857638111</v>
          </cell>
          <cell r="DH278" t="str">
            <v>NRA/GMALI</v>
          </cell>
          <cell r="DI278" t="str">
            <v xml:space="preserve">Rajendra  Karki </v>
          </cell>
          <cell r="DJ278" t="str">
            <v>NRA Chief-District</v>
          </cell>
          <cell r="DK278">
            <v>9857087637</v>
          </cell>
          <cell r="DL278" t="str">
            <v>DLPIU-Building</v>
          </cell>
          <cell r="DM278" t="str">
            <v/>
          </cell>
          <cell r="DN278" t="str">
            <v>DUDBC.DLPIU Chief</v>
          </cell>
          <cell r="DO278" t="str">
            <v/>
          </cell>
          <cell r="DP278" t="str">
            <v>Municipal Office</v>
          </cell>
          <cell r="DQ278" t="str">
            <v>Sita Paudel</v>
          </cell>
          <cell r="DR278" t="str">
            <v>Focal Person</v>
          </cell>
          <cell r="DS278">
            <v>9847958120</v>
          </cell>
          <cell r="DT278" t="str">
            <v/>
          </cell>
          <cell r="DU278" t="str">
            <v/>
          </cell>
          <cell r="DV278" t="str">
            <v/>
          </cell>
          <cell r="DW278" t="str">
            <v/>
          </cell>
          <cell r="DX278" t="str">
            <v/>
          </cell>
          <cell r="DY278" t="str">
            <v/>
          </cell>
          <cell r="DZ278" t="str">
            <v/>
          </cell>
          <cell r="EA278" t="str">
            <v/>
          </cell>
          <cell r="EB278" t="str">
            <v/>
          </cell>
          <cell r="EC278" t="str">
            <v/>
          </cell>
          <cell r="ED278" t="str">
            <v/>
          </cell>
          <cell r="EE278" t="str">
            <v/>
          </cell>
          <cell r="EF278" t="str">
            <v/>
          </cell>
          <cell r="EG278" t="str">
            <v/>
          </cell>
          <cell r="EH278" t="str">
            <v/>
          </cell>
          <cell r="EI278" t="str">
            <v/>
          </cell>
          <cell r="EJ278">
            <v>0</v>
          </cell>
          <cell r="EK278">
            <v>0</v>
          </cell>
          <cell r="EL278">
            <v>0</v>
          </cell>
          <cell r="EM278">
            <v>0</v>
          </cell>
          <cell r="EN278">
            <v>0</v>
          </cell>
          <cell r="EO278">
            <v>0</v>
          </cell>
          <cell r="EP278" t="str">
            <v/>
          </cell>
          <cell r="EQ278" t="str">
            <v>Housing Recovery and Reconstruction Platform</v>
          </cell>
          <cell r="ER278" t="str">
            <v>Hari Prasad Thalang</v>
          </cell>
          <cell r="ES278" t="str">
            <v>District Coordinator</v>
          </cell>
          <cell r="ET278">
            <v>9851224505</v>
          </cell>
          <cell r="EU278" t="str">
            <v>Housing Recovery and Reconstruction Platform</v>
          </cell>
          <cell r="EV278" t="str">
            <v>Nirmal Nepali</v>
          </cell>
          <cell r="EW278" t="str">
            <v>DIstrict Information Management Officer</v>
          </cell>
          <cell r="EX278">
            <v>9848500348</v>
          </cell>
          <cell r="EY278" t="str">
            <v>Housing Recovery and Reconstruction Platform</v>
          </cell>
          <cell r="EZ278" t="str">
            <v xml:space="preserve">Kausal Bist </v>
          </cell>
          <cell r="FA278" t="str">
            <v>District Technical Officer</v>
          </cell>
          <cell r="FB278">
            <v>9849787273</v>
          </cell>
        </row>
        <row r="279">
          <cell r="A279">
            <v>48070</v>
          </cell>
          <cell r="B279" t="str">
            <v>Nawalparasi</v>
          </cell>
          <cell r="C279" t="str">
            <v>Susta Gaunpalika</v>
          </cell>
          <cell r="D279">
            <v>0</v>
          </cell>
          <cell r="E279">
            <v>2</v>
          </cell>
          <cell r="F279">
            <v>2</v>
          </cell>
          <cell r="G279" t="str">
            <v>Stone and cement mortar masonry</v>
          </cell>
          <cell r="H279">
            <v>0</v>
          </cell>
          <cell r="I279">
            <v>0.81</v>
          </cell>
          <cell r="J279" t="str">
            <v>Stone and Mud Mortar Masonary</v>
          </cell>
          <cell r="K279">
            <v>100</v>
          </cell>
          <cell r="L279">
            <v>95.12</v>
          </cell>
          <cell r="M279" t="str">
            <v>Brick and Cement Mortar Masonary</v>
          </cell>
          <cell r="N279">
            <v>0</v>
          </cell>
          <cell r="O279">
            <v>1.83</v>
          </cell>
          <cell r="P279" t="str">
            <v>Brick and mud mortar Masonry</v>
          </cell>
          <cell r="Q279">
            <v>0</v>
          </cell>
          <cell r="R279">
            <v>0.92</v>
          </cell>
          <cell r="S279" t="str">
            <v>Reinforced cement concrete (RCC) frame</v>
          </cell>
          <cell r="T279">
            <v>0</v>
          </cell>
          <cell r="U279">
            <v>0</v>
          </cell>
          <cell r="V279" t="str">
            <v>Hybrid structure</v>
          </cell>
          <cell r="W279">
            <v>0</v>
          </cell>
          <cell r="X279">
            <v>0</v>
          </cell>
          <cell r="Y279" t="str">
            <v>Timber frame structure</v>
          </cell>
          <cell r="Z279">
            <v>0</v>
          </cell>
          <cell r="AA279">
            <v>0.92</v>
          </cell>
          <cell r="AB279" t="str">
            <v>Hollow concrete block Masonry</v>
          </cell>
          <cell r="AC279">
            <v>0</v>
          </cell>
          <cell r="AD279">
            <v>0</v>
          </cell>
          <cell r="AE279" t="str">
            <v>Dry stone Masonry</v>
          </cell>
          <cell r="AF279">
            <v>0</v>
          </cell>
          <cell r="AG279">
            <v>0.31</v>
          </cell>
          <cell r="AH279" t="str">
            <v>Adobe structures</v>
          </cell>
          <cell r="AI279">
            <v>0</v>
          </cell>
          <cell r="AJ279">
            <v>0.1</v>
          </cell>
          <cell r="AK279" t="str">
            <v>Bamboo</v>
          </cell>
          <cell r="AL279">
            <v>0</v>
          </cell>
          <cell r="AM279">
            <v>0</v>
          </cell>
          <cell r="AN279" t="str">
            <v>Compressed stabilized earth block (SCEB) Masonry</v>
          </cell>
          <cell r="AO279">
            <v>0</v>
          </cell>
          <cell r="AP279">
            <v>0</v>
          </cell>
          <cell r="AQ279" t="str">
            <v>Light steel frame structures</v>
          </cell>
          <cell r="AR279">
            <v>0</v>
          </cell>
          <cell r="AS279">
            <v>0</v>
          </cell>
          <cell r="AT279">
            <v>3</v>
          </cell>
          <cell r="AU279">
            <v>3</v>
          </cell>
          <cell r="AV279">
            <v>3</v>
          </cell>
          <cell r="AW279">
            <v>1</v>
          </cell>
          <cell r="AX279">
            <v>1</v>
          </cell>
          <cell r="AY279">
            <v>1</v>
          </cell>
          <cell r="AZ279">
            <v>0</v>
          </cell>
          <cell r="BA279">
            <v>0</v>
          </cell>
          <cell r="BB279" t="str">
            <v/>
          </cell>
          <cell r="BC279" t="str">
            <v/>
          </cell>
          <cell r="BD279" t="str">
            <v/>
          </cell>
          <cell r="BE279">
            <v>0</v>
          </cell>
          <cell r="BF279" t="str">
            <v/>
          </cell>
          <cell r="BG279" t="str">
            <v/>
          </cell>
          <cell r="BH279" t="str">
            <v/>
          </cell>
          <cell r="BI279" t="str">
            <v/>
          </cell>
          <cell r="BJ279" t="str">
            <v/>
          </cell>
          <cell r="BK279">
            <v>89</v>
          </cell>
          <cell r="BL279" t="str">
            <v/>
          </cell>
          <cell r="BM279" t="str">
            <v/>
          </cell>
          <cell r="BN279">
            <v>87</v>
          </cell>
          <cell r="BO279" t="str">
            <v/>
          </cell>
          <cell r="BP279" t="str">
            <v/>
          </cell>
          <cell r="BQ279">
            <v>9</v>
          </cell>
          <cell r="BR279" t="str">
            <v/>
          </cell>
          <cell r="BS279" t="str">
            <v/>
          </cell>
          <cell r="BT279">
            <v>11</v>
          </cell>
          <cell r="BU279" t="str">
            <v/>
          </cell>
          <cell r="BV279" t="str">
            <v/>
          </cell>
          <cell r="BW279" t="str">
            <v/>
          </cell>
          <cell r="BX279" t="str">
            <v/>
          </cell>
          <cell r="BY279" t="str">
            <v/>
          </cell>
          <cell r="BZ279">
            <v>292</v>
          </cell>
          <cell r="CA279" t="str">
            <v/>
          </cell>
          <cell r="CB279" t="str">
            <v/>
          </cell>
          <cell r="CC279">
            <v>975</v>
          </cell>
          <cell r="CD279" t="str">
            <v/>
          </cell>
          <cell r="CE279" t="str">
            <v/>
          </cell>
          <cell r="CF279">
            <v>12</v>
          </cell>
          <cell r="CG279" t="str">
            <v/>
          </cell>
          <cell r="CH279" t="str">
            <v/>
          </cell>
          <cell r="CI279">
            <v>1519</v>
          </cell>
          <cell r="CJ279" t="str">
            <v/>
          </cell>
          <cell r="CK279" t="str">
            <v/>
          </cell>
          <cell r="CL279" t="str">
            <v>Skilled</v>
          </cell>
          <cell r="CM279" t="str">
            <v/>
          </cell>
          <cell r="CN279" t="str">
            <v>Labor</v>
          </cell>
          <cell r="CO279" t="str">
            <v/>
          </cell>
          <cell r="CP279" t="str">
            <v/>
          </cell>
          <cell r="CQ279" t="str">
            <v/>
          </cell>
          <cell r="CR279" t="str">
            <v/>
          </cell>
          <cell r="CS279" t="str">
            <v/>
          </cell>
          <cell r="CT279" t="str">
            <v/>
          </cell>
          <cell r="CU279" t="str">
            <v/>
          </cell>
          <cell r="CV279" t="str">
            <v>Municipal Office</v>
          </cell>
          <cell r="CW279" t="str">
            <v>Ram Prasad Pandey</v>
          </cell>
          <cell r="CX279" t="str">
            <v xml:space="preserve">Chairman </v>
          </cell>
          <cell r="CY279">
            <v>9857080137</v>
          </cell>
          <cell r="CZ279" t="str">
            <v>Municipal Office</v>
          </cell>
          <cell r="DA279" t="str">
            <v>Indra Kumari Tharuni</v>
          </cell>
          <cell r="DB279" t="str">
            <v>Deputy Chairman</v>
          </cell>
          <cell r="DC279">
            <v>9847435768</v>
          </cell>
          <cell r="DD279" t="str">
            <v>Municipal Office</v>
          </cell>
          <cell r="DE279" t="str">
            <v>Jiv Lal Shrestha</v>
          </cell>
          <cell r="DF279" t="str">
            <v>Chief Adminstration Officer</v>
          </cell>
          <cell r="DG279">
            <v>9841526989</v>
          </cell>
          <cell r="DH279" t="str">
            <v>NRA/GMALI</v>
          </cell>
          <cell r="DI279" t="str">
            <v xml:space="preserve">Rajendra  Karki </v>
          </cell>
          <cell r="DJ279" t="str">
            <v>NRA Chief-District</v>
          </cell>
          <cell r="DK279">
            <v>9857087637</v>
          </cell>
          <cell r="DL279" t="str">
            <v>DLPIU-Building</v>
          </cell>
          <cell r="DM279" t="str">
            <v/>
          </cell>
          <cell r="DN279" t="str">
            <v>DUDBC.DLPIU Chief</v>
          </cell>
          <cell r="DO279" t="str">
            <v/>
          </cell>
          <cell r="DP279" t="str">
            <v>Municipal Office</v>
          </cell>
          <cell r="DQ279" t="str">
            <v>Sita Paudel</v>
          </cell>
          <cell r="DR279" t="str">
            <v>Focal Person</v>
          </cell>
          <cell r="DS279">
            <v>9847958120</v>
          </cell>
          <cell r="DT279" t="str">
            <v/>
          </cell>
          <cell r="DU279" t="str">
            <v/>
          </cell>
          <cell r="DV279" t="str">
            <v/>
          </cell>
          <cell r="DW279" t="str">
            <v/>
          </cell>
          <cell r="DX279" t="str">
            <v/>
          </cell>
          <cell r="DY279" t="str">
            <v/>
          </cell>
          <cell r="DZ279" t="str">
            <v/>
          </cell>
          <cell r="EA279" t="str">
            <v/>
          </cell>
          <cell r="EB279" t="str">
            <v/>
          </cell>
          <cell r="EC279" t="str">
            <v/>
          </cell>
          <cell r="ED279" t="str">
            <v/>
          </cell>
          <cell r="EE279" t="str">
            <v/>
          </cell>
          <cell r="EF279" t="str">
            <v/>
          </cell>
          <cell r="EG279" t="str">
            <v/>
          </cell>
          <cell r="EH279" t="str">
            <v/>
          </cell>
          <cell r="EI279" t="str">
            <v/>
          </cell>
          <cell r="EJ279">
            <v>0</v>
          </cell>
          <cell r="EK279">
            <v>0</v>
          </cell>
          <cell r="EL279">
            <v>0</v>
          </cell>
          <cell r="EM279">
            <v>0</v>
          </cell>
          <cell r="EN279">
            <v>0</v>
          </cell>
          <cell r="EO279">
            <v>0</v>
          </cell>
          <cell r="EP279" t="str">
            <v/>
          </cell>
          <cell r="EQ279" t="str">
            <v>Housing Recovery and Reconstruction Platform</v>
          </cell>
          <cell r="ER279" t="str">
            <v>Hari Prasad Thalang</v>
          </cell>
          <cell r="ES279" t="str">
            <v>District Coordinator</v>
          </cell>
          <cell r="ET279">
            <v>9851224505</v>
          </cell>
          <cell r="EU279" t="str">
            <v>Housing Recovery and Reconstruction Platform</v>
          </cell>
          <cell r="EV279" t="str">
            <v>Nirmal Nepali</v>
          </cell>
          <cell r="EW279" t="str">
            <v>DIstrict Information Management Officer</v>
          </cell>
          <cell r="EX279">
            <v>9848500348</v>
          </cell>
          <cell r="EY279" t="str">
            <v>Housing Recovery and Reconstruction Platform</v>
          </cell>
          <cell r="EZ279" t="str">
            <v xml:space="preserve">Kausal Bist </v>
          </cell>
          <cell r="FA279" t="str">
            <v>District Technical Officer</v>
          </cell>
          <cell r="FB279">
            <v>9849787273</v>
          </cell>
        </row>
        <row r="280">
          <cell r="A280">
            <v>51001</v>
          </cell>
          <cell r="B280" t="str">
            <v>Arghakhanchi</v>
          </cell>
          <cell r="C280" t="str">
            <v>Bhumekasthan Nagarpalika</v>
          </cell>
          <cell r="D280">
            <v>58</v>
          </cell>
          <cell r="E280">
            <v>172</v>
          </cell>
          <cell r="F280">
            <v>230</v>
          </cell>
          <cell r="G280" t="str">
            <v>Stone and cement mortar masonry</v>
          </cell>
          <cell r="H280">
            <v>0</v>
          </cell>
          <cell r="I280">
            <v>0.85</v>
          </cell>
          <cell r="J280" t="str">
            <v>Stone and mud mortar Masonry</v>
          </cell>
          <cell r="K280">
            <v>100</v>
          </cell>
          <cell r="L280">
            <v>98</v>
          </cell>
          <cell r="M280" t="str">
            <v>Brick and cement mortar Masonry</v>
          </cell>
          <cell r="N280">
            <v>0</v>
          </cell>
          <cell r="O280">
            <v>0.61</v>
          </cell>
          <cell r="P280" t="str">
            <v>Brick and mud mortar Masonry</v>
          </cell>
          <cell r="Q280">
            <v>0</v>
          </cell>
          <cell r="R280">
            <v>0.12</v>
          </cell>
          <cell r="S280" t="str">
            <v>Reinforced cement concrete (RCC) frame</v>
          </cell>
          <cell r="T280">
            <v>0</v>
          </cell>
          <cell r="U280">
            <v>0.12</v>
          </cell>
          <cell r="V280" t="str">
            <v>Hybrid structure</v>
          </cell>
          <cell r="W280">
            <v>0</v>
          </cell>
          <cell r="X280">
            <v>0</v>
          </cell>
          <cell r="Y280" t="str">
            <v>Timber frame structure</v>
          </cell>
          <cell r="Z280">
            <v>0</v>
          </cell>
          <cell r="AA280">
            <v>0.06</v>
          </cell>
          <cell r="AB280" t="str">
            <v>Hollow concrete block Masonry</v>
          </cell>
          <cell r="AC280">
            <v>0</v>
          </cell>
          <cell r="AD280">
            <v>0</v>
          </cell>
          <cell r="AE280" t="str">
            <v>Dry stone Masonry</v>
          </cell>
          <cell r="AF280">
            <v>0</v>
          </cell>
          <cell r="AG280">
            <v>0.06</v>
          </cell>
          <cell r="AH280" t="str">
            <v>Adobe structures</v>
          </cell>
          <cell r="AI280">
            <v>0</v>
          </cell>
          <cell r="AJ280">
            <v>0.18</v>
          </cell>
          <cell r="AK280" t="str">
            <v>Bamboo</v>
          </cell>
          <cell r="AL280">
            <v>0</v>
          </cell>
          <cell r="AM280">
            <v>0</v>
          </cell>
          <cell r="AN280" t="str">
            <v>Compressed stabilized earth block (SCEB) Masonry</v>
          </cell>
          <cell r="AO280">
            <v>0</v>
          </cell>
          <cell r="AP280">
            <v>0</v>
          </cell>
          <cell r="AQ280" t="str">
            <v>Light steel frame structures</v>
          </cell>
          <cell r="AR280">
            <v>0</v>
          </cell>
          <cell r="AS280">
            <v>0</v>
          </cell>
          <cell r="AT280">
            <v>148</v>
          </cell>
          <cell r="AU280">
            <v>119</v>
          </cell>
          <cell r="AV280">
            <v>119</v>
          </cell>
          <cell r="AW280">
            <v>21</v>
          </cell>
          <cell r="AX280">
            <v>0</v>
          </cell>
          <cell r="AY280" t="str">
            <v/>
          </cell>
          <cell r="AZ280" t="str">
            <v/>
          </cell>
          <cell r="BA280">
            <v>24</v>
          </cell>
          <cell r="BB280" t="str">
            <v/>
          </cell>
          <cell r="BC280" t="str">
            <v/>
          </cell>
          <cell r="BD280" t="str">
            <v/>
          </cell>
          <cell r="BE280" t="str">
            <v/>
          </cell>
          <cell r="BF280" t="str">
            <v/>
          </cell>
          <cell r="BG280" t="str">
            <v/>
          </cell>
          <cell r="BH280" t="str">
            <v/>
          </cell>
          <cell r="BI280" t="str">
            <v/>
          </cell>
          <cell r="BJ280" t="str">
            <v/>
          </cell>
          <cell r="BK280">
            <v>3393</v>
          </cell>
          <cell r="BL280" t="str">
            <v/>
          </cell>
          <cell r="BM280" t="str">
            <v/>
          </cell>
          <cell r="BN280">
            <v>3501</v>
          </cell>
          <cell r="BO280" t="str">
            <v/>
          </cell>
          <cell r="BP280" t="str">
            <v/>
          </cell>
          <cell r="BQ280">
            <v>363</v>
          </cell>
          <cell r="BR280" t="str">
            <v/>
          </cell>
          <cell r="BS280" t="str">
            <v/>
          </cell>
          <cell r="BT280">
            <v>419</v>
          </cell>
          <cell r="BU280" t="str">
            <v/>
          </cell>
          <cell r="BV280" t="str">
            <v/>
          </cell>
          <cell r="BW280" t="str">
            <v/>
          </cell>
          <cell r="BX280" t="str">
            <v/>
          </cell>
          <cell r="BY280" t="str">
            <v/>
          </cell>
          <cell r="BZ280">
            <v>11640</v>
          </cell>
          <cell r="CA280" t="str">
            <v/>
          </cell>
          <cell r="CB280" t="str">
            <v/>
          </cell>
          <cell r="CC280">
            <v>36807</v>
          </cell>
          <cell r="CD280" t="str">
            <v/>
          </cell>
          <cell r="CE280" t="str">
            <v/>
          </cell>
          <cell r="CF280">
            <v>476</v>
          </cell>
          <cell r="CG280" t="str">
            <v/>
          </cell>
          <cell r="CH280" t="str">
            <v/>
          </cell>
          <cell r="CI280">
            <v>38689</v>
          </cell>
          <cell r="CJ280" t="str">
            <v/>
          </cell>
          <cell r="CK280" t="str">
            <v/>
          </cell>
          <cell r="CL280" t="str">
            <v>Skilled</v>
          </cell>
          <cell r="CM280" t="str">
            <v/>
          </cell>
          <cell r="CN280" t="str">
            <v>Labor</v>
          </cell>
          <cell r="CO280" t="str">
            <v/>
          </cell>
          <cell r="CP280" t="str">
            <v/>
          </cell>
          <cell r="CQ280" t="str">
            <v/>
          </cell>
          <cell r="CR280" t="str">
            <v/>
          </cell>
          <cell r="CS280" t="str">
            <v/>
          </cell>
          <cell r="CT280" t="str">
            <v/>
          </cell>
          <cell r="CU280" t="str">
            <v/>
          </cell>
          <cell r="CV280" t="str">
            <v>Municipal Office</v>
          </cell>
          <cell r="CW280" t="str">
            <v/>
          </cell>
          <cell r="CX280" t="str">
            <v>Mayor</v>
          </cell>
          <cell r="CY280" t="str">
            <v/>
          </cell>
          <cell r="CZ280" t="str">
            <v>Municipal Office</v>
          </cell>
          <cell r="DA280" t="str">
            <v/>
          </cell>
          <cell r="DB280" t="str">
            <v>Deputy Mayor</v>
          </cell>
          <cell r="DC280" t="str">
            <v/>
          </cell>
          <cell r="DD280" t="str">
            <v>Municipal Office</v>
          </cell>
          <cell r="DE280" t="str">
            <v/>
          </cell>
          <cell r="DF280" t="str">
            <v>Chief Adminstration Officer</v>
          </cell>
          <cell r="DG280" t="str">
            <v/>
          </cell>
          <cell r="DH280" t="str">
            <v>NRA/GMALI</v>
          </cell>
          <cell r="DI280" t="str">
            <v/>
          </cell>
          <cell r="DJ280" t="str">
            <v>NRA Chief-District</v>
          </cell>
          <cell r="DK280" t="str">
            <v/>
          </cell>
          <cell r="DL280" t="str">
            <v>DLPIU-Building</v>
          </cell>
          <cell r="DM280" t="str">
            <v/>
          </cell>
          <cell r="DN280" t="str">
            <v>DUDBC.DLPIU Chief</v>
          </cell>
          <cell r="DO280" t="str">
            <v/>
          </cell>
          <cell r="DP280" t="str">
            <v>Municipal Office</v>
          </cell>
          <cell r="DQ280" t="str">
            <v/>
          </cell>
          <cell r="DR280" t="str">
            <v>Focal Person</v>
          </cell>
          <cell r="DS280" t="str">
            <v/>
          </cell>
          <cell r="DT280" t="str">
            <v/>
          </cell>
          <cell r="DU280" t="str">
            <v/>
          </cell>
          <cell r="DV280" t="str">
            <v/>
          </cell>
          <cell r="DW280" t="str">
            <v/>
          </cell>
          <cell r="DX280" t="str">
            <v/>
          </cell>
          <cell r="DY280" t="str">
            <v/>
          </cell>
          <cell r="DZ280" t="str">
            <v/>
          </cell>
          <cell r="EA280" t="str">
            <v/>
          </cell>
          <cell r="EB280" t="str">
            <v/>
          </cell>
          <cell r="EC280" t="str">
            <v/>
          </cell>
          <cell r="ED280" t="str">
            <v/>
          </cell>
          <cell r="EE280" t="str">
            <v/>
          </cell>
          <cell r="EF280" t="str">
            <v/>
          </cell>
          <cell r="EG280" t="str">
            <v/>
          </cell>
          <cell r="EH280" t="str">
            <v/>
          </cell>
          <cell r="EI280" t="str">
            <v/>
          </cell>
          <cell r="EJ280">
            <v>0</v>
          </cell>
          <cell r="EK280">
            <v>0</v>
          </cell>
          <cell r="EL280">
            <v>0</v>
          </cell>
          <cell r="EM280">
            <v>0</v>
          </cell>
          <cell r="EN280">
            <v>0</v>
          </cell>
          <cell r="EO280">
            <v>0</v>
          </cell>
          <cell r="EP280" t="str">
            <v/>
          </cell>
          <cell r="EQ280" t="str">
            <v>Housing Recovery and Reconstruction Platform</v>
          </cell>
          <cell r="ER280" t="str">
            <v/>
          </cell>
          <cell r="ES280" t="str">
            <v>District Coordinator</v>
          </cell>
          <cell r="ET280" t="str">
            <v/>
          </cell>
          <cell r="EU280" t="str">
            <v>Housing Recovery and Reconstruction Platform</v>
          </cell>
          <cell r="EV280" t="str">
            <v/>
          </cell>
          <cell r="EW280" t="str">
            <v>DIstrict Information Management Officer</v>
          </cell>
          <cell r="EX280" t="str">
            <v/>
          </cell>
          <cell r="EY280" t="str">
            <v>Housing Recovery and Reconstruction Platform</v>
          </cell>
          <cell r="EZ280" t="str">
            <v/>
          </cell>
          <cell r="FA280" t="str">
            <v>District Technical Officer</v>
          </cell>
          <cell r="FB280" t="str">
            <v/>
          </cell>
        </row>
        <row r="281">
          <cell r="A281">
            <v>51002</v>
          </cell>
          <cell r="B281" t="str">
            <v>Arghakhanchi</v>
          </cell>
          <cell r="C281" t="str">
            <v>Chhatradev Gaunpalika</v>
          </cell>
          <cell r="D281">
            <v>181</v>
          </cell>
          <cell r="E281">
            <v>210</v>
          </cell>
          <cell r="F281">
            <v>391</v>
          </cell>
          <cell r="G281" t="str">
            <v>Stone and cement mortar masonry</v>
          </cell>
          <cell r="H281">
            <v>0</v>
          </cell>
          <cell r="I281">
            <v>0.85</v>
          </cell>
          <cell r="J281" t="str">
            <v>Stone and Mud Mortar Masonary</v>
          </cell>
          <cell r="K281">
            <v>100</v>
          </cell>
          <cell r="L281">
            <v>98</v>
          </cell>
          <cell r="M281" t="str">
            <v>Brick and Cement Mortar Masonary</v>
          </cell>
          <cell r="N281">
            <v>0</v>
          </cell>
          <cell r="O281">
            <v>0.61</v>
          </cell>
          <cell r="P281" t="str">
            <v>Brick and mud mortar Masonry</v>
          </cell>
          <cell r="Q281">
            <v>0</v>
          </cell>
          <cell r="R281">
            <v>0.12</v>
          </cell>
          <cell r="S281" t="str">
            <v>Reinforced cement concrete (RCC) frame</v>
          </cell>
          <cell r="T281">
            <v>0</v>
          </cell>
          <cell r="U281">
            <v>0.12</v>
          </cell>
          <cell r="V281" t="str">
            <v>Hybrid structure</v>
          </cell>
          <cell r="W281">
            <v>0</v>
          </cell>
          <cell r="X281">
            <v>0</v>
          </cell>
          <cell r="Y281" t="str">
            <v>Timber frame structure</v>
          </cell>
          <cell r="Z281">
            <v>0</v>
          </cell>
          <cell r="AA281">
            <v>0.06</v>
          </cell>
          <cell r="AB281" t="str">
            <v>Hollow concrete block Masonry</v>
          </cell>
          <cell r="AC281">
            <v>0</v>
          </cell>
          <cell r="AD281">
            <v>0</v>
          </cell>
          <cell r="AE281" t="str">
            <v>Dry stone Masonry</v>
          </cell>
          <cell r="AF281">
            <v>0</v>
          </cell>
          <cell r="AG281">
            <v>0.06</v>
          </cell>
          <cell r="AH281" t="str">
            <v>Adobe structures</v>
          </cell>
          <cell r="AI281">
            <v>0</v>
          </cell>
          <cell r="AJ281">
            <v>0.18</v>
          </cell>
          <cell r="AK281" t="str">
            <v>Bamboo</v>
          </cell>
          <cell r="AL281">
            <v>0</v>
          </cell>
          <cell r="AM281">
            <v>0</v>
          </cell>
          <cell r="AN281" t="str">
            <v>Compressed stabilized earth block (SCEB) Masonry</v>
          </cell>
          <cell r="AO281">
            <v>0</v>
          </cell>
          <cell r="AP281">
            <v>0</v>
          </cell>
          <cell r="AQ281" t="str">
            <v>Light steel frame structures</v>
          </cell>
          <cell r="AR281">
            <v>0</v>
          </cell>
          <cell r="AS281">
            <v>0</v>
          </cell>
          <cell r="AT281">
            <v>199</v>
          </cell>
          <cell r="AU281">
            <v>98</v>
          </cell>
          <cell r="AV281">
            <v>98</v>
          </cell>
          <cell r="AW281">
            <v>44</v>
          </cell>
          <cell r="AX281">
            <v>0</v>
          </cell>
          <cell r="AY281" t="str">
            <v/>
          </cell>
          <cell r="AZ281" t="str">
            <v/>
          </cell>
          <cell r="BA281">
            <v>9</v>
          </cell>
          <cell r="BB281" t="str">
            <v/>
          </cell>
          <cell r="BC281" t="str">
            <v/>
          </cell>
          <cell r="BD281" t="str">
            <v/>
          </cell>
          <cell r="BE281" t="str">
            <v/>
          </cell>
          <cell r="BF281" t="str">
            <v/>
          </cell>
          <cell r="BG281" t="str">
            <v/>
          </cell>
          <cell r="BH281" t="str">
            <v/>
          </cell>
          <cell r="BI281" t="str">
            <v/>
          </cell>
          <cell r="BJ281" t="str">
            <v/>
          </cell>
          <cell r="BK281">
            <v>2744</v>
          </cell>
          <cell r="BL281" t="str">
            <v/>
          </cell>
          <cell r="BM281" t="str">
            <v/>
          </cell>
          <cell r="BN281">
            <v>2940</v>
          </cell>
          <cell r="BO281" t="str">
            <v/>
          </cell>
          <cell r="BP281" t="str">
            <v/>
          </cell>
          <cell r="BQ281">
            <v>294</v>
          </cell>
          <cell r="BR281" t="str">
            <v/>
          </cell>
          <cell r="BS281" t="str">
            <v/>
          </cell>
          <cell r="BT281">
            <v>343</v>
          </cell>
          <cell r="BU281" t="str">
            <v/>
          </cell>
          <cell r="BV281" t="str">
            <v/>
          </cell>
          <cell r="BW281" t="str">
            <v/>
          </cell>
          <cell r="BX281" t="str">
            <v/>
          </cell>
          <cell r="BY281" t="str">
            <v/>
          </cell>
          <cell r="BZ281">
            <v>9604</v>
          </cell>
          <cell r="CA281" t="str">
            <v/>
          </cell>
          <cell r="CB281" t="str">
            <v/>
          </cell>
          <cell r="CC281">
            <v>29400</v>
          </cell>
          <cell r="CD281" t="str">
            <v/>
          </cell>
          <cell r="CE281" t="str">
            <v/>
          </cell>
          <cell r="CF281">
            <v>392</v>
          </cell>
          <cell r="CG281" t="str">
            <v/>
          </cell>
          <cell r="CH281" t="str">
            <v/>
          </cell>
          <cell r="CI281">
            <v>0</v>
          </cell>
          <cell r="CJ281" t="str">
            <v/>
          </cell>
          <cell r="CK281" t="str">
            <v/>
          </cell>
          <cell r="CL281" t="str">
            <v>Skilled</v>
          </cell>
          <cell r="CM281" t="str">
            <v/>
          </cell>
          <cell r="CN281" t="str">
            <v>Labor</v>
          </cell>
          <cell r="CO281" t="str">
            <v/>
          </cell>
          <cell r="CP281" t="str">
            <v/>
          </cell>
          <cell r="CQ281" t="str">
            <v/>
          </cell>
          <cell r="CR281" t="str">
            <v/>
          </cell>
          <cell r="CS281" t="str">
            <v/>
          </cell>
          <cell r="CT281" t="str">
            <v/>
          </cell>
          <cell r="CU281" t="str">
            <v/>
          </cell>
          <cell r="CV281" t="str">
            <v>Municipal Office</v>
          </cell>
          <cell r="CW281" t="str">
            <v/>
          </cell>
          <cell r="CX281" t="str">
            <v>Chairman</v>
          </cell>
          <cell r="CY281" t="str">
            <v/>
          </cell>
          <cell r="CZ281" t="str">
            <v>Municipal Office</v>
          </cell>
          <cell r="DA281" t="str">
            <v/>
          </cell>
          <cell r="DB281" t="str">
            <v>Deputy Chairman</v>
          </cell>
          <cell r="DC281" t="str">
            <v/>
          </cell>
          <cell r="DD281" t="str">
            <v>Municipal Office</v>
          </cell>
          <cell r="DE281" t="str">
            <v/>
          </cell>
          <cell r="DF281" t="str">
            <v>Chief Adminstration Officer</v>
          </cell>
          <cell r="DG281" t="str">
            <v/>
          </cell>
          <cell r="DH281" t="str">
            <v>NRA/GMALI</v>
          </cell>
          <cell r="DI281" t="str">
            <v/>
          </cell>
          <cell r="DJ281" t="str">
            <v>NRA Chief-District</v>
          </cell>
          <cell r="DK281" t="str">
            <v/>
          </cell>
          <cell r="DL281" t="str">
            <v>DLPIU-Building</v>
          </cell>
          <cell r="DM281" t="str">
            <v/>
          </cell>
          <cell r="DN281" t="str">
            <v>DUDBC.DLPIU Chief</v>
          </cell>
          <cell r="DO281" t="str">
            <v/>
          </cell>
          <cell r="DP281" t="str">
            <v>Municipal Office</v>
          </cell>
          <cell r="DQ281" t="str">
            <v/>
          </cell>
          <cell r="DR281" t="str">
            <v>Focal Person</v>
          </cell>
          <cell r="DS281" t="str">
            <v/>
          </cell>
          <cell r="DT281" t="str">
            <v/>
          </cell>
          <cell r="DU281" t="str">
            <v/>
          </cell>
          <cell r="DV281" t="str">
            <v/>
          </cell>
          <cell r="DW281" t="str">
            <v/>
          </cell>
          <cell r="DX281" t="str">
            <v/>
          </cell>
          <cell r="DY281" t="str">
            <v/>
          </cell>
          <cell r="DZ281" t="str">
            <v/>
          </cell>
          <cell r="EA281" t="str">
            <v/>
          </cell>
          <cell r="EB281" t="str">
            <v/>
          </cell>
          <cell r="EC281" t="str">
            <v/>
          </cell>
          <cell r="ED281" t="str">
            <v/>
          </cell>
          <cell r="EE281" t="str">
            <v/>
          </cell>
          <cell r="EF281" t="str">
            <v/>
          </cell>
          <cell r="EG281" t="str">
            <v/>
          </cell>
          <cell r="EH281" t="str">
            <v/>
          </cell>
          <cell r="EI281" t="str">
            <v/>
          </cell>
          <cell r="EJ281">
            <v>0</v>
          </cell>
          <cell r="EK281">
            <v>0</v>
          </cell>
          <cell r="EL281">
            <v>0</v>
          </cell>
          <cell r="EM281">
            <v>0</v>
          </cell>
          <cell r="EN281">
            <v>0</v>
          </cell>
          <cell r="EO281">
            <v>0</v>
          </cell>
          <cell r="EP281" t="str">
            <v/>
          </cell>
          <cell r="EQ281" t="str">
            <v>Housing Recovery and Reconstruction Platform</v>
          </cell>
          <cell r="ER281" t="str">
            <v/>
          </cell>
          <cell r="ES281" t="str">
            <v>District Coordinator</v>
          </cell>
          <cell r="ET281" t="str">
            <v/>
          </cell>
          <cell r="EU281" t="str">
            <v>Housing Recovery and Reconstruction Platform</v>
          </cell>
          <cell r="EV281" t="str">
            <v/>
          </cell>
          <cell r="EW281" t="str">
            <v>DIstrict Information Management Officer</v>
          </cell>
          <cell r="EX281" t="str">
            <v/>
          </cell>
          <cell r="EY281" t="str">
            <v>Housing Recovery and Reconstruction Platform</v>
          </cell>
          <cell r="EZ281" t="str">
            <v/>
          </cell>
          <cell r="FA281" t="str">
            <v>District Technical Officer</v>
          </cell>
          <cell r="FB281" t="str">
            <v/>
          </cell>
        </row>
        <row r="282">
          <cell r="A282">
            <v>51003</v>
          </cell>
          <cell r="B282" t="str">
            <v>Arghakhanchi</v>
          </cell>
          <cell r="C282" t="str">
            <v>Malarani Gaunpalika</v>
          </cell>
          <cell r="D282">
            <v>46</v>
          </cell>
          <cell r="E282">
            <v>266</v>
          </cell>
          <cell r="F282">
            <v>312</v>
          </cell>
          <cell r="G282" t="str">
            <v>Stone and cement mortar masonry</v>
          </cell>
          <cell r="H282">
            <v>0.64</v>
          </cell>
          <cell r="I282">
            <v>0.85</v>
          </cell>
          <cell r="J282" t="str">
            <v>Stone and Mud Mortar Masonary</v>
          </cell>
          <cell r="K282">
            <v>99.04</v>
          </cell>
          <cell r="L282">
            <v>98</v>
          </cell>
          <cell r="M282" t="str">
            <v>Brick and Cement Mortar Masonary</v>
          </cell>
          <cell r="N282">
            <v>0</v>
          </cell>
          <cell r="O282">
            <v>0.61</v>
          </cell>
          <cell r="P282" t="str">
            <v>Brick and mud mortar Masonry</v>
          </cell>
          <cell r="Q282">
            <v>0</v>
          </cell>
          <cell r="R282">
            <v>0.12</v>
          </cell>
          <cell r="S282" t="str">
            <v>Reinforced cement concrete (RCC) frame</v>
          </cell>
          <cell r="T282">
            <v>0</v>
          </cell>
          <cell r="U282">
            <v>0.12</v>
          </cell>
          <cell r="V282" t="str">
            <v>Hybrid structure</v>
          </cell>
          <cell r="W282">
            <v>0</v>
          </cell>
          <cell r="X282">
            <v>0</v>
          </cell>
          <cell r="Y282" t="str">
            <v>Timber frame structure</v>
          </cell>
          <cell r="Z282">
            <v>0</v>
          </cell>
          <cell r="AA282">
            <v>0.06</v>
          </cell>
          <cell r="AB282" t="str">
            <v>Hollow concrete block Masonry</v>
          </cell>
          <cell r="AC282">
            <v>0</v>
          </cell>
          <cell r="AD282">
            <v>0</v>
          </cell>
          <cell r="AE282" t="str">
            <v>Dry stone Masonry</v>
          </cell>
          <cell r="AF282">
            <v>0</v>
          </cell>
          <cell r="AG282">
            <v>0.06</v>
          </cell>
          <cell r="AH282" t="str">
            <v>Adobe structures</v>
          </cell>
          <cell r="AI282">
            <v>0.32</v>
          </cell>
          <cell r="AJ282">
            <v>0.18</v>
          </cell>
          <cell r="AK282" t="str">
            <v>Bamboo</v>
          </cell>
          <cell r="AL282">
            <v>0</v>
          </cell>
          <cell r="AM282">
            <v>0</v>
          </cell>
          <cell r="AN282" t="str">
            <v>Compressed stabilized earth block (SCEB) Masonry</v>
          </cell>
          <cell r="AO282">
            <v>0</v>
          </cell>
          <cell r="AP282">
            <v>0</v>
          </cell>
          <cell r="AQ282" t="str">
            <v>Light steel frame structures</v>
          </cell>
          <cell r="AR282">
            <v>0</v>
          </cell>
          <cell r="AS282">
            <v>0</v>
          </cell>
          <cell r="AT282">
            <v>245</v>
          </cell>
          <cell r="AU282">
            <v>90</v>
          </cell>
          <cell r="AV282">
            <v>90</v>
          </cell>
          <cell r="AW282">
            <v>24</v>
          </cell>
          <cell r="AX282">
            <v>1</v>
          </cell>
          <cell r="AY282" t="str">
            <v/>
          </cell>
          <cell r="AZ282" t="str">
            <v/>
          </cell>
          <cell r="BA282">
            <v>3</v>
          </cell>
          <cell r="BB282" t="str">
            <v/>
          </cell>
          <cell r="BC282" t="str">
            <v/>
          </cell>
          <cell r="BD282" t="str">
            <v/>
          </cell>
          <cell r="BE282" t="str">
            <v/>
          </cell>
          <cell r="BF282" t="str">
            <v/>
          </cell>
          <cell r="BG282" t="str">
            <v/>
          </cell>
          <cell r="BH282" t="str">
            <v/>
          </cell>
          <cell r="BI282" t="str">
            <v/>
          </cell>
          <cell r="BJ282" t="str">
            <v/>
          </cell>
          <cell r="BK282">
            <v>2580</v>
          </cell>
          <cell r="BL282" t="str">
            <v/>
          </cell>
          <cell r="BM282" t="str">
            <v/>
          </cell>
          <cell r="BN282">
            <v>2570</v>
          </cell>
          <cell r="BO282" t="str">
            <v/>
          </cell>
          <cell r="BP282" t="str">
            <v/>
          </cell>
          <cell r="BQ282">
            <v>275</v>
          </cell>
          <cell r="BR282" t="str">
            <v/>
          </cell>
          <cell r="BS282" t="str">
            <v/>
          </cell>
          <cell r="BT282">
            <v>316</v>
          </cell>
          <cell r="BU282" t="str">
            <v/>
          </cell>
          <cell r="BV282" t="str">
            <v/>
          </cell>
          <cell r="BW282" t="str">
            <v/>
          </cell>
          <cell r="BX282" t="str">
            <v/>
          </cell>
          <cell r="BY282" t="str">
            <v/>
          </cell>
          <cell r="BZ282">
            <v>8690</v>
          </cell>
          <cell r="CA282" t="str">
            <v/>
          </cell>
          <cell r="CB282" t="str">
            <v/>
          </cell>
          <cell r="CC282">
            <v>28306</v>
          </cell>
          <cell r="CD282" t="str">
            <v/>
          </cell>
          <cell r="CE282" t="str">
            <v/>
          </cell>
          <cell r="CF282">
            <v>356</v>
          </cell>
          <cell r="CG282" t="str">
            <v/>
          </cell>
          <cell r="CH282" t="str">
            <v/>
          </cell>
          <cell r="CI282">
            <v>56130</v>
          </cell>
          <cell r="CJ282" t="str">
            <v/>
          </cell>
          <cell r="CK282" t="str">
            <v/>
          </cell>
          <cell r="CL282" t="str">
            <v>Skilled</v>
          </cell>
          <cell r="CM282" t="str">
            <v/>
          </cell>
          <cell r="CN282" t="str">
            <v>Labor</v>
          </cell>
          <cell r="CO282" t="str">
            <v/>
          </cell>
          <cell r="CP282" t="str">
            <v/>
          </cell>
          <cell r="CQ282" t="str">
            <v/>
          </cell>
          <cell r="CR282" t="str">
            <v/>
          </cell>
          <cell r="CS282" t="str">
            <v/>
          </cell>
          <cell r="CT282" t="str">
            <v/>
          </cell>
          <cell r="CU282" t="str">
            <v/>
          </cell>
          <cell r="CV282" t="str">
            <v>Municipal Office</v>
          </cell>
          <cell r="CW282" t="str">
            <v/>
          </cell>
          <cell r="CX282" t="str">
            <v>Chairman</v>
          </cell>
          <cell r="CY282" t="str">
            <v/>
          </cell>
          <cell r="CZ282" t="str">
            <v>Municipal Office</v>
          </cell>
          <cell r="DA282" t="str">
            <v/>
          </cell>
          <cell r="DB282" t="str">
            <v>Deputy Chairman</v>
          </cell>
          <cell r="DC282" t="str">
            <v/>
          </cell>
          <cell r="DD282" t="str">
            <v>Municipal Office</v>
          </cell>
          <cell r="DE282" t="str">
            <v/>
          </cell>
          <cell r="DF282" t="str">
            <v>Chief Adminstration Officer</v>
          </cell>
          <cell r="DG282" t="str">
            <v/>
          </cell>
          <cell r="DH282" t="str">
            <v>NRA/GMALI</v>
          </cell>
          <cell r="DI282" t="str">
            <v/>
          </cell>
          <cell r="DJ282" t="str">
            <v>NRA Chief-District</v>
          </cell>
          <cell r="DK282" t="str">
            <v/>
          </cell>
          <cell r="DL282" t="str">
            <v>DLPIU-Building</v>
          </cell>
          <cell r="DM282" t="str">
            <v/>
          </cell>
          <cell r="DN282" t="str">
            <v>DUDBC.DLPIU Chief</v>
          </cell>
          <cell r="DO282" t="str">
            <v/>
          </cell>
          <cell r="DP282" t="str">
            <v>Municipal Office</v>
          </cell>
          <cell r="DQ282" t="str">
            <v/>
          </cell>
          <cell r="DR282" t="str">
            <v>Focal Person</v>
          </cell>
          <cell r="DS282" t="str">
            <v/>
          </cell>
          <cell r="DT282" t="str">
            <v/>
          </cell>
          <cell r="DU282" t="str">
            <v/>
          </cell>
          <cell r="DV282" t="str">
            <v/>
          </cell>
          <cell r="DW282" t="str">
            <v/>
          </cell>
          <cell r="DX282" t="str">
            <v/>
          </cell>
          <cell r="DY282" t="str">
            <v/>
          </cell>
          <cell r="DZ282" t="str">
            <v/>
          </cell>
          <cell r="EA282" t="str">
            <v/>
          </cell>
          <cell r="EB282" t="str">
            <v/>
          </cell>
          <cell r="EC282" t="str">
            <v/>
          </cell>
          <cell r="ED282" t="str">
            <v/>
          </cell>
          <cell r="EE282" t="str">
            <v/>
          </cell>
          <cell r="EF282" t="str">
            <v/>
          </cell>
          <cell r="EG282" t="str">
            <v/>
          </cell>
          <cell r="EH282" t="str">
            <v/>
          </cell>
          <cell r="EI282" t="str">
            <v/>
          </cell>
          <cell r="EJ282">
            <v>0</v>
          </cell>
          <cell r="EK282">
            <v>0</v>
          </cell>
          <cell r="EL282">
            <v>0</v>
          </cell>
          <cell r="EM282">
            <v>0</v>
          </cell>
          <cell r="EN282">
            <v>0</v>
          </cell>
          <cell r="EO282">
            <v>0</v>
          </cell>
          <cell r="EP282" t="str">
            <v/>
          </cell>
          <cell r="EQ282" t="str">
            <v>Housing Recovery and Reconstruction Platform</v>
          </cell>
          <cell r="ER282" t="str">
            <v/>
          </cell>
          <cell r="ES282" t="str">
            <v>District Coordinator</v>
          </cell>
          <cell r="ET282" t="str">
            <v/>
          </cell>
          <cell r="EU282" t="str">
            <v>Housing Recovery and Reconstruction Platform</v>
          </cell>
          <cell r="EV282" t="str">
            <v/>
          </cell>
          <cell r="EW282" t="str">
            <v>DIstrict Information Management Officer</v>
          </cell>
          <cell r="EX282" t="str">
            <v/>
          </cell>
          <cell r="EY282" t="str">
            <v>Housing Recovery and Reconstruction Platform</v>
          </cell>
          <cell r="EZ282" t="str">
            <v/>
          </cell>
          <cell r="FA282" t="str">
            <v>District Technical Officer</v>
          </cell>
          <cell r="FB282" t="str">
            <v/>
          </cell>
        </row>
        <row r="283">
          <cell r="A283">
            <v>51004</v>
          </cell>
          <cell r="B283" t="str">
            <v>Arghakhanchi</v>
          </cell>
          <cell r="C283" t="str">
            <v>Panini Gaunpalika</v>
          </cell>
          <cell r="D283">
            <v>82</v>
          </cell>
          <cell r="E283">
            <v>249</v>
          </cell>
          <cell r="F283">
            <v>331</v>
          </cell>
          <cell r="G283" t="str">
            <v>Stone and cement mortar masonry</v>
          </cell>
          <cell r="H283">
            <v>1.21</v>
          </cell>
          <cell r="I283">
            <v>0.85</v>
          </cell>
          <cell r="J283" t="str">
            <v>Stone and Mud Mortar Masonary</v>
          </cell>
          <cell r="K283">
            <v>97.89</v>
          </cell>
          <cell r="L283">
            <v>98</v>
          </cell>
          <cell r="M283" t="str">
            <v>Brick and Cement Mortar Masonary</v>
          </cell>
          <cell r="N283">
            <v>0</v>
          </cell>
          <cell r="O283">
            <v>0.61</v>
          </cell>
          <cell r="P283" t="str">
            <v>Brick and mud mortar Masonry</v>
          </cell>
          <cell r="Q283">
            <v>0</v>
          </cell>
          <cell r="R283">
            <v>0.12</v>
          </cell>
          <cell r="S283" t="str">
            <v>Reinforced cement concrete (RCC) frame</v>
          </cell>
          <cell r="T283">
            <v>0.3</v>
          </cell>
          <cell r="U283">
            <v>0.12</v>
          </cell>
          <cell r="V283" t="str">
            <v>Hybrid structure</v>
          </cell>
          <cell r="W283">
            <v>0</v>
          </cell>
          <cell r="X283">
            <v>0</v>
          </cell>
          <cell r="Y283" t="str">
            <v>Timber frame structure</v>
          </cell>
          <cell r="Z283">
            <v>0.3</v>
          </cell>
          <cell r="AA283">
            <v>0.06</v>
          </cell>
          <cell r="AB283" t="str">
            <v>Hollow concrete block Masonry</v>
          </cell>
          <cell r="AC283">
            <v>0</v>
          </cell>
          <cell r="AD283">
            <v>0</v>
          </cell>
          <cell r="AE283" t="str">
            <v>Dry stone Masonry</v>
          </cell>
          <cell r="AF283">
            <v>0.3</v>
          </cell>
          <cell r="AG283">
            <v>0.06</v>
          </cell>
          <cell r="AH283" t="str">
            <v>Adobe structures</v>
          </cell>
          <cell r="AI283">
            <v>0</v>
          </cell>
          <cell r="AJ283">
            <v>0.18</v>
          </cell>
          <cell r="AK283" t="str">
            <v>Bamboo</v>
          </cell>
          <cell r="AL283">
            <v>0</v>
          </cell>
          <cell r="AM283">
            <v>0</v>
          </cell>
          <cell r="AN283" t="str">
            <v>Compressed stabilized earth block (SCEB) Masonry</v>
          </cell>
          <cell r="AO283">
            <v>0</v>
          </cell>
          <cell r="AP283">
            <v>0</v>
          </cell>
          <cell r="AQ283" t="str">
            <v>Light steel frame structures</v>
          </cell>
          <cell r="AR283">
            <v>0</v>
          </cell>
          <cell r="AS283">
            <v>0</v>
          </cell>
          <cell r="AT283">
            <v>241</v>
          </cell>
          <cell r="AU283">
            <v>110</v>
          </cell>
          <cell r="AV283">
            <v>110</v>
          </cell>
          <cell r="AW283">
            <v>33</v>
          </cell>
          <cell r="AX283">
            <v>2</v>
          </cell>
          <cell r="AY283" t="str">
            <v/>
          </cell>
          <cell r="AZ283" t="str">
            <v/>
          </cell>
          <cell r="BA283">
            <v>6</v>
          </cell>
          <cell r="BB283" t="str">
            <v/>
          </cell>
          <cell r="BC283" t="str">
            <v/>
          </cell>
          <cell r="BD283" t="str">
            <v/>
          </cell>
          <cell r="BE283" t="str">
            <v/>
          </cell>
          <cell r="BF283" t="str">
            <v/>
          </cell>
          <cell r="BG283" t="str">
            <v/>
          </cell>
          <cell r="BH283" t="str">
            <v/>
          </cell>
          <cell r="BI283" t="str">
            <v/>
          </cell>
          <cell r="BJ283" t="str">
            <v/>
          </cell>
          <cell r="BK283">
            <v>3034</v>
          </cell>
          <cell r="BL283" t="str">
            <v/>
          </cell>
          <cell r="BM283" t="str">
            <v/>
          </cell>
          <cell r="BN283">
            <v>3229</v>
          </cell>
          <cell r="BO283" t="str">
            <v/>
          </cell>
          <cell r="BP283" t="str">
            <v/>
          </cell>
          <cell r="BQ283">
            <v>325</v>
          </cell>
          <cell r="BR283" t="str">
            <v/>
          </cell>
          <cell r="BS283" t="str">
            <v/>
          </cell>
          <cell r="BT283">
            <v>378</v>
          </cell>
          <cell r="BU283" t="str">
            <v/>
          </cell>
          <cell r="BV283" t="str">
            <v/>
          </cell>
          <cell r="BW283" t="str">
            <v/>
          </cell>
          <cell r="BX283" t="str">
            <v/>
          </cell>
          <cell r="BY283" t="str">
            <v/>
          </cell>
          <cell r="BZ283">
            <v>10581</v>
          </cell>
          <cell r="CA283" t="str">
            <v/>
          </cell>
          <cell r="CB283" t="str">
            <v/>
          </cell>
          <cell r="CC283">
            <v>32573</v>
          </cell>
          <cell r="CD283" t="str">
            <v/>
          </cell>
          <cell r="CE283" t="str">
            <v/>
          </cell>
          <cell r="CF283">
            <v>432</v>
          </cell>
          <cell r="CG283" t="str">
            <v/>
          </cell>
          <cell r="CH283" t="str">
            <v/>
          </cell>
          <cell r="CI283">
            <v>6064</v>
          </cell>
          <cell r="CJ283" t="str">
            <v/>
          </cell>
          <cell r="CK283" t="str">
            <v/>
          </cell>
          <cell r="CL283" t="str">
            <v>Skilled</v>
          </cell>
          <cell r="CM283" t="str">
            <v/>
          </cell>
          <cell r="CN283" t="str">
            <v>Labor</v>
          </cell>
          <cell r="CO283" t="str">
            <v/>
          </cell>
          <cell r="CP283" t="str">
            <v/>
          </cell>
          <cell r="CQ283" t="str">
            <v/>
          </cell>
          <cell r="CR283" t="str">
            <v/>
          </cell>
          <cell r="CS283" t="str">
            <v/>
          </cell>
          <cell r="CT283" t="str">
            <v/>
          </cell>
          <cell r="CU283" t="str">
            <v/>
          </cell>
          <cell r="CV283" t="str">
            <v>Municipal Office</v>
          </cell>
          <cell r="CW283" t="str">
            <v/>
          </cell>
          <cell r="CX283" t="str">
            <v>Chairman</v>
          </cell>
          <cell r="CY283" t="str">
            <v/>
          </cell>
          <cell r="CZ283" t="str">
            <v>Municipal Office</v>
          </cell>
          <cell r="DA283" t="str">
            <v/>
          </cell>
          <cell r="DB283" t="str">
            <v>Deputy Chairman</v>
          </cell>
          <cell r="DC283" t="str">
            <v/>
          </cell>
          <cell r="DD283" t="str">
            <v>Municipal Office</v>
          </cell>
          <cell r="DE283" t="str">
            <v/>
          </cell>
          <cell r="DF283" t="str">
            <v>Chief Adminstration Officer</v>
          </cell>
          <cell r="DG283" t="str">
            <v/>
          </cell>
          <cell r="DH283" t="str">
            <v>NRA/GMALI</v>
          </cell>
          <cell r="DI283" t="str">
            <v/>
          </cell>
          <cell r="DJ283" t="str">
            <v>NRA Chief-District</v>
          </cell>
          <cell r="DK283" t="str">
            <v/>
          </cell>
          <cell r="DL283" t="str">
            <v>DLPIU-Building</v>
          </cell>
          <cell r="DM283" t="str">
            <v/>
          </cell>
          <cell r="DN283" t="str">
            <v>DUDBC.DLPIU Chief</v>
          </cell>
          <cell r="DO283" t="str">
            <v/>
          </cell>
          <cell r="DP283" t="str">
            <v>Municipal Office</v>
          </cell>
          <cell r="DQ283" t="str">
            <v/>
          </cell>
          <cell r="DR283" t="str">
            <v>Focal Person</v>
          </cell>
          <cell r="DS283" t="str">
            <v/>
          </cell>
          <cell r="DT283" t="str">
            <v/>
          </cell>
          <cell r="DU283" t="str">
            <v/>
          </cell>
          <cell r="DV283" t="str">
            <v/>
          </cell>
          <cell r="DW283" t="str">
            <v/>
          </cell>
          <cell r="DX283" t="str">
            <v/>
          </cell>
          <cell r="DY283" t="str">
            <v/>
          </cell>
          <cell r="DZ283" t="str">
            <v/>
          </cell>
          <cell r="EA283" t="str">
            <v/>
          </cell>
          <cell r="EB283" t="str">
            <v/>
          </cell>
          <cell r="EC283" t="str">
            <v/>
          </cell>
          <cell r="ED283" t="str">
            <v/>
          </cell>
          <cell r="EE283" t="str">
            <v/>
          </cell>
          <cell r="EF283" t="str">
            <v/>
          </cell>
          <cell r="EG283" t="str">
            <v/>
          </cell>
          <cell r="EH283" t="str">
            <v/>
          </cell>
          <cell r="EI283" t="str">
            <v/>
          </cell>
          <cell r="EJ283">
            <v>0</v>
          </cell>
          <cell r="EK283">
            <v>0</v>
          </cell>
          <cell r="EL283">
            <v>0</v>
          </cell>
          <cell r="EM283">
            <v>0</v>
          </cell>
          <cell r="EN283">
            <v>0</v>
          </cell>
          <cell r="EO283">
            <v>0</v>
          </cell>
          <cell r="EP283" t="str">
            <v/>
          </cell>
          <cell r="EQ283" t="str">
            <v>Housing Recovery and Reconstruction Platform</v>
          </cell>
          <cell r="ER283" t="str">
            <v/>
          </cell>
          <cell r="ES283" t="str">
            <v>District Coordinator</v>
          </cell>
          <cell r="ET283" t="str">
            <v/>
          </cell>
          <cell r="EU283" t="str">
            <v>Housing Recovery and Reconstruction Platform</v>
          </cell>
          <cell r="EV283" t="str">
            <v/>
          </cell>
          <cell r="EW283" t="str">
            <v>DIstrict Information Management Officer</v>
          </cell>
          <cell r="EX283" t="str">
            <v/>
          </cell>
          <cell r="EY283" t="str">
            <v>Housing Recovery and Reconstruction Platform</v>
          </cell>
          <cell r="EZ283" t="str">
            <v/>
          </cell>
          <cell r="FA283" t="str">
            <v>District Technical Officer</v>
          </cell>
          <cell r="FB283" t="str">
            <v/>
          </cell>
        </row>
        <row r="284">
          <cell r="A284">
            <v>51005</v>
          </cell>
          <cell r="B284" t="str">
            <v>Arghakhanchi</v>
          </cell>
          <cell r="C284" t="str">
            <v>Sandhikharka Nagarpalika</v>
          </cell>
          <cell r="D284">
            <v>122</v>
          </cell>
          <cell r="E284">
            <v>85</v>
          </cell>
          <cell r="F284">
            <v>207</v>
          </cell>
          <cell r="G284" t="str">
            <v>Stone and cement mortar masonry</v>
          </cell>
          <cell r="H284">
            <v>1.45</v>
          </cell>
          <cell r="I284">
            <v>0.85</v>
          </cell>
          <cell r="J284" t="str">
            <v>Stone and Mud Mortar Masonary</v>
          </cell>
          <cell r="K284">
            <v>97.1</v>
          </cell>
          <cell r="L284">
            <v>98</v>
          </cell>
          <cell r="M284" t="str">
            <v>Brick and Cement Mortar Masonary</v>
          </cell>
          <cell r="N284">
            <v>0.97</v>
          </cell>
          <cell r="O284">
            <v>0.61</v>
          </cell>
          <cell r="P284" t="str">
            <v>Brick and mud mortar Masonry</v>
          </cell>
          <cell r="Q284">
            <v>0.48</v>
          </cell>
          <cell r="R284">
            <v>0.12</v>
          </cell>
          <cell r="S284" t="str">
            <v>Reinforced cement concrete (RCC) frame</v>
          </cell>
          <cell r="T284">
            <v>0</v>
          </cell>
          <cell r="U284">
            <v>0.12</v>
          </cell>
          <cell r="V284" t="str">
            <v>Hybrid structure</v>
          </cell>
          <cell r="W284">
            <v>0</v>
          </cell>
          <cell r="X284">
            <v>0</v>
          </cell>
          <cell r="Y284" t="str">
            <v>Timber frame structure</v>
          </cell>
          <cell r="Z284">
            <v>0</v>
          </cell>
          <cell r="AA284">
            <v>0.06</v>
          </cell>
          <cell r="AB284" t="str">
            <v>Hollow concrete block Masonry</v>
          </cell>
          <cell r="AC284">
            <v>0</v>
          </cell>
          <cell r="AD284">
            <v>0</v>
          </cell>
          <cell r="AE284" t="str">
            <v>Dry stone Masonry</v>
          </cell>
          <cell r="AF284">
            <v>0</v>
          </cell>
          <cell r="AG284">
            <v>0.06</v>
          </cell>
          <cell r="AH284" t="str">
            <v>Adobe structures</v>
          </cell>
          <cell r="AI284">
            <v>0</v>
          </cell>
          <cell r="AJ284">
            <v>0.18</v>
          </cell>
          <cell r="AK284" t="str">
            <v>Bamboo</v>
          </cell>
          <cell r="AL284">
            <v>0</v>
          </cell>
          <cell r="AM284">
            <v>0</v>
          </cell>
          <cell r="AN284" t="str">
            <v>Compressed stabilized earth block (SCEB) Masonry</v>
          </cell>
          <cell r="AO284">
            <v>0</v>
          </cell>
          <cell r="AP284">
            <v>0</v>
          </cell>
          <cell r="AQ284" t="str">
            <v>Light steel frame structures</v>
          </cell>
          <cell r="AR284">
            <v>0</v>
          </cell>
          <cell r="AS284">
            <v>0</v>
          </cell>
          <cell r="AT284">
            <v>65</v>
          </cell>
          <cell r="AU284">
            <v>83</v>
          </cell>
          <cell r="AV284">
            <v>83</v>
          </cell>
          <cell r="AW284">
            <v>39</v>
          </cell>
          <cell r="AX284">
            <v>10</v>
          </cell>
          <cell r="AY284" t="str">
            <v/>
          </cell>
          <cell r="AZ284" t="str">
            <v/>
          </cell>
          <cell r="BA284">
            <v>34</v>
          </cell>
          <cell r="BB284" t="str">
            <v/>
          </cell>
          <cell r="BC284" t="str">
            <v/>
          </cell>
          <cell r="BD284" t="str">
            <v/>
          </cell>
          <cell r="BE284" t="str">
            <v/>
          </cell>
          <cell r="BF284" t="str">
            <v/>
          </cell>
          <cell r="BG284" t="str">
            <v/>
          </cell>
          <cell r="BH284" t="str">
            <v/>
          </cell>
          <cell r="BI284" t="str">
            <v/>
          </cell>
          <cell r="BJ284" t="str">
            <v/>
          </cell>
          <cell r="BK284">
            <v>2309</v>
          </cell>
          <cell r="BL284" t="str">
            <v/>
          </cell>
          <cell r="BM284" t="str">
            <v/>
          </cell>
          <cell r="BN284">
            <v>1889</v>
          </cell>
          <cell r="BO284" t="str">
            <v/>
          </cell>
          <cell r="BP284" t="str">
            <v/>
          </cell>
          <cell r="BQ284">
            <v>243</v>
          </cell>
          <cell r="BR284" t="str">
            <v/>
          </cell>
          <cell r="BS284" t="str">
            <v/>
          </cell>
          <cell r="BT284">
            <v>268</v>
          </cell>
          <cell r="BU284" t="str">
            <v/>
          </cell>
          <cell r="BV284" t="str">
            <v/>
          </cell>
          <cell r="BW284" t="str">
            <v/>
          </cell>
          <cell r="BX284" t="str">
            <v/>
          </cell>
          <cell r="BY284" t="str">
            <v/>
          </cell>
          <cell r="BZ284">
            <v>7058</v>
          </cell>
          <cell r="CA284" t="str">
            <v/>
          </cell>
          <cell r="CB284" t="str">
            <v/>
          </cell>
          <cell r="CC284">
            <v>26709</v>
          </cell>
          <cell r="CD284" t="str">
            <v/>
          </cell>
          <cell r="CE284" t="str">
            <v/>
          </cell>
          <cell r="CF284">
            <v>292</v>
          </cell>
          <cell r="CG284" t="str">
            <v/>
          </cell>
          <cell r="CH284" t="str">
            <v/>
          </cell>
          <cell r="CI284">
            <v>168089</v>
          </cell>
          <cell r="CJ284" t="str">
            <v/>
          </cell>
          <cell r="CK284" t="str">
            <v/>
          </cell>
          <cell r="CL284" t="str">
            <v>Skilled</v>
          </cell>
          <cell r="CM284" t="str">
            <v/>
          </cell>
          <cell r="CN284" t="str">
            <v>Labor</v>
          </cell>
          <cell r="CO284" t="str">
            <v/>
          </cell>
          <cell r="CP284" t="str">
            <v/>
          </cell>
          <cell r="CQ284" t="str">
            <v/>
          </cell>
          <cell r="CR284" t="str">
            <v/>
          </cell>
          <cell r="CS284" t="str">
            <v/>
          </cell>
          <cell r="CT284" t="str">
            <v/>
          </cell>
          <cell r="CU284" t="str">
            <v/>
          </cell>
          <cell r="CV284" t="str">
            <v>Municipal Office</v>
          </cell>
          <cell r="CW284" t="str">
            <v/>
          </cell>
          <cell r="CX284" t="str">
            <v>Mayor</v>
          </cell>
          <cell r="CY284" t="str">
            <v/>
          </cell>
          <cell r="CZ284" t="str">
            <v>Municipal Office</v>
          </cell>
          <cell r="DA284" t="str">
            <v/>
          </cell>
          <cell r="DB284" t="str">
            <v>Deputy Mayor</v>
          </cell>
          <cell r="DC284" t="str">
            <v/>
          </cell>
          <cell r="DD284" t="str">
            <v>Municipal Office</v>
          </cell>
          <cell r="DE284" t="str">
            <v/>
          </cell>
          <cell r="DF284" t="str">
            <v>Chief Adminstration Officer</v>
          </cell>
          <cell r="DG284" t="str">
            <v/>
          </cell>
          <cell r="DH284" t="str">
            <v>NRA/GMALI</v>
          </cell>
          <cell r="DI284" t="str">
            <v/>
          </cell>
          <cell r="DJ284" t="str">
            <v>NRA Chief-District</v>
          </cell>
          <cell r="DK284" t="str">
            <v/>
          </cell>
          <cell r="DL284" t="str">
            <v>DLPIU-Building</v>
          </cell>
          <cell r="DM284" t="str">
            <v/>
          </cell>
          <cell r="DN284" t="str">
            <v>DUDBC.DLPIU Chief</v>
          </cell>
          <cell r="DO284" t="str">
            <v/>
          </cell>
          <cell r="DP284" t="str">
            <v>Municipal Office</v>
          </cell>
          <cell r="DQ284" t="str">
            <v/>
          </cell>
          <cell r="DR284" t="str">
            <v>Focal Person</v>
          </cell>
          <cell r="DS284" t="str">
            <v/>
          </cell>
          <cell r="DT284" t="str">
            <v/>
          </cell>
          <cell r="DU284" t="str">
            <v/>
          </cell>
          <cell r="DV284" t="str">
            <v/>
          </cell>
          <cell r="DW284" t="str">
            <v/>
          </cell>
          <cell r="DX284" t="str">
            <v/>
          </cell>
          <cell r="DY284" t="str">
            <v/>
          </cell>
          <cell r="DZ284" t="str">
            <v/>
          </cell>
          <cell r="EA284" t="str">
            <v/>
          </cell>
          <cell r="EB284" t="str">
            <v/>
          </cell>
          <cell r="EC284" t="str">
            <v/>
          </cell>
          <cell r="ED284" t="str">
            <v/>
          </cell>
          <cell r="EE284" t="str">
            <v/>
          </cell>
          <cell r="EF284" t="str">
            <v/>
          </cell>
          <cell r="EG284" t="str">
            <v/>
          </cell>
          <cell r="EH284" t="str">
            <v/>
          </cell>
          <cell r="EI284" t="str">
            <v/>
          </cell>
          <cell r="EJ284">
            <v>0</v>
          </cell>
          <cell r="EK284">
            <v>0</v>
          </cell>
          <cell r="EL284">
            <v>0</v>
          </cell>
          <cell r="EM284">
            <v>0</v>
          </cell>
          <cell r="EN284">
            <v>0</v>
          </cell>
          <cell r="EO284">
            <v>0</v>
          </cell>
          <cell r="EP284" t="str">
            <v/>
          </cell>
          <cell r="EQ284" t="str">
            <v>Housing Recovery and Reconstruction Platform</v>
          </cell>
          <cell r="ER284" t="str">
            <v/>
          </cell>
          <cell r="ES284" t="str">
            <v>District Coordinator</v>
          </cell>
          <cell r="ET284" t="str">
            <v/>
          </cell>
          <cell r="EU284" t="str">
            <v>Housing Recovery and Reconstruction Platform</v>
          </cell>
          <cell r="EV284" t="str">
            <v/>
          </cell>
          <cell r="EW284" t="str">
            <v>DIstrict Information Management Officer</v>
          </cell>
          <cell r="EX284" t="str">
            <v/>
          </cell>
          <cell r="EY284" t="str">
            <v>Housing Recovery and Reconstruction Platform</v>
          </cell>
          <cell r="EZ284" t="str">
            <v/>
          </cell>
          <cell r="FA284" t="str">
            <v>District Technical Officer</v>
          </cell>
          <cell r="FB284" t="str">
            <v/>
          </cell>
        </row>
        <row r="285">
          <cell r="A285">
            <v>51006</v>
          </cell>
          <cell r="B285" t="str">
            <v>Arghakhanchi</v>
          </cell>
          <cell r="C285" t="str">
            <v>Sitganga Nagarpalika</v>
          </cell>
          <cell r="D285">
            <v>31</v>
          </cell>
          <cell r="E285">
            <v>146</v>
          </cell>
          <cell r="F285">
            <v>177</v>
          </cell>
          <cell r="G285" t="str">
            <v>Stone and cement mortar masonry</v>
          </cell>
          <cell r="H285">
            <v>2.82</v>
          </cell>
          <cell r="I285">
            <v>0.85</v>
          </cell>
          <cell r="J285" t="str">
            <v>Stone and Mud Mortar Masonary</v>
          </cell>
          <cell r="K285">
            <v>90.4</v>
          </cell>
          <cell r="L285">
            <v>98</v>
          </cell>
          <cell r="M285" t="str">
            <v>Brick and Cement Mortar Masonary</v>
          </cell>
          <cell r="N285">
            <v>4.5199999999999996</v>
          </cell>
          <cell r="O285">
            <v>0.61</v>
          </cell>
          <cell r="P285" t="str">
            <v>Brick and mud mortar Masonry</v>
          </cell>
          <cell r="Q285">
            <v>0.56000000000000005</v>
          </cell>
          <cell r="R285">
            <v>0.12</v>
          </cell>
          <cell r="S285" t="str">
            <v>Reinforced cement concrete (RCC) frame</v>
          </cell>
          <cell r="T285">
            <v>0.56000000000000005</v>
          </cell>
          <cell r="U285">
            <v>0.12</v>
          </cell>
          <cell r="V285" t="str">
            <v>Hybrid structure</v>
          </cell>
          <cell r="W285">
            <v>0</v>
          </cell>
          <cell r="X285">
            <v>0</v>
          </cell>
          <cell r="Y285" t="str">
            <v>Timber frame structure</v>
          </cell>
          <cell r="Z285">
            <v>0</v>
          </cell>
          <cell r="AA285">
            <v>0.06</v>
          </cell>
          <cell r="AB285" t="str">
            <v>Hollow concrete block Masonry</v>
          </cell>
          <cell r="AC285">
            <v>0</v>
          </cell>
          <cell r="AD285">
            <v>0</v>
          </cell>
          <cell r="AE285" t="str">
            <v>Dry stone Masonry</v>
          </cell>
          <cell r="AF285">
            <v>0</v>
          </cell>
          <cell r="AG285">
            <v>0.06</v>
          </cell>
          <cell r="AH285" t="str">
            <v>Adobe structures</v>
          </cell>
          <cell r="AI285">
            <v>1.1299999999999999</v>
          </cell>
          <cell r="AJ285">
            <v>0.18</v>
          </cell>
          <cell r="AK285" t="str">
            <v>Bamboo</v>
          </cell>
          <cell r="AL285">
            <v>0</v>
          </cell>
          <cell r="AM285">
            <v>0</v>
          </cell>
          <cell r="AN285" t="str">
            <v>Compressed stabilized earth block (SCEB) Masonry</v>
          </cell>
          <cell r="AO285">
            <v>0</v>
          </cell>
          <cell r="AP285">
            <v>0</v>
          </cell>
          <cell r="AQ285" t="str">
            <v>Light steel frame structures</v>
          </cell>
          <cell r="AR285">
            <v>0</v>
          </cell>
          <cell r="AS285">
            <v>0</v>
          </cell>
          <cell r="AT285">
            <v>139</v>
          </cell>
          <cell r="AU285">
            <v>77</v>
          </cell>
          <cell r="AV285">
            <v>77</v>
          </cell>
          <cell r="AW285">
            <v>43</v>
          </cell>
          <cell r="AX285">
            <v>0</v>
          </cell>
          <cell r="AY285" t="str">
            <v/>
          </cell>
          <cell r="AZ285" t="str">
            <v/>
          </cell>
          <cell r="BA285">
            <v>6</v>
          </cell>
          <cell r="BB285" t="str">
            <v/>
          </cell>
          <cell r="BC285" t="str">
            <v/>
          </cell>
          <cell r="BD285" t="str">
            <v/>
          </cell>
          <cell r="BE285" t="str">
            <v/>
          </cell>
          <cell r="BF285" t="str">
            <v/>
          </cell>
          <cell r="BG285" t="str">
            <v/>
          </cell>
          <cell r="BH285" t="str">
            <v/>
          </cell>
          <cell r="BI285" t="str">
            <v/>
          </cell>
          <cell r="BJ285" t="str">
            <v/>
          </cell>
          <cell r="BK285">
            <v>2318</v>
          </cell>
          <cell r="BL285" t="str">
            <v/>
          </cell>
          <cell r="BM285" t="str">
            <v/>
          </cell>
          <cell r="BN285">
            <v>2274</v>
          </cell>
          <cell r="BO285" t="str">
            <v/>
          </cell>
          <cell r="BP285" t="str">
            <v/>
          </cell>
          <cell r="BQ285">
            <v>246</v>
          </cell>
          <cell r="BR285" t="str">
            <v/>
          </cell>
          <cell r="BS285" t="str">
            <v/>
          </cell>
          <cell r="BT285">
            <v>281</v>
          </cell>
          <cell r="BU285" t="str">
            <v/>
          </cell>
          <cell r="BV285" t="str">
            <v/>
          </cell>
          <cell r="BW285" t="str">
            <v/>
          </cell>
          <cell r="BX285" t="str">
            <v/>
          </cell>
          <cell r="BY285" t="str">
            <v/>
          </cell>
          <cell r="BZ285">
            <v>7496</v>
          </cell>
          <cell r="CA285" t="str">
            <v/>
          </cell>
          <cell r="CB285" t="str">
            <v/>
          </cell>
          <cell r="CC285">
            <v>25210</v>
          </cell>
          <cell r="CD285" t="str">
            <v/>
          </cell>
          <cell r="CE285" t="str">
            <v/>
          </cell>
          <cell r="CF285">
            <v>306</v>
          </cell>
          <cell r="CG285" t="str">
            <v/>
          </cell>
          <cell r="CH285" t="str">
            <v/>
          </cell>
          <cell r="CI285">
            <v>22156</v>
          </cell>
          <cell r="CJ285" t="str">
            <v/>
          </cell>
          <cell r="CK285" t="str">
            <v/>
          </cell>
          <cell r="CL285" t="str">
            <v>Skilled</v>
          </cell>
          <cell r="CM285" t="str">
            <v/>
          </cell>
          <cell r="CN285" t="str">
            <v>Labor</v>
          </cell>
          <cell r="CO285" t="str">
            <v/>
          </cell>
          <cell r="CP285" t="str">
            <v/>
          </cell>
          <cell r="CQ285" t="str">
            <v/>
          </cell>
          <cell r="CR285" t="str">
            <v/>
          </cell>
          <cell r="CS285" t="str">
            <v/>
          </cell>
          <cell r="CT285" t="str">
            <v/>
          </cell>
          <cell r="CU285" t="str">
            <v/>
          </cell>
          <cell r="CV285" t="str">
            <v>Municipal Office</v>
          </cell>
          <cell r="CW285" t="str">
            <v/>
          </cell>
          <cell r="CX285" t="str">
            <v>Mayor</v>
          </cell>
          <cell r="CY285" t="str">
            <v/>
          </cell>
          <cell r="CZ285" t="str">
            <v>Municipal Office</v>
          </cell>
          <cell r="DA285" t="str">
            <v/>
          </cell>
          <cell r="DB285" t="str">
            <v>Deputy Mayor</v>
          </cell>
          <cell r="DC285" t="str">
            <v/>
          </cell>
          <cell r="DD285" t="str">
            <v>Municipal Office</v>
          </cell>
          <cell r="DE285" t="str">
            <v/>
          </cell>
          <cell r="DF285" t="str">
            <v>Chief Adminstration Officer</v>
          </cell>
          <cell r="DG285" t="str">
            <v/>
          </cell>
          <cell r="DH285" t="str">
            <v>NRA/GMALI</v>
          </cell>
          <cell r="DI285" t="str">
            <v/>
          </cell>
          <cell r="DJ285" t="str">
            <v>NRA Chief-District</v>
          </cell>
          <cell r="DK285" t="str">
            <v/>
          </cell>
          <cell r="DL285" t="str">
            <v>DLPIU-Building</v>
          </cell>
          <cell r="DM285" t="str">
            <v/>
          </cell>
          <cell r="DN285" t="str">
            <v>DUDBC.DLPIU Chief</v>
          </cell>
          <cell r="DO285" t="str">
            <v/>
          </cell>
          <cell r="DP285" t="str">
            <v>Municipal Office</v>
          </cell>
          <cell r="DQ285" t="str">
            <v/>
          </cell>
          <cell r="DR285" t="str">
            <v>Focal Person</v>
          </cell>
          <cell r="DS285" t="str">
            <v/>
          </cell>
          <cell r="DT285" t="str">
            <v/>
          </cell>
          <cell r="DU285" t="str">
            <v/>
          </cell>
          <cell r="DV285" t="str">
            <v/>
          </cell>
          <cell r="DW285" t="str">
            <v/>
          </cell>
          <cell r="DX285" t="str">
            <v/>
          </cell>
          <cell r="DY285" t="str">
            <v/>
          </cell>
          <cell r="DZ285" t="str">
            <v/>
          </cell>
          <cell r="EA285" t="str">
            <v/>
          </cell>
          <cell r="EB285" t="str">
            <v/>
          </cell>
          <cell r="EC285" t="str">
            <v/>
          </cell>
          <cell r="ED285" t="str">
            <v/>
          </cell>
          <cell r="EE285" t="str">
            <v/>
          </cell>
          <cell r="EF285" t="str">
            <v/>
          </cell>
          <cell r="EG285" t="str">
            <v/>
          </cell>
          <cell r="EH285" t="str">
            <v/>
          </cell>
          <cell r="EI285" t="str">
            <v/>
          </cell>
          <cell r="EJ285">
            <v>0</v>
          </cell>
          <cell r="EK285">
            <v>0</v>
          </cell>
          <cell r="EL285">
            <v>0</v>
          </cell>
          <cell r="EM285">
            <v>0</v>
          </cell>
          <cell r="EN285">
            <v>0</v>
          </cell>
          <cell r="EO285">
            <v>0</v>
          </cell>
          <cell r="EP285" t="str">
            <v/>
          </cell>
          <cell r="EQ285" t="str">
            <v>Housing Recovery and Reconstruction Platform</v>
          </cell>
          <cell r="ER285" t="str">
            <v/>
          </cell>
          <cell r="ES285" t="str">
            <v>District Coordinator</v>
          </cell>
          <cell r="ET285" t="str">
            <v/>
          </cell>
          <cell r="EU285" t="str">
            <v>Housing Recovery and Reconstruction Platform</v>
          </cell>
          <cell r="EV285" t="str">
            <v/>
          </cell>
          <cell r="EW285" t="str">
            <v>DIstrict Information Management Officer</v>
          </cell>
          <cell r="EX285" t="str">
            <v/>
          </cell>
          <cell r="EY285" t="str">
            <v>Housing Recovery and Reconstruction Platform</v>
          </cell>
          <cell r="EZ285" t="str">
            <v/>
          </cell>
          <cell r="FA285" t="str">
            <v>District Technical Officer</v>
          </cell>
          <cell r="FB285" t="str">
            <v/>
          </cell>
        </row>
      </sheetData>
      <sheetData sheetId="3">
        <row r="2">
          <cell r="A2" t="str">
            <v>Palika code</v>
          </cell>
          <cell r="B2" t="str">
            <v xml:space="preserve">District </v>
          </cell>
          <cell r="C2" t="str">
            <v>Palika Name</v>
          </cell>
          <cell r="D2" t="str">
            <v>Eligible HH</v>
          </cell>
          <cell r="E2" t="str">
            <v>Short Training Req'd Cnt</v>
          </cell>
          <cell r="F2" t="str">
            <v>Short Training Reached Cnt</v>
          </cell>
          <cell r="G2" t="str">
            <v>Short Training Remaining Cnt</v>
          </cell>
          <cell r="H2" t="str">
            <v>Voc Training Req'd Cnt</v>
          </cell>
          <cell r="I2" t="str">
            <v>Voc Training Reached Cnt</v>
          </cell>
        </row>
        <row r="3">
          <cell r="A3">
            <v>7001</v>
          </cell>
          <cell r="B3" t="str">
            <v>Dhankuta</v>
          </cell>
          <cell r="C3" t="str">
            <v>Chaubise Gaunpalika</v>
          </cell>
          <cell r="D3">
            <v>340</v>
          </cell>
          <cell r="E3">
            <v>26.153846153846199</v>
          </cell>
          <cell r="F3">
            <v>0</v>
          </cell>
          <cell r="G3">
            <v>26.153846153846199</v>
          </cell>
          <cell r="H3">
            <v>30.90909090909091</v>
          </cell>
          <cell r="I3">
            <v>352</v>
          </cell>
        </row>
        <row r="4">
          <cell r="A4">
            <v>7002</v>
          </cell>
          <cell r="B4" t="str">
            <v>Dhankuta</v>
          </cell>
          <cell r="C4" t="str">
            <v>Chhathar Jorpati Gaunpalika</v>
          </cell>
          <cell r="D4">
            <v>382</v>
          </cell>
          <cell r="E4">
            <v>29.384615384615383</v>
          </cell>
          <cell r="F4">
            <v>0</v>
          </cell>
          <cell r="G4">
            <v>29.384615384615383</v>
          </cell>
          <cell r="H4">
            <v>34.727272727272727</v>
          </cell>
          <cell r="I4">
            <v>1</v>
          </cell>
        </row>
        <row r="5">
          <cell r="A5">
            <v>7003</v>
          </cell>
          <cell r="B5" t="str">
            <v>Dhankuta</v>
          </cell>
          <cell r="C5" t="str">
            <v>Dhankuta Nagarpalika</v>
          </cell>
          <cell r="D5">
            <v>427</v>
          </cell>
          <cell r="E5">
            <v>32.846153846153847</v>
          </cell>
          <cell r="F5">
            <v>0</v>
          </cell>
          <cell r="G5">
            <v>32.846153846153847</v>
          </cell>
          <cell r="H5">
            <v>38.81818181818182</v>
          </cell>
          <cell r="I5">
            <v>129</v>
          </cell>
        </row>
        <row r="6">
          <cell r="A6">
            <v>7004</v>
          </cell>
          <cell r="B6" t="str">
            <v>Dhankuta</v>
          </cell>
          <cell r="C6" t="str">
            <v>Khalsa Chhintang Shahidbhumi Gaunpalika</v>
          </cell>
          <cell r="D6">
            <v>176</v>
          </cell>
          <cell r="E6">
            <v>13.538461538461538</v>
          </cell>
          <cell r="F6">
            <v>0</v>
          </cell>
          <cell r="G6">
            <v>13.538461538461538</v>
          </cell>
          <cell r="H6">
            <v>16</v>
          </cell>
          <cell r="I6">
            <v>233</v>
          </cell>
        </row>
        <row r="7">
          <cell r="A7">
            <v>7005</v>
          </cell>
          <cell r="B7" t="str">
            <v>Dhankuta</v>
          </cell>
          <cell r="C7" t="str">
            <v>Mahalaxmi Nagarpalika</v>
          </cell>
          <cell r="D7">
            <v>1035</v>
          </cell>
          <cell r="E7">
            <v>79.615384615384613</v>
          </cell>
          <cell r="F7">
            <v>0</v>
          </cell>
          <cell r="G7">
            <v>79.615384615384613</v>
          </cell>
          <cell r="H7">
            <v>94.090909090909093</v>
          </cell>
          <cell r="I7">
            <v>3</v>
          </cell>
        </row>
        <row r="8">
          <cell r="A8">
            <v>7006</v>
          </cell>
          <cell r="B8" t="str">
            <v>Dhankuta</v>
          </cell>
          <cell r="C8" t="str">
            <v>Pakhribas Nagarpalika</v>
          </cell>
          <cell r="D8">
            <v>333</v>
          </cell>
          <cell r="E8">
            <v>25.615384615384617</v>
          </cell>
          <cell r="F8">
            <v>0</v>
          </cell>
          <cell r="G8">
            <v>25.615384615384617</v>
          </cell>
          <cell r="H8">
            <v>30.272727272727273</v>
          </cell>
          <cell r="I8">
            <v>156</v>
          </cell>
        </row>
        <row r="9">
          <cell r="A9">
            <v>7007</v>
          </cell>
          <cell r="B9" t="str">
            <v>Dhankuta</v>
          </cell>
          <cell r="C9" t="str">
            <v>Sangurigadhi Gaunpalika</v>
          </cell>
          <cell r="D9">
            <v>103</v>
          </cell>
          <cell r="E9">
            <v>7.9230769230769234</v>
          </cell>
          <cell r="F9">
            <v>0</v>
          </cell>
          <cell r="G9">
            <v>7.9230769230769234</v>
          </cell>
          <cell r="H9">
            <v>9.3636363636363633</v>
          </cell>
          <cell r="I9">
            <v>152</v>
          </cell>
        </row>
        <row r="10">
          <cell r="A10">
            <v>9001</v>
          </cell>
          <cell r="B10" t="str">
            <v>Sankhuwasabha</v>
          </cell>
          <cell r="C10" t="str">
            <v>Bhotkhola Gaunpalika</v>
          </cell>
          <cell r="D10">
            <v>35</v>
          </cell>
          <cell r="E10">
            <v>2.6923076923076925</v>
          </cell>
          <cell r="F10">
            <v>0</v>
          </cell>
          <cell r="G10">
            <v>2.6923076923076925</v>
          </cell>
          <cell r="H10">
            <v>3.1818181818181817</v>
          </cell>
          <cell r="I10">
            <v>214</v>
          </cell>
        </row>
        <row r="11">
          <cell r="A11">
            <v>9002</v>
          </cell>
          <cell r="B11" t="str">
            <v>Sankhuwasabha</v>
          </cell>
          <cell r="C11" t="str">
            <v>Chainpur Nagarpalika</v>
          </cell>
          <cell r="D11">
            <v>160</v>
          </cell>
          <cell r="E11">
            <v>12.307692307692308</v>
          </cell>
          <cell r="F11">
            <v>0</v>
          </cell>
          <cell r="G11">
            <v>12.307692307692308</v>
          </cell>
          <cell r="H11">
            <v>14.545454545454545</v>
          </cell>
          <cell r="I11">
            <v>0</v>
          </cell>
        </row>
        <row r="12">
          <cell r="A12">
            <v>9003</v>
          </cell>
          <cell r="B12" t="str">
            <v>Sankhuwasabha</v>
          </cell>
          <cell r="C12" t="str">
            <v>Chichila Gaunpalika</v>
          </cell>
          <cell r="D12">
            <v>62</v>
          </cell>
          <cell r="E12">
            <v>4.7692307692307692</v>
          </cell>
          <cell r="F12">
            <v>0</v>
          </cell>
          <cell r="G12">
            <v>4.7692307692307692</v>
          </cell>
          <cell r="H12">
            <v>5.6363636363636367</v>
          </cell>
          <cell r="I12">
            <v>0</v>
          </cell>
        </row>
        <row r="13">
          <cell r="A13">
            <v>9004</v>
          </cell>
          <cell r="B13" t="str">
            <v>Sankhuwasabha</v>
          </cell>
          <cell r="C13" t="str">
            <v>Dharmadevi Nagarpalika</v>
          </cell>
          <cell r="D13">
            <v>141</v>
          </cell>
          <cell r="E13">
            <v>10.846153846153847</v>
          </cell>
          <cell r="F13">
            <v>0</v>
          </cell>
          <cell r="G13">
            <v>10.846153846153847</v>
          </cell>
          <cell r="H13">
            <v>12.818181818181818</v>
          </cell>
          <cell r="I13">
            <v>0</v>
          </cell>
        </row>
        <row r="14">
          <cell r="A14">
            <v>9005</v>
          </cell>
          <cell r="B14" t="str">
            <v>Sankhuwasabha</v>
          </cell>
          <cell r="C14" t="str">
            <v>Khandbari Nagarpalika</v>
          </cell>
          <cell r="D14">
            <v>745</v>
          </cell>
          <cell r="E14">
            <v>57.307692307692307</v>
          </cell>
          <cell r="F14">
            <v>0</v>
          </cell>
          <cell r="G14">
            <v>57.307692307692307</v>
          </cell>
          <cell r="H14">
            <v>67.727272727272734</v>
          </cell>
          <cell r="I14">
            <v>0</v>
          </cell>
        </row>
        <row r="15">
          <cell r="A15">
            <v>9006</v>
          </cell>
          <cell r="B15" t="str">
            <v>Sankhuwasabha</v>
          </cell>
          <cell r="C15" t="str">
            <v>Madi Nagarpalika</v>
          </cell>
          <cell r="D15">
            <v>232</v>
          </cell>
          <cell r="E15">
            <v>17.846153846153847</v>
          </cell>
          <cell r="F15">
            <v>0</v>
          </cell>
          <cell r="G15">
            <v>17.846153846153847</v>
          </cell>
          <cell r="H15">
            <v>21.09090909090909</v>
          </cell>
          <cell r="I15">
            <v>0</v>
          </cell>
        </row>
        <row r="16">
          <cell r="A16">
            <v>9007</v>
          </cell>
          <cell r="B16" t="str">
            <v>Sankhuwasabha</v>
          </cell>
          <cell r="C16" t="str">
            <v>Makalu Gaunpalika</v>
          </cell>
          <cell r="D16">
            <v>188</v>
          </cell>
          <cell r="E16">
            <v>14.461538461538462</v>
          </cell>
          <cell r="F16">
            <v>0</v>
          </cell>
          <cell r="G16">
            <v>14.461538461538462</v>
          </cell>
          <cell r="H16">
            <v>17.09090909090909</v>
          </cell>
          <cell r="I16">
            <v>0</v>
          </cell>
        </row>
        <row r="17">
          <cell r="A17">
            <v>9008</v>
          </cell>
          <cell r="B17" t="str">
            <v>Sankhuwasabha</v>
          </cell>
          <cell r="C17" t="str">
            <v>Panchakhapan Nagarpalika</v>
          </cell>
          <cell r="D17">
            <v>157</v>
          </cell>
          <cell r="E17">
            <v>12.076923076923077</v>
          </cell>
          <cell r="F17">
            <v>0</v>
          </cell>
          <cell r="G17">
            <v>12.076923076923077</v>
          </cell>
          <cell r="H17">
            <v>14.272727272727273</v>
          </cell>
          <cell r="I17">
            <v>0</v>
          </cell>
        </row>
        <row r="18">
          <cell r="A18">
            <v>9009</v>
          </cell>
          <cell r="B18" t="str">
            <v>Sankhuwasabha</v>
          </cell>
          <cell r="C18" t="str">
            <v>Sabhapokhari Gaunpalika</v>
          </cell>
          <cell r="D18">
            <v>73</v>
          </cell>
          <cell r="E18">
            <v>5.615384615384615</v>
          </cell>
          <cell r="F18">
            <v>0</v>
          </cell>
          <cell r="G18">
            <v>5.615384615384615</v>
          </cell>
          <cell r="H18">
            <v>6.6363636363636367</v>
          </cell>
          <cell r="I18">
            <v>0</v>
          </cell>
        </row>
        <row r="19">
          <cell r="A19">
            <v>9010</v>
          </cell>
          <cell r="B19" t="str">
            <v>Sankhuwasabha</v>
          </cell>
          <cell r="C19" t="str">
            <v>Silichong Gaunpalika</v>
          </cell>
          <cell r="D19">
            <v>188</v>
          </cell>
          <cell r="E19">
            <v>14.461538461538462</v>
          </cell>
          <cell r="F19">
            <v>0</v>
          </cell>
          <cell r="G19">
            <v>14.461538461538462</v>
          </cell>
          <cell r="H19">
            <v>17.09090909090909</v>
          </cell>
          <cell r="I19">
            <v>0</v>
          </cell>
        </row>
        <row r="20">
          <cell r="A20">
            <v>10001</v>
          </cell>
          <cell r="B20" t="str">
            <v>Bhojpur</v>
          </cell>
          <cell r="C20" t="str">
            <v>Aamchowk Gaunpalika</v>
          </cell>
          <cell r="D20">
            <v>407</v>
          </cell>
          <cell r="E20">
            <v>31.307692307692307</v>
          </cell>
          <cell r="F20">
            <v>0</v>
          </cell>
          <cell r="G20">
            <v>31.307692307692307</v>
          </cell>
          <cell r="H20">
            <v>37</v>
          </cell>
          <cell r="I20">
            <v>0</v>
          </cell>
        </row>
        <row r="21">
          <cell r="A21">
            <v>10002</v>
          </cell>
          <cell r="B21" t="str">
            <v>Bhojpur</v>
          </cell>
          <cell r="C21" t="str">
            <v>Arun Gaunpalika</v>
          </cell>
          <cell r="D21">
            <v>341</v>
          </cell>
          <cell r="E21">
            <v>26.23076923076923</v>
          </cell>
          <cell r="F21">
            <v>0</v>
          </cell>
          <cell r="G21">
            <v>26.23076923076923</v>
          </cell>
          <cell r="H21">
            <v>31</v>
          </cell>
          <cell r="I21">
            <v>0</v>
          </cell>
        </row>
        <row r="22">
          <cell r="A22">
            <v>10003</v>
          </cell>
          <cell r="B22" t="str">
            <v>Bhojpur</v>
          </cell>
          <cell r="C22" t="str">
            <v>Bhojpur Nagarpalika</v>
          </cell>
          <cell r="D22">
            <v>1071</v>
          </cell>
          <cell r="E22">
            <v>82.384615384615387</v>
          </cell>
          <cell r="F22">
            <v>0</v>
          </cell>
          <cell r="G22">
            <v>82.384615384615387</v>
          </cell>
          <cell r="H22">
            <v>97.36363636363636</v>
          </cell>
          <cell r="I22">
            <v>190</v>
          </cell>
        </row>
        <row r="23">
          <cell r="A23">
            <v>10004</v>
          </cell>
          <cell r="B23" t="str">
            <v>Bhojpur</v>
          </cell>
          <cell r="C23" t="str">
            <v>Hatuwagadhi Gaunpalika</v>
          </cell>
          <cell r="D23">
            <v>265</v>
          </cell>
          <cell r="E23">
            <v>20.384615384615383</v>
          </cell>
          <cell r="F23">
            <v>0</v>
          </cell>
          <cell r="G23">
            <v>20.384615384615383</v>
          </cell>
          <cell r="H23">
            <v>24.09090909090909</v>
          </cell>
          <cell r="I23">
            <v>320</v>
          </cell>
        </row>
        <row r="24">
          <cell r="A24">
            <v>10005</v>
          </cell>
          <cell r="B24" t="str">
            <v>Bhojpur</v>
          </cell>
          <cell r="C24" t="str">
            <v>Pauwadungma Gaunpalika</v>
          </cell>
          <cell r="D24">
            <v>340</v>
          </cell>
          <cell r="E24">
            <v>26.153846153846153</v>
          </cell>
          <cell r="F24">
            <v>0</v>
          </cell>
          <cell r="G24">
            <v>26.153846153846153</v>
          </cell>
          <cell r="H24">
            <v>30.90909090909091</v>
          </cell>
          <cell r="I24">
            <v>140</v>
          </cell>
        </row>
        <row r="25">
          <cell r="A25">
            <v>10006</v>
          </cell>
          <cell r="B25" t="str">
            <v>Bhojpur</v>
          </cell>
          <cell r="C25" t="str">
            <v>Ramprasad Rai Gaunpalika</v>
          </cell>
          <cell r="D25">
            <v>616</v>
          </cell>
          <cell r="E25">
            <v>47.384615384615387</v>
          </cell>
          <cell r="F25">
            <v>0</v>
          </cell>
          <cell r="G25">
            <v>47.384615384615387</v>
          </cell>
          <cell r="H25">
            <v>56</v>
          </cell>
          <cell r="I25">
            <v>220</v>
          </cell>
        </row>
        <row r="26">
          <cell r="A26">
            <v>10007</v>
          </cell>
          <cell r="B26" t="str">
            <v>Bhojpur</v>
          </cell>
          <cell r="C26" t="str">
            <v>Salpasilichho Gaunpalika</v>
          </cell>
          <cell r="D26">
            <v>1121</v>
          </cell>
          <cell r="E26">
            <v>86.230769230769226</v>
          </cell>
          <cell r="F26">
            <v>0</v>
          </cell>
          <cell r="G26">
            <v>86.230769230769226</v>
          </cell>
          <cell r="H26">
            <v>101.90909090909091</v>
          </cell>
          <cell r="I26">
            <v>140</v>
          </cell>
        </row>
        <row r="27">
          <cell r="A27">
            <v>10008</v>
          </cell>
          <cell r="B27" t="str">
            <v>Bhojpur</v>
          </cell>
          <cell r="C27" t="str">
            <v>Shadananda Nagarpalika</v>
          </cell>
          <cell r="D27">
            <v>1057</v>
          </cell>
          <cell r="E27">
            <v>81.307692307692307</v>
          </cell>
          <cell r="F27">
            <v>0</v>
          </cell>
          <cell r="G27">
            <v>81.307692307692307</v>
          </cell>
          <cell r="H27">
            <v>96.090909090909093</v>
          </cell>
          <cell r="I27">
            <v>340</v>
          </cell>
        </row>
        <row r="28">
          <cell r="A28">
            <v>10009</v>
          </cell>
          <cell r="B28" t="str">
            <v>Bhojpur</v>
          </cell>
          <cell r="C28" t="str">
            <v>Tyamkemaiyung Gaunpalika</v>
          </cell>
          <cell r="D28">
            <v>531</v>
          </cell>
          <cell r="E28">
            <v>40.846153846153847</v>
          </cell>
          <cell r="F28">
            <v>0</v>
          </cell>
          <cell r="G28">
            <v>40.846153846153847</v>
          </cell>
          <cell r="H28">
            <v>48.272727272727273</v>
          </cell>
          <cell r="I28">
            <v>340</v>
          </cell>
        </row>
        <row r="29">
          <cell r="A29">
            <v>11001</v>
          </cell>
          <cell r="B29" t="str">
            <v>Solukhumbu</v>
          </cell>
          <cell r="C29" t="str">
            <v>Dudhkaushika Gaunpalika</v>
          </cell>
          <cell r="D29">
            <v>2614</v>
          </cell>
          <cell r="E29">
            <v>201.07692307692307</v>
          </cell>
          <cell r="F29">
            <v>0</v>
          </cell>
          <cell r="G29">
            <v>201.07692307692307</v>
          </cell>
          <cell r="H29">
            <v>237.63636363636363</v>
          </cell>
          <cell r="I29">
            <v>60</v>
          </cell>
        </row>
        <row r="30">
          <cell r="A30">
            <v>11002</v>
          </cell>
          <cell r="B30" t="str">
            <v>Solukhumbu</v>
          </cell>
          <cell r="C30" t="str">
            <v>Dudhkoshi Gaunpalika</v>
          </cell>
          <cell r="D30">
            <v>1226</v>
          </cell>
          <cell r="E30">
            <v>94.307692307692307</v>
          </cell>
          <cell r="F30">
            <v>0</v>
          </cell>
          <cell r="G30">
            <v>94.307692307692307</v>
          </cell>
          <cell r="H30">
            <v>111.45454545454545</v>
          </cell>
          <cell r="I30">
            <v>72</v>
          </cell>
        </row>
        <row r="31">
          <cell r="A31">
            <v>11003</v>
          </cell>
          <cell r="B31" t="str">
            <v>Solukhumbu</v>
          </cell>
          <cell r="C31" t="str">
            <v>Khumbupasanglahmu Gaunpalika</v>
          </cell>
          <cell r="D31">
            <v>1337</v>
          </cell>
          <cell r="E31">
            <v>102.84615384615384</v>
          </cell>
          <cell r="F31">
            <v>0</v>
          </cell>
          <cell r="G31">
            <v>102.84615384615384</v>
          </cell>
          <cell r="H31">
            <v>121.54545454545455</v>
          </cell>
          <cell r="I31">
            <v>190</v>
          </cell>
        </row>
        <row r="32">
          <cell r="A32">
            <v>11004</v>
          </cell>
          <cell r="B32" t="str">
            <v>Solukhumbu</v>
          </cell>
          <cell r="C32" t="str">
            <v>Likhupike Gaunpalika</v>
          </cell>
          <cell r="D32">
            <v>1175</v>
          </cell>
          <cell r="E32">
            <v>90.384615384615387</v>
          </cell>
          <cell r="F32">
            <v>0</v>
          </cell>
          <cell r="G32">
            <v>90.384615384615387</v>
          </cell>
          <cell r="H32">
            <v>106.81818181818181</v>
          </cell>
          <cell r="I32">
            <v>41</v>
          </cell>
        </row>
        <row r="33">
          <cell r="A33">
            <v>11005</v>
          </cell>
          <cell r="B33" t="str">
            <v>Solukhumbu</v>
          </cell>
          <cell r="C33" t="str">
            <v>Mahakulung Gaunpalika</v>
          </cell>
          <cell r="D33">
            <v>604</v>
          </cell>
          <cell r="E33">
            <v>46.46153846153846</v>
          </cell>
          <cell r="F33">
            <v>0</v>
          </cell>
          <cell r="G33">
            <v>46.46153846153846</v>
          </cell>
          <cell r="H33">
            <v>54.909090909090907</v>
          </cell>
          <cell r="I33">
            <v>361</v>
          </cell>
        </row>
        <row r="34">
          <cell r="A34">
            <v>11006</v>
          </cell>
          <cell r="B34" t="str">
            <v>Solukhumbu</v>
          </cell>
          <cell r="C34" t="str">
            <v>Nechasalyan Gaunpalika</v>
          </cell>
          <cell r="D34">
            <v>2006</v>
          </cell>
          <cell r="E34">
            <v>154.30769230769232</v>
          </cell>
          <cell r="F34">
            <v>0</v>
          </cell>
          <cell r="G34">
            <v>154.30769230769232</v>
          </cell>
          <cell r="H34">
            <v>182.36363636363637</v>
          </cell>
          <cell r="I34">
            <v>84</v>
          </cell>
        </row>
        <row r="35">
          <cell r="A35">
            <v>11007</v>
          </cell>
          <cell r="B35" t="str">
            <v>Solukhumbu</v>
          </cell>
          <cell r="C35" t="str">
            <v>Solududhakunda Nagarpalika</v>
          </cell>
          <cell r="D35">
            <v>2181</v>
          </cell>
          <cell r="E35">
            <v>167.76923076923077</v>
          </cell>
          <cell r="F35">
            <v>0</v>
          </cell>
          <cell r="G35">
            <v>167.76923076923077</v>
          </cell>
          <cell r="H35">
            <v>198.27272727272728</v>
          </cell>
          <cell r="I35">
            <v>7</v>
          </cell>
        </row>
        <row r="36">
          <cell r="A36">
            <v>11008</v>
          </cell>
          <cell r="B36" t="str">
            <v>Solukhumbu</v>
          </cell>
          <cell r="C36" t="str">
            <v>Sotang Gaunpalika</v>
          </cell>
          <cell r="D36">
            <v>903</v>
          </cell>
          <cell r="E36">
            <v>69.461538461538467</v>
          </cell>
          <cell r="F36">
            <v>0</v>
          </cell>
          <cell r="G36">
            <v>69.461538461538467</v>
          </cell>
          <cell r="H36">
            <v>82.090909090909093</v>
          </cell>
          <cell r="I36">
            <v>74</v>
          </cell>
        </row>
        <row r="37">
          <cell r="A37">
            <v>12001</v>
          </cell>
          <cell r="B37" t="str">
            <v>Okhaldhunga</v>
          </cell>
          <cell r="C37" t="str">
            <v>Champadevi Gaunpalika</v>
          </cell>
          <cell r="D37">
            <v>3341</v>
          </cell>
          <cell r="E37">
            <v>257</v>
          </cell>
          <cell r="F37">
            <v>126</v>
          </cell>
          <cell r="G37">
            <v>131</v>
          </cell>
          <cell r="H37">
            <v>395.04800643238895</v>
          </cell>
          <cell r="I37">
            <v>358</v>
          </cell>
        </row>
        <row r="38">
          <cell r="A38">
            <v>12002</v>
          </cell>
          <cell r="B38" t="str">
            <v>Okhaldhunga</v>
          </cell>
          <cell r="C38" t="str">
            <v>Chisankhugadhi Gaunpalika</v>
          </cell>
          <cell r="D38">
            <v>1063</v>
          </cell>
          <cell r="E38">
            <v>81.769230769230774</v>
          </cell>
          <cell r="F38">
            <v>43</v>
          </cell>
          <cell r="G38">
            <v>38.769230769230774</v>
          </cell>
          <cell r="H38">
            <v>125.69171829920067</v>
          </cell>
          <cell r="I38">
            <v>77</v>
          </cell>
        </row>
        <row r="39">
          <cell r="A39">
            <v>12003</v>
          </cell>
          <cell r="B39" t="str">
            <v>Okhaldhunga</v>
          </cell>
          <cell r="C39" t="str">
            <v>Khijidemba Gaunpalika</v>
          </cell>
          <cell r="D39">
            <v>2914</v>
          </cell>
          <cell r="E39">
            <v>224.15384615384616</v>
          </cell>
          <cell r="F39">
            <v>191</v>
          </cell>
          <cell r="G39">
            <v>33.15384615384616</v>
          </cell>
          <cell r="H39">
            <v>344.55848271295463</v>
          </cell>
          <cell r="I39">
            <v>20</v>
          </cell>
        </row>
        <row r="40">
          <cell r="A40">
            <v>12004</v>
          </cell>
          <cell r="B40" t="str">
            <v>Okhaldhunga</v>
          </cell>
          <cell r="C40" t="str">
            <v>Likhu Gaunpalika</v>
          </cell>
          <cell r="D40">
            <v>3258</v>
          </cell>
          <cell r="E40">
            <v>250.61538461538461</v>
          </cell>
          <cell r="F40">
            <v>109</v>
          </cell>
          <cell r="G40">
            <v>141.61538461538461</v>
          </cell>
          <cell r="H40">
            <v>385.23388355484082</v>
          </cell>
          <cell r="I40">
            <v>342</v>
          </cell>
        </row>
        <row r="41">
          <cell r="A41">
            <v>12005</v>
          </cell>
          <cell r="B41" t="str">
            <v>Okhaldhunga</v>
          </cell>
          <cell r="C41" t="str">
            <v>Manebhanjyang Gaunpalika</v>
          </cell>
          <cell r="D41">
            <v>1663</v>
          </cell>
          <cell r="E41">
            <v>127.92307692307692</v>
          </cell>
          <cell r="F41">
            <v>174</v>
          </cell>
          <cell r="G41">
            <v>0</v>
          </cell>
          <cell r="H41">
            <v>196.63718488388591</v>
          </cell>
          <cell r="I41">
            <v>148</v>
          </cell>
        </row>
        <row r="42">
          <cell r="A42">
            <v>12006</v>
          </cell>
          <cell r="B42" t="str">
            <v>Okhaldhunga</v>
          </cell>
          <cell r="C42" t="str">
            <v>Molung Gaunpalika</v>
          </cell>
          <cell r="D42">
            <v>2976</v>
          </cell>
          <cell r="E42">
            <v>228.92307692307693</v>
          </cell>
          <cell r="F42">
            <v>321</v>
          </cell>
          <cell r="G42">
            <v>0</v>
          </cell>
          <cell r="H42">
            <v>351.88951426003877</v>
          </cell>
          <cell r="I42">
            <v>6</v>
          </cell>
        </row>
        <row r="43">
          <cell r="A43">
            <v>12007</v>
          </cell>
          <cell r="B43" t="str">
            <v>Okhaldhunga</v>
          </cell>
          <cell r="C43" t="str">
            <v>Siddhicharan Nagarpalika</v>
          </cell>
          <cell r="D43">
            <v>2660</v>
          </cell>
          <cell r="E43">
            <v>204.61538461538461</v>
          </cell>
          <cell r="F43">
            <v>136</v>
          </cell>
          <cell r="G43">
            <v>68.615384615384613</v>
          </cell>
          <cell r="H43">
            <v>314.52490185877122</v>
          </cell>
          <cell r="I43">
            <v>36</v>
          </cell>
        </row>
        <row r="44">
          <cell r="A44">
            <v>12008</v>
          </cell>
          <cell r="B44" t="str">
            <v>Okhaldhunga</v>
          </cell>
          <cell r="C44" t="str">
            <v>Sunkoshi Gaunpalika</v>
          </cell>
          <cell r="D44">
            <v>3268</v>
          </cell>
          <cell r="E44">
            <v>251.38461538461539</v>
          </cell>
          <cell r="F44">
            <v>140</v>
          </cell>
          <cell r="G44">
            <v>111.38461538461539</v>
          </cell>
          <cell r="H44">
            <v>386.41630799791892</v>
          </cell>
          <cell r="I44">
            <v>0</v>
          </cell>
        </row>
        <row r="45">
          <cell r="A45">
            <v>13001</v>
          </cell>
          <cell r="B45" t="str">
            <v>Khotang</v>
          </cell>
          <cell r="C45" t="str">
            <v>Ainselukhark Gaunpalika</v>
          </cell>
          <cell r="D45">
            <v>775</v>
          </cell>
          <cell r="E45">
            <v>59.615384615384613</v>
          </cell>
          <cell r="F45">
            <v>0</v>
          </cell>
          <cell r="G45">
            <v>59.615384615384613</v>
          </cell>
          <cell r="H45">
            <v>70.454545454545453</v>
          </cell>
          <cell r="I45">
            <v>37</v>
          </cell>
        </row>
        <row r="46">
          <cell r="A46">
            <v>13002</v>
          </cell>
          <cell r="B46" t="str">
            <v>Khotang</v>
          </cell>
          <cell r="C46" t="str">
            <v>Barahapokhari Gaunpalika</v>
          </cell>
          <cell r="D46">
            <v>475</v>
          </cell>
          <cell r="E46">
            <v>36.53846153846154</v>
          </cell>
          <cell r="F46">
            <v>0</v>
          </cell>
          <cell r="G46">
            <v>36.53846153846154</v>
          </cell>
          <cell r="H46">
            <v>43.18181818181818</v>
          </cell>
          <cell r="I46">
            <v>68</v>
          </cell>
        </row>
        <row r="47">
          <cell r="A47">
            <v>13003</v>
          </cell>
          <cell r="B47" t="str">
            <v>Khotang</v>
          </cell>
          <cell r="C47" t="str">
            <v>Diprung Gaunpalika</v>
          </cell>
          <cell r="D47">
            <v>524</v>
          </cell>
          <cell r="E47">
            <v>40.307692307692307</v>
          </cell>
          <cell r="F47">
            <v>0</v>
          </cell>
          <cell r="G47">
            <v>40.307692307692307</v>
          </cell>
          <cell r="H47">
            <v>47.636363636363633</v>
          </cell>
          <cell r="I47">
            <v>33</v>
          </cell>
        </row>
        <row r="48">
          <cell r="A48">
            <v>13004</v>
          </cell>
          <cell r="B48" t="str">
            <v>Khotang</v>
          </cell>
          <cell r="C48" t="str">
            <v>Halesi Tuwachung Nagarpalika</v>
          </cell>
          <cell r="D48">
            <v>1754</v>
          </cell>
          <cell r="E48">
            <v>134.92307692307693</v>
          </cell>
          <cell r="F48">
            <v>0</v>
          </cell>
          <cell r="G48">
            <v>134.92307692307693</v>
          </cell>
          <cell r="H48">
            <v>159.45454545454547</v>
          </cell>
          <cell r="I48">
            <v>115</v>
          </cell>
        </row>
        <row r="49">
          <cell r="A49">
            <v>13005</v>
          </cell>
          <cell r="B49" t="str">
            <v>Khotang</v>
          </cell>
          <cell r="C49" t="str">
            <v>Jantedhunga Gaunpalika</v>
          </cell>
          <cell r="D49">
            <v>464</v>
          </cell>
          <cell r="E49">
            <v>35.692307692307693</v>
          </cell>
          <cell r="F49">
            <v>0</v>
          </cell>
          <cell r="G49">
            <v>35.692307692307693</v>
          </cell>
          <cell r="H49">
            <v>42.18181818181818</v>
          </cell>
          <cell r="I49">
            <v>40</v>
          </cell>
        </row>
        <row r="50">
          <cell r="A50">
            <v>13006</v>
          </cell>
          <cell r="B50" t="str">
            <v>Khotang</v>
          </cell>
          <cell r="C50" t="str">
            <v>Kepilasagadhi Gaunpalika</v>
          </cell>
          <cell r="D50">
            <v>662</v>
          </cell>
          <cell r="E50">
            <v>50.92307692307692</v>
          </cell>
          <cell r="F50">
            <v>0</v>
          </cell>
          <cell r="G50">
            <v>50.92307692307692</v>
          </cell>
          <cell r="H50">
            <v>60.18181818181818</v>
          </cell>
          <cell r="I50">
            <v>353</v>
          </cell>
        </row>
        <row r="51">
          <cell r="A51">
            <v>13007</v>
          </cell>
          <cell r="B51" t="str">
            <v>Khotang</v>
          </cell>
          <cell r="C51" t="str">
            <v>Khotehang Gaunpalika</v>
          </cell>
          <cell r="D51">
            <v>907</v>
          </cell>
          <cell r="E51">
            <v>69.769230769230774</v>
          </cell>
          <cell r="F51">
            <v>0</v>
          </cell>
          <cell r="G51">
            <v>69.769230769230774</v>
          </cell>
          <cell r="H51">
            <v>82.454545454545453</v>
          </cell>
          <cell r="I51">
            <v>18</v>
          </cell>
        </row>
        <row r="52">
          <cell r="A52">
            <v>13008</v>
          </cell>
          <cell r="B52" t="str">
            <v>Khotang</v>
          </cell>
          <cell r="C52" t="str">
            <v>Lamidanda Gaunpalika</v>
          </cell>
          <cell r="D52">
            <v>839</v>
          </cell>
          <cell r="E52">
            <v>64.538461538461533</v>
          </cell>
          <cell r="F52">
            <v>0</v>
          </cell>
          <cell r="G52">
            <v>64.538461538461533</v>
          </cell>
          <cell r="H52">
            <v>76.272727272727266</v>
          </cell>
          <cell r="I52">
            <v>456</v>
          </cell>
        </row>
        <row r="53">
          <cell r="A53">
            <v>13009</v>
          </cell>
          <cell r="B53" t="str">
            <v>Khotang</v>
          </cell>
          <cell r="C53" t="str">
            <v>Rupakot huwagadhi Nagarpalika</v>
          </cell>
          <cell r="D53">
            <v>1511</v>
          </cell>
          <cell r="E53">
            <v>116.23076923076923</v>
          </cell>
          <cell r="F53">
            <v>0</v>
          </cell>
          <cell r="G53">
            <v>116.23076923076923</v>
          </cell>
          <cell r="H53">
            <v>137.36363636363637</v>
          </cell>
          <cell r="I53">
            <v>59</v>
          </cell>
        </row>
        <row r="54">
          <cell r="A54">
            <v>13010</v>
          </cell>
          <cell r="B54" t="str">
            <v>Khotang</v>
          </cell>
          <cell r="C54" t="str">
            <v>Sakela Gaunpalika</v>
          </cell>
          <cell r="D54">
            <v>532</v>
          </cell>
          <cell r="E54">
            <v>40.92307692307692</v>
          </cell>
          <cell r="F54">
            <v>0</v>
          </cell>
          <cell r="G54">
            <v>40.92307692307692</v>
          </cell>
          <cell r="H54">
            <v>48.363636363636367</v>
          </cell>
          <cell r="I54">
            <v>187</v>
          </cell>
        </row>
        <row r="55">
          <cell r="A55">
            <v>20001</v>
          </cell>
          <cell r="B55" t="str">
            <v>Sindhuli</v>
          </cell>
          <cell r="C55" t="str">
            <v>Dudhouli Nagarpalika</v>
          </cell>
          <cell r="D55">
            <v>4651</v>
          </cell>
          <cell r="E55">
            <v>357.76923076923077</v>
          </cell>
          <cell r="F55">
            <v>0</v>
          </cell>
          <cell r="G55">
            <v>357.76923076923077</v>
          </cell>
          <cell r="H55">
            <v>571.3592091023429</v>
          </cell>
          <cell r="I55">
            <v>100</v>
          </cell>
        </row>
        <row r="56">
          <cell r="A56">
            <v>20002</v>
          </cell>
          <cell r="B56" t="str">
            <v>Sindhuli</v>
          </cell>
          <cell r="C56" t="str">
            <v>Ghanglekh Gaunpalika</v>
          </cell>
          <cell r="D56">
            <v>1962</v>
          </cell>
          <cell r="E56">
            <v>150.92307692307693</v>
          </cell>
          <cell r="F56">
            <v>40</v>
          </cell>
          <cell r="G56">
            <v>110.92307692307693</v>
          </cell>
          <cell r="H56">
            <v>241.02489104682795</v>
          </cell>
          <cell r="I56">
            <v>0</v>
          </cell>
        </row>
        <row r="57">
          <cell r="A57">
            <v>20003</v>
          </cell>
          <cell r="B57" t="str">
            <v>Sindhuli</v>
          </cell>
          <cell r="C57" t="str">
            <v>Golanjor Gaunpalika</v>
          </cell>
          <cell r="D57">
            <v>2779</v>
          </cell>
          <cell r="E57">
            <v>213.76923076923077</v>
          </cell>
          <cell r="F57">
            <v>20</v>
          </cell>
          <cell r="G57">
            <v>193.76923076923077</v>
          </cell>
          <cell r="H57">
            <v>341.39050571821349</v>
          </cell>
          <cell r="I57">
            <v>17</v>
          </cell>
        </row>
        <row r="58">
          <cell r="A58">
            <v>20004</v>
          </cell>
          <cell r="B58" t="str">
            <v>Sindhuli</v>
          </cell>
          <cell r="C58" t="str">
            <v>Hariharpurgadhi Gaunpalika</v>
          </cell>
          <cell r="D58">
            <v>2394</v>
          </cell>
          <cell r="E58">
            <v>184.15384615384616</v>
          </cell>
          <cell r="F58">
            <v>0</v>
          </cell>
          <cell r="G58">
            <v>184.15384615384616</v>
          </cell>
          <cell r="H58">
            <v>294.0945918277809</v>
          </cell>
          <cell r="I58">
            <v>83</v>
          </cell>
        </row>
        <row r="59">
          <cell r="A59">
            <v>20005</v>
          </cell>
          <cell r="B59" t="str">
            <v>Sindhuli</v>
          </cell>
          <cell r="C59" t="str">
            <v>Kamalamai Nagarpalika</v>
          </cell>
          <cell r="D59">
            <v>7864</v>
          </cell>
          <cell r="E59">
            <v>604.92307692307691</v>
          </cell>
          <cell r="F59">
            <v>0</v>
          </cell>
          <cell r="G59">
            <v>604.92307692307691</v>
          </cell>
          <cell r="H59">
            <v>966.06510866068038</v>
          </cell>
          <cell r="I59">
            <v>22</v>
          </cell>
        </row>
        <row r="60">
          <cell r="A60">
            <v>20006</v>
          </cell>
          <cell r="B60" t="str">
            <v>Sindhuli</v>
          </cell>
          <cell r="C60" t="str">
            <v>Marinthakur Gaunpalika</v>
          </cell>
          <cell r="D60">
            <v>3340</v>
          </cell>
          <cell r="E60">
            <v>256.92307692307691</v>
          </cell>
          <cell r="F60">
            <v>126</v>
          </cell>
          <cell r="G60">
            <v>130.92307692307691</v>
          </cell>
          <cell r="H60">
            <v>410.30740881570097</v>
          </cell>
          <cell r="I60">
            <v>30</v>
          </cell>
        </row>
        <row r="61">
          <cell r="A61">
            <v>20007</v>
          </cell>
          <cell r="B61" t="str">
            <v>Sindhuli</v>
          </cell>
          <cell r="C61" t="str">
            <v>Phikkal Gaunpalika</v>
          </cell>
          <cell r="D61">
            <v>2173</v>
          </cell>
          <cell r="E61">
            <v>167.15384615384616</v>
          </cell>
          <cell r="F61">
            <v>0</v>
          </cell>
          <cell r="G61">
            <v>167.15384615384616</v>
          </cell>
          <cell r="H61">
            <v>266.94550878937673</v>
          </cell>
          <cell r="I61">
            <v>348</v>
          </cell>
        </row>
        <row r="62">
          <cell r="A62">
            <v>20008</v>
          </cell>
          <cell r="B62" t="str">
            <v>Sindhuli</v>
          </cell>
          <cell r="C62" t="str">
            <v>Sunkoshi Gaunpalika</v>
          </cell>
          <cell r="D62">
            <v>4745</v>
          </cell>
          <cell r="E62">
            <v>365</v>
          </cell>
          <cell r="F62">
            <v>266</v>
          </cell>
          <cell r="G62">
            <v>99</v>
          </cell>
          <cell r="H62">
            <v>582.90678288338358</v>
          </cell>
          <cell r="I62">
            <v>6</v>
          </cell>
        </row>
        <row r="63">
          <cell r="A63">
            <v>20009</v>
          </cell>
          <cell r="B63" t="str">
            <v>Sindhuli</v>
          </cell>
          <cell r="C63" t="str">
            <v>Tinpatan Gaunpalika</v>
          </cell>
          <cell r="D63">
            <v>4281</v>
          </cell>
          <cell r="E63">
            <v>329.30769230769232</v>
          </cell>
          <cell r="F63">
            <v>0</v>
          </cell>
          <cell r="G63">
            <v>329.30769230769232</v>
          </cell>
          <cell r="H63">
            <v>525.90599315569341</v>
          </cell>
          <cell r="I63">
            <v>160</v>
          </cell>
        </row>
        <row r="64">
          <cell r="A64">
            <v>21001</v>
          </cell>
          <cell r="B64" t="str">
            <v>Ramechhap</v>
          </cell>
          <cell r="C64" t="str">
            <v>Doramba Gaunpalika</v>
          </cell>
          <cell r="D64">
            <v>5085</v>
          </cell>
          <cell r="E64">
            <v>391.15384615384613</v>
          </cell>
          <cell r="F64">
            <v>129</v>
          </cell>
          <cell r="G64">
            <v>262.15384615384613</v>
          </cell>
          <cell r="H64">
            <v>523.36352408398523</v>
          </cell>
          <cell r="I64">
            <v>394</v>
          </cell>
        </row>
        <row r="65">
          <cell r="A65">
            <v>21002</v>
          </cell>
          <cell r="B65" t="str">
            <v>Ramechhap</v>
          </cell>
          <cell r="C65" t="str">
            <v>Gokulganga Gaunpalika</v>
          </cell>
          <cell r="D65">
            <v>6343</v>
          </cell>
          <cell r="E65">
            <v>487.92307692307691</v>
          </cell>
          <cell r="F65">
            <v>143</v>
          </cell>
          <cell r="G65">
            <v>344.92307692307691</v>
          </cell>
          <cell r="H65">
            <v>652.84067517496919</v>
          </cell>
          <cell r="I65">
            <v>440</v>
          </cell>
        </row>
        <row r="66">
          <cell r="A66">
            <v>21003</v>
          </cell>
          <cell r="B66" t="str">
            <v>Ramechhap</v>
          </cell>
          <cell r="C66" t="str">
            <v>Khadadevi Gaunpalika</v>
          </cell>
          <cell r="D66">
            <v>5210</v>
          </cell>
          <cell r="E66">
            <v>400.76923076923077</v>
          </cell>
          <cell r="F66">
            <v>186</v>
          </cell>
          <cell r="G66">
            <v>214.76923076923077</v>
          </cell>
          <cell r="H66">
            <v>536.22890078221496</v>
          </cell>
          <cell r="I66">
            <v>249</v>
          </cell>
        </row>
        <row r="67">
          <cell r="A67">
            <v>21004</v>
          </cell>
          <cell r="B67" t="str">
            <v>Ramechhap</v>
          </cell>
          <cell r="C67" t="str">
            <v>Likhu Gaunpalika</v>
          </cell>
          <cell r="D67">
            <v>5605</v>
          </cell>
          <cell r="E67">
            <v>431.15384615384613</v>
          </cell>
          <cell r="F67">
            <v>271</v>
          </cell>
          <cell r="G67">
            <v>160.15384615384613</v>
          </cell>
          <cell r="H67">
            <v>576.88349114862092</v>
          </cell>
          <cell r="I67">
            <v>20</v>
          </cell>
        </row>
        <row r="68">
          <cell r="A68">
            <v>21005</v>
          </cell>
          <cell r="B68" t="str">
            <v>Ramechhap</v>
          </cell>
          <cell r="C68" t="str">
            <v>Manthali Nagarpalika</v>
          </cell>
          <cell r="D68">
            <v>11103</v>
          </cell>
          <cell r="E68">
            <v>854.07692307692309</v>
          </cell>
          <cell r="F68">
            <v>321</v>
          </cell>
          <cell r="G68">
            <v>533.07692307692309</v>
          </cell>
          <cell r="H68">
            <v>1142.7542198435572</v>
          </cell>
          <cell r="I68">
            <v>120</v>
          </cell>
        </row>
        <row r="69">
          <cell r="A69">
            <v>21006</v>
          </cell>
          <cell r="B69" t="str">
            <v>Ramechhap</v>
          </cell>
          <cell r="C69" t="str">
            <v>Ramechhap Nagarpalika</v>
          </cell>
          <cell r="D69">
            <v>6581</v>
          </cell>
          <cell r="E69">
            <v>506.23076923076923</v>
          </cell>
          <cell r="F69">
            <v>430</v>
          </cell>
          <cell r="G69">
            <v>76.230769230769226</v>
          </cell>
          <cell r="H69">
            <v>677.33635240839851</v>
          </cell>
          <cell r="I69">
            <v>68</v>
          </cell>
        </row>
        <row r="70">
          <cell r="A70">
            <v>21007</v>
          </cell>
          <cell r="B70" t="str">
            <v>Ramechhap</v>
          </cell>
          <cell r="C70" t="str">
            <v>Sunapati Gaunpalika</v>
          </cell>
          <cell r="D70">
            <v>3669</v>
          </cell>
          <cell r="E70">
            <v>282.23076923076923</v>
          </cell>
          <cell r="F70">
            <v>80</v>
          </cell>
          <cell r="G70">
            <v>202.23076923076923</v>
          </cell>
          <cell r="H70">
            <v>377.6245368464389</v>
          </cell>
          <cell r="I70">
            <v>358</v>
          </cell>
        </row>
        <row r="71">
          <cell r="A71">
            <v>21008</v>
          </cell>
          <cell r="B71" t="str">
            <v>Ramechhap</v>
          </cell>
          <cell r="C71" t="str">
            <v>Umakunda Gaunpalika</v>
          </cell>
          <cell r="D71">
            <v>4984</v>
          </cell>
          <cell r="E71">
            <v>383.38461538461536</v>
          </cell>
          <cell r="F71">
            <v>190</v>
          </cell>
          <cell r="G71">
            <v>193.38461538461536</v>
          </cell>
          <cell r="H71">
            <v>512.96829971181558</v>
          </cell>
          <cell r="I71">
            <v>0</v>
          </cell>
        </row>
        <row r="72">
          <cell r="A72">
            <v>22001</v>
          </cell>
          <cell r="B72" t="str">
            <v>Dolakha</v>
          </cell>
          <cell r="C72" t="str">
            <v>Baiteshwor Gaunpalika</v>
          </cell>
          <cell r="D72">
            <v>8311</v>
          </cell>
          <cell r="E72">
            <v>639.30769230769226</v>
          </cell>
          <cell r="F72">
            <v>396</v>
          </cell>
          <cell r="G72">
            <v>243.30769230769226</v>
          </cell>
          <cell r="H72">
            <v>693.64306579496451</v>
          </cell>
          <cell r="I72">
            <v>7</v>
          </cell>
        </row>
        <row r="73">
          <cell r="A73">
            <v>22002</v>
          </cell>
          <cell r="B73" t="str">
            <v>Dolakha</v>
          </cell>
          <cell r="C73" t="str">
            <v>Bhimeshwor Nagarpalika</v>
          </cell>
          <cell r="D73">
            <v>12395</v>
          </cell>
          <cell r="E73">
            <v>953.46153846153845</v>
          </cell>
          <cell r="F73">
            <v>620</v>
          </cell>
          <cell r="G73">
            <v>333.46153846153845</v>
          </cell>
          <cell r="H73">
            <v>1034.497148421199</v>
          </cell>
          <cell r="I73">
            <v>0</v>
          </cell>
        </row>
        <row r="74">
          <cell r="A74">
            <v>22003</v>
          </cell>
          <cell r="B74" t="str">
            <v>Dolakha</v>
          </cell>
          <cell r="C74" t="str">
            <v>Bigu Gaunpalika</v>
          </cell>
          <cell r="D74">
            <v>6701</v>
          </cell>
          <cell r="E74">
            <v>515.46153846153845</v>
          </cell>
          <cell r="F74">
            <v>624</v>
          </cell>
          <cell r="G74">
            <v>0</v>
          </cell>
          <cell r="H74">
            <v>559.27110863819723</v>
          </cell>
          <cell r="I74">
            <v>7</v>
          </cell>
        </row>
        <row r="75">
          <cell r="A75">
            <v>22004</v>
          </cell>
          <cell r="B75" t="str">
            <v>Dolakha</v>
          </cell>
          <cell r="C75" t="str">
            <v>Gaurishankar Gaunpalika</v>
          </cell>
          <cell r="D75">
            <v>6764</v>
          </cell>
          <cell r="E75">
            <v>520.30769230769226</v>
          </cell>
          <cell r="F75">
            <v>233</v>
          </cell>
          <cell r="G75">
            <v>287.30769230769226</v>
          </cell>
          <cell r="H75">
            <v>564.52914174433158</v>
          </cell>
          <cell r="I75">
            <v>0</v>
          </cell>
        </row>
        <row r="76">
          <cell r="A76">
            <v>22005</v>
          </cell>
          <cell r="B76" t="str">
            <v>Dolakha</v>
          </cell>
          <cell r="C76" t="str">
            <v>Jiri Nagarpalika</v>
          </cell>
          <cell r="D76">
            <v>5836</v>
          </cell>
          <cell r="E76">
            <v>448.92307692307691</v>
          </cell>
          <cell r="F76">
            <v>297</v>
          </cell>
          <cell r="G76">
            <v>151.92307692307691</v>
          </cell>
          <cell r="H76">
            <v>487.07747948254274</v>
          </cell>
          <cell r="I76">
            <v>18</v>
          </cell>
        </row>
        <row r="77">
          <cell r="A77">
            <v>22006</v>
          </cell>
          <cell r="B77" t="str">
            <v>Dolakha</v>
          </cell>
          <cell r="C77" t="str">
            <v>Kalinchok Gaunpalika</v>
          </cell>
          <cell r="D77">
            <v>8867</v>
          </cell>
          <cell r="E77">
            <v>682.07692307692309</v>
          </cell>
          <cell r="F77">
            <v>542</v>
          </cell>
          <cell r="G77">
            <v>140.07692307692309</v>
          </cell>
          <cell r="H77">
            <v>740.0472944776742</v>
          </cell>
          <cell r="I77">
            <v>0</v>
          </cell>
        </row>
        <row r="78">
          <cell r="A78">
            <v>22007</v>
          </cell>
          <cell r="B78" t="str">
            <v>Dolakha</v>
          </cell>
          <cell r="C78" t="str">
            <v>Melung Gaunpalika</v>
          </cell>
          <cell r="D78">
            <v>7474</v>
          </cell>
          <cell r="E78">
            <v>574.92307692307691</v>
          </cell>
          <cell r="F78">
            <v>495</v>
          </cell>
          <cell r="G78">
            <v>79.923076923076906</v>
          </cell>
          <cell r="H78">
            <v>623.78634024203643</v>
          </cell>
          <cell r="I78">
            <v>0</v>
          </cell>
        </row>
        <row r="79">
          <cell r="A79">
            <v>22008</v>
          </cell>
          <cell r="B79" t="str">
            <v>Dolakha</v>
          </cell>
          <cell r="C79" t="str">
            <v>Sailung Gaunpalika</v>
          </cell>
          <cell r="D79">
            <v>8111</v>
          </cell>
          <cell r="E79">
            <v>623.92307692307691</v>
          </cell>
          <cell r="F79">
            <v>579</v>
          </cell>
          <cell r="G79">
            <v>44.923076923076906</v>
          </cell>
          <cell r="H79">
            <v>676.95089720406168</v>
          </cell>
          <cell r="I79">
            <v>0</v>
          </cell>
        </row>
        <row r="80">
          <cell r="A80">
            <v>22009</v>
          </cell>
          <cell r="B80" t="str">
            <v>Dolakha</v>
          </cell>
          <cell r="C80" t="str">
            <v>Tamakoshi Gaunpalika</v>
          </cell>
          <cell r="D80">
            <v>7431</v>
          </cell>
          <cell r="E80">
            <v>571.61538461538464</v>
          </cell>
          <cell r="F80">
            <v>619</v>
          </cell>
          <cell r="G80">
            <v>0</v>
          </cell>
          <cell r="H80">
            <v>620.19752399499237</v>
          </cell>
          <cell r="I80">
            <v>0</v>
          </cell>
        </row>
        <row r="81">
          <cell r="A81">
            <v>23001</v>
          </cell>
          <cell r="B81" t="str">
            <v>Sindhupalchowk</v>
          </cell>
          <cell r="C81" t="str">
            <v>Balefi Gaunpalika</v>
          </cell>
          <cell r="D81">
            <v>6043</v>
          </cell>
          <cell r="E81">
            <v>464.84615384615387</v>
          </cell>
          <cell r="F81">
            <v>415</v>
          </cell>
          <cell r="G81">
            <v>49.846153846153868</v>
          </cell>
          <cell r="H81">
            <v>625.13074562361351</v>
          </cell>
          <cell r="I81">
            <v>0</v>
          </cell>
        </row>
        <row r="82">
          <cell r="A82">
            <v>23002</v>
          </cell>
          <cell r="B82" t="str">
            <v>Sindhupalchowk</v>
          </cell>
          <cell r="C82" t="str">
            <v>Barhabise Nagarpalika</v>
          </cell>
          <cell r="D82">
            <v>7811</v>
          </cell>
          <cell r="E82">
            <v>600.84615384615381</v>
          </cell>
          <cell r="F82">
            <v>548</v>
          </cell>
          <cell r="G82">
            <v>52.846153846153811</v>
          </cell>
          <cell r="H82">
            <v>808.02519511269986</v>
          </cell>
          <cell r="I82">
            <v>0</v>
          </cell>
        </row>
        <row r="83">
          <cell r="A83">
            <v>23003</v>
          </cell>
          <cell r="B83" t="str">
            <v>Sindhupalchowk</v>
          </cell>
          <cell r="C83" t="str">
            <v>Bhotekoshi Gaunpalika</v>
          </cell>
          <cell r="D83">
            <v>4214</v>
          </cell>
          <cell r="E83">
            <v>324.15384615384613</v>
          </cell>
          <cell r="F83">
            <v>222</v>
          </cell>
          <cell r="G83">
            <v>102.15384615384613</v>
          </cell>
          <cell r="H83">
            <v>435.92602383880643</v>
          </cell>
          <cell r="I83">
            <v>0</v>
          </cell>
        </row>
        <row r="84">
          <cell r="A84">
            <v>23004</v>
          </cell>
          <cell r="B84" t="str">
            <v>Sindhupalchowk</v>
          </cell>
          <cell r="C84" t="str">
            <v>Chautara SangachokGadhi Nagarpalika</v>
          </cell>
          <cell r="D84">
            <v>13961</v>
          </cell>
          <cell r="E84">
            <v>1073.9230769230769</v>
          </cell>
          <cell r="F84">
            <v>1005</v>
          </cell>
          <cell r="G84">
            <v>68.923076923076906</v>
          </cell>
          <cell r="H84">
            <v>1444.2247790255285</v>
          </cell>
          <cell r="I84">
            <v>0</v>
          </cell>
        </row>
        <row r="85">
          <cell r="A85">
            <v>23005</v>
          </cell>
          <cell r="B85" t="str">
            <v>Sindhupalchowk</v>
          </cell>
          <cell r="C85" t="str">
            <v>Helambu Gaunpalika</v>
          </cell>
          <cell r="D85">
            <v>5348</v>
          </cell>
          <cell r="E85">
            <v>411.38461538461536</v>
          </cell>
          <cell r="F85">
            <v>96</v>
          </cell>
          <cell r="G85">
            <v>315.38461538461536</v>
          </cell>
          <cell r="H85">
            <v>553.23502028712312</v>
          </cell>
          <cell r="I85">
            <v>0</v>
          </cell>
        </row>
        <row r="86">
          <cell r="A86">
            <v>23006</v>
          </cell>
          <cell r="B86" t="str">
            <v>Sindhupalchowk</v>
          </cell>
          <cell r="C86" t="str">
            <v>Indrawati Gaunpalika</v>
          </cell>
          <cell r="D86">
            <v>8301</v>
          </cell>
          <cell r="E86">
            <v>638.53846153846155</v>
          </cell>
          <cell r="F86">
            <v>1255</v>
          </cell>
          <cell r="G86">
            <v>0</v>
          </cell>
          <cell r="H86">
            <v>858.71426765209594</v>
          </cell>
          <cell r="I86">
            <v>0</v>
          </cell>
        </row>
        <row r="87">
          <cell r="A87">
            <v>23007</v>
          </cell>
          <cell r="B87" t="str">
            <v>Sindhupalchowk</v>
          </cell>
          <cell r="C87" t="str">
            <v>Jugal Gaunpalika</v>
          </cell>
          <cell r="D87">
            <v>5585</v>
          </cell>
          <cell r="E87">
            <v>429.61538461538464</v>
          </cell>
          <cell r="F87">
            <v>465</v>
          </cell>
          <cell r="G87">
            <v>0</v>
          </cell>
          <cell r="H87">
            <v>577.75197986230046</v>
          </cell>
          <cell r="I87">
            <v>0</v>
          </cell>
        </row>
        <row r="88">
          <cell r="A88">
            <v>23008</v>
          </cell>
          <cell r="B88" t="str">
            <v>Sindhupalchowk</v>
          </cell>
          <cell r="C88" t="str">
            <v>Lisangkhu Pakhar Gaunpalika</v>
          </cell>
          <cell r="D88">
            <v>5213</v>
          </cell>
          <cell r="E88">
            <v>401</v>
          </cell>
          <cell r="F88">
            <v>252</v>
          </cell>
          <cell r="G88">
            <v>149</v>
          </cell>
          <cell r="H88">
            <v>539.26966356708544</v>
          </cell>
          <cell r="I88">
            <v>0</v>
          </cell>
        </row>
        <row r="89">
          <cell r="A89">
            <v>23009</v>
          </cell>
          <cell r="B89" t="str">
            <v>Sindhupalchowk</v>
          </cell>
          <cell r="C89" t="str">
            <v>Melamchi Nagarpalika</v>
          </cell>
          <cell r="D89">
            <v>13325</v>
          </cell>
          <cell r="E89">
            <v>1025</v>
          </cell>
          <cell r="F89">
            <v>1243</v>
          </cell>
          <cell r="G89">
            <v>0</v>
          </cell>
          <cell r="H89">
            <v>1378.4324318111285</v>
          </cell>
          <cell r="I89">
            <v>0</v>
          </cell>
        </row>
        <row r="90">
          <cell r="A90">
            <v>23010</v>
          </cell>
          <cell r="B90" t="str">
            <v>Sindhupalchowk</v>
          </cell>
          <cell r="C90" t="str">
            <v>Panchpokhari Thangpal Gaunpalika</v>
          </cell>
          <cell r="D90">
            <v>7030</v>
          </cell>
          <cell r="E90">
            <v>540.76923076923072</v>
          </cell>
          <cell r="F90">
            <v>1184</v>
          </cell>
          <cell r="G90">
            <v>0</v>
          </cell>
          <cell r="H90">
            <v>727.23302031011133</v>
          </cell>
          <cell r="I90">
            <v>0</v>
          </cell>
        </row>
        <row r="91">
          <cell r="A91">
            <v>23011</v>
          </cell>
          <cell r="B91" t="str">
            <v>Sindhupalchowk</v>
          </cell>
          <cell r="C91" t="str">
            <v>Sunkoshi Gaunpalika</v>
          </cell>
          <cell r="D91">
            <v>5616</v>
          </cell>
          <cell r="E91">
            <v>432</v>
          </cell>
          <cell r="F91">
            <v>125</v>
          </cell>
          <cell r="G91">
            <v>307</v>
          </cell>
          <cell r="H91">
            <v>580.9588395535684</v>
          </cell>
          <cell r="I91">
            <v>0</v>
          </cell>
        </row>
        <row r="92">
          <cell r="A92">
            <v>23012</v>
          </cell>
          <cell r="B92" t="str">
            <v>Sindhupalchowk</v>
          </cell>
          <cell r="C92" t="str">
            <v>Tripurasundari Gaunpalika</v>
          </cell>
          <cell r="D92">
            <v>4554</v>
          </cell>
          <cell r="E92">
            <v>350.30769230769232</v>
          </cell>
          <cell r="F92">
            <v>340</v>
          </cell>
          <cell r="G92">
            <v>10.307692307692321</v>
          </cell>
          <cell r="H92">
            <v>471.09803335593841</v>
          </cell>
          <cell r="I92">
            <v>0</v>
          </cell>
        </row>
        <row r="93">
          <cell r="A93">
            <v>24001</v>
          </cell>
          <cell r="B93" t="str">
            <v>Kavrepalanchok</v>
          </cell>
          <cell r="C93" t="str">
            <v>Banepa Nagarpalika</v>
          </cell>
          <cell r="D93">
            <v>7070</v>
          </cell>
          <cell r="E93">
            <v>543.84615384615381</v>
          </cell>
          <cell r="F93">
            <v>56</v>
          </cell>
          <cell r="G93">
            <v>487.84615384615381</v>
          </cell>
          <cell r="H93">
            <v>640.1434211002861</v>
          </cell>
          <cell r="I93">
            <v>161</v>
          </cell>
        </row>
        <row r="94">
          <cell r="A94">
            <v>24002</v>
          </cell>
          <cell r="B94" t="str">
            <v>Kavrepalanchok</v>
          </cell>
          <cell r="C94" t="str">
            <v>Bethanchowk Gaunpalika</v>
          </cell>
          <cell r="D94">
            <v>4377</v>
          </cell>
          <cell r="E94">
            <v>336.69230769230768</v>
          </cell>
          <cell r="F94">
            <v>306</v>
          </cell>
          <cell r="G94">
            <v>30.692307692307679</v>
          </cell>
          <cell r="H94">
            <v>396.30944188910217</v>
          </cell>
          <cell r="I94">
            <v>214</v>
          </cell>
        </row>
        <row r="95">
          <cell r="A95">
            <v>24003</v>
          </cell>
          <cell r="B95" t="str">
            <v>Kavrepalanchok</v>
          </cell>
          <cell r="C95" t="str">
            <v>Bhumlu Gaunpalika</v>
          </cell>
          <cell r="D95">
            <v>6203</v>
          </cell>
          <cell r="E95">
            <v>477.15384615384613</v>
          </cell>
          <cell r="F95">
            <v>338</v>
          </cell>
          <cell r="G95">
            <v>139.15384615384613</v>
          </cell>
          <cell r="H95">
            <v>561.64209916337688</v>
          </cell>
          <cell r="I95">
            <v>292</v>
          </cell>
        </row>
        <row r="96">
          <cell r="A96">
            <v>24004</v>
          </cell>
          <cell r="B96" t="str">
            <v>Kavrepalanchok</v>
          </cell>
          <cell r="C96" t="str">
            <v>Chaurideurali Gaunpalika</v>
          </cell>
          <cell r="D96">
            <v>6411</v>
          </cell>
          <cell r="E96">
            <v>493.15384615384613</v>
          </cell>
          <cell r="F96">
            <v>129</v>
          </cell>
          <cell r="G96">
            <v>364.15384615384613</v>
          </cell>
          <cell r="H96">
            <v>580.47517293832175</v>
          </cell>
          <cell r="I96">
            <v>119</v>
          </cell>
        </row>
        <row r="97">
          <cell r="A97">
            <v>24005</v>
          </cell>
          <cell r="B97" t="str">
            <v>Kavrepalanchok</v>
          </cell>
          <cell r="C97" t="str">
            <v>Dhulikhel Nagarpalika</v>
          </cell>
          <cell r="D97">
            <v>5968</v>
          </cell>
          <cell r="E97">
            <v>459.07692307692309</v>
          </cell>
          <cell r="F97">
            <v>70</v>
          </cell>
          <cell r="G97">
            <v>389.07692307692309</v>
          </cell>
          <cell r="H97">
            <v>540.3643475426461</v>
          </cell>
          <cell r="I97">
            <v>58</v>
          </cell>
        </row>
        <row r="98">
          <cell r="A98">
            <v>24006</v>
          </cell>
          <cell r="B98" t="str">
            <v>Kavrepalanchok</v>
          </cell>
          <cell r="C98" t="str">
            <v>Khanikhola Gaunpalika</v>
          </cell>
          <cell r="D98">
            <v>2842</v>
          </cell>
          <cell r="E98">
            <v>218.61538461538461</v>
          </cell>
          <cell r="F98">
            <v>170</v>
          </cell>
          <cell r="G98">
            <v>48.615384615384613</v>
          </cell>
          <cell r="H98">
            <v>257.32497917496653</v>
          </cell>
          <cell r="I98">
            <v>74</v>
          </cell>
        </row>
        <row r="99">
          <cell r="A99">
            <v>24007</v>
          </cell>
          <cell r="B99" t="str">
            <v>Kavrepalanchok</v>
          </cell>
          <cell r="C99" t="str">
            <v>Mahabharat Gaunpalika</v>
          </cell>
          <cell r="D99">
            <v>2950</v>
          </cell>
          <cell r="E99">
            <v>226.92307692307693</v>
          </cell>
          <cell r="F99">
            <v>36</v>
          </cell>
          <cell r="G99">
            <v>190.92307692307693</v>
          </cell>
          <cell r="H99">
            <v>267.10369055811088</v>
          </cell>
          <cell r="I99">
            <v>14</v>
          </cell>
        </row>
        <row r="100">
          <cell r="A100">
            <v>24008</v>
          </cell>
          <cell r="B100" t="str">
            <v>Kavrepalanchok</v>
          </cell>
          <cell r="C100" t="str">
            <v>Mandandeupur Nagarpalika</v>
          </cell>
          <cell r="D100">
            <v>9195</v>
          </cell>
          <cell r="E100">
            <v>707.30769230769226</v>
          </cell>
          <cell r="F100">
            <v>307</v>
          </cell>
          <cell r="G100">
            <v>400.30769230769226</v>
          </cell>
          <cell r="H100">
            <v>832.54862192604401</v>
          </cell>
          <cell r="I100">
            <v>155</v>
          </cell>
        </row>
        <row r="101">
          <cell r="A101">
            <v>24009</v>
          </cell>
          <cell r="B101" t="str">
            <v>Kavrepalanchok</v>
          </cell>
          <cell r="C101" t="str">
            <v>Namobuddha Nagarpalika</v>
          </cell>
          <cell r="D101">
            <v>7593</v>
          </cell>
          <cell r="E101">
            <v>584.07692307692309</v>
          </cell>
          <cell r="F101">
            <v>674</v>
          </cell>
          <cell r="G101">
            <v>0</v>
          </cell>
          <cell r="H101">
            <v>687.49773640940202</v>
          </cell>
          <cell r="I101">
            <v>299</v>
          </cell>
        </row>
        <row r="102">
          <cell r="A102">
            <v>24010</v>
          </cell>
          <cell r="B102" t="str">
            <v>Kavrepalanchok</v>
          </cell>
          <cell r="C102" t="str">
            <v>Panautibihabar Nagarpalika</v>
          </cell>
          <cell r="D102">
            <v>9178</v>
          </cell>
          <cell r="E102">
            <v>706</v>
          </cell>
          <cell r="F102">
            <v>487</v>
          </cell>
          <cell r="G102">
            <v>219</v>
          </cell>
          <cell r="H102">
            <v>831.00938031943792</v>
          </cell>
          <cell r="I102">
            <v>101</v>
          </cell>
        </row>
        <row r="103">
          <cell r="A103">
            <v>24011</v>
          </cell>
          <cell r="B103" t="str">
            <v>Kavrepalanchok</v>
          </cell>
          <cell r="C103" t="str">
            <v>Panchkhal Nagarpalika</v>
          </cell>
          <cell r="D103">
            <v>9937</v>
          </cell>
          <cell r="E103">
            <v>764.38461538461536</v>
          </cell>
          <cell r="F103">
            <v>469</v>
          </cell>
          <cell r="G103">
            <v>295.38461538461536</v>
          </cell>
          <cell r="H103">
            <v>899.73199087320279</v>
          </cell>
          <cell r="I103">
            <v>177</v>
          </cell>
        </row>
        <row r="104">
          <cell r="A104">
            <v>24012</v>
          </cell>
          <cell r="B104" t="str">
            <v>Kavrepalanchok</v>
          </cell>
          <cell r="C104" t="str">
            <v>Roshi Gaunpalika</v>
          </cell>
          <cell r="D104">
            <v>6262</v>
          </cell>
          <cell r="E104">
            <v>481.69230769230768</v>
          </cell>
          <cell r="F104">
            <v>518</v>
          </cell>
          <cell r="G104">
            <v>0</v>
          </cell>
          <cell r="H104">
            <v>566.98417297453921</v>
          </cell>
          <cell r="I104">
            <v>113</v>
          </cell>
        </row>
        <row r="105">
          <cell r="A105">
            <v>24013</v>
          </cell>
          <cell r="B105" t="str">
            <v>Kavrepalanchok</v>
          </cell>
          <cell r="C105" t="str">
            <v>Temal Gaunpalika</v>
          </cell>
          <cell r="D105">
            <v>4847</v>
          </cell>
          <cell r="E105">
            <v>372.84615384615387</v>
          </cell>
          <cell r="F105">
            <v>97</v>
          </cell>
          <cell r="G105">
            <v>275.84615384615387</v>
          </cell>
          <cell r="H105">
            <v>438.86494513056391</v>
          </cell>
          <cell r="I105">
            <v>30</v>
          </cell>
        </row>
        <row r="106">
          <cell r="A106">
            <v>25001</v>
          </cell>
          <cell r="B106" t="str">
            <v>Lalitpur</v>
          </cell>
          <cell r="C106" t="str">
            <v>Bagmati Gaunpalika</v>
          </cell>
          <cell r="D106">
            <v>3370</v>
          </cell>
          <cell r="E106">
            <v>259.23076923076923</v>
          </cell>
          <cell r="F106">
            <v>351</v>
          </cell>
          <cell r="G106">
            <v>0</v>
          </cell>
          <cell r="H106">
            <v>130.59254562108083</v>
          </cell>
          <cell r="I106">
            <v>355</v>
          </cell>
        </row>
        <row r="107">
          <cell r="A107">
            <v>25002</v>
          </cell>
          <cell r="B107" t="str">
            <v>Lalitpur</v>
          </cell>
          <cell r="C107" t="str">
            <v>Godawari Nagarpalika</v>
          </cell>
          <cell r="D107">
            <v>9588</v>
          </cell>
          <cell r="E107">
            <v>737.53846153846155</v>
          </cell>
          <cell r="F107">
            <v>329</v>
          </cell>
          <cell r="G107">
            <v>408.53846153846155</v>
          </cell>
          <cell r="H107">
            <v>371.54935531600086</v>
          </cell>
          <cell r="I107">
            <v>150</v>
          </cell>
        </row>
        <row r="108">
          <cell r="A108">
            <v>25003</v>
          </cell>
          <cell r="B108" t="str">
            <v>Lalitpur</v>
          </cell>
          <cell r="C108" t="str">
            <v>Konjyosom Gaunpalika</v>
          </cell>
          <cell r="D108">
            <v>2154</v>
          </cell>
          <cell r="E108">
            <v>165.69230769230768</v>
          </cell>
          <cell r="F108">
            <v>192</v>
          </cell>
          <cell r="G108">
            <v>0</v>
          </cell>
          <cell r="H108">
            <v>83.470725005284294</v>
          </cell>
          <cell r="I108">
            <v>191</v>
          </cell>
        </row>
        <row r="109">
          <cell r="A109">
            <v>25004</v>
          </cell>
          <cell r="B109" t="str">
            <v>Lalitpur</v>
          </cell>
          <cell r="C109" t="str">
            <v>Lalitpur Mahanagarpalika</v>
          </cell>
          <cell r="D109">
            <v>7350</v>
          </cell>
          <cell r="E109">
            <v>565.38461538461536</v>
          </cell>
          <cell r="F109">
            <v>327</v>
          </cell>
          <cell r="G109">
            <v>238.38461538461536</v>
          </cell>
          <cell r="H109">
            <v>284.82350454449374</v>
          </cell>
          <cell r="I109">
            <v>255</v>
          </cell>
        </row>
        <row r="110">
          <cell r="A110">
            <v>25005</v>
          </cell>
          <cell r="B110" t="str">
            <v>Lalitpur</v>
          </cell>
          <cell r="C110" t="str">
            <v>Mahalaxmi Nagarpalika</v>
          </cell>
          <cell r="D110">
            <v>3657</v>
          </cell>
          <cell r="E110">
            <v>281.30769230769232</v>
          </cell>
          <cell r="F110">
            <v>106</v>
          </cell>
          <cell r="G110">
            <v>175.30769230769232</v>
          </cell>
          <cell r="H110">
            <v>141.714225322342</v>
          </cell>
          <cell r="I110">
            <v>54</v>
          </cell>
        </row>
        <row r="111">
          <cell r="A111">
            <v>25006</v>
          </cell>
          <cell r="B111" t="str">
            <v>Lalitpur</v>
          </cell>
          <cell r="C111" t="str">
            <v>Mahankal Gaunpalika</v>
          </cell>
          <cell r="D111">
            <v>2267</v>
          </cell>
          <cell r="E111">
            <v>174.38461538461539</v>
          </cell>
          <cell r="F111">
            <v>124</v>
          </cell>
          <cell r="G111">
            <v>50.384615384615387</v>
          </cell>
          <cell r="H111">
            <v>87.849644190798287</v>
          </cell>
          <cell r="I111">
            <v>94</v>
          </cell>
        </row>
        <row r="112">
          <cell r="A112">
            <v>26001</v>
          </cell>
          <cell r="B112" t="str">
            <v>Bhaktapur</v>
          </cell>
          <cell r="C112" t="str">
            <v>Bhaktapur Nagarpalika</v>
          </cell>
          <cell r="D112">
            <v>7622</v>
          </cell>
          <cell r="E112">
            <v>586.30769230769226</v>
          </cell>
          <cell r="F112">
            <v>353</v>
          </cell>
          <cell r="G112">
            <v>233.30769230769226</v>
          </cell>
          <cell r="H112">
            <v>538.50501624982337</v>
          </cell>
          <cell r="I112">
            <v>0</v>
          </cell>
        </row>
        <row r="113">
          <cell r="A113">
            <v>26002</v>
          </cell>
          <cell r="B113" t="str">
            <v>Bhaktapur</v>
          </cell>
          <cell r="C113" t="str">
            <v>Changunarayan Nagarpalika</v>
          </cell>
          <cell r="D113">
            <v>10937</v>
          </cell>
          <cell r="E113">
            <v>841.30769230769226</v>
          </cell>
          <cell r="F113">
            <v>259</v>
          </cell>
          <cell r="G113">
            <v>582.30769230769226</v>
          </cell>
          <cell r="H113">
            <v>772.71442701709759</v>
          </cell>
          <cell r="I113">
            <v>131</v>
          </cell>
        </row>
        <row r="114">
          <cell r="A114">
            <v>26003</v>
          </cell>
          <cell r="B114" t="str">
            <v>Bhaktapur</v>
          </cell>
          <cell r="C114" t="str">
            <v>Madhyapur Thimi Nagarpalika</v>
          </cell>
          <cell r="D114">
            <v>2333</v>
          </cell>
          <cell r="E114">
            <v>179.46153846153845</v>
          </cell>
          <cell r="F114">
            <v>56</v>
          </cell>
          <cell r="G114">
            <v>123.46153846153845</v>
          </cell>
          <cell r="H114">
            <v>164.82973011162923</v>
          </cell>
          <cell r="I114">
            <v>38</v>
          </cell>
        </row>
        <row r="115">
          <cell r="A115">
            <v>26004</v>
          </cell>
          <cell r="B115" t="str">
            <v>Bhaktapur</v>
          </cell>
          <cell r="C115" t="str">
            <v>Suryabinayak Nagarpalika</v>
          </cell>
          <cell r="D115">
            <v>7416</v>
          </cell>
          <cell r="E115">
            <v>570.46153846153845</v>
          </cell>
          <cell r="F115">
            <v>0</v>
          </cell>
          <cell r="G115">
            <v>570.46153846153845</v>
          </cell>
          <cell r="H115">
            <v>523.95082662144978</v>
          </cell>
          <cell r="I115">
            <v>0</v>
          </cell>
        </row>
        <row r="116">
          <cell r="A116">
            <v>27001</v>
          </cell>
          <cell r="B116" t="str">
            <v>Kathmandu</v>
          </cell>
          <cell r="C116" t="str">
            <v>Budhanilakantha Nagarpalika</v>
          </cell>
          <cell r="D116">
            <v>2693</v>
          </cell>
          <cell r="E116">
            <v>207.15384615384616</v>
          </cell>
          <cell r="F116">
            <v>26</v>
          </cell>
          <cell r="G116">
            <v>181.15384615384616</v>
          </cell>
          <cell r="H116">
            <v>112.6801815937572</v>
          </cell>
          <cell r="I116">
            <v>60</v>
          </cell>
        </row>
        <row r="117">
          <cell r="A117">
            <v>27002</v>
          </cell>
          <cell r="B117" t="str">
            <v>Kathmandu</v>
          </cell>
          <cell r="C117" t="str">
            <v>Chandragiri Nagarpalika</v>
          </cell>
          <cell r="D117">
            <v>5695</v>
          </cell>
          <cell r="E117">
            <v>438.07692307692309</v>
          </cell>
          <cell r="F117">
            <v>61</v>
          </cell>
          <cell r="G117">
            <v>377.07692307692309</v>
          </cell>
          <cell r="H117">
            <v>238.28950396451808</v>
          </cell>
          <cell r="I117">
            <v>300</v>
          </cell>
        </row>
        <row r="118">
          <cell r="A118">
            <v>27003</v>
          </cell>
          <cell r="B118" t="str">
            <v>Kathmandu</v>
          </cell>
          <cell r="C118" t="str">
            <v>Dakshinkali Nagarpalika</v>
          </cell>
          <cell r="D118">
            <v>4085</v>
          </cell>
          <cell r="E118">
            <v>314.23076923076923</v>
          </cell>
          <cell r="F118">
            <v>45</v>
          </cell>
          <cell r="G118">
            <v>269.23076923076923</v>
          </cell>
          <cell r="H118">
            <v>170.92407790957969</v>
          </cell>
          <cell r="I118">
            <v>382</v>
          </cell>
        </row>
        <row r="119">
          <cell r="A119">
            <v>27004</v>
          </cell>
          <cell r="B119" t="str">
            <v>Kathmandu</v>
          </cell>
          <cell r="C119" t="str">
            <v>Gokarneshwor Nagarpalika</v>
          </cell>
          <cell r="D119">
            <v>2935</v>
          </cell>
          <cell r="E119">
            <v>225.76923076923077</v>
          </cell>
          <cell r="F119">
            <v>62</v>
          </cell>
          <cell r="G119">
            <v>163.76923076923077</v>
          </cell>
          <cell r="H119">
            <v>122.80591644176657</v>
          </cell>
          <cell r="I119">
            <v>89</v>
          </cell>
        </row>
        <row r="120">
          <cell r="A120">
            <v>27005</v>
          </cell>
          <cell r="B120" t="str">
            <v>Kathmandu</v>
          </cell>
          <cell r="C120" t="str">
            <v>Kageshwori Manahora Nagarpalika</v>
          </cell>
          <cell r="D120">
            <v>3667</v>
          </cell>
          <cell r="E120">
            <v>282.07692307692309</v>
          </cell>
          <cell r="F120">
            <v>211</v>
          </cell>
          <cell r="G120">
            <v>71.076923076923094</v>
          </cell>
          <cell r="H120">
            <v>153.43417226301807</v>
          </cell>
          <cell r="I120">
            <v>163</v>
          </cell>
        </row>
        <row r="121">
          <cell r="A121">
            <v>27006</v>
          </cell>
          <cell r="B121" t="str">
            <v>Kathmandu</v>
          </cell>
          <cell r="C121" t="str">
            <v>Kathmandu Mahanagarpalika</v>
          </cell>
          <cell r="D121">
            <v>7496</v>
          </cell>
          <cell r="E121">
            <v>576.61538461538464</v>
          </cell>
          <cell r="F121">
            <v>310</v>
          </cell>
          <cell r="G121">
            <v>266.61538461538464</v>
          </cell>
          <cell r="H121">
            <v>313.64672901106718</v>
          </cell>
          <cell r="I121">
            <v>0</v>
          </cell>
        </row>
        <row r="122">
          <cell r="A122">
            <v>27007</v>
          </cell>
          <cell r="B122" t="str">
            <v>Kathmandu</v>
          </cell>
          <cell r="C122" t="str">
            <v>Kirtipur Nagarpalika</v>
          </cell>
          <cell r="D122">
            <v>2935</v>
          </cell>
          <cell r="E122">
            <v>225.76923076923077</v>
          </cell>
          <cell r="F122">
            <v>10</v>
          </cell>
          <cell r="G122">
            <v>215.76923076923077</v>
          </cell>
          <cell r="H122">
            <v>122.80591644176657</v>
          </cell>
          <cell r="I122">
            <v>50</v>
          </cell>
        </row>
        <row r="123">
          <cell r="A123">
            <v>27008</v>
          </cell>
          <cell r="B123" t="str">
            <v>Kathmandu</v>
          </cell>
          <cell r="C123" t="str">
            <v>Nagarjun Nagarpalika</v>
          </cell>
          <cell r="D123">
            <v>4338</v>
          </cell>
          <cell r="E123">
            <v>333.69230769230768</v>
          </cell>
          <cell r="F123">
            <v>66</v>
          </cell>
          <cell r="G123">
            <v>267.69230769230768</v>
          </cell>
          <cell r="H123">
            <v>181.51007343249859</v>
          </cell>
          <cell r="I123">
            <v>193</v>
          </cell>
        </row>
        <row r="124">
          <cell r="A124">
            <v>27009</v>
          </cell>
          <cell r="B124" t="str">
            <v>Kathmandu</v>
          </cell>
          <cell r="C124" t="str">
            <v>Shankharapur Nagarpalika</v>
          </cell>
          <cell r="D124">
            <v>6058</v>
          </cell>
          <cell r="E124">
            <v>466</v>
          </cell>
          <cell r="F124">
            <v>124</v>
          </cell>
          <cell r="G124">
            <v>342</v>
          </cell>
          <cell r="H124">
            <v>253.47810623653214</v>
          </cell>
          <cell r="I124">
            <v>254</v>
          </cell>
        </row>
        <row r="125">
          <cell r="A125">
            <v>27010</v>
          </cell>
          <cell r="B125" t="str">
            <v>Kathmandu</v>
          </cell>
          <cell r="C125" t="str">
            <v>Tarakeshwor Nagarpalika</v>
          </cell>
          <cell r="D125">
            <v>6151</v>
          </cell>
          <cell r="E125">
            <v>473.15384615384613</v>
          </cell>
          <cell r="F125">
            <v>0</v>
          </cell>
          <cell r="G125">
            <v>473.15384615384613</v>
          </cell>
          <cell r="H125">
            <v>257.36940103349446</v>
          </cell>
          <cell r="I125">
            <v>232</v>
          </cell>
        </row>
        <row r="126">
          <cell r="A126">
            <v>27011</v>
          </cell>
          <cell r="B126" t="str">
            <v>Kathmandu</v>
          </cell>
          <cell r="C126" t="str">
            <v>Tokha Nagarpalika</v>
          </cell>
          <cell r="D126">
            <v>1746</v>
          </cell>
          <cell r="E126">
            <v>134.30769230769232</v>
          </cell>
          <cell r="F126">
            <v>35</v>
          </cell>
          <cell r="G126">
            <v>99.307692307692321</v>
          </cell>
          <cell r="H126">
            <v>73.055921672001503</v>
          </cell>
          <cell r="I126">
            <v>1</v>
          </cell>
        </row>
        <row r="127">
          <cell r="A127">
            <v>28001</v>
          </cell>
          <cell r="B127" t="str">
            <v>Nuwakot</v>
          </cell>
          <cell r="C127" t="str">
            <v>Belkotgadhi Nagarpalika</v>
          </cell>
          <cell r="D127">
            <v>11037</v>
          </cell>
          <cell r="E127">
            <v>849</v>
          </cell>
          <cell r="F127">
            <v>150</v>
          </cell>
          <cell r="G127">
            <v>699</v>
          </cell>
          <cell r="H127">
            <v>1083.2482726130652</v>
          </cell>
          <cell r="I127">
            <v>267</v>
          </cell>
        </row>
        <row r="128">
          <cell r="A128">
            <v>28002</v>
          </cell>
          <cell r="B128" t="str">
            <v>Nuwakot</v>
          </cell>
          <cell r="C128" t="str">
            <v>Bidur Nagarpalika</v>
          </cell>
          <cell r="D128">
            <v>12893</v>
          </cell>
          <cell r="E128">
            <v>991.76923076923072</v>
          </cell>
          <cell r="F128">
            <v>262</v>
          </cell>
          <cell r="G128">
            <v>729.76923076923072</v>
          </cell>
          <cell r="H128">
            <v>1265.4090766331658</v>
          </cell>
          <cell r="I128">
            <v>234</v>
          </cell>
        </row>
        <row r="129">
          <cell r="A129">
            <v>28003</v>
          </cell>
          <cell r="B129" t="str">
            <v>Nuwakot</v>
          </cell>
          <cell r="C129" t="str">
            <v>Dupcheshwar Gaunpalika</v>
          </cell>
          <cell r="D129">
            <v>5873</v>
          </cell>
          <cell r="E129">
            <v>451.76923076923077</v>
          </cell>
          <cell r="F129">
            <v>266</v>
          </cell>
          <cell r="G129">
            <v>185.76923076923077</v>
          </cell>
          <cell r="H129">
            <v>576.41724246231149</v>
          </cell>
          <cell r="I129">
            <v>91</v>
          </cell>
        </row>
        <row r="130">
          <cell r="A130">
            <v>28004</v>
          </cell>
          <cell r="B130" t="str">
            <v>Nuwakot</v>
          </cell>
          <cell r="C130" t="str">
            <v>Kakani Gaunpalika</v>
          </cell>
          <cell r="D130">
            <v>6916</v>
          </cell>
          <cell r="E130">
            <v>532</v>
          </cell>
          <cell r="F130">
            <v>393</v>
          </cell>
          <cell r="G130">
            <v>139</v>
          </cell>
          <cell r="H130">
            <v>678.78454773869339</v>
          </cell>
          <cell r="I130">
            <v>0</v>
          </cell>
        </row>
        <row r="131">
          <cell r="A131">
            <v>28005</v>
          </cell>
          <cell r="B131" t="str">
            <v>Nuwakot</v>
          </cell>
          <cell r="C131" t="str">
            <v>Kispang Gaunpalika</v>
          </cell>
          <cell r="D131">
            <v>4788</v>
          </cell>
          <cell r="E131">
            <v>368.30769230769232</v>
          </cell>
          <cell r="F131">
            <v>417</v>
          </cell>
          <cell r="G131">
            <v>0</v>
          </cell>
          <cell r="H131">
            <v>469.92776381909545</v>
          </cell>
          <cell r="I131">
            <v>270</v>
          </cell>
        </row>
        <row r="132">
          <cell r="A132">
            <v>28006</v>
          </cell>
          <cell r="B132" t="str">
            <v>Nuwakot</v>
          </cell>
          <cell r="C132" t="str">
            <v>Likhu Gaunpalika</v>
          </cell>
          <cell r="D132">
            <v>5109</v>
          </cell>
          <cell r="E132">
            <v>393</v>
          </cell>
          <cell r="F132">
            <v>206</v>
          </cell>
          <cell r="G132">
            <v>187</v>
          </cell>
          <cell r="H132">
            <v>501.43294597989944</v>
          </cell>
          <cell r="I132">
            <v>5</v>
          </cell>
        </row>
        <row r="133">
          <cell r="A133">
            <v>28007</v>
          </cell>
          <cell r="B133" t="str">
            <v>Nuwakot</v>
          </cell>
          <cell r="C133" t="str">
            <v>Meghang Gaunpalika</v>
          </cell>
          <cell r="D133">
            <v>4510</v>
          </cell>
          <cell r="E133">
            <v>346.92307692307691</v>
          </cell>
          <cell r="F133">
            <v>89</v>
          </cell>
          <cell r="G133">
            <v>257.92307692307691</v>
          </cell>
          <cell r="H133">
            <v>442.64290201005025</v>
          </cell>
          <cell r="I133">
            <v>0</v>
          </cell>
        </row>
        <row r="134">
          <cell r="A134">
            <v>28008</v>
          </cell>
          <cell r="B134" t="str">
            <v>Nuwakot</v>
          </cell>
          <cell r="C134" t="str">
            <v>Panchakanya Gaunpalika</v>
          </cell>
          <cell r="D134">
            <v>4460</v>
          </cell>
          <cell r="E134">
            <v>343.07692307692309</v>
          </cell>
          <cell r="F134">
            <v>87</v>
          </cell>
          <cell r="G134">
            <v>256.07692307692309</v>
          </cell>
          <cell r="H134">
            <v>437.7355527638191</v>
          </cell>
          <cell r="I134">
            <v>0</v>
          </cell>
        </row>
        <row r="135">
          <cell r="A135">
            <v>28009</v>
          </cell>
          <cell r="B135" t="str">
            <v>Nuwakot</v>
          </cell>
          <cell r="C135" t="str">
            <v>Shivapuri Gaunpalika</v>
          </cell>
          <cell r="D135">
            <v>6514</v>
          </cell>
          <cell r="E135">
            <v>501.07692307692309</v>
          </cell>
          <cell r="F135">
            <v>931</v>
          </cell>
          <cell r="G135">
            <v>0</v>
          </cell>
          <cell r="H135">
            <v>639.32945979899489</v>
          </cell>
          <cell r="I135">
            <v>0</v>
          </cell>
        </row>
        <row r="136">
          <cell r="A136">
            <v>28010</v>
          </cell>
          <cell r="B136" t="str">
            <v>Nuwakot</v>
          </cell>
          <cell r="C136" t="str">
            <v>Suryagadhi Gaunpalika</v>
          </cell>
          <cell r="D136">
            <v>5019</v>
          </cell>
          <cell r="E136">
            <v>386.07692307692309</v>
          </cell>
          <cell r="F136">
            <v>143</v>
          </cell>
          <cell r="G136">
            <v>243.07692307692309</v>
          </cell>
          <cell r="H136">
            <v>492.5997173366834</v>
          </cell>
          <cell r="I136">
            <v>0</v>
          </cell>
        </row>
        <row r="137">
          <cell r="A137">
            <v>28011</v>
          </cell>
          <cell r="B137" t="str">
            <v>Nuwakot</v>
          </cell>
          <cell r="C137" t="str">
            <v>Tadi Gaunpalika</v>
          </cell>
          <cell r="D137">
            <v>4590</v>
          </cell>
          <cell r="E137">
            <v>353.07692307692309</v>
          </cell>
          <cell r="F137">
            <v>132</v>
          </cell>
          <cell r="G137">
            <v>221.07692307692309</v>
          </cell>
          <cell r="H137">
            <v>450.4946608040201</v>
          </cell>
          <cell r="I137">
            <v>0</v>
          </cell>
        </row>
        <row r="138">
          <cell r="A138">
            <v>28012</v>
          </cell>
          <cell r="B138" t="str">
            <v>Nuwakot</v>
          </cell>
          <cell r="C138" t="str">
            <v>Tarkeshwar Gaunpalika</v>
          </cell>
          <cell r="D138">
            <v>4707</v>
          </cell>
          <cell r="E138">
            <v>362.07692307692309</v>
          </cell>
          <cell r="F138">
            <v>343</v>
          </cell>
          <cell r="G138">
            <v>19.076923076923094</v>
          </cell>
          <cell r="H138">
            <v>461.977858040201</v>
          </cell>
          <cell r="I138">
            <v>0</v>
          </cell>
        </row>
        <row r="139">
          <cell r="A139">
            <v>29001</v>
          </cell>
          <cell r="B139" t="str">
            <v>Rasuwa</v>
          </cell>
          <cell r="C139" t="str">
            <v>Gosaikunda Gaunpalika</v>
          </cell>
          <cell r="D139">
            <v>1979</v>
          </cell>
          <cell r="E139">
            <v>152.23076923076923</v>
          </cell>
          <cell r="F139">
            <v>226</v>
          </cell>
          <cell r="G139">
            <v>0</v>
          </cell>
          <cell r="H139">
            <v>190.10566762728146</v>
          </cell>
          <cell r="I139">
            <v>0</v>
          </cell>
        </row>
        <row r="140">
          <cell r="A140">
            <v>29002</v>
          </cell>
          <cell r="B140" t="str">
            <v>Rasuwa</v>
          </cell>
          <cell r="C140" t="str">
            <v>Kalika Gaunpalika</v>
          </cell>
          <cell r="D140">
            <v>2569</v>
          </cell>
          <cell r="E140">
            <v>197.61538461538461</v>
          </cell>
          <cell r="F140">
            <v>262</v>
          </cell>
          <cell r="G140">
            <v>0</v>
          </cell>
          <cell r="H140">
            <v>246.7819404418828</v>
          </cell>
          <cell r="I140">
            <v>637</v>
          </cell>
        </row>
        <row r="141">
          <cell r="A141">
            <v>29003</v>
          </cell>
          <cell r="B141" t="str">
            <v>Rasuwa</v>
          </cell>
          <cell r="C141" t="str">
            <v>Naukunda Gaunpalika</v>
          </cell>
          <cell r="D141">
            <v>3349</v>
          </cell>
          <cell r="E141">
            <v>257.61538461538464</v>
          </cell>
          <cell r="F141">
            <v>275</v>
          </cell>
          <cell r="G141">
            <v>0</v>
          </cell>
          <cell r="H141">
            <v>321.7098943323727</v>
          </cell>
          <cell r="I141">
            <v>239</v>
          </cell>
        </row>
        <row r="142">
          <cell r="A142">
            <v>29004</v>
          </cell>
          <cell r="B142" t="str">
            <v>Rasuwa</v>
          </cell>
          <cell r="C142" t="str">
            <v>Parbati Kunda Gaunpalika</v>
          </cell>
          <cell r="D142">
            <v>1964</v>
          </cell>
          <cell r="E142">
            <v>151.07692307692307</v>
          </cell>
          <cell r="F142">
            <v>295</v>
          </cell>
          <cell r="G142">
            <v>0</v>
          </cell>
          <cell r="H142">
            <v>188.66474543707972</v>
          </cell>
          <cell r="I142">
            <v>320</v>
          </cell>
        </row>
        <row r="143">
          <cell r="A143">
            <v>29005</v>
          </cell>
          <cell r="B143" t="str">
            <v>Rasuwa</v>
          </cell>
          <cell r="C143" t="str">
            <v>Uttargaya Gaunpalika</v>
          </cell>
          <cell r="D143">
            <v>2631</v>
          </cell>
          <cell r="E143">
            <v>202.38461538461539</v>
          </cell>
          <cell r="F143">
            <v>432</v>
          </cell>
          <cell r="G143">
            <v>0</v>
          </cell>
          <cell r="H143">
            <v>252.73775216138327</v>
          </cell>
          <cell r="I143">
            <v>80</v>
          </cell>
        </row>
        <row r="144">
          <cell r="A144">
            <v>30001</v>
          </cell>
          <cell r="B144" t="str">
            <v>Dhading</v>
          </cell>
          <cell r="C144" t="str">
            <v>Benighat Rorang Gaunpalika</v>
          </cell>
          <cell r="D144">
            <v>4910</v>
          </cell>
          <cell r="E144">
            <v>377.69230769230768</v>
          </cell>
          <cell r="F144">
            <v>542</v>
          </cell>
          <cell r="G144">
            <v>0</v>
          </cell>
          <cell r="H144">
            <v>459.39985297066102</v>
          </cell>
          <cell r="I144">
            <v>50</v>
          </cell>
        </row>
        <row r="145">
          <cell r="A145">
            <v>30002</v>
          </cell>
          <cell r="B145" t="str">
            <v>Dhading</v>
          </cell>
          <cell r="C145" t="str">
            <v>Dhunibesi Nagarpalika</v>
          </cell>
          <cell r="D145">
            <v>7158</v>
          </cell>
          <cell r="E145">
            <v>550.61538461538464</v>
          </cell>
          <cell r="F145">
            <v>164</v>
          </cell>
          <cell r="G145">
            <v>386.61538461538464</v>
          </cell>
          <cell r="H145">
            <v>669.73200561384749</v>
          </cell>
          <cell r="I145">
            <v>30</v>
          </cell>
        </row>
        <row r="146">
          <cell r="A146">
            <v>30003</v>
          </cell>
          <cell r="B146" t="str">
            <v>Dhading</v>
          </cell>
          <cell r="C146" t="str">
            <v>Gajuri Gaunpalika</v>
          </cell>
          <cell r="D146">
            <v>5105</v>
          </cell>
          <cell r="E146">
            <v>392.69230769230768</v>
          </cell>
          <cell r="F146">
            <v>334</v>
          </cell>
          <cell r="G146">
            <v>58.692307692307679</v>
          </cell>
          <cell r="H146">
            <v>477.64485731470967</v>
          </cell>
          <cell r="I146">
            <v>336</v>
          </cell>
        </row>
        <row r="147">
          <cell r="A147">
            <v>30004</v>
          </cell>
          <cell r="B147" t="str">
            <v>Dhading</v>
          </cell>
          <cell r="C147" t="str">
            <v>Galchi Gaunpalika</v>
          </cell>
          <cell r="D147">
            <v>5997</v>
          </cell>
          <cell r="E147">
            <v>461.30769230769232</v>
          </cell>
          <cell r="F147">
            <v>408</v>
          </cell>
          <cell r="G147">
            <v>53.307692307692321</v>
          </cell>
          <cell r="H147">
            <v>561.10405667312705</v>
          </cell>
          <cell r="I147">
            <v>260</v>
          </cell>
        </row>
        <row r="148">
          <cell r="A148">
            <v>30005</v>
          </cell>
          <cell r="B148" t="str">
            <v>Dhading</v>
          </cell>
          <cell r="C148" t="str">
            <v>Gangajamuna Gaunpalika</v>
          </cell>
          <cell r="D148">
            <v>6447</v>
          </cell>
          <cell r="E148">
            <v>495.92307692307691</v>
          </cell>
          <cell r="F148">
            <v>397</v>
          </cell>
          <cell r="G148">
            <v>98.923076923076906</v>
          </cell>
          <cell r="H148">
            <v>603.20791285170094</v>
          </cell>
          <cell r="I148">
            <v>281</v>
          </cell>
        </row>
        <row r="149">
          <cell r="A149">
            <v>30006</v>
          </cell>
          <cell r="B149" t="str">
            <v>Dhading</v>
          </cell>
          <cell r="C149" t="str">
            <v>Jwalamukhi Gaunpalika</v>
          </cell>
          <cell r="D149">
            <v>5390</v>
          </cell>
          <cell r="E149">
            <v>414.61538461538464</v>
          </cell>
          <cell r="F149">
            <v>437</v>
          </cell>
          <cell r="G149">
            <v>0</v>
          </cell>
          <cell r="H149">
            <v>504.31063289447309</v>
          </cell>
          <cell r="I149">
            <v>340</v>
          </cell>
        </row>
        <row r="150">
          <cell r="A150">
            <v>30007</v>
          </cell>
          <cell r="B150" t="str">
            <v>Dhading</v>
          </cell>
          <cell r="C150" t="str">
            <v>Khaniyabash Gaunpalika</v>
          </cell>
          <cell r="D150">
            <v>3469</v>
          </cell>
          <cell r="E150">
            <v>266.84615384615387</v>
          </cell>
          <cell r="F150">
            <v>337</v>
          </cell>
          <cell r="G150">
            <v>0</v>
          </cell>
          <cell r="H150">
            <v>324.57394907438351</v>
          </cell>
          <cell r="I150">
            <v>609</v>
          </cell>
        </row>
        <row r="151">
          <cell r="A151">
            <v>30008</v>
          </cell>
          <cell r="B151" t="str">
            <v>Dhading</v>
          </cell>
          <cell r="C151" t="str">
            <v>Netrawati Gaunpalika</v>
          </cell>
          <cell r="D151">
            <v>3866</v>
          </cell>
          <cell r="E151">
            <v>297.38461538461536</v>
          </cell>
          <cell r="F151">
            <v>438</v>
          </cell>
          <cell r="G151">
            <v>0</v>
          </cell>
          <cell r="H151">
            <v>361.71890663636975</v>
          </cell>
          <cell r="I151">
            <v>0</v>
          </cell>
        </row>
        <row r="152">
          <cell r="A152">
            <v>30009</v>
          </cell>
          <cell r="B152" t="str">
            <v>Dhading</v>
          </cell>
          <cell r="C152" t="str">
            <v>Nilakantha Nagarpalika</v>
          </cell>
          <cell r="D152">
            <v>12183</v>
          </cell>
          <cell r="E152">
            <v>937.15384615384619</v>
          </cell>
          <cell r="F152">
            <v>1416</v>
          </cell>
          <cell r="G152">
            <v>0</v>
          </cell>
          <cell r="H152">
            <v>1139.8917329412552</v>
          </cell>
          <cell r="I152">
            <v>0</v>
          </cell>
        </row>
        <row r="153">
          <cell r="A153">
            <v>30010</v>
          </cell>
          <cell r="B153" t="str">
            <v>Dhading</v>
          </cell>
          <cell r="C153" t="str">
            <v>Rubi Valley Gaunpalika</v>
          </cell>
          <cell r="D153">
            <v>2850</v>
          </cell>
          <cell r="E153">
            <v>219.23076923076923</v>
          </cell>
          <cell r="F153">
            <v>376</v>
          </cell>
          <cell r="G153">
            <v>0</v>
          </cell>
          <cell r="H153">
            <v>266.6577557976342</v>
          </cell>
          <cell r="I153">
            <v>0</v>
          </cell>
        </row>
        <row r="154">
          <cell r="A154">
            <v>30011</v>
          </cell>
          <cell r="B154" t="str">
            <v>Dhading</v>
          </cell>
          <cell r="C154" t="str">
            <v>Siddhalek Gaunpalika</v>
          </cell>
          <cell r="D154">
            <v>5359</v>
          </cell>
          <cell r="E154">
            <v>412.23076923076923</v>
          </cell>
          <cell r="F154">
            <v>539</v>
          </cell>
          <cell r="G154">
            <v>0</v>
          </cell>
          <cell r="H154">
            <v>501.41014502439356</v>
          </cell>
          <cell r="I154">
            <v>0</v>
          </cell>
        </row>
        <row r="155">
          <cell r="A155">
            <v>30012</v>
          </cell>
          <cell r="B155" t="str">
            <v>Dhading</v>
          </cell>
          <cell r="C155" t="str">
            <v>Thakre Gaunpalika</v>
          </cell>
          <cell r="D155">
            <v>6384</v>
          </cell>
          <cell r="E155">
            <v>491.07692307692309</v>
          </cell>
          <cell r="F155">
            <v>220</v>
          </cell>
          <cell r="G155">
            <v>271.07692307692309</v>
          </cell>
          <cell r="H155">
            <v>597.31337298670053</v>
          </cell>
          <cell r="I155">
            <v>0</v>
          </cell>
        </row>
        <row r="156">
          <cell r="A156">
            <v>30013</v>
          </cell>
          <cell r="B156" t="str">
            <v>Dhading</v>
          </cell>
          <cell r="C156" t="str">
            <v>Tripura Sundari Gaunpalika</v>
          </cell>
          <cell r="D156">
            <v>5697</v>
          </cell>
          <cell r="E156">
            <v>438.23076923076923</v>
          </cell>
          <cell r="F156">
            <v>330</v>
          </cell>
          <cell r="G156">
            <v>108.23076923076923</v>
          </cell>
          <cell r="H156">
            <v>533.03481922074457</v>
          </cell>
          <cell r="I156">
            <v>0</v>
          </cell>
        </row>
        <row r="157">
          <cell r="A157">
            <v>31001</v>
          </cell>
          <cell r="B157" t="str">
            <v>Makwanpur</v>
          </cell>
          <cell r="C157" t="str">
            <v>Bagmati Gaunpalika</v>
          </cell>
          <cell r="D157">
            <v>2467</v>
          </cell>
          <cell r="E157">
            <v>189.76923076923077</v>
          </cell>
          <cell r="F157">
            <v>59</v>
          </cell>
          <cell r="G157">
            <v>130.76923076923077</v>
          </cell>
          <cell r="H157">
            <v>217.84305645493612</v>
          </cell>
          <cell r="I157">
            <v>0</v>
          </cell>
        </row>
        <row r="158">
          <cell r="A158">
            <v>31002</v>
          </cell>
          <cell r="B158" t="str">
            <v>Makwanpur</v>
          </cell>
          <cell r="C158" t="str">
            <v>Bakaiya Gaunpalika</v>
          </cell>
          <cell r="D158">
            <v>3990</v>
          </cell>
          <cell r="E158">
            <v>306.92307692307691</v>
          </cell>
          <cell r="F158">
            <v>51</v>
          </cell>
          <cell r="G158">
            <v>255.92307692307691</v>
          </cell>
          <cell r="H158">
            <v>352.32825101548241</v>
          </cell>
          <cell r="I158">
            <v>0</v>
          </cell>
        </row>
        <row r="159">
          <cell r="A159">
            <v>31003</v>
          </cell>
          <cell r="B159" t="str">
            <v>Makwanpur</v>
          </cell>
          <cell r="C159" t="str">
            <v>Bhimphedi Gaunpalika</v>
          </cell>
          <cell r="D159">
            <v>2696</v>
          </cell>
          <cell r="E159">
            <v>207.38461538461539</v>
          </cell>
          <cell r="F159">
            <v>159</v>
          </cell>
          <cell r="G159">
            <v>48.384615384615387</v>
          </cell>
          <cell r="H159">
            <v>238.06440218990991</v>
          </cell>
          <cell r="I159">
            <v>0</v>
          </cell>
        </row>
        <row r="160">
          <cell r="A160">
            <v>31004</v>
          </cell>
          <cell r="B160" t="str">
            <v>Makwanpur</v>
          </cell>
          <cell r="C160" t="str">
            <v>Hetauda Upamahanagarpalika</v>
          </cell>
          <cell r="D160">
            <v>6324</v>
          </cell>
          <cell r="E160">
            <v>486.46153846153845</v>
          </cell>
          <cell r="F160">
            <v>0</v>
          </cell>
          <cell r="G160">
            <v>486.46153846153845</v>
          </cell>
          <cell r="H160">
            <v>558.42703243656911</v>
          </cell>
          <cell r="I160">
            <v>0</v>
          </cell>
        </row>
        <row r="161">
          <cell r="A161">
            <v>31005</v>
          </cell>
          <cell r="B161" t="str">
            <v>Makwanpur</v>
          </cell>
          <cell r="C161" t="str">
            <v>Indrasarowar Gaunpalika</v>
          </cell>
          <cell r="D161">
            <v>2921</v>
          </cell>
          <cell r="E161">
            <v>224.69230769230768</v>
          </cell>
          <cell r="F161">
            <v>173</v>
          </cell>
          <cell r="G161">
            <v>51.692307692307679</v>
          </cell>
          <cell r="H161">
            <v>257.93253664567021</v>
          </cell>
          <cell r="I161">
            <v>0</v>
          </cell>
        </row>
        <row r="162">
          <cell r="A162">
            <v>31006</v>
          </cell>
          <cell r="B162" t="str">
            <v>Makwanpur</v>
          </cell>
          <cell r="C162" t="str">
            <v>Kailash Gaunpalika</v>
          </cell>
          <cell r="D162">
            <v>2609</v>
          </cell>
          <cell r="E162">
            <v>200.69230769230768</v>
          </cell>
          <cell r="F162">
            <v>150</v>
          </cell>
          <cell r="G162">
            <v>50.692307692307679</v>
          </cell>
          <cell r="H162">
            <v>230.38205686701593</v>
          </cell>
          <cell r="I162">
            <v>0</v>
          </cell>
        </row>
        <row r="163">
          <cell r="A163">
            <v>31007</v>
          </cell>
          <cell r="B163" t="str">
            <v>Makwanpur</v>
          </cell>
          <cell r="C163" t="str">
            <v>Makawanpurgadhi Gaunpalika</v>
          </cell>
          <cell r="D163">
            <v>2209</v>
          </cell>
          <cell r="E163">
            <v>169.92307692307693</v>
          </cell>
          <cell r="F163">
            <v>172</v>
          </cell>
          <cell r="G163">
            <v>0</v>
          </cell>
          <cell r="H163">
            <v>195.06092894566433</v>
          </cell>
          <cell r="I163">
            <v>0</v>
          </cell>
        </row>
        <row r="164">
          <cell r="A164">
            <v>31008</v>
          </cell>
          <cell r="B164" t="str">
            <v>Makwanpur</v>
          </cell>
          <cell r="C164" t="str">
            <v>Manahari Gaunpalika</v>
          </cell>
          <cell r="D164">
            <v>2321</v>
          </cell>
          <cell r="E164">
            <v>178.53846153846155</v>
          </cell>
          <cell r="F164">
            <v>0</v>
          </cell>
          <cell r="G164">
            <v>178.53846153846155</v>
          </cell>
          <cell r="H164">
            <v>204.95084476364278</v>
          </cell>
          <cell r="I164">
            <v>0</v>
          </cell>
        </row>
        <row r="165">
          <cell r="A165">
            <v>31009</v>
          </cell>
          <cell r="B165" t="str">
            <v>Makwanpur</v>
          </cell>
          <cell r="C165" t="str">
            <v>Raksirang Gaunpalika</v>
          </cell>
          <cell r="D165">
            <v>1710</v>
          </cell>
          <cell r="E165">
            <v>131.53846153846155</v>
          </cell>
          <cell r="F165">
            <v>30</v>
          </cell>
          <cell r="G165">
            <v>101.53846153846155</v>
          </cell>
          <cell r="H165">
            <v>150.99782186377817</v>
          </cell>
          <cell r="I165">
            <v>0</v>
          </cell>
        </row>
        <row r="166">
          <cell r="A166">
            <v>31010</v>
          </cell>
          <cell r="B166" t="str">
            <v>Makwanpur</v>
          </cell>
          <cell r="C166" t="str">
            <v>Thaha Nagarpalika</v>
          </cell>
          <cell r="D166">
            <v>6727</v>
          </cell>
          <cell r="E166">
            <v>517.46153846153845</v>
          </cell>
          <cell r="F166">
            <v>525</v>
          </cell>
          <cell r="G166">
            <v>0</v>
          </cell>
          <cell r="H166">
            <v>594.01306881733092</v>
          </cell>
          <cell r="I166">
            <v>0</v>
          </cell>
        </row>
        <row r="167">
          <cell r="A167">
            <v>35001</v>
          </cell>
          <cell r="B167" t="str">
            <v>Chitwan</v>
          </cell>
          <cell r="C167" t="str">
            <v>Bharatpur Mahanagarpalika</v>
          </cell>
          <cell r="D167">
            <v>711</v>
          </cell>
          <cell r="E167">
            <v>54.692307692307693</v>
          </cell>
          <cell r="F167">
            <v>0</v>
          </cell>
          <cell r="G167">
            <v>54.692307692307693</v>
          </cell>
          <cell r="H167">
            <v>64.63636363636364</v>
          </cell>
          <cell r="I167">
            <v>0</v>
          </cell>
        </row>
        <row r="168">
          <cell r="A168">
            <v>35002</v>
          </cell>
          <cell r="B168" t="str">
            <v>Chitwan</v>
          </cell>
          <cell r="C168" t="str">
            <v>Ichchhyakamana Gaunpalika</v>
          </cell>
          <cell r="D168">
            <v>2377</v>
          </cell>
          <cell r="E168">
            <v>182.84615384615384</v>
          </cell>
          <cell r="F168">
            <v>0</v>
          </cell>
          <cell r="G168">
            <v>182.84615384615384</v>
          </cell>
          <cell r="H168">
            <v>216.09090909090909</v>
          </cell>
          <cell r="I168">
            <v>0</v>
          </cell>
        </row>
        <row r="169">
          <cell r="A169">
            <v>35003</v>
          </cell>
          <cell r="B169" t="str">
            <v>Chitwan</v>
          </cell>
          <cell r="C169" t="str">
            <v>Kalika Nagarpalika</v>
          </cell>
          <cell r="D169">
            <v>916</v>
          </cell>
          <cell r="E169">
            <v>70.461538461538467</v>
          </cell>
          <cell r="F169">
            <v>0</v>
          </cell>
          <cell r="G169">
            <v>70.461538461538467</v>
          </cell>
          <cell r="H169">
            <v>83.272727272727266</v>
          </cell>
          <cell r="I169">
            <v>0</v>
          </cell>
        </row>
        <row r="170">
          <cell r="A170">
            <v>35004</v>
          </cell>
          <cell r="B170" t="str">
            <v>Chitwan</v>
          </cell>
          <cell r="C170" t="str">
            <v>Khairahani Nagarpalika</v>
          </cell>
          <cell r="D170">
            <v>559</v>
          </cell>
          <cell r="E170">
            <v>43</v>
          </cell>
          <cell r="F170">
            <v>0</v>
          </cell>
          <cell r="G170">
            <v>43</v>
          </cell>
          <cell r="H170">
            <v>50.81818181818182</v>
          </cell>
          <cell r="I170">
            <v>0</v>
          </cell>
        </row>
        <row r="171">
          <cell r="A171">
            <v>35005</v>
          </cell>
          <cell r="B171" t="str">
            <v>Chitwan</v>
          </cell>
          <cell r="C171" t="str">
            <v>Madi Nagarpalika</v>
          </cell>
          <cell r="D171">
            <v>23</v>
          </cell>
          <cell r="E171">
            <v>1.7692307692307692</v>
          </cell>
          <cell r="F171">
            <v>0</v>
          </cell>
          <cell r="G171">
            <v>1.7692307692307692</v>
          </cell>
          <cell r="H171">
            <v>2.0909090909090908</v>
          </cell>
          <cell r="I171">
            <v>0</v>
          </cell>
        </row>
        <row r="172">
          <cell r="A172">
            <v>35006</v>
          </cell>
          <cell r="B172" t="str">
            <v>Chitwan</v>
          </cell>
          <cell r="C172" t="str">
            <v>Rapti Nagarpalika</v>
          </cell>
          <cell r="D172">
            <v>2047</v>
          </cell>
          <cell r="E172">
            <v>157.46153846153845</v>
          </cell>
          <cell r="F172">
            <v>0</v>
          </cell>
          <cell r="G172">
            <v>157.46153846153845</v>
          </cell>
          <cell r="H172">
            <v>186.09090909090909</v>
          </cell>
          <cell r="I172">
            <v>0</v>
          </cell>
        </row>
        <row r="173">
          <cell r="A173">
            <v>35007</v>
          </cell>
          <cell r="B173" t="str">
            <v>Chitwan</v>
          </cell>
          <cell r="C173" t="str">
            <v>Ratnanagar Nagarpalika</v>
          </cell>
          <cell r="D173">
            <v>732</v>
          </cell>
          <cell r="E173">
            <v>56.307692307692307</v>
          </cell>
          <cell r="F173">
            <v>0</v>
          </cell>
          <cell r="G173">
            <v>56.307692307692307</v>
          </cell>
          <cell r="H173">
            <v>66.545454545454547</v>
          </cell>
          <cell r="I173">
            <v>0</v>
          </cell>
        </row>
        <row r="174">
          <cell r="A174">
            <v>36001</v>
          </cell>
          <cell r="B174" t="str">
            <v>Gorkha</v>
          </cell>
          <cell r="C174" t="str">
            <v>Aarughat Gaunpalika</v>
          </cell>
          <cell r="D174">
            <v>6911</v>
          </cell>
          <cell r="E174">
            <v>531.61538461538464</v>
          </cell>
          <cell r="F174">
            <v>545</v>
          </cell>
          <cell r="G174">
            <v>0</v>
          </cell>
          <cell r="H174">
            <v>683.59993217273336</v>
          </cell>
          <cell r="I174">
            <v>0</v>
          </cell>
        </row>
        <row r="175">
          <cell r="A175">
            <v>36002</v>
          </cell>
          <cell r="B175" t="str">
            <v>Gorkha</v>
          </cell>
          <cell r="C175" t="str">
            <v>Ajirkot Gaunpalika</v>
          </cell>
          <cell r="D175">
            <v>4123</v>
          </cell>
          <cell r="E175">
            <v>317.15384615384613</v>
          </cell>
          <cell r="F175">
            <v>360</v>
          </cell>
          <cell r="G175">
            <v>0</v>
          </cell>
          <cell r="H175">
            <v>407.82557087949351</v>
          </cell>
          <cell r="I175">
            <v>0</v>
          </cell>
        </row>
        <row r="176">
          <cell r="A176">
            <v>36003</v>
          </cell>
          <cell r="B176" t="str">
            <v>Gorkha</v>
          </cell>
          <cell r="C176" t="str">
            <v>Bhimsen Gaunpalika</v>
          </cell>
          <cell r="D176">
            <v>6834</v>
          </cell>
          <cell r="E176">
            <v>525.69230769230774</v>
          </cell>
          <cell r="F176">
            <v>647</v>
          </cell>
          <cell r="G176">
            <v>0</v>
          </cell>
          <cell r="H176">
            <v>675.98349536513672</v>
          </cell>
          <cell r="I176">
            <v>0</v>
          </cell>
        </row>
        <row r="177">
          <cell r="A177">
            <v>36004</v>
          </cell>
          <cell r="B177" t="str">
            <v>Gorkha</v>
          </cell>
          <cell r="C177" t="str">
            <v>Chum Nubri Gaunpalika</v>
          </cell>
          <cell r="D177">
            <v>2275</v>
          </cell>
          <cell r="E177">
            <v>175</v>
          </cell>
          <cell r="F177">
            <v>400</v>
          </cell>
          <cell r="G177">
            <v>0</v>
          </cell>
          <cell r="H177">
            <v>225.03108749717384</v>
          </cell>
          <cell r="I177">
            <v>0</v>
          </cell>
        </row>
        <row r="178">
          <cell r="A178">
            <v>36005</v>
          </cell>
          <cell r="B178" t="str">
            <v>Gorkha</v>
          </cell>
          <cell r="C178" t="str">
            <v>Dharche Gaunpalika</v>
          </cell>
          <cell r="D178">
            <v>4169</v>
          </cell>
          <cell r="E178">
            <v>320.69230769230768</v>
          </cell>
          <cell r="F178">
            <v>367</v>
          </cell>
          <cell r="G178">
            <v>0</v>
          </cell>
          <cell r="H178">
            <v>412.37565001130451</v>
          </cell>
          <cell r="I178">
            <v>0</v>
          </cell>
        </row>
        <row r="179">
          <cell r="A179">
            <v>36006</v>
          </cell>
          <cell r="B179" t="str">
            <v>Gorkha</v>
          </cell>
          <cell r="C179" t="str">
            <v>Gandaki Gaunpalika</v>
          </cell>
          <cell r="D179">
            <v>5603</v>
          </cell>
          <cell r="E179">
            <v>431</v>
          </cell>
          <cell r="F179">
            <v>310</v>
          </cell>
          <cell r="G179">
            <v>121</v>
          </cell>
          <cell r="H179">
            <v>554.21942120732535</v>
          </cell>
          <cell r="I179">
            <v>0</v>
          </cell>
        </row>
        <row r="180">
          <cell r="A180">
            <v>36007</v>
          </cell>
          <cell r="B180" t="str">
            <v>Gorkha</v>
          </cell>
          <cell r="C180" t="str">
            <v>Gorkha Nagarpalika</v>
          </cell>
          <cell r="D180">
            <v>10094</v>
          </cell>
          <cell r="E180">
            <v>776.46153846153845</v>
          </cell>
          <cell r="F180">
            <v>958</v>
          </cell>
          <cell r="G180">
            <v>0</v>
          </cell>
          <cell r="H180">
            <v>998.44562514130678</v>
          </cell>
          <cell r="I180">
            <v>0</v>
          </cell>
        </row>
        <row r="181">
          <cell r="A181">
            <v>36008</v>
          </cell>
          <cell r="B181" t="str">
            <v>Gorkha</v>
          </cell>
          <cell r="C181" t="str">
            <v>Palungtar Nagarpalika</v>
          </cell>
          <cell r="D181">
            <v>9700</v>
          </cell>
          <cell r="E181">
            <v>746.15384615384619</v>
          </cell>
          <cell r="F181">
            <v>350</v>
          </cell>
          <cell r="G181">
            <v>396.15384615384619</v>
          </cell>
          <cell r="H181">
            <v>959.47320822970823</v>
          </cell>
          <cell r="I181">
            <v>0</v>
          </cell>
        </row>
        <row r="182">
          <cell r="A182">
            <v>36009</v>
          </cell>
          <cell r="B182" t="str">
            <v>Gorkha</v>
          </cell>
          <cell r="C182" t="str">
            <v>Sahid Lakhan Gaunpalika</v>
          </cell>
          <cell r="D182">
            <v>7059</v>
          </cell>
          <cell r="E182">
            <v>543</v>
          </cell>
          <cell r="F182">
            <v>610</v>
          </cell>
          <cell r="G182">
            <v>0</v>
          </cell>
          <cell r="H182">
            <v>698.23931720551661</v>
          </cell>
          <cell r="I182">
            <v>0</v>
          </cell>
        </row>
        <row r="183">
          <cell r="A183">
            <v>36010</v>
          </cell>
          <cell r="B183" t="str">
            <v>Gorkha</v>
          </cell>
          <cell r="C183" t="str">
            <v>Siranchok Gaunpalika</v>
          </cell>
          <cell r="D183">
            <v>6819</v>
          </cell>
          <cell r="E183">
            <v>524.53846153846155</v>
          </cell>
          <cell r="F183">
            <v>723</v>
          </cell>
          <cell r="G183">
            <v>0</v>
          </cell>
          <cell r="H183">
            <v>674.49977390911147</v>
          </cell>
          <cell r="I183">
            <v>0</v>
          </cell>
        </row>
        <row r="184">
          <cell r="A184">
            <v>36011</v>
          </cell>
          <cell r="B184" t="str">
            <v>Gorkha</v>
          </cell>
          <cell r="C184" t="str">
            <v>Sulikot Gaunpalika</v>
          </cell>
          <cell r="D184">
            <v>7181</v>
          </cell>
          <cell r="E184">
            <v>552.38461538461536</v>
          </cell>
          <cell r="F184">
            <v>929</v>
          </cell>
          <cell r="G184">
            <v>0</v>
          </cell>
          <cell r="H184">
            <v>710.30691838118923</v>
          </cell>
          <cell r="I184">
            <v>0</v>
          </cell>
        </row>
        <row r="185">
          <cell r="A185">
            <v>37001</v>
          </cell>
          <cell r="B185" t="str">
            <v>Lamjung</v>
          </cell>
          <cell r="C185" t="str">
            <v>Besishahar Nagarpalika</v>
          </cell>
          <cell r="D185">
            <v>1308</v>
          </cell>
          <cell r="E185">
            <v>100.61538461538461</v>
          </cell>
          <cell r="F185">
            <v>40</v>
          </cell>
          <cell r="G185">
            <v>60.615384615384613</v>
          </cell>
          <cell r="H185">
            <v>118.90909090909091</v>
          </cell>
          <cell r="I185">
            <v>0</v>
          </cell>
        </row>
        <row r="186">
          <cell r="A186">
            <v>37002</v>
          </cell>
          <cell r="B186" t="str">
            <v>Lamjung</v>
          </cell>
          <cell r="C186" t="str">
            <v>Dordi Gaunpalika</v>
          </cell>
          <cell r="D186">
            <v>2239</v>
          </cell>
          <cell r="E186">
            <v>172.23076923076923</v>
          </cell>
          <cell r="F186">
            <v>82</v>
          </cell>
          <cell r="G186">
            <v>90.230769230769226</v>
          </cell>
          <cell r="H186">
            <v>203.54545454545453</v>
          </cell>
          <cell r="I186">
            <v>0</v>
          </cell>
        </row>
        <row r="187">
          <cell r="A187">
            <v>37003</v>
          </cell>
          <cell r="B187" t="str">
            <v>Lamjung</v>
          </cell>
          <cell r="C187" t="str">
            <v>Dudhpokhari Gaunpalika</v>
          </cell>
          <cell r="D187">
            <v>2437</v>
          </cell>
          <cell r="E187">
            <v>187.46153846153845</v>
          </cell>
          <cell r="F187">
            <v>0</v>
          </cell>
          <cell r="G187">
            <v>187.46153846153845</v>
          </cell>
          <cell r="H187">
            <v>221.54545454545453</v>
          </cell>
          <cell r="I187">
            <v>0</v>
          </cell>
        </row>
        <row r="188">
          <cell r="A188">
            <v>37004</v>
          </cell>
          <cell r="B188" t="str">
            <v>Lamjung</v>
          </cell>
          <cell r="C188" t="str">
            <v>Kwholasothar Gaunpalika</v>
          </cell>
          <cell r="D188">
            <v>316</v>
          </cell>
          <cell r="E188">
            <v>24.307692307692307</v>
          </cell>
          <cell r="F188">
            <v>0</v>
          </cell>
          <cell r="G188">
            <v>24.307692307692307</v>
          </cell>
          <cell r="H188">
            <v>28.727272727272727</v>
          </cell>
          <cell r="I188">
            <v>0</v>
          </cell>
        </row>
        <row r="189">
          <cell r="A189">
            <v>37005</v>
          </cell>
          <cell r="B189" t="str">
            <v>Lamjung</v>
          </cell>
          <cell r="C189" t="str">
            <v>MadhyaNepal Nagarpalika</v>
          </cell>
          <cell r="D189">
            <v>1505</v>
          </cell>
          <cell r="E189">
            <v>115.76923076923077</v>
          </cell>
          <cell r="F189">
            <v>46</v>
          </cell>
          <cell r="G189">
            <v>69.769230769230774</v>
          </cell>
          <cell r="H189">
            <v>136.81818181818181</v>
          </cell>
          <cell r="I189">
            <v>0</v>
          </cell>
        </row>
        <row r="190">
          <cell r="A190">
            <v>37006</v>
          </cell>
          <cell r="B190" t="str">
            <v>Lamjung</v>
          </cell>
          <cell r="C190" t="str">
            <v>Marsyangdi Gaunpalika</v>
          </cell>
          <cell r="D190">
            <v>922</v>
          </cell>
          <cell r="E190">
            <v>70.92307692307692</v>
          </cell>
          <cell r="F190">
            <v>0</v>
          </cell>
          <cell r="G190">
            <v>70.92307692307692</v>
          </cell>
          <cell r="H190">
            <v>83.818181818181813</v>
          </cell>
          <cell r="I190">
            <v>0</v>
          </cell>
        </row>
        <row r="191">
          <cell r="A191">
            <v>37007</v>
          </cell>
          <cell r="B191" t="str">
            <v>Lamjung</v>
          </cell>
          <cell r="C191" t="str">
            <v>Rainas Nagarpalika</v>
          </cell>
          <cell r="D191">
            <v>2989</v>
          </cell>
          <cell r="E191">
            <v>229.92307692307693</v>
          </cell>
          <cell r="F191">
            <v>19</v>
          </cell>
          <cell r="G191">
            <v>210.92307692307693</v>
          </cell>
          <cell r="H191">
            <v>271.72727272727275</v>
          </cell>
          <cell r="I191">
            <v>0</v>
          </cell>
        </row>
        <row r="192">
          <cell r="A192">
            <v>37008</v>
          </cell>
          <cell r="B192" t="str">
            <v>Lamjung</v>
          </cell>
          <cell r="C192" t="str">
            <v>Sundarbazar Nagarpalika</v>
          </cell>
          <cell r="D192">
            <v>2257</v>
          </cell>
          <cell r="E192">
            <v>173.61538461538461</v>
          </cell>
          <cell r="F192">
            <v>17</v>
          </cell>
          <cell r="G192">
            <v>156.61538461538461</v>
          </cell>
          <cell r="H192">
            <v>205.18181818181819</v>
          </cell>
          <cell r="I192">
            <v>0</v>
          </cell>
        </row>
        <row r="193">
          <cell r="A193">
            <v>38001</v>
          </cell>
          <cell r="B193" t="str">
            <v>Tanahun</v>
          </cell>
          <cell r="C193" t="str">
            <v>Anbukhaireni Gaunpalika</v>
          </cell>
          <cell r="D193">
            <v>722</v>
          </cell>
          <cell r="E193">
            <v>55.53846153846154</v>
          </cell>
          <cell r="F193">
            <v>0</v>
          </cell>
          <cell r="G193">
            <v>55.53846153846154</v>
          </cell>
          <cell r="H193">
            <v>65.63636363636364</v>
          </cell>
          <cell r="I193">
            <v>0</v>
          </cell>
        </row>
        <row r="194">
          <cell r="A194">
            <v>38002</v>
          </cell>
          <cell r="B194" t="str">
            <v>Tanahun</v>
          </cell>
          <cell r="C194" t="str">
            <v>Bandipur Gaunpalika</v>
          </cell>
          <cell r="D194">
            <v>996</v>
          </cell>
          <cell r="E194">
            <v>76.615384615384613</v>
          </cell>
          <cell r="F194">
            <v>25</v>
          </cell>
          <cell r="G194">
            <v>51.615384615384613</v>
          </cell>
          <cell r="H194">
            <v>90.545454545454547</v>
          </cell>
          <cell r="I194">
            <v>0</v>
          </cell>
        </row>
        <row r="195">
          <cell r="A195">
            <v>38003</v>
          </cell>
          <cell r="B195" t="str">
            <v>Tanahun</v>
          </cell>
          <cell r="C195" t="str">
            <v>Bhanu Nagarpalika</v>
          </cell>
          <cell r="D195">
            <v>4378</v>
          </cell>
          <cell r="E195">
            <v>336.76923076923077</v>
          </cell>
          <cell r="F195">
            <v>110</v>
          </cell>
          <cell r="G195">
            <v>226.76923076923077</v>
          </cell>
          <cell r="H195">
            <v>398</v>
          </cell>
          <cell r="I195">
            <v>0</v>
          </cell>
        </row>
        <row r="196">
          <cell r="A196">
            <v>38004</v>
          </cell>
          <cell r="B196" t="str">
            <v>Tanahun</v>
          </cell>
          <cell r="C196" t="str">
            <v>Bhimad Nagarpalika</v>
          </cell>
          <cell r="D196">
            <v>1125</v>
          </cell>
          <cell r="E196">
            <v>86.538461538461533</v>
          </cell>
          <cell r="F196">
            <v>87</v>
          </cell>
          <cell r="G196">
            <v>0</v>
          </cell>
          <cell r="H196">
            <v>102.27272727272727</v>
          </cell>
          <cell r="I196">
            <v>0</v>
          </cell>
        </row>
        <row r="197">
          <cell r="A197">
            <v>38005</v>
          </cell>
          <cell r="B197" t="str">
            <v>Tanahun</v>
          </cell>
          <cell r="C197" t="str">
            <v>Byas Nagarpalika</v>
          </cell>
          <cell r="D197">
            <v>2008</v>
          </cell>
          <cell r="E197">
            <v>154.46153846153845</v>
          </cell>
          <cell r="F197">
            <v>138</v>
          </cell>
          <cell r="G197">
            <v>16.461538461538453</v>
          </cell>
          <cell r="H197">
            <v>182.54545454545453</v>
          </cell>
          <cell r="I197">
            <v>0</v>
          </cell>
        </row>
        <row r="198">
          <cell r="A198">
            <v>38006</v>
          </cell>
          <cell r="B198" t="str">
            <v>Tanahun</v>
          </cell>
          <cell r="C198" t="str">
            <v>Devghat Gaunpalika</v>
          </cell>
          <cell r="D198">
            <v>607</v>
          </cell>
          <cell r="E198">
            <v>46.692307692307693</v>
          </cell>
          <cell r="F198">
            <v>25</v>
          </cell>
          <cell r="G198">
            <v>21.692307692307693</v>
          </cell>
          <cell r="H198">
            <v>55.18181818181818</v>
          </cell>
          <cell r="I198">
            <v>0</v>
          </cell>
        </row>
        <row r="199">
          <cell r="A199">
            <v>38007</v>
          </cell>
          <cell r="B199" t="str">
            <v>Tanahun</v>
          </cell>
          <cell r="C199" t="str">
            <v>Ghiring Gaunpalika</v>
          </cell>
          <cell r="D199">
            <v>298</v>
          </cell>
          <cell r="E199">
            <v>22.923076923076923</v>
          </cell>
          <cell r="F199">
            <v>25</v>
          </cell>
          <cell r="G199">
            <v>0</v>
          </cell>
          <cell r="H199">
            <v>27.09090909090909</v>
          </cell>
          <cell r="I199">
            <v>0</v>
          </cell>
        </row>
        <row r="200">
          <cell r="A200">
            <v>38008</v>
          </cell>
          <cell r="B200" t="str">
            <v>Tanahun</v>
          </cell>
          <cell r="C200" t="str">
            <v>Myagde Gaunpalika</v>
          </cell>
          <cell r="D200">
            <v>1336</v>
          </cell>
          <cell r="E200">
            <v>102.76923076923077</v>
          </cell>
          <cell r="F200">
            <v>55</v>
          </cell>
          <cell r="G200">
            <v>47.769230769230774</v>
          </cell>
          <cell r="H200">
            <v>121.45454545454545</v>
          </cell>
          <cell r="I200">
            <v>0</v>
          </cell>
        </row>
        <row r="201">
          <cell r="A201">
            <v>38009</v>
          </cell>
          <cell r="B201" t="str">
            <v>Tanahun</v>
          </cell>
          <cell r="C201" t="str">
            <v>Rhishing Gaunpalika</v>
          </cell>
          <cell r="D201">
            <v>531</v>
          </cell>
          <cell r="E201">
            <v>40.846153846153847</v>
          </cell>
          <cell r="F201">
            <v>25</v>
          </cell>
          <cell r="G201">
            <v>15.846153846153847</v>
          </cell>
          <cell r="H201">
            <v>48.272727272727273</v>
          </cell>
          <cell r="I201">
            <v>0</v>
          </cell>
        </row>
        <row r="202">
          <cell r="A202">
            <v>38010</v>
          </cell>
          <cell r="B202" t="str">
            <v>Tanahun</v>
          </cell>
          <cell r="C202" t="str">
            <v>Shuklagandaki Nagarpalika</v>
          </cell>
          <cell r="D202">
            <v>1859</v>
          </cell>
          <cell r="E202">
            <v>143</v>
          </cell>
          <cell r="F202">
            <v>68</v>
          </cell>
          <cell r="G202">
            <v>75</v>
          </cell>
          <cell r="H202">
            <v>169</v>
          </cell>
          <cell r="I202">
            <v>0</v>
          </cell>
        </row>
        <row r="203">
          <cell r="A203">
            <v>39001</v>
          </cell>
          <cell r="B203" t="str">
            <v>Syangja</v>
          </cell>
          <cell r="C203" t="str">
            <v>Aandhikhola Gaunpalika</v>
          </cell>
          <cell r="D203">
            <v>843</v>
          </cell>
          <cell r="E203">
            <v>64.84615384615384</v>
          </cell>
          <cell r="F203">
            <v>25</v>
          </cell>
          <cell r="G203">
            <v>39.84615384615384</v>
          </cell>
          <cell r="H203">
            <v>76.63636363636364</v>
          </cell>
          <cell r="I203">
            <v>0</v>
          </cell>
        </row>
        <row r="204">
          <cell r="A204">
            <v>39002</v>
          </cell>
          <cell r="B204" t="str">
            <v>Syangja</v>
          </cell>
          <cell r="C204" t="str">
            <v>Arjunchaupari Gaunpalika</v>
          </cell>
          <cell r="D204">
            <v>531</v>
          </cell>
          <cell r="E204">
            <v>40.846153846153847</v>
          </cell>
          <cell r="F204">
            <v>25</v>
          </cell>
          <cell r="G204">
            <v>15.846153846153847</v>
          </cell>
          <cell r="H204">
            <v>48.272727272727273</v>
          </cell>
          <cell r="I204">
            <v>0</v>
          </cell>
        </row>
        <row r="205">
          <cell r="A205">
            <v>39003</v>
          </cell>
          <cell r="B205" t="str">
            <v>Syangja</v>
          </cell>
          <cell r="C205" t="str">
            <v>Bhirkot Nagarpalika</v>
          </cell>
          <cell r="D205">
            <v>1041</v>
          </cell>
          <cell r="E205">
            <v>80.07692307692308</v>
          </cell>
          <cell r="F205">
            <v>25</v>
          </cell>
          <cell r="G205">
            <v>55.07692307692308</v>
          </cell>
          <cell r="H205">
            <v>94.63636363636364</v>
          </cell>
          <cell r="I205">
            <v>0</v>
          </cell>
        </row>
        <row r="206">
          <cell r="A206">
            <v>39004</v>
          </cell>
          <cell r="B206" t="str">
            <v>Syangja</v>
          </cell>
          <cell r="C206" t="str">
            <v>Biruwa Gaunpalika</v>
          </cell>
          <cell r="D206">
            <v>638</v>
          </cell>
          <cell r="E206">
            <v>49.07692307692308</v>
          </cell>
          <cell r="F206">
            <v>50</v>
          </cell>
          <cell r="G206">
            <v>0</v>
          </cell>
          <cell r="H206">
            <v>58</v>
          </cell>
          <cell r="I206">
            <v>0</v>
          </cell>
        </row>
        <row r="207">
          <cell r="A207">
            <v>39005</v>
          </cell>
          <cell r="B207" t="str">
            <v>Syangja</v>
          </cell>
          <cell r="C207" t="str">
            <v>Chapakot Nagarpalika</v>
          </cell>
          <cell r="D207">
            <v>804</v>
          </cell>
          <cell r="E207">
            <v>61.846153846153847</v>
          </cell>
          <cell r="F207">
            <v>50</v>
          </cell>
          <cell r="G207">
            <v>11.846153846153847</v>
          </cell>
          <cell r="H207">
            <v>73.090909090909093</v>
          </cell>
          <cell r="I207">
            <v>0</v>
          </cell>
        </row>
        <row r="208">
          <cell r="A208">
            <v>39006</v>
          </cell>
          <cell r="B208" t="str">
            <v>Syangja</v>
          </cell>
          <cell r="C208" t="str">
            <v>Galyang Nagarpalika</v>
          </cell>
          <cell r="D208">
            <v>634</v>
          </cell>
          <cell r="E208">
            <v>48.769230769230766</v>
          </cell>
          <cell r="F208">
            <v>25</v>
          </cell>
          <cell r="G208">
            <v>23.769230769230766</v>
          </cell>
          <cell r="H208">
            <v>57.636363636363633</v>
          </cell>
          <cell r="I208">
            <v>0</v>
          </cell>
        </row>
        <row r="209">
          <cell r="A209">
            <v>39007</v>
          </cell>
          <cell r="B209" t="str">
            <v>Syangja</v>
          </cell>
          <cell r="C209" t="str">
            <v>Harinas Gaunpalika</v>
          </cell>
          <cell r="D209">
            <v>435</v>
          </cell>
          <cell r="E209">
            <v>33.46153846153846</v>
          </cell>
          <cell r="F209">
            <v>25</v>
          </cell>
          <cell r="G209">
            <v>8.4615384615384599</v>
          </cell>
          <cell r="H209">
            <v>39.545454545454547</v>
          </cell>
          <cell r="I209">
            <v>0</v>
          </cell>
        </row>
        <row r="210">
          <cell r="A210">
            <v>39008</v>
          </cell>
          <cell r="B210" t="str">
            <v>Syangja</v>
          </cell>
          <cell r="C210" t="str">
            <v>Kaligandagi Gaunpalika</v>
          </cell>
          <cell r="D210">
            <v>493</v>
          </cell>
          <cell r="E210">
            <v>37.92307692307692</v>
          </cell>
          <cell r="F210">
            <v>50</v>
          </cell>
          <cell r="G210">
            <v>0</v>
          </cell>
          <cell r="H210">
            <v>44.81818181818182</v>
          </cell>
          <cell r="I210">
            <v>0</v>
          </cell>
        </row>
        <row r="211">
          <cell r="A211">
            <v>39009</v>
          </cell>
          <cell r="B211" t="str">
            <v>Syangja</v>
          </cell>
          <cell r="C211" t="str">
            <v>Phedikhola Gaunpalika</v>
          </cell>
          <cell r="D211">
            <v>278</v>
          </cell>
          <cell r="E211">
            <v>21.384615384615383</v>
          </cell>
          <cell r="F211">
            <v>50</v>
          </cell>
          <cell r="G211">
            <v>0</v>
          </cell>
          <cell r="H211">
            <v>25.272727272727273</v>
          </cell>
          <cell r="I211">
            <v>0</v>
          </cell>
        </row>
        <row r="212">
          <cell r="A212">
            <v>39010</v>
          </cell>
          <cell r="B212" t="str">
            <v>Syangja</v>
          </cell>
          <cell r="C212" t="str">
            <v>Putalibazar Nagarpalika</v>
          </cell>
          <cell r="D212">
            <v>1471</v>
          </cell>
          <cell r="E212">
            <v>113.15384615384616</v>
          </cell>
          <cell r="F212">
            <v>25</v>
          </cell>
          <cell r="G212">
            <v>88.15384615384616</v>
          </cell>
          <cell r="H212">
            <v>133.72727272727272</v>
          </cell>
          <cell r="I212">
            <v>0</v>
          </cell>
        </row>
        <row r="213">
          <cell r="A213">
            <v>39011</v>
          </cell>
          <cell r="B213" t="str">
            <v>Syangja</v>
          </cell>
          <cell r="C213" t="str">
            <v>Waling Nagarpalika</v>
          </cell>
          <cell r="D213">
            <v>1671</v>
          </cell>
          <cell r="E213">
            <v>128.53846153846155</v>
          </cell>
          <cell r="F213">
            <v>75</v>
          </cell>
          <cell r="G213">
            <v>53.538461538461547</v>
          </cell>
          <cell r="H213">
            <v>151.90909090909091</v>
          </cell>
          <cell r="I213">
            <v>0</v>
          </cell>
        </row>
        <row r="214">
          <cell r="A214">
            <v>40001</v>
          </cell>
          <cell r="B214" t="str">
            <v>Kaski</v>
          </cell>
          <cell r="C214" t="str">
            <v>Annapurna Gaunpalika</v>
          </cell>
          <cell r="D214">
            <v>396</v>
          </cell>
          <cell r="E214">
            <v>30.46153846153846</v>
          </cell>
          <cell r="F214">
            <v>0</v>
          </cell>
          <cell r="G214">
            <v>30.46153846153846</v>
          </cell>
          <cell r="H214">
            <v>36</v>
          </cell>
          <cell r="I214">
            <v>0</v>
          </cell>
        </row>
        <row r="215">
          <cell r="A215">
            <v>40002</v>
          </cell>
          <cell r="B215" t="str">
            <v>Kaski</v>
          </cell>
          <cell r="C215" t="str">
            <v>Machhapuchchhre Gaunpalika</v>
          </cell>
          <cell r="D215">
            <v>427</v>
          </cell>
          <cell r="E215">
            <v>32.846153846153847</v>
          </cell>
          <cell r="F215">
            <v>0</v>
          </cell>
          <cell r="G215">
            <v>32.846153846153847</v>
          </cell>
          <cell r="H215">
            <v>38.81818181818182</v>
          </cell>
          <cell r="I215">
            <v>0</v>
          </cell>
        </row>
        <row r="216">
          <cell r="A216">
            <v>40003</v>
          </cell>
          <cell r="B216" t="str">
            <v>Kaski</v>
          </cell>
          <cell r="C216" t="str">
            <v>Madi Gaunpalika</v>
          </cell>
          <cell r="D216">
            <v>1191</v>
          </cell>
          <cell r="E216">
            <v>91.615384615384613</v>
          </cell>
          <cell r="F216">
            <v>0</v>
          </cell>
          <cell r="G216">
            <v>91.615384615384613</v>
          </cell>
          <cell r="H216">
            <v>108.27272727272727</v>
          </cell>
          <cell r="I216">
            <v>0</v>
          </cell>
        </row>
        <row r="217">
          <cell r="A217">
            <v>40004</v>
          </cell>
          <cell r="B217" t="str">
            <v>Kaski</v>
          </cell>
          <cell r="C217" t="str">
            <v>Pokhara Lekhnath Mahanagarpalika</v>
          </cell>
          <cell r="D217">
            <v>2744</v>
          </cell>
          <cell r="E217">
            <v>211.07692307692307</v>
          </cell>
          <cell r="F217">
            <v>0</v>
          </cell>
          <cell r="G217">
            <v>211.07692307692307</v>
          </cell>
          <cell r="H217">
            <v>249.45454545454547</v>
          </cell>
          <cell r="I217">
            <v>0</v>
          </cell>
        </row>
        <row r="218">
          <cell r="A218">
            <v>40005</v>
          </cell>
          <cell r="B218" t="str">
            <v>Kaski</v>
          </cell>
          <cell r="C218" t="str">
            <v>Rupa Gaunpalika</v>
          </cell>
          <cell r="D218">
            <v>1269</v>
          </cell>
          <cell r="E218">
            <v>97.615384615384613</v>
          </cell>
          <cell r="F218">
            <v>0</v>
          </cell>
          <cell r="G218">
            <v>97.615384615384613</v>
          </cell>
          <cell r="H218">
            <v>115.36363636363636</v>
          </cell>
          <cell r="I218">
            <v>0</v>
          </cell>
        </row>
        <row r="219">
          <cell r="A219">
            <v>43001</v>
          </cell>
          <cell r="B219" t="str">
            <v>Myagdi</v>
          </cell>
          <cell r="C219" t="str">
            <v>Annapurna Gaunpalika</v>
          </cell>
          <cell r="D219">
            <v>114</v>
          </cell>
          <cell r="E219">
            <v>8.7692307692307701</v>
          </cell>
          <cell r="F219">
            <v>0</v>
          </cell>
          <cell r="G219">
            <v>8.7692307692307701</v>
          </cell>
          <cell r="H219">
            <v>10.363636363636363</v>
          </cell>
          <cell r="I219">
            <v>0</v>
          </cell>
        </row>
        <row r="220">
          <cell r="A220">
            <v>43002</v>
          </cell>
          <cell r="B220" t="str">
            <v>Myagdi</v>
          </cell>
          <cell r="C220" t="str">
            <v>Beni Nagarpalika</v>
          </cell>
          <cell r="D220">
            <v>417</v>
          </cell>
          <cell r="E220">
            <v>32.07692307692308</v>
          </cell>
          <cell r="F220">
            <v>0</v>
          </cell>
          <cell r="G220">
            <v>32.07692307692308</v>
          </cell>
          <cell r="H220">
            <v>37.909090909090907</v>
          </cell>
          <cell r="I220">
            <v>0</v>
          </cell>
        </row>
        <row r="221">
          <cell r="A221">
            <v>43003</v>
          </cell>
          <cell r="B221" t="str">
            <v>Myagdi</v>
          </cell>
          <cell r="C221" t="str">
            <v>Dhaulagiri Gaunpalika</v>
          </cell>
          <cell r="D221">
            <v>30</v>
          </cell>
          <cell r="E221">
            <v>2.3076923076923075</v>
          </cell>
          <cell r="F221">
            <v>0</v>
          </cell>
          <cell r="G221">
            <v>2.3076923076923075</v>
          </cell>
          <cell r="H221">
            <v>2.7272727272727271</v>
          </cell>
          <cell r="I221">
            <v>0</v>
          </cell>
        </row>
        <row r="222">
          <cell r="A222">
            <v>43004</v>
          </cell>
          <cell r="B222" t="str">
            <v>Myagdi</v>
          </cell>
          <cell r="C222" t="str">
            <v>Malika Gaunpalika</v>
          </cell>
          <cell r="D222">
            <v>35</v>
          </cell>
          <cell r="E222">
            <v>2.6923076923076925</v>
          </cell>
          <cell r="F222">
            <v>0</v>
          </cell>
          <cell r="G222">
            <v>2.6923076923076925</v>
          </cell>
          <cell r="H222">
            <v>3.1818181818181817</v>
          </cell>
          <cell r="I222">
            <v>0</v>
          </cell>
        </row>
        <row r="223">
          <cell r="A223">
            <v>43005</v>
          </cell>
          <cell r="B223" t="str">
            <v>Myagdi</v>
          </cell>
          <cell r="C223" t="str">
            <v>Mangala Gaunpalika</v>
          </cell>
          <cell r="D223">
            <v>127</v>
          </cell>
          <cell r="E223">
            <v>9.7692307692307701</v>
          </cell>
          <cell r="F223">
            <v>0</v>
          </cell>
          <cell r="G223">
            <v>9.7692307692307701</v>
          </cell>
          <cell r="H223">
            <v>11.545454545454545</v>
          </cell>
          <cell r="I223">
            <v>0</v>
          </cell>
        </row>
        <row r="224">
          <cell r="A224">
            <v>43006</v>
          </cell>
          <cell r="B224" t="str">
            <v>Myagdi</v>
          </cell>
          <cell r="C224" t="str">
            <v>Raghuganga Gaunpalika</v>
          </cell>
          <cell r="D224">
            <v>145</v>
          </cell>
          <cell r="E224">
            <v>11.153846153846153</v>
          </cell>
          <cell r="F224">
            <v>0</v>
          </cell>
          <cell r="G224">
            <v>11.153846153846153</v>
          </cell>
          <cell r="H224">
            <v>13.181818181818182</v>
          </cell>
          <cell r="I224">
            <v>0</v>
          </cell>
        </row>
        <row r="225">
          <cell r="A225">
            <v>44001</v>
          </cell>
          <cell r="B225" t="str">
            <v>Parbat</v>
          </cell>
          <cell r="C225" t="str">
            <v>Bihadi Gaunpalika</v>
          </cell>
          <cell r="D225">
            <v>1139</v>
          </cell>
          <cell r="E225">
            <v>87.615384615384613</v>
          </cell>
          <cell r="F225">
            <v>0</v>
          </cell>
          <cell r="G225">
            <v>87.615384615384613</v>
          </cell>
          <cell r="H225">
            <v>103.54545454545455</v>
          </cell>
          <cell r="I225">
            <v>0</v>
          </cell>
        </row>
        <row r="226">
          <cell r="A226">
            <v>44002</v>
          </cell>
          <cell r="B226" t="str">
            <v>Parbat</v>
          </cell>
          <cell r="C226" t="str">
            <v>Jaljala Gaunpalika</v>
          </cell>
          <cell r="D226">
            <v>187</v>
          </cell>
          <cell r="E226">
            <v>14.384615384615385</v>
          </cell>
          <cell r="F226">
            <v>0</v>
          </cell>
          <cell r="G226">
            <v>14.384615384615385</v>
          </cell>
          <cell r="H226">
            <v>17</v>
          </cell>
          <cell r="I226">
            <v>0</v>
          </cell>
        </row>
        <row r="227">
          <cell r="A227">
            <v>44003</v>
          </cell>
          <cell r="B227" t="str">
            <v>Parbat</v>
          </cell>
          <cell r="C227" t="str">
            <v>Kushma Nagarpalika</v>
          </cell>
          <cell r="D227">
            <v>943</v>
          </cell>
          <cell r="E227">
            <v>72.538461538461533</v>
          </cell>
          <cell r="F227">
            <v>0</v>
          </cell>
          <cell r="G227">
            <v>72.538461538461533</v>
          </cell>
          <cell r="H227">
            <v>85.727272727272734</v>
          </cell>
          <cell r="I227">
            <v>0</v>
          </cell>
        </row>
        <row r="228">
          <cell r="A228">
            <v>44004</v>
          </cell>
          <cell r="B228" t="str">
            <v>Parbat</v>
          </cell>
          <cell r="C228" t="str">
            <v>Mahashila Gaunpalika</v>
          </cell>
          <cell r="D228">
            <v>386</v>
          </cell>
          <cell r="E228">
            <v>29.692307692307693</v>
          </cell>
          <cell r="F228">
            <v>0</v>
          </cell>
          <cell r="G228">
            <v>29.692307692307693</v>
          </cell>
          <cell r="H228">
            <v>35.090909090909093</v>
          </cell>
          <cell r="I228">
            <v>0</v>
          </cell>
        </row>
        <row r="229">
          <cell r="A229">
            <v>44005</v>
          </cell>
          <cell r="B229" t="str">
            <v>Parbat</v>
          </cell>
          <cell r="C229" t="str">
            <v>Modi Gaunpalika</v>
          </cell>
          <cell r="D229">
            <v>503</v>
          </cell>
          <cell r="E229">
            <v>38.692307692307693</v>
          </cell>
          <cell r="F229">
            <v>0</v>
          </cell>
          <cell r="G229">
            <v>38.692307692307693</v>
          </cell>
          <cell r="H229">
            <v>45.727272727272727</v>
          </cell>
          <cell r="I229">
            <v>0</v>
          </cell>
        </row>
        <row r="230">
          <cell r="A230">
            <v>44006</v>
          </cell>
          <cell r="B230" t="str">
            <v>Parbat</v>
          </cell>
          <cell r="C230" t="str">
            <v>Painyu Gaunpalika</v>
          </cell>
          <cell r="D230">
            <v>657</v>
          </cell>
          <cell r="E230">
            <v>50.53846153846154</v>
          </cell>
          <cell r="F230">
            <v>0</v>
          </cell>
          <cell r="G230">
            <v>50.53846153846154</v>
          </cell>
          <cell r="H230">
            <v>59.727272727272727</v>
          </cell>
          <cell r="I230">
            <v>0</v>
          </cell>
        </row>
        <row r="231">
          <cell r="A231">
            <v>44007</v>
          </cell>
          <cell r="B231" t="str">
            <v>Parbat</v>
          </cell>
          <cell r="C231" t="str">
            <v>Phalebas Nagarpalika</v>
          </cell>
          <cell r="D231">
            <v>1464</v>
          </cell>
          <cell r="E231">
            <v>112.61538461538461</v>
          </cell>
          <cell r="F231">
            <v>0</v>
          </cell>
          <cell r="G231">
            <v>112.61538461538461</v>
          </cell>
          <cell r="H231">
            <v>133.09090909090909</v>
          </cell>
          <cell r="I231">
            <v>0</v>
          </cell>
        </row>
        <row r="232">
          <cell r="A232">
            <v>45001</v>
          </cell>
          <cell r="B232" t="str">
            <v>Baglung</v>
          </cell>
          <cell r="C232" t="str">
            <v>Badigad Gaunpalika</v>
          </cell>
          <cell r="D232">
            <v>147</v>
          </cell>
          <cell r="E232">
            <v>11.307692307692308</v>
          </cell>
          <cell r="F232">
            <v>46</v>
          </cell>
          <cell r="G232">
            <v>0</v>
          </cell>
          <cell r="H232">
            <v>13.363636363636363</v>
          </cell>
          <cell r="I232">
            <v>0</v>
          </cell>
        </row>
        <row r="233">
          <cell r="A233">
            <v>45002</v>
          </cell>
          <cell r="B233" t="str">
            <v>Baglung</v>
          </cell>
          <cell r="C233" t="str">
            <v>Baglung Nagarpalika</v>
          </cell>
          <cell r="D233">
            <v>627</v>
          </cell>
          <cell r="E233">
            <v>48.230769230769234</v>
          </cell>
          <cell r="F233">
            <v>0</v>
          </cell>
          <cell r="G233">
            <v>48.230769230769234</v>
          </cell>
          <cell r="H233">
            <v>57</v>
          </cell>
          <cell r="I233">
            <v>0</v>
          </cell>
        </row>
        <row r="234">
          <cell r="A234">
            <v>45003</v>
          </cell>
          <cell r="B234" t="str">
            <v>Baglung</v>
          </cell>
          <cell r="C234" t="str">
            <v>Bareng Gaunpalika</v>
          </cell>
          <cell r="D234">
            <v>108</v>
          </cell>
          <cell r="E234">
            <v>8.3076923076923084</v>
          </cell>
          <cell r="F234">
            <v>50</v>
          </cell>
          <cell r="G234">
            <v>0</v>
          </cell>
          <cell r="H234">
            <v>9.8181818181818183</v>
          </cell>
          <cell r="I234">
            <v>0</v>
          </cell>
        </row>
        <row r="235">
          <cell r="A235">
            <v>45004</v>
          </cell>
          <cell r="B235" t="str">
            <v>Baglung</v>
          </cell>
          <cell r="C235" t="str">
            <v>Dhorpatan Nagarpalika</v>
          </cell>
          <cell r="D235">
            <v>45</v>
          </cell>
          <cell r="E235">
            <v>3.4615384615384617</v>
          </cell>
          <cell r="F235">
            <v>51</v>
          </cell>
          <cell r="G235">
            <v>0</v>
          </cell>
          <cell r="H235">
            <v>4.0909090909090908</v>
          </cell>
          <cell r="I235">
            <v>0</v>
          </cell>
        </row>
        <row r="236">
          <cell r="A236">
            <v>45005</v>
          </cell>
          <cell r="B236" t="str">
            <v>Baglung</v>
          </cell>
          <cell r="C236" t="str">
            <v>Galkot Nagarpalika</v>
          </cell>
          <cell r="D236">
            <v>389</v>
          </cell>
          <cell r="E236">
            <v>29.923076923076923</v>
          </cell>
          <cell r="F236">
            <v>49</v>
          </cell>
          <cell r="G236">
            <v>0</v>
          </cell>
          <cell r="H236">
            <v>35.363636363636367</v>
          </cell>
          <cell r="I236">
            <v>0</v>
          </cell>
        </row>
        <row r="237">
          <cell r="A237">
            <v>45006</v>
          </cell>
          <cell r="B237" t="str">
            <v>Baglung</v>
          </cell>
          <cell r="C237" t="str">
            <v>Jaimuni Nagarpalika</v>
          </cell>
          <cell r="D237">
            <v>654</v>
          </cell>
          <cell r="E237">
            <v>50.307692307692307</v>
          </cell>
          <cell r="F237">
            <v>52</v>
          </cell>
          <cell r="G237">
            <v>0</v>
          </cell>
          <cell r="H237">
            <v>59.454545454545453</v>
          </cell>
          <cell r="I237">
            <v>0</v>
          </cell>
        </row>
        <row r="238">
          <cell r="A238">
            <v>45007</v>
          </cell>
          <cell r="B238" t="str">
            <v>Baglung</v>
          </cell>
          <cell r="C238" t="str">
            <v>Kanthekhola Gaunpalika</v>
          </cell>
          <cell r="D238">
            <v>283</v>
          </cell>
          <cell r="E238">
            <v>21.76923076923077</v>
          </cell>
          <cell r="F238">
            <v>26</v>
          </cell>
          <cell r="G238">
            <v>0</v>
          </cell>
          <cell r="H238">
            <v>25.727272727272727</v>
          </cell>
          <cell r="I238">
            <v>0</v>
          </cell>
        </row>
        <row r="239">
          <cell r="A239">
            <v>45008</v>
          </cell>
          <cell r="B239" t="str">
            <v>Baglung</v>
          </cell>
          <cell r="C239" t="str">
            <v>Nisikhola Gaunpalika</v>
          </cell>
          <cell r="D239">
            <v>11</v>
          </cell>
          <cell r="E239">
            <v>0.84615384615384615</v>
          </cell>
          <cell r="F239">
            <v>28</v>
          </cell>
          <cell r="G239">
            <v>0</v>
          </cell>
          <cell r="H239">
            <v>1</v>
          </cell>
          <cell r="I239">
            <v>0</v>
          </cell>
        </row>
        <row r="240">
          <cell r="A240">
            <v>45009</v>
          </cell>
          <cell r="B240" t="str">
            <v>Baglung</v>
          </cell>
          <cell r="C240" t="str">
            <v>Taman Khola Gaunpalika</v>
          </cell>
          <cell r="D240">
            <v>16</v>
          </cell>
          <cell r="E240">
            <v>1.2307692307692308</v>
          </cell>
          <cell r="F240">
            <v>25</v>
          </cell>
          <cell r="G240">
            <v>0</v>
          </cell>
          <cell r="H240">
            <v>1.4545454545454546</v>
          </cell>
          <cell r="I240">
            <v>0</v>
          </cell>
        </row>
        <row r="241">
          <cell r="A241">
            <v>45010</v>
          </cell>
          <cell r="B241" t="str">
            <v>Baglung</v>
          </cell>
          <cell r="C241" t="str">
            <v>Tara Khola Gaunpalika</v>
          </cell>
          <cell r="D241">
            <v>102</v>
          </cell>
          <cell r="E241">
            <v>7.8461538461538458</v>
          </cell>
          <cell r="F241">
            <v>25</v>
          </cell>
          <cell r="G241">
            <v>0</v>
          </cell>
          <cell r="H241">
            <v>9.2727272727272734</v>
          </cell>
          <cell r="I241">
            <v>0</v>
          </cell>
        </row>
        <row r="242">
          <cell r="A242">
            <v>46001</v>
          </cell>
          <cell r="B242" t="str">
            <v>Gulmi</v>
          </cell>
          <cell r="C242" t="str">
            <v>Chandrakot Gaunpalika</v>
          </cell>
          <cell r="D242">
            <v>239</v>
          </cell>
          <cell r="E242">
            <v>18.384615384615383</v>
          </cell>
          <cell r="F242">
            <v>0</v>
          </cell>
          <cell r="G242">
            <v>18.384615384615383</v>
          </cell>
          <cell r="H242">
            <v>21.727272727272727</v>
          </cell>
          <cell r="I242">
            <v>0</v>
          </cell>
        </row>
        <row r="243">
          <cell r="A243">
            <v>46002</v>
          </cell>
          <cell r="B243" t="str">
            <v>Gulmi</v>
          </cell>
          <cell r="C243" t="str">
            <v>Chatrakot Gaunpalika</v>
          </cell>
          <cell r="D243">
            <v>213</v>
          </cell>
          <cell r="E243">
            <v>16.384615384615383</v>
          </cell>
          <cell r="F243">
            <v>75</v>
          </cell>
          <cell r="G243">
            <v>0</v>
          </cell>
          <cell r="H243">
            <v>19.363636363636363</v>
          </cell>
          <cell r="I243">
            <v>0</v>
          </cell>
        </row>
        <row r="244">
          <cell r="A244">
            <v>46003</v>
          </cell>
          <cell r="B244" t="str">
            <v>Gulmi</v>
          </cell>
          <cell r="C244" t="str">
            <v>Dhurkot Gaunpalika</v>
          </cell>
          <cell r="D244">
            <v>492</v>
          </cell>
          <cell r="E244">
            <v>37.846153846153847</v>
          </cell>
          <cell r="F244">
            <v>0</v>
          </cell>
          <cell r="G244">
            <v>37.846153846153847</v>
          </cell>
          <cell r="H244">
            <v>44.727272727272727</v>
          </cell>
          <cell r="I244">
            <v>0</v>
          </cell>
        </row>
        <row r="245">
          <cell r="A245">
            <v>46004</v>
          </cell>
          <cell r="B245" t="str">
            <v>Gulmi</v>
          </cell>
          <cell r="C245" t="str">
            <v>Gulmidarbar Gaunpalika</v>
          </cell>
          <cell r="D245">
            <v>166</v>
          </cell>
          <cell r="E245">
            <v>12.76923076923077</v>
          </cell>
          <cell r="F245">
            <v>0</v>
          </cell>
          <cell r="G245">
            <v>12.76923076923077</v>
          </cell>
          <cell r="H245">
            <v>15.090909090909092</v>
          </cell>
          <cell r="I245">
            <v>0</v>
          </cell>
        </row>
        <row r="246">
          <cell r="A246">
            <v>46005</v>
          </cell>
          <cell r="B246" t="str">
            <v>Gulmi</v>
          </cell>
          <cell r="C246" t="str">
            <v>Isma Gaunpalika</v>
          </cell>
          <cell r="D246">
            <v>111</v>
          </cell>
          <cell r="E246">
            <v>8.5384615384615383</v>
          </cell>
          <cell r="F246">
            <v>0</v>
          </cell>
          <cell r="G246">
            <v>8.5384615384615383</v>
          </cell>
          <cell r="H246">
            <v>10.090909090909092</v>
          </cell>
          <cell r="I246">
            <v>0</v>
          </cell>
        </row>
        <row r="247">
          <cell r="A247">
            <v>46006</v>
          </cell>
          <cell r="B247" t="str">
            <v>Gulmi</v>
          </cell>
          <cell r="C247" t="str">
            <v>Kaligandaki Gaunpalika</v>
          </cell>
          <cell r="D247">
            <v>1071</v>
          </cell>
          <cell r="E247">
            <v>82.384615384615387</v>
          </cell>
          <cell r="F247">
            <v>0</v>
          </cell>
          <cell r="G247">
            <v>82.384615384615387</v>
          </cell>
          <cell r="H247">
            <v>97.36363636363636</v>
          </cell>
          <cell r="I247">
            <v>0</v>
          </cell>
        </row>
        <row r="248">
          <cell r="A248">
            <v>46007</v>
          </cell>
          <cell r="B248" t="str">
            <v>Gulmi</v>
          </cell>
          <cell r="C248" t="str">
            <v>Madane Gaunpalika</v>
          </cell>
          <cell r="D248">
            <v>158</v>
          </cell>
          <cell r="E248">
            <v>12.153846153846153</v>
          </cell>
          <cell r="F248">
            <v>0</v>
          </cell>
          <cell r="G248">
            <v>12.153846153846153</v>
          </cell>
          <cell r="H248">
            <v>14.363636363636363</v>
          </cell>
          <cell r="I248">
            <v>0</v>
          </cell>
        </row>
        <row r="249">
          <cell r="A249">
            <v>46008</v>
          </cell>
          <cell r="B249" t="str">
            <v>Gulmi</v>
          </cell>
          <cell r="C249" t="str">
            <v>Malika Gaunpalika</v>
          </cell>
          <cell r="D249">
            <v>77</v>
          </cell>
          <cell r="E249">
            <v>5.9230769230769234</v>
          </cell>
          <cell r="F249">
            <v>25</v>
          </cell>
          <cell r="G249">
            <v>0</v>
          </cell>
          <cell r="H249">
            <v>7</v>
          </cell>
          <cell r="I249">
            <v>0</v>
          </cell>
        </row>
        <row r="250">
          <cell r="A250">
            <v>46009</v>
          </cell>
          <cell r="B250" t="str">
            <v>Gulmi</v>
          </cell>
          <cell r="C250" t="str">
            <v>Musikot Nagarpalika</v>
          </cell>
          <cell r="D250">
            <v>754</v>
          </cell>
          <cell r="E250">
            <v>58</v>
          </cell>
          <cell r="F250">
            <v>0</v>
          </cell>
          <cell r="G250">
            <v>58</v>
          </cell>
          <cell r="H250">
            <v>68.545454545454547</v>
          </cell>
          <cell r="I250">
            <v>0</v>
          </cell>
        </row>
        <row r="251">
          <cell r="A251">
            <v>46010</v>
          </cell>
          <cell r="B251" t="str">
            <v>Gulmi</v>
          </cell>
          <cell r="C251" t="str">
            <v>Resunga Nagarpalika</v>
          </cell>
          <cell r="D251">
            <v>181</v>
          </cell>
          <cell r="E251">
            <v>13.923076923076923</v>
          </cell>
          <cell r="F251">
            <v>20</v>
          </cell>
          <cell r="G251">
            <v>0</v>
          </cell>
          <cell r="H251">
            <v>16.454545454545453</v>
          </cell>
          <cell r="I251">
            <v>0</v>
          </cell>
        </row>
        <row r="252">
          <cell r="A252">
            <v>46011</v>
          </cell>
          <cell r="B252" t="str">
            <v>Gulmi</v>
          </cell>
          <cell r="C252" t="str">
            <v>Ruru Gaunpalika</v>
          </cell>
          <cell r="D252">
            <v>289</v>
          </cell>
          <cell r="E252">
            <v>22.23076923076923</v>
          </cell>
          <cell r="F252">
            <v>0</v>
          </cell>
          <cell r="G252">
            <v>22.23076923076923</v>
          </cell>
          <cell r="H252">
            <v>26.272727272727273</v>
          </cell>
          <cell r="I252">
            <v>0</v>
          </cell>
        </row>
        <row r="253">
          <cell r="A253">
            <v>46012</v>
          </cell>
          <cell r="B253" t="str">
            <v>Gulmi</v>
          </cell>
          <cell r="C253" t="str">
            <v>Satyawati Gaunpalika</v>
          </cell>
          <cell r="D253">
            <v>454</v>
          </cell>
          <cell r="E253">
            <v>34.92307692307692</v>
          </cell>
          <cell r="F253">
            <v>0</v>
          </cell>
          <cell r="G253">
            <v>34.92307692307692</v>
          </cell>
          <cell r="H253">
            <v>41.272727272727273</v>
          </cell>
          <cell r="I253">
            <v>0</v>
          </cell>
        </row>
        <row r="254">
          <cell r="A254">
            <v>47001</v>
          </cell>
          <cell r="B254" t="str">
            <v>Palpa</v>
          </cell>
          <cell r="C254" t="str">
            <v>Bagnaskali Gaunpalika</v>
          </cell>
          <cell r="D254">
            <v>571</v>
          </cell>
          <cell r="E254">
            <v>43.92307692307692</v>
          </cell>
          <cell r="F254">
            <v>0</v>
          </cell>
          <cell r="G254">
            <v>43.92307692307692</v>
          </cell>
          <cell r="H254">
            <v>51.909090909090907</v>
          </cell>
          <cell r="I254">
            <v>0</v>
          </cell>
        </row>
        <row r="255">
          <cell r="A255">
            <v>47002</v>
          </cell>
          <cell r="B255" t="str">
            <v>Palpa</v>
          </cell>
          <cell r="C255" t="str">
            <v>Mathagadhi Gaunpalika</v>
          </cell>
          <cell r="D255">
            <v>604</v>
          </cell>
          <cell r="E255">
            <v>46.46153846153846</v>
          </cell>
          <cell r="F255">
            <v>91</v>
          </cell>
          <cell r="G255">
            <v>0</v>
          </cell>
          <cell r="H255">
            <v>54.909090909090907</v>
          </cell>
          <cell r="I255">
            <v>0</v>
          </cell>
        </row>
        <row r="256">
          <cell r="A256">
            <v>47003</v>
          </cell>
          <cell r="B256" t="str">
            <v>Palpa</v>
          </cell>
          <cell r="C256" t="str">
            <v>Nisdi Gaunpalika</v>
          </cell>
          <cell r="D256">
            <v>739</v>
          </cell>
          <cell r="E256">
            <v>56.846153846153847</v>
          </cell>
          <cell r="F256">
            <v>0</v>
          </cell>
          <cell r="G256">
            <v>56.846153846153847</v>
          </cell>
          <cell r="H256">
            <v>67.181818181818187</v>
          </cell>
          <cell r="I256">
            <v>0</v>
          </cell>
        </row>
        <row r="257">
          <cell r="A257">
            <v>47004</v>
          </cell>
          <cell r="B257" t="str">
            <v>Palpa</v>
          </cell>
          <cell r="C257" t="str">
            <v>Purbakhola Gaunpalika</v>
          </cell>
          <cell r="D257">
            <v>247</v>
          </cell>
          <cell r="E257">
            <v>19</v>
          </cell>
          <cell r="F257">
            <v>0</v>
          </cell>
          <cell r="G257">
            <v>19</v>
          </cell>
          <cell r="H257">
            <v>22.454545454545453</v>
          </cell>
          <cell r="I257">
            <v>0</v>
          </cell>
        </row>
        <row r="258">
          <cell r="A258">
            <v>47005</v>
          </cell>
          <cell r="B258" t="str">
            <v>Palpa</v>
          </cell>
          <cell r="C258" t="str">
            <v>Rainadevi Chhahara Gaunpalika</v>
          </cell>
          <cell r="D258">
            <v>351</v>
          </cell>
          <cell r="E258">
            <v>27</v>
          </cell>
          <cell r="F258">
            <v>0</v>
          </cell>
          <cell r="G258">
            <v>27</v>
          </cell>
          <cell r="H258">
            <v>31.90909090909091</v>
          </cell>
          <cell r="I258">
            <v>0</v>
          </cell>
        </row>
        <row r="259">
          <cell r="A259">
            <v>47006</v>
          </cell>
          <cell r="B259" t="str">
            <v>Palpa</v>
          </cell>
          <cell r="C259" t="str">
            <v>Rambha Gaunpalika</v>
          </cell>
          <cell r="D259">
            <v>293</v>
          </cell>
          <cell r="E259">
            <v>22.53846153846154</v>
          </cell>
          <cell r="F259">
            <v>0</v>
          </cell>
          <cell r="G259">
            <v>22.53846153846154</v>
          </cell>
          <cell r="H259">
            <v>26.636363636363637</v>
          </cell>
          <cell r="I259">
            <v>0</v>
          </cell>
        </row>
        <row r="260">
          <cell r="A260">
            <v>47007</v>
          </cell>
          <cell r="B260" t="str">
            <v>Palpa</v>
          </cell>
          <cell r="C260" t="str">
            <v>Rampur Nagarpalika</v>
          </cell>
          <cell r="D260">
            <v>345</v>
          </cell>
          <cell r="E260">
            <v>26.53846153846154</v>
          </cell>
          <cell r="F260">
            <v>0</v>
          </cell>
          <cell r="G260">
            <v>26.53846153846154</v>
          </cell>
          <cell r="H260">
            <v>31.363636363636363</v>
          </cell>
          <cell r="I260">
            <v>0</v>
          </cell>
        </row>
        <row r="261">
          <cell r="A261">
            <v>47008</v>
          </cell>
          <cell r="B261" t="str">
            <v>Palpa</v>
          </cell>
          <cell r="C261" t="str">
            <v>Ribdikot Gaunpalika</v>
          </cell>
          <cell r="D261">
            <v>691</v>
          </cell>
          <cell r="E261">
            <v>53.153846153846153</v>
          </cell>
          <cell r="F261">
            <v>0</v>
          </cell>
          <cell r="G261">
            <v>53.153846153846153</v>
          </cell>
          <cell r="H261">
            <v>62.81818181818182</v>
          </cell>
          <cell r="I261">
            <v>0</v>
          </cell>
        </row>
        <row r="262">
          <cell r="A262">
            <v>47009</v>
          </cell>
          <cell r="B262" t="str">
            <v>Palpa</v>
          </cell>
          <cell r="C262" t="str">
            <v>Tansen Nagarpalika</v>
          </cell>
          <cell r="D262">
            <v>520</v>
          </cell>
          <cell r="E262">
            <v>40</v>
          </cell>
          <cell r="F262">
            <v>0</v>
          </cell>
          <cell r="G262">
            <v>40</v>
          </cell>
          <cell r="H262">
            <v>47.272727272727273</v>
          </cell>
          <cell r="I262">
            <v>0</v>
          </cell>
        </row>
        <row r="263">
          <cell r="A263">
            <v>47010</v>
          </cell>
          <cell r="B263" t="str">
            <v>Palpa</v>
          </cell>
          <cell r="C263" t="str">
            <v>Tinau Gaunpalika</v>
          </cell>
          <cell r="D263">
            <v>326</v>
          </cell>
          <cell r="E263">
            <v>25.076923076923077</v>
          </cell>
          <cell r="F263">
            <v>0</v>
          </cell>
          <cell r="G263">
            <v>25.076923076923077</v>
          </cell>
          <cell r="H263">
            <v>29.636363636363637</v>
          </cell>
          <cell r="I263">
            <v>0</v>
          </cell>
        </row>
        <row r="264">
          <cell r="A264">
            <v>48001</v>
          </cell>
          <cell r="B264" t="str">
            <v>Nawalparasi</v>
          </cell>
          <cell r="C264" t="str">
            <v>Bardaghat Nagarpalika</v>
          </cell>
          <cell r="D264">
            <v>4</v>
          </cell>
          <cell r="E264">
            <v>1</v>
          </cell>
          <cell r="F264">
            <v>0</v>
          </cell>
          <cell r="G264">
            <v>1</v>
          </cell>
          <cell r="H264">
            <v>1</v>
          </cell>
          <cell r="I264">
            <v>0</v>
          </cell>
        </row>
        <row r="265">
          <cell r="A265">
            <v>48002</v>
          </cell>
          <cell r="B265" t="str">
            <v>Nawalparasi</v>
          </cell>
          <cell r="C265" t="str">
            <v>Binayee Tribeni Gaunpalika</v>
          </cell>
          <cell r="D265">
            <v>66</v>
          </cell>
          <cell r="E265">
            <v>5.0769230769230766</v>
          </cell>
          <cell r="F265">
            <v>0</v>
          </cell>
          <cell r="G265">
            <v>5.0769230769230766</v>
          </cell>
          <cell r="H265">
            <v>6</v>
          </cell>
          <cell r="I265">
            <v>0</v>
          </cell>
        </row>
        <row r="266">
          <cell r="A266">
            <v>48003</v>
          </cell>
          <cell r="B266" t="str">
            <v>Nawalparasi</v>
          </cell>
          <cell r="C266" t="str">
            <v>Bulingtar Gaunpalika</v>
          </cell>
          <cell r="D266">
            <v>264</v>
          </cell>
          <cell r="E266">
            <v>20.307692307692307</v>
          </cell>
          <cell r="F266">
            <v>0</v>
          </cell>
          <cell r="G266">
            <v>20.307692307692307</v>
          </cell>
          <cell r="H266">
            <v>24</v>
          </cell>
          <cell r="I266">
            <v>0</v>
          </cell>
        </row>
        <row r="267">
          <cell r="A267">
            <v>48004</v>
          </cell>
          <cell r="B267" t="str">
            <v>Nawalparasi</v>
          </cell>
          <cell r="C267" t="str">
            <v>Bungdikali Gaunpalika</v>
          </cell>
          <cell r="D267">
            <v>72</v>
          </cell>
          <cell r="E267">
            <v>5.5384615384615383</v>
          </cell>
          <cell r="F267">
            <v>0</v>
          </cell>
          <cell r="G267">
            <v>5.5384615384615383</v>
          </cell>
          <cell r="H267">
            <v>6.5454545454545459</v>
          </cell>
          <cell r="I267">
            <v>0</v>
          </cell>
        </row>
        <row r="268">
          <cell r="A268">
            <v>48005</v>
          </cell>
          <cell r="B268" t="str">
            <v>Nawalparasi</v>
          </cell>
          <cell r="C268" t="str">
            <v>Devchuli Nagarpalika</v>
          </cell>
          <cell r="D268">
            <v>177</v>
          </cell>
          <cell r="E268">
            <v>13.615384615384615</v>
          </cell>
          <cell r="F268">
            <v>0</v>
          </cell>
          <cell r="G268">
            <v>13.615384615384615</v>
          </cell>
          <cell r="H268">
            <v>16.09090909090909</v>
          </cell>
          <cell r="I268">
            <v>0</v>
          </cell>
        </row>
        <row r="269">
          <cell r="A269">
            <v>48006</v>
          </cell>
          <cell r="B269" t="str">
            <v>Nawalparasi</v>
          </cell>
          <cell r="C269" t="str">
            <v>Gaidakot Nagarpalika</v>
          </cell>
          <cell r="D269">
            <v>49</v>
          </cell>
          <cell r="E269">
            <v>3.7692307692307692</v>
          </cell>
          <cell r="F269">
            <v>0</v>
          </cell>
          <cell r="G269">
            <v>3.7692307692307692</v>
          </cell>
          <cell r="H269">
            <v>4.4545454545454541</v>
          </cell>
          <cell r="I269">
            <v>0</v>
          </cell>
        </row>
        <row r="270">
          <cell r="A270">
            <v>48007</v>
          </cell>
          <cell r="B270" t="str">
            <v>Nawalparasi</v>
          </cell>
          <cell r="C270" t="str">
            <v>Hupsekot Gaunpalika</v>
          </cell>
          <cell r="D270">
            <v>139</v>
          </cell>
          <cell r="E270">
            <v>10.692307692307692</v>
          </cell>
          <cell r="F270">
            <v>0</v>
          </cell>
          <cell r="G270">
            <v>10.692307692307692</v>
          </cell>
          <cell r="H270">
            <v>12.636363636363637</v>
          </cell>
          <cell r="I270">
            <v>0</v>
          </cell>
        </row>
        <row r="271">
          <cell r="A271">
            <v>48008</v>
          </cell>
          <cell r="B271" t="str">
            <v>Nawalparasi</v>
          </cell>
          <cell r="C271" t="str">
            <v>Kawasoti Nagarpalika</v>
          </cell>
          <cell r="D271">
            <v>4</v>
          </cell>
          <cell r="E271">
            <v>1</v>
          </cell>
          <cell r="F271">
            <v>0</v>
          </cell>
          <cell r="G271">
            <v>1</v>
          </cell>
          <cell r="H271">
            <v>1</v>
          </cell>
          <cell r="I271">
            <v>0</v>
          </cell>
        </row>
        <row r="272">
          <cell r="A272">
            <v>48009</v>
          </cell>
          <cell r="B272" t="str">
            <v>Nawalparasi</v>
          </cell>
          <cell r="C272" t="str">
            <v>Madhyabindu Nagarpalika</v>
          </cell>
          <cell r="D272">
            <v>85</v>
          </cell>
          <cell r="E272">
            <v>6.5384615384615383</v>
          </cell>
          <cell r="F272">
            <v>0</v>
          </cell>
          <cell r="G272">
            <v>6.5384615384615383</v>
          </cell>
          <cell r="H272">
            <v>7.7272727272727275</v>
          </cell>
          <cell r="I272">
            <v>0</v>
          </cell>
        </row>
        <row r="273">
          <cell r="A273">
            <v>48020</v>
          </cell>
          <cell r="B273" t="str">
            <v>Nawalparasi</v>
          </cell>
          <cell r="C273" t="str">
            <v>Palhi Nandan Gaunpalika</v>
          </cell>
          <cell r="D273">
            <v>4</v>
          </cell>
          <cell r="E273">
            <v>1</v>
          </cell>
          <cell r="F273">
            <v>0</v>
          </cell>
          <cell r="G273">
            <v>1</v>
          </cell>
          <cell r="H273">
            <v>1</v>
          </cell>
          <cell r="I273">
            <v>0</v>
          </cell>
        </row>
        <row r="274">
          <cell r="A274">
            <v>48030</v>
          </cell>
          <cell r="B274" t="str">
            <v>Nawalparasi</v>
          </cell>
          <cell r="C274" t="str">
            <v>Pratappur Gaunpalika</v>
          </cell>
          <cell r="D274">
            <v>3</v>
          </cell>
          <cell r="E274">
            <v>1</v>
          </cell>
          <cell r="F274">
            <v>0</v>
          </cell>
          <cell r="G274">
            <v>1</v>
          </cell>
          <cell r="H274">
            <v>1</v>
          </cell>
          <cell r="I274">
            <v>0</v>
          </cell>
        </row>
        <row r="275">
          <cell r="A275">
            <v>48012</v>
          </cell>
          <cell r="B275" t="str">
            <v>Nawalparasi</v>
          </cell>
          <cell r="C275" t="str">
            <v>Ramgram Nagarpalika</v>
          </cell>
          <cell r="D275">
            <v>1</v>
          </cell>
          <cell r="E275">
            <v>1</v>
          </cell>
          <cell r="F275">
            <v>0</v>
          </cell>
          <cell r="G275">
            <v>1</v>
          </cell>
          <cell r="H275">
            <v>1</v>
          </cell>
          <cell r="I275">
            <v>0</v>
          </cell>
        </row>
        <row r="276">
          <cell r="A276">
            <v>48050</v>
          </cell>
          <cell r="B276" t="str">
            <v>Nawalparasi</v>
          </cell>
          <cell r="C276" t="str">
            <v>Sarawal Gaunpalika</v>
          </cell>
          <cell r="D276">
            <v>4</v>
          </cell>
          <cell r="E276">
            <v>1</v>
          </cell>
          <cell r="F276">
            <v>0</v>
          </cell>
          <cell r="G276">
            <v>1</v>
          </cell>
          <cell r="H276">
            <v>1</v>
          </cell>
          <cell r="I276">
            <v>0</v>
          </cell>
        </row>
        <row r="277">
          <cell r="A277">
            <v>48060</v>
          </cell>
          <cell r="B277" t="str">
            <v>Nawalparasi</v>
          </cell>
          <cell r="C277" t="str">
            <v>Sunwal Nagarpalika</v>
          </cell>
          <cell r="D277">
            <v>2</v>
          </cell>
          <cell r="E277">
            <v>1</v>
          </cell>
          <cell r="F277">
            <v>0</v>
          </cell>
          <cell r="G277">
            <v>1</v>
          </cell>
          <cell r="H277">
            <v>1</v>
          </cell>
          <cell r="I277">
            <v>0</v>
          </cell>
        </row>
        <row r="278">
          <cell r="A278">
            <v>48070</v>
          </cell>
          <cell r="B278" t="str">
            <v>Nawalparasi</v>
          </cell>
          <cell r="C278" t="str">
            <v>Susta Gaunpalika</v>
          </cell>
          <cell r="D278">
            <v>2</v>
          </cell>
          <cell r="E278">
            <v>1</v>
          </cell>
          <cell r="F278">
            <v>0</v>
          </cell>
          <cell r="G278">
            <v>1</v>
          </cell>
          <cell r="H278">
            <v>1</v>
          </cell>
          <cell r="I278">
            <v>0</v>
          </cell>
        </row>
        <row r="279">
          <cell r="A279">
            <v>51001</v>
          </cell>
          <cell r="B279" t="str">
            <v>Arghakhanchi</v>
          </cell>
          <cell r="C279" t="str">
            <v>Bhumekasthan Nagarpalika</v>
          </cell>
          <cell r="D279">
            <v>148</v>
          </cell>
          <cell r="E279">
            <v>11.384615384615385</v>
          </cell>
          <cell r="F279">
            <v>100</v>
          </cell>
          <cell r="G279">
            <v>0</v>
          </cell>
          <cell r="H279">
            <v>13.454545454545455</v>
          </cell>
          <cell r="I279">
            <v>0</v>
          </cell>
        </row>
        <row r="280">
          <cell r="A280">
            <v>51002</v>
          </cell>
          <cell r="B280" t="str">
            <v>Arghakhanchi</v>
          </cell>
          <cell r="C280" t="str">
            <v>Chhatradev Gaunpalika</v>
          </cell>
          <cell r="D280">
            <v>199</v>
          </cell>
          <cell r="E280">
            <v>15.307692307692308</v>
          </cell>
          <cell r="F280">
            <v>50</v>
          </cell>
          <cell r="G280">
            <v>0</v>
          </cell>
          <cell r="H280">
            <v>18.09090909090909</v>
          </cell>
          <cell r="I280">
            <v>0</v>
          </cell>
        </row>
        <row r="281">
          <cell r="A281">
            <v>51003</v>
          </cell>
          <cell r="B281" t="str">
            <v>Arghakhanchi</v>
          </cell>
          <cell r="C281" t="str">
            <v>Malarani Gaunpalika</v>
          </cell>
          <cell r="D281">
            <v>245</v>
          </cell>
          <cell r="E281">
            <v>18.846153846153847</v>
          </cell>
          <cell r="F281">
            <v>50</v>
          </cell>
          <cell r="G281">
            <v>0</v>
          </cell>
          <cell r="H281">
            <v>22.272727272727273</v>
          </cell>
          <cell r="I281">
            <v>0</v>
          </cell>
        </row>
        <row r="282">
          <cell r="A282">
            <v>51004</v>
          </cell>
          <cell r="B282" t="str">
            <v>Arghakhanchi</v>
          </cell>
          <cell r="C282" t="str">
            <v>Panini Gaunpalika</v>
          </cell>
          <cell r="D282">
            <v>241</v>
          </cell>
          <cell r="E282">
            <v>18.53846153846154</v>
          </cell>
          <cell r="F282">
            <v>100</v>
          </cell>
          <cell r="G282">
            <v>0</v>
          </cell>
          <cell r="H282">
            <v>21.90909090909091</v>
          </cell>
          <cell r="I282">
            <v>0</v>
          </cell>
        </row>
        <row r="283">
          <cell r="A283">
            <v>51005</v>
          </cell>
          <cell r="B283" t="str">
            <v>Arghakhanchi</v>
          </cell>
          <cell r="C283" t="str">
            <v>Sandhikharka Nagarpalika</v>
          </cell>
          <cell r="D283">
            <v>65</v>
          </cell>
          <cell r="E283">
            <v>5</v>
          </cell>
          <cell r="F283">
            <v>100</v>
          </cell>
          <cell r="G283">
            <v>0</v>
          </cell>
          <cell r="H283">
            <v>5.9090909090909092</v>
          </cell>
          <cell r="I283">
            <v>0</v>
          </cell>
        </row>
        <row r="284">
          <cell r="A284">
            <v>51006</v>
          </cell>
          <cell r="B284" t="str">
            <v>Arghakhanchi</v>
          </cell>
          <cell r="C284" t="str">
            <v>Sitganga Nagarpalika</v>
          </cell>
          <cell r="D284">
            <v>139</v>
          </cell>
          <cell r="E284">
            <v>10.692307692307692</v>
          </cell>
          <cell r="F284">
            <v>50</v>
          </cell>
          <cell r="G284">
            <v>0</v>
          </cell>
          <cell r="H284">
            <v>12.636363636363637</v>
          </cell>
          <cell r="I284">
            <v>0</v>
          </cell>
        </row>
      </sheetData>
      <sheetData sheetId="4"/>
      <sheetData sheetId="5">
        <row r="1">
          <cell r="D1" t="str">
            <v>PalikaCode</v>
          </cell>
          <cell r="E1" t="str">
            <v>Dis_Nep</v>
          </cell>
          <cell r="F1" t="str">
            <v>GPNP_Nep</v>
          </cell>
        </row>
        <row r="2">
          <cell r="D2">
            <v>7001</v>
          </cell>
          <cell r="E2" t="str">
            <v>धनकुटा</v>
          </cell>
          <cell r="F2" t="str">
            <v>चौबीसे गाउँपालिका</v>
          </cell>
        </row>
        <row r="3">
          <cell r="D3">
            <v>7002</v>
          </cell>
          <cell r="E3" t="str">
            <v>धनकुटा</v>
          </cell>
          <cell r="F3" t="str">
            <v>चथर जोरपाटी गाउँपालिका</v>
          </cell>
        </row>
        <row r="4">
          <cell r="D4">
            <v>7003</v>
          </cell>
          <cell r="E4" t="str">
            <v>धनकुटा</v>
          </cell>
          <cell r="F4" t="str">
            <v>धनकुटा नगरपालिका</v>
          </cell>
        </row>
        <row r="5">
          <cell r="D5">
            <v>7004</v>
          </cell>
          <cell r="E5" t="str">
            <v>धनकुटा</v>
          </cell>
          <cell r="F5" t="str">
            <v>खाल्सा छिन्तांङ शहिदभूमि गाउँपलिका</v>
          </cell>
        </row>
        <row r="6">
          <cell r="D6">
            <v>7005</v>
          </cell>
          <cell r="E6" t="str">
            <v>धनकुटा</v>
          </cell>
          <cell r="F6" t="str">
            <v>महालक्ष्मि नगरपालिका</v>
          </cell>
        </row>
        <row r="7">
          <cell r="D7">
            <v>7006</v>
          </cell>
          <cell r="E7" t="str">
            <v>धनकुटा</v>
          </cell>
          <cell r="F7" t="str">
            <v>पाख्रिबास नगरपालिका</v>
          </cell>
        </row>
        <row r="8">
          <cell r="D8">
            <v>7007</v>
          </cell>
          <cell r="E8" t="str">
            <v>धनकुटा</v>
          </cell>
          <cell r="F8" t="str">
            <v>सांगुरीगढी गाउँपालिका</v>
          </cell>
        </row>
        <row r="9">
          <cell r="D9">
            <v>9001</v>
          </cell>
          <cell r="E9" t="str">
            <v>संखवासभा</v>
          </cell>
          <cell r="F9" t="str">
            <v>भोटखोला गाउँपालिका</v>
          </cell>
        </row>
        <row r="10">
          <cell r="D10">
            <v>9002</v>
          </cell>
          <cell r="E10" t="str">
            <v>संखवासभा</v>
          </cell>
          <cell r="F10" t="str">
            <v>चैनपुर नगरपालिका</v>
          </cell>
        </row>
        <row r="11">
          <cell r="D11">
            <v>9003</v>
          </cell>
          <cell r="E11" t="str">
            <v>संखवासभा</v>
          </cell>
          <cell r="F11" t="str">
            <v>चिचिला गाउँपालिका</v>
          </cell>
        </row>
        <row r="12">
          <cell r="D12">
            <v>9004</v>
          </cell>
          <cell r="E12" t="str">
            <v>संखवासभा</v>
          </cell>
          <cell r="F12" t="str">
            <v>धर्मदेवी नगरपालिका</v>
          </cell>
        </row>
        <row r="13">
          <cell r="D13">
            <v>9005</v>
          </cell>
          <cell r="E13" t="str">
            <v>संखवासभा</v>
          </cell>
          <cell r="F13" t="str">
            <v>खाँदबारी नगरपालिका</v>
          </cell>
        </row>
        <row r="14">
          <cell r="D14">
            <v>9006</v>
          </cell>
          <cell r="E14" t="str">
            <v>संखवासभा</v>
          </cell>
          <cell r="F14" t="str">
            <v>मादी नगरपालिका</v>
          </cell>
        </row>
        <row r="15">
          <cell r="D15">
            <v>9007</v>
          </cell>
          <cell r="E15" t="str">
            <v>संखवासभा</v>
          </cell>
          <cell r="F15" t="str">
            <v>मकालु नगरपालिका</v>
          </cell>
        </row>
        <row r="16">
          <cell r="D16">
            <v>9008</v>
          </cell>
          <cell r="E16" t="str">
            <v>संखवासभा</v>
          </cell>
          <cell r="F16" t="str">
            <v>पाँचखापन नगरपालिका</v>
          </cell>
        </row>
        <row r="17">
          <cell r="D17">
            <v>9009</v>
          </cell>
          <cell r="E17" t="str">
            <v>संखवासभा</v>
          </cell>
          <cell r="F17" t="str">
            <v>सभापोखरी गाउँपालिका</v>
          </cell>
        </row>
        <row r="18">
          <cell r="D18">
            <v>9010</v>
          </cell>
          <cell r="E18" t="str">
            <v>संखवासभा</v>
          </cell>
          <cell r="F18" t="str">
            <v>सिलिचोंङ गाउँपालिका</v>
          </cell>
        </row>
        <row r="19">
          <cell r="D19">
            <v>10001</v>
          </cell>
          <cell r="E19" t="str">
            <v>भोजपुर</v>
          </cell>
          <cell r="F19" t="str">
            <v xml:space="preserve">आमचोक गाउपालिका </v>
          </cell>
        </row>
        <row r="20">
          <cell r="D20">
            <v>10002</v>
          </cell>
          <cell r="E20" t="str">
            <v>भोजपुर</v>
          </cell>
          <cell r="F20" t="str">
            <v>अरूण गाउँपालिका</v>
          </cell>
        </row>
        <row r="21">
          <cell r="D21">
            <v>10003</v>
          </cell>
          <cell r="E21" t="str">
            <v>भोजपुर</v>
          </cell>
          <cell r="F21" t="str">
            <v>भोजपुर नगरपालिका</v>
          </cell>
        </row>
        <row r="22">
          <cell r="D22">
            <v>10004</v>
          </cell>
          <cell r="E22" t="str">
            <v>भोजपुर</v>
          </cell>
          <cell r="F22" t="str">
            <v>हटुवागढी गाउँपालिका</v>
          </cell>
        </row>
        <row r="23">
          <cell r="D23">
            <v>10005</v>
          </cell>
          <cell r="E23" t="str">
            <v>भोजपुर</v>
          </cell>
          <cell r="F23" t="str">
            <v>पौवाढुंगामा गाउँपालिका</v>
          </cell>
        </row>
        <row r="24">
          <cell r="D24">
            <v>10006</v>
          </cell>
          <cell r="E24" t="str">
            <v>भोजपुर</v>
          </cell>
          <cell r="F24" t="str">
            <v>रामप्रसादराई गाउँपालिका</v>
          </cell>
        </row>
        <row r="25">
          <cell r="D25">
            <v>10007</v>
          </cell>
          <cell r="E25" t="str">
            <v>भोजपुर</v>
          </cell>
          <cell r="F25" t="str">
            <v>साल्पासिलिचो गाउँपालिका</v>
          </cell>
        </row>
        <row r="26">
          <cell r="D26">
            <v>10008</v>
          </cell>
          <cell r="E26" t="str">
            <v>भोजपुर</v>
          </cell>
          <cell r="F26" t="str">
            <v>सदानन्द नगरपालिका</v>
          </cell>
        </row>
        <row r="27">
          <cell r="D27">
            <v>10009</v>
          </cell>
          <cell r="E27" t="str">
            <v>भोजपुर</v>
          </cell>
          <cell r="F27" t="str">
            <v>त्यामकेमायुंङ गाउपालिका</v>
          </cell>
        </row>
        <row r="28">
          <cell r="D28">
            <v>11001</v>
          </cell>
          <cell r="E28" t="str">
            <v>सोलुखुम्बु</v>
          </cell>
          <cell r="F28" t="str">
            <v>दुधकौशिका गाउँपालिका</v>
          </cell>
        </row>
        <row r="29">
          <cell r="D29">
            <v>11002</v>
          </cell>
          <cell r="E29" t="str">
            <v>सोलुखुम्बु</v>
          </cell>
          <cell r="F29" t="str">
            <v>दुधकोसी गाउँपालिका</v>
          </cell>
        </row>
        <row r="30">
          <cell r="D30">
            <v>11003</v>
          </cell>
          <cell r="E30" t="str">
            <v>सोलुखुम्बु</v>
          </cell>
          <cell r="F30" t="str">
            <v>खुम्बुपासांङल्हामु गाउँपालिका</v>
          </cell>
        </row>
        <row r="31">
          <cell r="D31">
            <v>11004</v>
          </cell>
          <cell r="E31" t="str">
            <v>सोलुखुम्बु</v>
          </cell>
          <cell r="F31" t="str">
            <v>लिखुपिके गाउँपालिका</v>
          </cell>
        </row>
        <row r="32">
          <cell r="D32">
            <v>11005</v>
          </cell>
          <cell r="E32" t="str">
            <v>सोलुखुम्बु</v>
          </cell>
          <cell r="F32" t="str">
            <v>महाकुलुंङ गाउँपालिका</v>
          </cell>
        </row>
        <row r="33">
          <cell r="D33">
            <v>11006</v>
          </cell>
          <cell r="E33" t="str">
            <v>सोलुखुम्बु</v>
          </cell>
          <cell r="F33" t="str">
            <v>नेचासल्यान गाउँपालिका</v>
          </cell>
        </row>
        <row r="34">
          <cell r="D34">
            <v>11007</v>
          </cell>
          <cell r="E34" t="str">
            <v>सोलुखुम्बु</v>
          </cell>
          <cell r="F34" t="str">
            <v>सोलुदुधकुण्ड नगरपालिका</v>
          </cell>
        </row>
        <row r="35">
          <cell r="D35">
            <v>11008</v>
          </cell>
          <cell r="E35" t="str">
            <v>सोलुखुम्बु</v>
          </cell>
          <cell r="F35" t="str">
            <v>सोतांङ गाउँपालिका</v>
          </cell>
        </row>
        <row r="36">
          <cell r="D36">
            <v>12001</v>
          </cell>
          <cell r="E36" t="str">
            <v>ओखलढूंगा</v>
          </cell>
          <cell r="F36" t="str">
            <v>चम्पादेवी गाउँपालिका</v>
          </cell>
        </row>
        <row r="37">
          <cell r="D37">
            <v>12002</v>
          </cell>
          <cell r="E37" t="str">
            <v>ओखलढूंगा</v>
          </cell>
          <cell r="F37" t="str">
            <v>चिसांखुगढी गाउँपालिका</v>
          </cell>
        </row>
        <row r="38">
          <cell r="D38">
            <v>12003</v>
          </cell>
          <cell r="E38" t="str">
            <v>ओखलढूंगा</v>
          </cell>
          <cell r="F38" t="str">
            <v>खिजिदेम्बा गाउँपालिका</v>
          </cell>
        </row>
        <row r="39">
          <cell r="D39">
            <v>12004</v>
          </cell>
          <cell r="E39" t="str">
            <v>ओखलढूंगा</v>
          </cell>
          <cell r="F39" t="str">
            <v xml:space="preserve">लिखु गाउँपालिका </v>
          </cell>
        </row>
        <row r="40">
          <cell r="D40">
            <v>12005</v>
          </cell>
          <cell r="E40" t="str">
            <v>ओखलढूंगा</v>
          </cell>
          <cell r="F40" t="str">
            <v>मानेभञ्ज्यांङ गाउँपालिका</v>
          </cell>
        </row>
        <row r="41">
          <cell r="D41">
            <v>12006</v>
          </cell>
          <cell r="E41" t="str">
            <v>ओखलढूंगा</v>
          </cell>
          <cell r="F41" t="str">
            <v>मोलुंङ गाउँपालिका</v>
          </cell>
        </row>
        <row r="42">
          <cell r="D42">
            <v>12007</v>
          </cell>
          <cell r="E42" t="str">
            <v>ओखलढूंगा</v>
          </cell>
          <cell r="F42" t="str">
            <v>सिद्दिचरण नगरपालिका</v>
          </cell>
        </row>
        <row r="43">
          <cell r="D43">
            <v>12008</v>
          </cell>
          <cell r="E43" t="str">
            <v>ओखलढूंगा</v>
          </cell>
          <cell r="F43" t="str">
            <v>सुनकोशी गाउँपालिका</v>
          </cell>
        </row>
        <row r="44">
          <cell r="D44">
            <v>13001</v>
          </cell>
          <cell r="E44" t="str">
            <v>खोटांङ</v>
          </cell>
          <cell r="F44" t="str">
            <v>ऐसेलुखर्क गाऊँपालिका</v>
          </cell>
        </row>
        <row r="45">
          <cell r="D45">
            <v>13002</v>
          </cell>
          <cell r="E45" t="str">
            <v>खोटांङ</v>
          </cell>
          <cell r="F45" t="str">
            <v>बाराहपोखरी गाऊँपालिका</v>
          </cell>
        </row>
        <row r="46">
          <cell r="D46">
            <v>13003</v>
          </cell>
          <cell r="E46" t="str">
            <v>खोटांङ</v>
          </cell>
          <cell r="F46" t="str">
            <v>दिपरुंङ गाऊपालिका</v>
          </cell>
        </row>
        <row r="47">
          <cell r="D47">
            <v>13004</v>
          </cell>
          <cell r="E47" t="str">
            <v>खोटांङ</v>
          </cell>
          <cell r="F47" t="str">
            <v>हलेसी तुवाचुंङ नगरपलिका</v>
          </cell>
        </row>
        <row r="48">
          <cell r="D48">
            <v>13005</v>
          </cell>
          <cell r="E48" t="str">
            <v>खोटांङ</v>
          </cell>
          <cell r="F48" t="str">
            <v>जानतेनढूंगा गाऊपालिका</v>
          </cell>
        </row>
        <row r="49">
          <cell r="D49">
            <v>13006</v>
          </cell>
          <cell r="E49" t="str">
            <v>खोटांङ</v>
          </cell>
          <cell r="F49" t="str">
            <v>केपिलासागढी गाऊपालिका</v>
          </cell>
        </row>
        <row r="50">
          <cell r="D50">
            <v>13007</v>
          </cell>
          <cell r="E50" t="str">
            <v>खोटांङ</v>
          </cell>
          <cell r="F50" t="str">
            <v>खोटेहांङ गाऊपालिका</v>
          </cell>
        </row>
        <row r="51">
          <cell r="D51">
            <v>13008</v>
          </cell>
          <cell r="E51" t="str">
            <v>खोटांङ</v>
          </cell>
          <cell r="F51" t="str">
            <v>लामीडाँडा गाउँपालिका</v>
          </cell>
        </row>
        <row r="52">
          <cell r="D52">
            <v>13009</v>
          </cell>
          <cell r="E52" t="str">
            <v>खोटांङ</v>
          </cell>
          <cell r="F52" t="str">
            <v>रुपाकोट नगरपालिका</v>
          </cell>
        </row>
        <row r="53">
          <cell r="D53">
            <v>13010</v>
          </cell>
          <cell r="E53" t="str">
            <v>खोटांङ</v>
          </cell>
          <cell r="F53" t="str">
            <v xml:space="preserve">साकेला गाउँपालिका </v>
          </cell>
        </row>
        <row r="54">
          <cell r="D54">
            <v>20001</v>
          </cell>
          <cell r="E54" t="str">
            <v>सिन्धुली</v>
          </cell>
          <cell r="F54" t="str">
            <v>दुधौली नगरपालिका</v>
          </cell>
        </row>
        <row r="55">
          <cell r="D55">
            <v>20002</v>
          </cell>
          <cell r="E55" t="str">
            <v>सिन्धुली</v>
          </cell>
          <cell r="F55" t="str">
            <v>घांङलेख गाउँपालिका</v>
          </cell>
        </row>
        <row r="56">
          <cell r="D56">
            <v>20003</v>
          </cell>
          <cell r="E56" t="str">
            <v>सिन्धुली</v>
          </cell>
          <cell r="F56" t="str">
            <v>गोलान्जोर गाऊँपालिका</v>
          </cell>
        </row>
        <row r="57">
          <cell r="D57">
            <v>20004</v>
          </cell>
          <cell r="E57" t="str">
            <v>सिन्धुली</v>
          </cell>
          <cell r="F57" t="str">
            <v>हरिहरपुरगढी गाउँपालिका</v>
          </cell>
        </row>
        <row r="58">
          <cell r="D58">
            <v>20005</v>
          </cell>
          <cell r="E58" t="str">
            <v>सिन्धुली</v>
          </cell>
          <cell r="F58" t="str">
            <v>कमलामाई गाउँपालिका</v>
          </cell>
        </row>
        <row r="59">
          <cell r="D59">
            <v>20006</v>
          </cell>
          <cell r="E59" t="str">
            <v>सिन्धुली</v>
          </cell>
          <cell r="F59" t="str">
            <v>मरिण गाउँपालिका</v>
          </cell>
        </row>
        <row r="60">
          <cell r="D60">
            <v>20007</v>
          </cell>
          <cell r="E60" t="str">
            <v>सिन्धुली</v>
          </cell>
          <cell r="F60" t="str">
            <v>फिक्कल गाउँपालिका</v>
          </cell>
        </row>
        <row r="61">
          <cell r="D61">
            <v>20008</v>
          </cell>
          <cell r="E61" t="str">
            <v>सिन्धुली</v>
          </cell>
          <cell r="F61" t="str">
            <v>सुनकोशी गाउँपालिका</v>
          </cell>
        </row>
        <row r="62">
          <cell r="D62">
            <v>20009</v>
          </cell>
          <cell r="E62" t="str">
            <v>सिन्धुली</v>
          </cell>
          <cell r="F62" t="str">
            <v>तीनपाटन गाउँपालिका</v>
          </cell>
        </row>
        <row r="63">
          <cell r="D63">
            <v>21001</v>
          </cell>
          <cell r="E63" t="str">
            <v>रामेछाप</v>
          </cell>
          <cell r="F63" t="str">
            <v>दोरम्बा गाउँपालिका</v>
          </cell>
        </row>
        <row r="64">
          <cell r="D64">
            <v>21002</v>
          </cell>
          <cell r="E64" t="str">
            <v>रामेछाप</v>
          </cell>
          <cell r="F64" t="str">
            <v>गोकुलगंगा गाउँपालिका</v>
          </cell>
        </row>
        <row r="65">
          <cell r="D65">
            <v>21003</v>
          </cell>
          <cell r="E65" t="str">
            <v>रामेछाप</v>
          </cell>
          <cell r="F65" t="str">
            <v>खाँडादेवी गाउँपालिका</v>
          </cell>
        </row>
        <row r="66">
          <cell r="D66">
            <v>21004</v>
          </cell>
          <cell r="E66" t="str">
            <v>रामेछाप</v>
          </cell>
          <cell r="F66" t="str">
            <v xml:space="preserve">लिखु गाउँपालिका </v>
          </cell>
        </row>
        <row r="67">
          <cell r="D67">
            <v>21005</v>
          </cell>
          <cell r="E67" t="str">
            <v>रामेछाप</v>
          </cell>
          <cell r="F67" t="str">
            <v>मन्थली नगरपालिका</v>
          </cell>
        </row>
        <row r="68">
          <cell r="D68">
            <v>21006</v>
          </cell>
          <cell r="E68" t="str">
            <v>रामेछाप</v>
          </cell>
          <cell r="F68" t="str">
            <v>रामेछाप नगरपालिका</v>
          </cell>
        </row>
        <row r="69">
          <cell r="D69">
            <v>21007</v>
          </cell>
          <cell r="E69" t="str">
            <v>रामेछाप</v>
          </cell>
          <cell r="F69" t="str">
            <v>सुनापति गाउँपालिका</v>
          </cell>
        </row>
        <row r="70">
          <cell r="D70">
            <v>21008</v>
          </cell>
          <cell r="E70" t="str">
            <v>रामेछाप</v>
          </cell>
          <cell r="F70" t="str">
            <v>उमाकुण्ड गाउँपालिका</v>
          </cell>
        </row>
        <row r="71">
          <cell r="D71">
            <v>22001</v>
          </cell>
          <cell r="E71" t="str">
            <v>दोलखा</v>
          </cell>
          <cell r="F71" t="str">
            <v>बैतेश्वर गाउँपालिका</v>
          </cell>
        </row>
        <row r="72">
          <cell r="D72">
            <v>22002</v>
          </cell>
          <cell r="E72" t="str">
            <v>दोलखा</v>
          </cell>
          <cell r="F72" t="str">
            <v>भिमेश्वर गाउँपालिका</v>
          </cell>
        </row>
        <row r="73">
          <cell r="D73">
            <v>22003</v>
          </cell>
          <cell r="E73" t="str">
            <v>दोलखा</v>
          </cell>
          <cell r="F73" t="str">
            <v>बिगु गाउँपालिका</v>
          </cell>
        </row>
        <row r="74">
          <cell r="D74">
            <v>22004</v>
          </cell>
          <cell r="E74" t="str">
            <v>दोलखा</v>
          </cell>
          <cell r="F74" t="str">
            <v>गौरीशंकर गाउँपालिका</v>
          </cell>
        </row>
        <row r="75">
          <cell r="D75">
            <v>22005</v>
          </cell>
          <cell r="E75" t="str">
            <v>दोलखा</v>
          </cell>
          <cell r="F75" t="str">
            <v>जिरी नगरपालिका</v>
          </cell>
        </row>
        <row r="76">
          <cell r="D76">
            <v>22006</v>
          </cell>
          <cell r="E76" t="str">
            <v>दोलखा</v>
          </cell>
          <cell r="F76" t="str">
            <v>कालिन्चोक गाउँपालिका</v>
          </cell>
        </row>
        <row r="77">
          <cell r="D77">
            <v>22007</v>
          </cell>
          <cell r="E77" t="str">
            <v>दोलखा</v>
          </cell>
          <cell r="F77" t="str">
            <v>मेलुंङ गाउँपालिका</v>
          </cell>
        </row>
        <row r="78">
          <cell r="D78">
            <v>22008</v>
          </cell>
          <cell r="E78" t="str">
            <v>दोलखा</v>
          </cell>
          <cell r="F78" t="str">
            <v>शैलुंग गाउँपालिका</v>
          </cell>
        </row>
        <row r="79">
          <cell r="D79">
            <v>22009</v>
          </cell>
          <cell r="E79" t="str">
            <v>दोलखा</v>
          </cell>
          <cell r="F79" t="str">
            <v>तामाकोशी गाउँपालिका</v>
          </cell>
        </row>
        <row r="80">
          <cell r="D80">
            <v>23001</v>
          </cell>
          <cell r="E80" t="str">
            <v>सिन्धुपाल्चोक</v>
          </cell>
          <cell r="F80" t="str">
            <v>बलेफि  गाउँपालिका</v>
          </cell>
        </row>
        <row r="81">
          <cell r="D81">
            <v>23002</v>
          </cell>
          <cell r="E81" t="str">
            <v>सिन्धुपाल्चोक</v>
          </cell>
          <cell r="F81" t="str">
            <v>बाह्रबिसे नगरपालिका</v>
          </cell>
        </row>
        <row r="82">
          <cell r="D82">
            <v>23003</v>
          </cell>
          <cell r="E82" t="str">
            <v>सिन्धुपाल्चोक</v>
          </cell>
          <cell r="F82" t="str">
            <v>भोटेकोशी गाउँपालिका</v>
          </cell>
        </row>
        <row r="83">
          <cell r="D83">
            <v>23004</v>
          </cell>
          <cell r="E83" t="str">
            <v>सिन्धुपाल्चोक</v>
          </cell>
          <cell r="F83" t="str">
            <v>चौतारा सांगाचोकगढी नगरपालिका</v>
          </cell>
        </row>
        <row r="84">
          <cell r="D84">
            <v>23005</v>
          </cell>
          <cell r="E84" t="str">
            <v>सिन्धुपाल्चोक</v>
          </cell>
          <cell r="F84" t="str">
            <v>हेलम्बु गाउँपालिका</v>
          </cell>
        </row>
        <row r="85">
          <cell r="D85">
            <v>23006</v>
          </cell>
          <cell r="E85" t="str">
            <v>सिन्धुपाल्चोक</v>
          </cell>
          <cell r="F85" t="str">
            <v>ईन्द्रावती गाउँपालिका</v>
          </cell>
        </row>
        <row r="86">
          <cell r="D86">
            <v>23007</v>
          </cell>
          <cell r="E86" t="str">
            <v>सिन्धुपाल्चोक</v>
          </cell>
          <cell r="F86" t="str">
            <v>जुगल गाउँपालिका</v>
          </cell>
        </row>
        <row r="87">
          <cell r="D87">
            <v>23008</v>
          </cell>
          <cell r="E87" t="str">
            <v>सिन्धुपाल्चोक</v>
          </cell>
          <cell r="F87" t="str">
            <v>लिसांखु पाखर गाउँपालिका</v>
          </cell>
        </row>
        <row r="88">
          <cell r="D88">
            <v>23009</v>
          </cell>
          <cell r="E88" t="str">
            <v>सिन्धुपाल्चोक</v>
          </cell>
          <cell r="F88" t="str">
            <v>मेलम्चि नगरपालिका</v>
          </cell>
        </row>
        <row r="89">
          <cell r="D89">
            <v>23010</v>
          </cell>
          <cell r="E89" t="str">
            <v>सिन्धुपाल्चोक</v>
          </cell>
          <cell r="F89" t="str">
            <v>पाँचपोखरी थांगपाल गाउँपालिका</v>
          </cell>
        </row>
        <row r="90">
          <cell r="D90">
            <v>23011</v>
          </cell>
          <cell r="E90" t="str">
            <v>सिन्धुपाल्चोक</v>
          </cell>
          <cell r="F90" t="str">
            <v>सुनकोसी गाउँपालिका</v>
          </cell>
        </row>
        <row r="91">
          <cell r="D91">
            <v>23012</v>
          </cell>
          <cell r="E91" t="str">
            <v>सिन्धुपाल्चोक</v>
          </cell>
          <cell r="F91" t="str">
            <v>त्रिपुरा सुन्दरी गाउँपालिका</v>
          </cell>
        </row>
        <row r="92">
          <cell r="D92">
            <v>24001</v>
          </cell>
          <cell r="E92" t="str">
            <v>काभ्रेपलाञ्चोक</v>
          </cell>
          <cell r="F92" t="str">
            <v>बनेपा नगरपालिका</v>
          </cell>
        </row>
        <row r="93">
          <cell r="D93">
            <v>24002</v>
          </cell>
          <cell r="E93" t="str">
            <v>काभ्रेपलाञ्चोक</v>
          </cell>
          <cell r="F93" t="str">
            <v>बेथानचोक गाऊँपालिका</v>
          </cell>
        </row>
        <row r="94">
          <cell r="D94">
            <v>24003</v>
          </cell>
          <cell r="E94" t="str">
            <v>काभ्रेपलाञ्चोक</v>
          </cell>
          <cell r="F94" t="str">
            <v>भुम्लु गाऊँपालिका</v>
          </cell>
        </row>
        <row r="95">
          <cell r="D95">
            <v>24004</v>
          </cell>
          <cell r="E95" t="str">
            <v>काभ्रेपलाञ्चोक</v>
          </cell>
          <cell r="F95" t="str">
            <v>चौरीदेउराली गाउँपालिका</v>
          </cell>
        </row>
        <row r="96">
          <cell r="D96">
            <v>24005</v>
          </cell>
          <cell r="E96" t="str">
            <v>काभ्रेपलाञ्चोक</v>
          </cell>
          <cell r="F96" t="str">
            <v>धुलीखेल नगरपालिका</v>
          </cell>
        </row>
        <row r="97">
          <cell r="D97">
            <v>24006</v>
          </cell>
          <cell r="E97" t="str">
            <v>काभ्रेपलाञ्चोक</v>
          </cell>
          <cell r="F97" t="str">
            <v>खानीखोला नगरपलिका</v>
          </cell>
        </row>
        <row r="98">
          <cell r="D98">
            <v>24007</v>
          </cell>
          <cell r="E98" t="str">
            <v>काभ्रेपलाञ्चोक</v>
          </cell>
          <cell r="F98" t="str">
            <v>महाभारत गाऊँपालिका</v>
          </cell>
        </row>
        <row r="99">
          <cell r="D99">
            <v>24008</v>
          </cell>
          <cell r="E99" t="str">
            <v>काभ्रेपलाञ्चोक</v>
          </cell>
          <cell r="F99" t="str">
            <v>मदनदेउपुर नगरपालिका</v>
          </cell>
        </row>
        <row r="100">
          <cell r="D100">
            <v>24009</v>
          </cell>
          <cell r="E100" t="str">
            <v>काभ्रेपलाञ्चोक</v>
          </cell>
          <cell r="F100" t="str">
            <v>नमोबुद्ध नगरपालिका</v>
          </cell>
        </row>
        <row r="101">
          <cell r="D101">
            <v>24010</v>
          </cell>
          <cell r="E101" t="str">
            <v>काभ्रेपलाञ्चोक</v>
          </cell>
          <cell r="F101" t="str">
            <v>पनौतीबिहार नगरपालिका</v>
          </cell>
        </row>
        <row r="102">
          <cell r="D102">
            <v>24011</v>
          </cell>
          <cell r="E102" t="str">
            <v>काभ्रेपलाञ्चोक</v>
          </cell>
          <cell r="F102" t="str">
            <v>पाँचखाल नगरपालिका</v>
          </cell>
        </row>
        <row r="103">
          <cell r="D103">
            <v>24012</v>
          </cell>
          <cell r="E103" t="str">
            <v>काभ्रेपलाञ्चोक</v>
          </cell>
          <cell r="F103" t="str">
            <v>रोसी गाउँपालिका</v>
          </cell>
        </row>
        <row r="104">
          <cell r="D104">
            <v>24013</v>
          </cell>
          <cell r="E104" t="str">
            <v>काभ्रेपलाञ्चोक</v>
          </cell>
          <cell r="F104" t="str">
            <v>तिमाल गाऊँपालिका</v>
          </cell>
        </row>
        <row r="105">
          <cell r="D105">
            <v>25001</v>
          </cell>
          <cell r="E105" t="str">
            <v>ललितपुर</v>
          </cell>
          <cell r="F105" t="str">
            <v>बाग्मती गाउँपालिका</v>
          </cell>
        </row>
        <row r="106">
          <cell r="D106">
            <v>25002</v>
          </cell>
          <cell r="E106" t="str">
            <v>ललितपुर</v>
          </cell>
          <cell r="F106" t="str">
            <v>गोदावरी नगरपालिका</v>
          </cell>
        </row>
        <row r="107">
          <cell r="D107">
            <v>25003</v>
          </cell>
          <cell r="E107" t="str">
            <v>ललितपुर</v>
          </cell>
          <cell r="F107" t="str">
            <v>कोन्ज्योसोम गाउपालिका</v>
          </cell>
        </row>
        <row r="108">
          <cell r="D108">
            <v>25004</v>
          </cell>
          <cell r="E108" t="str">
            <v>ललितपुर</v>
          </cell>
          <cell r="F108" t="str">
            <v>ललितपुर महानगरपालिका</v>
          </cell>
        </row>
        <row r="109">
          <cell r="D109">
            <v>25005</v>
          </cell>
          <cell r="E109" t="str">
            <v>ललितपुर</v>
          </cell>
          <cell r="F109" t="str">
            <v>महालक्ष्मि नगरपालिका</v>
          </cell>
        </row>
        <row r="110">
          <cell r="D110">
            <v>25006</v>
          </cell>
          <cell r="E110" t="str">
            <v>ललितपुर</v>
          </cell>
          <cell r="F110" t="str">
            <v>महाकाल गाउँपालिका</v>
          </cell>
        </row>
        <row r="111">
          <cell r="D111">
            <v>26001</v>
          </cell>
          <cell r="E111" t="str">
            <v>भक्तपुर</v>
          </cell>
          <cell r="F111" t="str">
            <v>भक्तपुर नगरपालिका</v>
          </cell>
        </row>
        <row r="112">
          <cell r="D112">
            <v>26002</v>
          </cell>
          <cell r="E112" t="str">
            <v>भक्तपुर</v>
          </cell>
          <cell r="F112" t="str">
            <v>चाँगुनारायण नगरपालिका</v>
          </cell>
        </row>
        <row r="113">
          <cell r="D113">
            <v>26003</v>
          </cell>
          <cell r="E113" t="str">
            <v>भक्तपुर</v>
          </cell>
          <cell r="F113" t="str">
            <v>मध्यपुर ठीमि नगरपालिका</v>
          </cell>
        </row>
        <row r="114">
          <cell r="D114">
            <v>26004</v>
          </cell>
          <cell r="E114" t="str">
            <v>भक्तपुर</v>
          </cell>
          <cell r="F114" t="str">
            <v>सुर्यविनायक नगरपालिका</v>
          </cell>
        </row>
        <row r="115">
          <cell r="D115">
            <v>27001</v>
          </cell>
          <cell r="E115" t="str">
            <v>काठमाण्डौ</v>
          </cell>
          <cell r="F115" t="str">
            <v>बुढानीलकण्ढ नगरपलिका</v>
          </cell>
        </row>
        <row r="116">
          <cell r="D116">
            <v>27002</v>
          </cell>
          <cell r="E116" t="str">
            <v>काठमाण्डौ</v>
          </cell>
          <cell r="F116" t="str">
            <v>चन्द्रगीरी नगरपालिका</v>
          </cell>
        </row>
        <row r="117">
          <cell r="D117">
            <v>27003</v>
          </cell>
          <cell r="E117" t="str">
            <v>काठमाण्डौ</v>
          </cell>
          <cell r="F117" t="str">
            <v>दक्षिणकाली नगरपलिका</v>
          </cell>
        </row>
        <row r="118">
          <cell r="D118">
            <v>27004</v>
          </cell>
          <cell r="E118" t="str">
            <v>काठमाण्डौ</v>
          </cell>
          <cell r="F118" t="str">
            <v>गोकर्णेश्वर नगरपलिका</v>
          </cell>
        </row>
        <row r="119">
          <cell r="D119">
            <v>27005</v>
          </cell>
          <cell r="E119" t="str">
            <v>काठमाण्डौ</v>
          </cell>
          <cell r="F119" t="str">
            <v>कागेश्वरी मनोहरा नगरपालिका</v>
          </cell>
        </row>
        <row r="120">
          <cell r="D120">
            <v>27006</v>
          </cell>
          <cell r="E120" t="str">
            <v>काठमाण्डौ</v>
          </cell>
          <cell r="F120" t="str">
            <v>काठमाण्डौ महानगरपालिका</v>
          </cell>
        </row>
        <row r="121">
          <cell r="D121">
            <v>27007</v>
          </cell>
          <cell r="E121" t="str">
            <v>काठमाण्डौ</v>
          </cell>
          <cell r="F121" t="str">
            <v>किर्तिपुर नगरपालिका</v>
          </cell>
        </row>
        <row r="122">
          <cell r="D122">
            <v>27008</v>
          </cell>
          <cell r="E122" t="str">
            <v>काठमाण्डौ</v>
          </cell>
          <cell r="F122" t="str">
            <v>नागार्जुन  नगरपालिका</v>
          </cell>
        </row>
        <row r="123">
          <cell r="D123">
            <v>27009</v>
          </cell>
          <cell r="E123" t="str">
            <v>काठमाण्डौ</v>
          </cell>
          <cell r="F123" t="str">
            <v>शंकरपुर नगरपालिका</v>
          </cell>
        </row>
        <row r="124">
          <cell r="D124">
            <v>27010</v>
          </cell>
          <cell r="E124" t="str">
            <v>काठमाण्डौ</v>
          </cell>
          <cell r="F124" t="str">
            <v>तारकेश्वर नगरपालिका</v>
          </cell>
        </row>
        <row r="125">
          <cell r="D125">
            <v>27011</v>
          </cell>
          <cell r="E125" t="str">
            <v>काठमाण्डौ</v>
          </cell>
          <cell r="F125" t="str">
            <v>टोखा नगरपालिका</v>
          </cell>
        </row>
        <row r="126">
          <cell r="D126">
            <v>28001</v>
          </cell>
          <cell r="E126" t="str">
            <v>नुवाकोट</v>
          </cell>
          <cell r="F126" t="str">
            <v>बेलकोटगढी नगरपालिका</v>
          </cell>
        </row>
        <row r="127">
          <cell r="D127">
            <v>28002</v>
          </cell>
          <cell r="E127" t="str">
            <v>नुवाकोट</v>
          </cell>
          <cell r="F127" t="str">
            <v>बिदुर नगरपालिका</v>
          </cell>
        </row>
        <row r="128">
          <cell r="D128">
            <v>28003</v>
          </cell>
          <cell r="E128" t="str">
            <v>नुवाकोट</v>
          </cell>
          <cell r="F128" t="str">
            <v>दुप्चेश्वर गाउपालिका</v>
          </cell>
        </row>
        <row r="129">
          <cell r="D129">
            <v>28004</v>
          </cell>
          <cell r="E129" t="str">
            <v>नुवाकोट</v>
          </cell>
          <cell r="F129" t="str">
            <v>ककनी गाउँपलिका</v>
          </cell>
        </row>
        <row r="130">
          <cell r="D130">
            <v>28005</v>
          </cell>
          <cell r="E130" t="str">
            <v>नुवाकोट</v>
          </cell>
          <cell r="F130" t="str">
            <v>किसपांङ गाउँपालिका</v>
          </cell>
        </row>
        <row r="131">
          <cell r="D131">
            <v>28006</v>
          </cell>
          <cell r="E131" t="str">
            <v>नुवाकोट</v>
          </cell>
          <cell r="F131" t="str">
            <v xml:space="preserve">लिखु गाउँपालिका </v>
          </cell>
        </row>
        <row r="132">
          <cell r="D132">
            <v>28007</v>
          </cell>
          <cell r="E132" t="str">
            <v>नुवाकोट</v>
          </cell>
          <cell r="F132" t="str">
            <v>मेघांङ गाउँपालिका</v>
          </cell>
        </row>
        <row r="133">
          <cell r="D133">
            <v>28008</v>
          </cell>
          <cell r="E133" t="str">
            <v>नुवाकोट</v>
          </cell>
          <cell r="F133" t="str">
            <v>पंचकन्या गाउँपालिका</v>
          </cell>
        </row>
        <row r="134">
          <cell r="D134">
            <v>28009</v>
          </cell>
          <cell r="E134" t="str">
            <v>नुवाकोट</v>
          </cell>
          <cell r="F134" t="str">
            <v>शिवपुरी गाउँपालिका</v>
          </cell>
        </row>
        <row r="135">
          <cell r="D135">
            <v>28010</v>
          </cell>
          <cell r="E135" t="str">
            <v>नुवाकोट</v>
          </cell>
          <cell r="F135" t="str">
            <v>टाडी गाउँपालिका</v>
          </cell>
        </row>
        <row r="136">
          <cell r="D136">
            <v>28011</v>
          </cell>
          <cell r="E136" t="str">
            <v>नुवाकोट</v>
          </cell>
          <cell r="F136" t="str">
            <v>सुर्यगढी गाउँपालिका</v>
          </cell>
        </row>
        <row r="137">
          <cell r="D137">
            <v>28012</v>
          </cell>
          <cell r="E137" t="str">
            <v>नुवाकोट</v>
          </cell>
          <cell r="F137" t="str">
            <v>तारकेश्वर गाउँपालिका</v>
          </cell>
        </row>
        <row r="138">
          <cell r="D138">
            <v>29001</v>
          </cell>
          <cell r="E138" t="str">
            <v>रसुवा</v>
          </cell>
          <cell r="F138" t="str">
            <v>गोसाईकुण्ड गाउँपालिका</v>
          </cell>
        </row>
        <row r="139">
          <cell r="D139">
            <v>29002</v>
          </cell>
          <cell r="E139" t="str">
            <v>रसुवा</v>
          </cell>
          <cell r="F139" t="str">
            <v>कालिका गाउँपालिका</v>
          </cell>
        </row>
        <row r="140">
          <cell r="D140">
            <v>29003</v>
          </cell>
          <cell r="E140" t="str">
            <v>रसुवा</v>
          </cell>
          <cell r="F140" t="str">
            <v>नाउकुण्ड गाउँपालिका</v>
          </cell>
        </row>
        <row r="141">
          <cell r="D141">
            <v>29004</v>
          </cell>
          <cell r="E141" t="str">
            <v>रसुवा</v>
          </cell>
          <cell r="F141" t="str">
            <v>आमाछोदिङमो गाउँपालिका</v>
          </cell>
        </row>
        <row r="142">
          <cell r="D142">
            <v>29005</v>
          </cell>
          <cell r="E142" t="str">
            <v>रसुवा</v>
          </cell>
          <cell r="F142" t="str">
            <v>उत्तरगया गाउँपालिका</v>
          </cell>
        </row>
        <row r="143">
          <cell r="D143">
            <v>30001</v>
          </cell>
          <cell r="E143" t="str">
            <v>धादिंङ</v>
          </cell>
          <cell r="F143" t="str">
            <v>बेनीघाट रोरांग गाउँपालिका</v>
          </cell>
        </row>
        <row r="144">
          <cell r="D144">
            <v>30002</v>
          </cell>
          <cell r="E144" t="str">
            <v>धादिंङ</v>
          </cell>
          <cell r="F144" t="str">
            <v>धुनीबेसी नगरपालिका</v>
          </cell>
        </row>
        <row r="145">
          <cell r="D145">
            <v>30003</v>
          </cell>
          <cell r="E145" t="str">
            <v>धादिंङ</v>
          </cell>
          <cell r="F145" t="str">
            <v>गजुरी गाऊँपालिका</v>
          </cell>
        </row>
        <row r="146">
          <cell r="D146">
            <v>30004</v>
          </cell>
          <cell r="E146" t="str">
            <v>धादिंङ</v>
          </cell>
          <cell r="F146" t="str">
            <v>गल्छी गाउँपालिका</v>
          </cell>
        </row>
        <row r="147">
          <cell r="D147">
            <v>30005</v>
          </cell>
          <cell r="E147" t="str">
            <v>धादिंङ</v>
          </cell>
          <cell r="F147" t="str">
            <v>गंगाजमुना गाउँपालिका</v>
          </cell>
        </row>
        <row r="148">
          <cell r="D148">
            <v>30006</v>
          </cell>
          <cell r="E148" t="str">
            <v>धादिंङ</v>
          </cell>
          <cell r="F148" t="str">
            <v>ज्वालामुखी गाँपालिका</v>
          </cell>
        </row>
        <row r="149">
          <cell r="D149">
            <v>30007</v>
          </cell>
          <cell r="E149" t="str">
            <v>धादिंङ</v>
          </cell>
          <cell r="F149" t="str">
            <v>खनियाबास गाउँपालिका</v>
          </cell>
        </row>
        <row r="150">
          <cell r="D150">
            <v>30008</v>
          </cell>
          <cell r="E150" t="str">
            <v>धादिंङ</v>
          </cell>
          <cell r="F150" t="str">
            <v>नेत्रावाती गाउँपालिका</v>
          </cell>
        </row>
        <row r="151">
          <cell r="D151">
            <v>30009</v>
          </cell>
          <cell r="E151" t="str">
            <v>धादिंङ</v>
          </cell>
          <cell r="F151" t="str">
            <v>निलकण्ठ नगरपालिका</v>
          </cell>
        </row>
        <row r="152">
          <cell r="D152">
            <v>30010</v>
          </cell>
          <cell r="E152" t="str">
            <v>धादिंङ</v>
          </cell>
          <cell r="F152" t="str">
            <v>रुबी उपत्यका गाउँपालिका</v>
          </cell>
        </row>
        <row r="153">
          <cell r="D153">
            <v>30011</v>
          </cell>
          <cell r="E153" t="str">
            <v>धादिंङ</v>
          </cell>
          <cell r="F153" t="str">
            <v>सिद्धलेख गाउँपालिका</v>
          </cell>
        </row>
        <row r="154">
          <cell r="D154">
            <v>30012</v>
          </cell>
          <cell r="E154" t="str">
            <v>धादिंङ</v>
          </cell>
          <cell r="F154" t="str">
            <v>थाक्रे गाउँपालिका</v>
          </cell>
        </row>
        <row r="155">
          <cell r="D155">
            <v>30013</v>
          </cell>
          <cell r="E155" t="str">
            <v>धादिंङ</v>
          </cell>
          <cell r="F155" t="str">
            <v>त्रिपुरा सुन्दरी गाउँपालिका</v>
          </cell>
        </row>
        <row r="156">
          <cell r="D156">
            <v>31001</v>
          </cell>
          <cell r="E156" t="str">
            <v>मकवानपुर</v>
          </cell>
          <cell r="F156" t="str">
            <v>बागमति गाऊपालिका</v>
          </cell>
        </row>
        <row r="157">
          <cell r="D157">
            <v>31002</v>
          </cell>
          <cell r="E157" t="str">
            <v>मकवानपुर</v>
          </cell>
          <cell r="F157" t="str">
            <v>बकैया गाउँपालिका</v>
          </cell>
        </row>
        <row r="158">
          <cell r="D158">
            <v>31003</v>
          </cell>
          <cell r="E158" t="str">
            <v>मकवानपुर</v>
          </cell>
          <cell r="F158" t="str">
            <v>भिमफेदी गाउँपालिका</v>
          </cell>
        </row>
        <row r="159">
          <cell r="D159">
            <v>31004</v>
          </cell>
          <cell r="E159" t="str">
            <v>मकवानपुर</v>
          </cell>
          <cell r="F159" t="str">
            <v>हेटौडा उपमहानगरपालिका</v>
          </cell>
        </row>
        <row r="160">
          <cell r="D160">
            <v>31005</v>
          </cell>
          <cell r="E160" t="str">
            <v>मकवानपुर</v>
          </cell>
          <cell r="F160" t="str">
            <v>ईन्द्रसरोवर गाउँपालिका</v>
          </cell>
        </row>
        <row r="161">
          <cell r="D161">
            <v>31006</v>
          </cell>
          <cell r="E161" t="str">
            <v>मकवानपुर</v>
          </cell>
          <cell r="F161" t="str">
            <v>कैलाश गाँपालिका</v>
          </cell>
        </row>
        <row r="162">
          <cell r="D162">
            <v>31007</v>
          </cell>
          <cell r="E162" t="str">
            <v>मकवानपुर</v>
          </cell>
          <cell r="F162" t="str">
            <v>मकवानपुरगढी गाउँपालिका</v>
          </cell>
        </row>
        <row r="163">
          <cell r="D163">
            <v>31008</v>
          </cell>
          <cell r="E163" t="str">
            <v>मकवानपुर</v>
          </cell>
          <cell r="F163" t="str">
            <v>मनहरी गाउँपालिका</v>
          </cell>
        </row>
        <row r="164">
          <cell r="D164">
            <v>31009</v>
          </cell>
          <cell r="E164" t="str">
            <v>मकवानपुर</v>
          </cell>
          <cell r="F164" t="str">
            <v>राक्सिरांङ गाउँपालिका</v>
          </cell>
        </row>
        <row r="165">
          <cell r="D165">
            <v>31010</v>
          </cell>
          <cell r="E165" t="str">
            <v>मकवानपुर</v>
          </cell>
          <cell r="F165" t="str">
            <v>थाहा नगरपालिका</v>
          </cell>
        </row>
        <row r="166">
          <cell r="D166">
            <v>35001</v>
          </cell>
          <cell r="E166" t="str">
            <v>चितवन</v>
          </cell>
          <cell r="F166" t="str">
            <v>भरतपुर महानगरपालिका</v>
          </cell>
        </row>
        <row r="167">
          <cell r="D167">
            <v>35002</v>
          </cell>
          <cell r="E167" t="str">
            <v>चितवन</v>
          </cell>
          <cell r="F167" t="str">
            <v>ईच्छाकामना गाउँपालिका</v>
          </cell>
        </row>
        <row r="168">
          <cell r="D168">
            <v>35003</v>
          </cell>
          <cell r="E168" t="str">
            <v>चितवन</v>
          </cell>
          <cell r="F168" t="str">
            <v>कालिका नगरपालिका</v>
          </cell>
        </row>
        <row r="169">
          <cell r="D169">
            <v>35004</v>
          </cell>
          <cell r="E169" t="str">
            <v>चितवन</v>
          </cell>
          <cell r="F169" t="str">
            <v>खैरहनी नगरपालिका</v>
          </cell>
        </row>
        <row r="170">
          <cell r="D170">
            <v>35005</v>
          </cell>
          <cell r="E170" t="str">
            <v>चितवन</v>
          </cell>
          <cell r="F170" t="str">
            <v>मादी नगरपालिका</v>
          </cell>
        </row>
        <row r="171">
          <cell r="D171">
            <v>35006</v>
          </cell>
          <cell r="E171" t="str">
            <v>चितवन</v>
          </cell>
          <cell r="F171" t="str">
            <v>राप्ति नगरपालिका</v>
          </cell>
        </row>
        <row r="172">
          <cell r="D172">
            <v>35007</v>
          </cell>
          <cell r="E172" t="str">
            <v>चितवन</v>
          </cell>
          <cell r="F172" t="str">
            <v>रत्ननगर नगरपालिका</v>
          </cell>
        </row>
        <row r="173">
          <cell r="D173">
            <v>36001</v>
          </cell>
          <cell r="E173" t="str">
            <v>गोर्खा</v>
          </cell>
          <cell r="F173" t="str">
            <v>आरूघाट गाउँपालिका</v>
          </cell>
        </row>
        <row r="174">
          <cell r="D174">
            <v>36002</v>
          </cell>
          <cell r="E174" t="str">
            <v>गोर्खा</v>
          </cell>
          <cell r="F174" t="str">
            <v>अजिरकोट गाउँपालिका</v>
          </cell>
        </row>
        <row r="175">
          <cell r="D175">
            <v>36003</v>
          </cell>
          <cell r="E175" t="str">
            <v>गोर्खा</v>
          </cell>
          <cell r="F175" t="str">
            <v>भिमसेन गाउँपालिका</v>
          </cell>
        </row>
        <row r="176">
          <cell r="D176">
            <v>36004</v>
          </cell>
          <cell r="E176" t="str">
            <v>गोर्खा</v>
          </cell>
          <cell r="F176" t="str">
            <v>चुमनुब्रि गाउँपालिका</v>
          </cell>
        </row>
        <row r="177">
          <cell r="D177">
            <v>36005</v>
          </cell>
          <cell r="E177" t="str">
            <v>गोर्खा</v>
          </cell>
          <cell r="F177" t="str">
            <v>धार्चे गाउँपालिका</v>
          </cell>
        </row>
        <row r="178">
          <cell r="D178">
            <v>36006</v>
          </cell>
          <cell r="E178" t="str">
            <v>गोर्खा</v>
          </cell>
          <cell r="F178" t="str">
            <v>गण्डकी गाउँपालिका</v>
          </cell>
        </row>
        <row r="179">
          <cell r="D179">
            <v>36007</v>
          </cell>
          <cell r="E179" t="str">
            <v>गोर्खा</v>
          </cell>
          <cell r="F179" t="str">
            <v>गोर्खा नगरपालिका</v>
          </cell>
        </row>
        <row r="180">
          <cell r="D180">
            <v>36008</v>
          </cell>
          <cell r="E180" t="str">
            <v>गोर्खा</v>
          </cell>
          <cell r="F180" t="str">
            <v>पालुंगटार नगरपालिका</v>
          </cell>
        </row>
        <row r="181">
          <cell r="D181">
            <v>36009</v>
          </cell>
          <cell r="E181" t="str">
            <v>गोर्खा</v>
          </cell>
          <cell r="F181" t="str">
            <v>शहीद लखन गाऊँपालिका</v>
          </cell>
        </row>
        <row r="182">
          <cell r="D182">
            <v>36010</v>
          </cell>
          <cell r="E182" t="str">
            <v>गोर्खा</v>
          </cell>
          <cell r="F182" t="str">
            <v>सिरानचोक गाउँपालिका</v>
          </cell>
        </row>
        <row r="183">
          <cell r="D183">
            <v>36011</v>
          </cell>
          <cell r="E183" t="str">
            <v>गोर्खा</v>
          </cell>
          <cell r="F183" t="str">
            <v>सुलिकोट गाऊपालिका</v>
          </cell>
        </row>
        <row r="184">
          <cell r="D184">
            <v>37001</v>
          </cell>
          <cell r="E184" t="str">
            <v>लमजुंङ</v>
          </cell>
          <cell r="F184" t="str">
            <v>बेसिशहर नगरपालिका</v>
          </cell>
        </row>
        <row r="185">
          <cell r="D185">
            <v>37002</v>
          </cell>
          <cell r="E185" t="str">
            <v>लमजुंङ</v>
          </cell>
          <cell r="F185" t="str">
            <v>दोर्दि गाउँपालिका</v>
          </cell>
        </row>
        <row r="186">
          <cell r="D186">
            <v>37003</v>
          </cell>
          <cell r="E186" t="str">
            <v>लमजुंङ</v>
          </cell>
          <cell r="F186" t="str">
            <v>दुधपोखरी गाउँपालिका</v>
          </cell>
        </row>
        <row r="187">
          <cell r="D187">
            <v>37004</v>
          </cell>
          <cell r="E187" t="str">
            <v>लमजुंङ</v>
          </cell>
          <cell r="F187" t="str">
            <v>खोलासोथर गाउँपालिका</v>
          </cell>
        </row>
        <row r="188">
          <cell r="D188">
            <v>37005</v>
          </cell>
          <cell r="E188" t="str">
            <v>लमजुंङ</v>
          </cell>
          <cell r="F188" t="str">
            <v>मध्यनेपाल नगरपालिका</v>
          </cell>
        </row>
        <row r="189">
          <cell r="D189">
            <v>37006</v>
          </cell>
          <cell r="E189" t="str">
            <v>लमजुंङ</v>
          </cell>
          <cell r="F189" t="str">
            <v>मर्स्यांग्दि गाऊँपालिका</v>
          </cell>
        </row>
        <row r="190">
          <cell r="D190">
            <v>37007</v>
          </cell>
          <cell r="E190" t="str">
            <v>लमजुंङ</v>
          </cell>
          <cell r="F190" t="str">
            <v>राइनास नगरपालिका</v>
          </cell>
        </row>
        <row r="191">
          <cell r="D191">
            <v>37008</v>
          </cell>
          <cell r="E191" t="str">
            <v>लमजुंङ</v>
          </cell>
          <cell r="F191" t="str">
            <v>सुन्दरबजार नगरपालिका</v>
          </cell>
        </row>
        <row r="192">
          <cell r="D192">
            <v>38001</v>
          </cell>
          <cell r="E192" t="str">
            <v>तनहु</v>
          </cell>
          <cell r="F192" t="str">
            <v>आंबुखैरेनी गाउँपालिका</v>
          </cell>
        </row>
        <row r="193">
          <cell r="D193">
            <v>38002</v>
          </cell>
          <cell r="E193" t="str">
            <v>तनहु</v>
          </cell>
          <cell r="F193" t="str">
            <v>बन्दीपुर गाउँपालिका</v>
          </cell>
        </row>
        <row r="194">
          <cell r="D194">
            <v>38003</v>
          </cell>
          <cell r="E194" t="str">
            <v>तनहु</v>
          </cell>
          <cell r="F194" t="str">
            <v>भानु नगरपालिका</v>
          </cell>
        </row>
        <row r="195">
          <cell r="D195">
            <v>38004</v>
          </cell>
          <cell r="E195" t="str">
            <v>तनहु</v>
          </cell>
          <cell r="F195" t="str">
            <v>भिमाद नगरपालिका</v>
          </cell>
        </row>
        <row r="196">
          <cell r="D196">
            <v>38005</v>
          </cell>
          <cell r="E196" t="str">
            <v>तनहु</v>
          </cell>
          <cell r="F196" t="str">
            <v>व्यास नगरपालिका</v>
          </cell>
        </row>
        <row r="197">
          <cell r="D197">
            <v>38006</v>
          </cell>
          <cell r="E197" t="str">
            <v>तनहु</v>
          </cell>
          <cell r="F197" t="str">
            <v>देवघाट नगरपालिका</v>
          </cell>
        </row>
        <row r="198">
          <cell r="D198">
            <v>38007</v>
          </cell>
          <cell r="E198" t="str">
            <v>तनहु</v>
          </cell>
          <cell r="F198" t="str">
            <v>घिरिंङ गाउँपालिका</v>
          </cell>
        </row>
        <row r="199">
          <cell r="D199">
            <v>38008</v>
          </cell>
          <cell r="E199" t="str">
            <v>तनहु</v>
          </cell>
          <cell r="F199" t="str">
            <v>म्याग्दे गाउँपालिका</v>
          </cell>
        </row>
        <row r="200">
          <cell r="D200">
            <v>38009</v>
          </cell>
          <cell r="E200" t="str">
            <v>तनहु</v>
          </cell>
          <cell r="F200" t="str">
            <v>रिसिंङ गाउँपालिका</v>
          </cell>
        </row>
        <row r="201">
          <cell r="D201">
            <v>38010</v>
          </cell>
          <cell r="E201" t="str">
            <v>तनहु</v>
          </cell>
          <cell r="F201" t="str">
            <v>शुक्लागण्डकी नगरपालिका</v>
          </cell>
        </row>
        <row r="202">
          <cell r="D202">
            <v>39001</v>
          </cell>
          <cell r="E202" t="str">
            <v>स्याङ्जा</v>
          </cell>
          <cell r="F202" t="str">
            <v>आंधीखोला गाउँपालिका</v>
          </cell>
        </row>
        <row r="203">
          <cell r="D203">
            <v>39002</v>
          </cell>
          <cell r="E203" t="str">
            <v>स्याङ्जा</v>
          </cell>
          <cell r="F203" t="str">
            <v>अर्जुनछाउपरी गाउँपालिका</v>
          </cell>
        </row>
        <row r="204">
          <cell r="D204">
            <v>39003</v>
          </cell>
          <cell r="E204" t="str">
            <v>स्याङ्जा</v>
          </cell>
          <cell r="F204" t="str">
            <v>भीरकोट नगरपालिका</v>
          </cell>
        </row>
        <row r="205">
          <cell r="D205">
            <v>39004</v>
          </cell>
          <cell r="E205" t="str">
            <v>स्याङ्जा</v>
          </cell>
          <cell r="F205" t="str">
            <v>बिरूवा गाउँपालिका</v>
          </cell>
        </row>
        <row r="206">
          <cell r="D206">
            <v>39005</v>
          </cell>
          <cell r="E206" t="str">
            <v>स्याङ्जा</v>
          </cell>
          <cell r="F206" t="str">
            <v>चापाकोट नगरपालिका</v>
          </cell>
        </row>
        <row r="207">
          <cell r="D207">
            <v>39006</v>
          </cell>
          <cell r="E207" t="str">
            <v>स्याङ्जा</v>
          </cell>
          <cell r="F207" t="str">
            <v>गल्यांङ नगरपालिका</v>
          </cell>
        </row>
        <row r="208">
          <cell r="D208">
            <v>39007</v>
          </cell>
          <cell r="E208" t="str">
            <v>स्याङ्जा</v>
          </cell>
          <cell r="F208" t="str">
            <v>हरिनास गाउँपालिका</v>
          </cell>
        </row>
        <row r="209">
          <cell r="D209">
            <v>39008</v>
          </cell>
          <cell r="E209" t="str">
            <v>स्याङ्जा</v>
          </cell>
          <cell r="F209" t="str">
            <v>कालीगण्डकि गाउँपालिका</v>
          </cell>
        </row>
        <row r="210">
          <cell r="D210">
            <v>39009</v>
          </cell>
          <cell r="E210" t="str">
            <v>स्याङ्जा</v>
          </cell>
          <cell r="F210" t="str">
            <v>फेदीखोला गाउँपालिका</v>
          </cell>
        </row>
        <row r="211">
          <cell r="D211">
            <v>39010</v>
          </cell>
          <cell r="E211" t="str">
            <v>स्याङ्जा</v>
          </cell>
          <cell r="F211" t="str">
            <v>पुलीबजार नगरपालिका</v>
          </cell>
        </row>
        <row r="212">
          <cell r="D212">
            <v>39011</v>
          </cell>
          <cell r="E212" t="str">
            <v>स्याङ्जा</v>
          </cell>
          <cell r="F212" t="str">
            <v>वालिंङ नगरपालिका</v>
          </cell>
        </row>
        <row r="213">
          <cell r="D213">
            <v>40001</v>
          </cell>
          <cell r="E213" t="str">
            <v>कास्की</v>
          </cell>
          <cell r="F213" t="str">
            <v>अन्नपूर्ण गाउँपलिका</v>
          </cell>
        </row>
        <row r="214">
          <cell r="D214">
            <v>40002</v>
          </cell>
          <cell r="E214" t="str">
            <v>कास्की</v>
          </cell>
          <cell r="F214" t="str">
            <v>माछापुच्छ्रे गाउँपालिका</v>
          </cell>
        </row>
        <row r="215">
          <cell r="D215">
            <v>40003</v>
          </cell>
          <cell r="E215" t="str">
            <v>कास्की</v>
          </cell>
          <cell r="F215" t="str">
            <v>मादि गाउँपालिका</v>
          </cell>
        </row>
        <row r="216">
          <cell r="D216">
            <v>40004</v>
          </cell>
          <cell r="E216" t="str">
            <v>कास्की</v>
          </cell>
          <cell r="F216" t="str">
            <v>पोखरा लेखनाथ महानगरपलिका</v>
          </cell>
        </row>
        <row r="217">
          <cell r="D217">
            <v>40005</v>
          </cell>
          <cell r="E217" t="str">
            <v>कास्की</v>
          </cell>
          <cell r="F217" t="str">
            <v>रूपा गाउँपालिका</v>
          </cell>
        </row>
        <row r="218">
          <cell r="D218">
            <v>43001</v>
          </cell>
          <cell r="E218" t="str">
            <v>म्याग्दी</v>
          </cell>
          <cell r="F218" t="str">
            <v>अन्नपूर्ण गाउँपलिका</v>
          </cell>
        </row>
        <row r="219">
          <cell r="D219">
            <v>43002</v>
          </cell>
          <cell r="E219" t="str">
            <v>म्याग्दी</v>
          </cell>
          <cell r="F219" t="str">
            <v>बेनीघाट नगरपालिका</v>
          </cell>
        </row>
        <row r="220">
          <cell r="D220">
            <v>43003</v>
          </cell>
          <cell r="E220" t="str">
            <v>म्याग्दी</v>
          </cell>
          <cell r="F220" t="str">
            <v>धौलागिरी गाउँपालिका</v>
          </cell>
        </row>
        <row r="221">
          <cell r="D221">
            <v>43004</v>
          </cell>
          <cell r="E221" t="str">
            <v>म्याग्दी</v>
          </cell>
          <cell r="F221" t="str">
            <v>मालिका गाउँपालिका</v>
          </cell>
        </row>
        <row r="222">
          <cell r="D222">
            <v>43005</v>
          </cell>
          <cell r="E222" t="str">
            <v>म्याग्दी</v>
          </cell>
          <cell r="F222" t="str">
            <v>मंगला गाउँपालिका</v>
          </cell>
        </row>
        <row r="223">
          <cell r="D223">
            <v>43006</v>
          </cell>
          <cell r="E223" t="str">
            <v>म्याग्दी</v>
          </cell>
          <cell r="F223" t="str">
            <v>राहुगंगा गाउँपालिका</v>
          </cell>
        </row>
        <row r="224">
          <cell r="D224">
            <v>44001</v>
          </cell>
          <cell r="E224" t="str">
            <v>पर्वत</v>
          </cell>
          <cell r="F224" t="str">
            <v>बिहादी गाउँपालिका</v>
          </cell>
        </row>
        <row r="225">
          <cell r="D225">
            <v>44002</v>
          </cell>
          <cell r="E225" t="str">
            <v>पर्वत</v>
          </cell>
          <cell r="F225" t="str">
            <v>जलजला गाउँपालिका</v>
          </cell>
        </row>
        <row r="226">
          <cell r="D226">
            <v>44003</v>
          </cell>
          <cell r="E226" t="str">
            <v>पर्वत</v>
          </cell>
          <cell r="F226" t="str">
            <v>कुश्मा गाउँपालिका</v>
          </cell>
        </row>
        <row r="227">
          <cell r="D227">
            <v>44004</v>
          </cell>
          <cell r="E227" t="str">
            <v>पर्वत</v>
          </cell>
          <cell r="F227" t="str">
            <v>महाशिला गाउँपालिका</v>
          </cell>
        </row>
        <row r="228">
          <cell r="D228">
            <v>44005</v>
          </cell>
          <cell r="E228" t="str">
            <v>पर्वत</v>
          </cell>
          <cell r="F228" t="str">
            <v>मोदी गाउँपालिका</v>
          </cell>
        </row>
        <row r="229">
          <cell r="D229">
            <v>44006</v>
          </cell>
          <cell r="E229" t="str">
            <v>पर्वत</v>
          </cell>
          <cell r="F229" t="str">
            <v>पैंयु गाउँपालिका</v>
          </cell>
        </row>
        <row r="230">
          <cell r="D230">
            <v>44007</v>
          </cell>
          <cell r="E230" t="str">
            <v>पर्वत</v>
          </cell>
          <cell r="F230" t="str">
            <v>फलेबास नगरपालिका</v>
          </cell>
        </row>
        <row r="231">
          <cell r="D231">
            <v>45001</v>
          </cell>
          <cell r="E231" t="str">
            <v>बागलुङ</v>
          </cell>
          <cell r="F231" t="str">
            <v>बड़ीगड गाउपालिका</v>
          </cell>
        </row>
        <row r="232">
          <cell r="D232">
            <v>45002</v>
          </cell>
          <cell r="E232" t="str">
            <v>बागलुङ</v>
          </cell>
          <cell r="F232" t="str">
            <v>बागलुङ  नगरपालिका</v>
          </cell>
        </row>
        <row r="233">
          <cell r="D233">
            <v>45003</v>
          </cell>
          <cell r="E233" t="str">
            <v>बागलुङ</v>
          </cell>
          <cell r="F233" t="str">
            <v>बरेंङ गाउँपालिका</v>
          </cell>
        </row>
        <row r="234">
          <cell r="D234">
            <v>45004</v>
          </cell>
          <cell r="E234" t="str">
            <v>बागलुङ</v>
          </cell>
          <cell r="F234" t="str">
            <v>ढोरपाटन नगरपालिका</v>
          </cell>
        </row>
        <row r="235">
          <cell r="D235">
            <v>45005</v>
          </cell>
          <cell r="E235" t="str">
            <v>बागलुङ</v>
          </cell>
          <cell r="F235" t="str">
            <v>गलकोट नगरपालिका</v>
          </cell>
        </row>
        <row r="236">
          <cell r="D236">
            <v>45006</v>
          </cell>
          <cell r="E236" t="str">
            <v>बागलुङ</v>
          </cell>
          <cell r="F236" t="str">
            <v>जयमुनि नगरपालिका</v>
          </cell>
        </row>
        <row r="237">
          <cell r="D237">
            <v>45007</v>
          </cell>
          <cell r="E237" t="str">
            <v>बागलुङ</v>
          </cell>
          <cell r="F237" t="str">
            <v>काठेखोला नगरपालिका</v>
          </cell>
        </row>
        <row r="238">
          <cell r="D238">
            <v>45008</v>
          </cell>
          <cell r="E238" t="str">
            <v>बागलुङ</v>
          </cell>
          <cell r="F238" t="str">
            <v>निसिखोला गाउपालिका</v>
          </cell>
        </row>
        <row r="239">
          <cell r="D239">
            <v>45009</v>
          </cell>
          <cell r="E239" t="str">
            <v>बागलुङ</v>
          </cell>
          <cell r="F239" t="str">
            <v>तमनखोला गाउपालिका</v>
          </cell>
        </row>
        <row r="240">
          <cell r="D240">
            <v>45010</v>
          </cell>
          <cell r="E240" t="str">
            <v>बागलुङ</v>
          </cell>
          <cell r="F240" t="str">
            <v>ताराखोला  गाउपालिका</v>
          </cell>
        </row>
        <row r="241">
          <cell r="D241">
            <v>46001</v>
          </cell>
          <cell r="E241" t="str">
            <v>गुल्मी</v>
          </cell>
          <cell r="F241" t="str">
            <v>चन्द्रकोट गाउँपालिका</v>
          </cell>
        </row>
        <row r="242">
          <cell r="D242">
            <v>46002</v>
          </cell>
          <cell r="E242" t="str">
            <v>गुल्मी</v>
          </cell>
          <cell r="F242" t="str">
            <v>छत्रकोट गाउँपालिका</v>
          </cell>
        </row>
        <row r="243">
          <cell r="D243">
            <v>46003</v>
          </cell>
          <cell r="E243" t="str">
            <v>गुल्मी</v>
          </cell>
          <cell r="F243" t="str">
            <v>धुरकोट गाउँपालिका</v>
          </cell>
        </row>
        <row r="244">
          <cell r="D244">
            <v>46004</v>
          </cell>
          <cell r="E244" t="str">
            <v>गुल्मी</v>
          </cell>
          <cell r="F244" t="str">
            <v>गुल्मी दरवार गाउँपालिका</v>
          </cell>
        </row>
        <row r="245">
          <cell r="D245">
            <v>46005</v>
          </cell>
          <cell r="E245" t="str">
            <v>गुल्मी</v>
          </cell>
          <cell r="F245" t="str">
            <v>इस्मा गाउँपालिका</v>
          </cell>
        </row>
        <row r="246">
          <cell r="D246">
            <v>46006</v>
          </cell>
          <cell r="E246" t="str">
            <v>गुल्मी</v>
          </cell>
          <cell r="F246" t="str">
            <v>कालीगण्डकी गाउँपालिका</v>
          </cell>
        </row>
        <row r="247">
          <cell r="D247">
            <v>46007</v>
          </cell>
          <cell r="E247" t="str">
            <v>गुल्मी</v>
          </cell>
          <cell r="F247" t="str">
            <v>मदाने गाउँपालिका</v>
          </cell>
        </row>
        <row r="248">
          <cell r="D248">
            <v>46008</v>
          </cell>
          <cell r="E248" t="str">
            <v>गुल्मी</v>
          </cell>
          <cell r="F248" t="str">
            <v>मालिका गाउँपालिका</v>
          </cell>
        </row>
        <row r="249">
          <cell r="D249">
            <v>46009</v>
          </cell>
          <cell r="E249" t="str">
            <v>गुल्मी</v>
          </cell>
          <cell r="F249" t="str">
            <v>मुसिकोट गाउँपालिका</v>
          </cell>
        </row>
        <row r="250">
          <cell r="D250">
            <v>46010</v>
          </cell>
          <cell r="E250" t="str">
            <v>गुल्मी</v>
          </cell>
          <cell r="F250" t="str">
            <v>रेसुंगा नगरपालिका</v>
          </cell>
        </row>
        <row r="251">
          <cell r="D251">
            <v>46011</v>
          </cell>
          <cell r="E251" t="str">
            <v>गुल्मी</v>
          </cell>
          <cell r="F251" t="str">
            <v xml:space="preserve">रुरु गाउँपालिका </v>
          </cell>
        </row>
        <row r="252">
          <cell r="D252">
            <v>46012</v>
          </cell>
          <cell r="E252" t="str">
            <v>गुल्मी</v>
          </cell>
          <cell r="F252" t="str">
            <v>सत्यवती गाउँपालिका</v>
          </cell>
        </row>
        <row r="253">
          <cell r="D253">
            <v>47001</v>
          </cell>
          <cell r="E253" t="str">
            <v>पाल्पा</v>
          </cell>
          <cell r="F253" t="str">
            <v>बेगनासकाली गाउँपालिका</v>
          </cell>
        </row>
        <row r="254">
          <cell r="D254">
            <v>47002</v>
          </cell>
          <cell r="E254" t="str">
            <v>पाल्पा</v>
          </cell>
          <cell r="F254" t="str">
            <v>माथागढी गाउँपालिका</v>
          </cell>
        </row>
        <row r="255">
          <cell r="D255">
            <v>47003</v>
          </cell>
          <cell r="E255" t="str">
            <v>पाल्पा</v>
          </cell>
          <cell r="F255" t="str">
            <v>निस्दि गाउँपालिका</v>
          </cell>
        </row>
        <row r="256">
          <cell r="D256">
            <v>47004</v>
          </cell>
          <cell r="E256" t="str">
            <v>पाल्पा</v>
          </cell>
          <cell r="F256" t="str">
            <v>पुर्वाखोला गाउँपालिका</v>
          </cell>
        </row>
        <row r="257">
          <cell r="D257">
            <v>47005</v>
          </cell>
          <cell r="E257" t="str">
            <v>पाल्पा</v>
          </cell>
          <cell r="F257" t="str">
            <v>रैनादेवी चहरा गाउँपालिका</v>
          </cell>
        </row>
        <row r="258">
          <cell r="D258">
            <v>47006</v>
          </cell>
          <cell r="E258" t="str">
            <v>पाल्पा</v>
          </cell>
          <cell r="F258" t="str">
            <v>रम्भा गाउँपालिका</v>
          </cell>
        </row>
        <row r="259">
          <cell r="D259">
            <v>47007</v>
          </cell>
          <cell r="E259" t="str">
            <v>पाल्पा</v>
          </cell>
          <cell r="F259" t="str">
            <v>रामपुर नगरपालिका</v>
          </cell>
        </row>
        <row r="260">
          <cell r="D260">
            <v>47008</v>
          </cell>
          <cell r="E260" t="str">
            <v>पाल्पा</v>
          </cell>
          <cell r="F260" t="str">
            <v>रिब्दिकोट गाउँपालिका</v>
          </cell>
        </row>
        <row r="261">
          <cell r="D261">
            <v>47009</v>
          </cell>
          <cell r="E261" t="str">
            <v>पाल्पा</v>
          </cell>
          <cell r="F261" t="str">
            <v>तन्सेन गाउँपालिका</v>
          </cell>
        </row>
        <row r="262">
          <cell r="D262">
            <v>47010</v>
          </cell>
          <cell r="E262" t="str">
            <v>पाल्पा</v>
          </cell>
          <cell r="F262" t="str">
            <v>तिनऊ गाउँपालिका</v>
          </cell>
        </row>
        <row r="263">
          <cell r="D263">
            <v>48001</v>
          </cell>
          <cell r="E263" t="str">
            <v>परासी</v>
          </cell>
          <cell r="F263" t="str">
            <v>बर्दघाट नगरपालिका</v>
          </cell>
        </row>
        <row r="264">
          <cell r="D264">
            <v>48002</v>
          </cell>
          <cell r="E264" t="str">
            <v>नवलपुर</v>
          </cell>
          <cell r="F264" t="str">
            <v>बिनायी त्रिवेणी गाऊँपालिका</v>
          </cell>
        </row>
        <row r="265">
          <cell r="D265">
            <v>48003</v>
          </cell>
          <cell r="E265" t="str">
            <v>नवलपुर</v>
          </cell>
          <cell r="F265" t="str">
            <v>बुलिंगटार गाउँपालिका</v>
          </cell>
        </row>
        <row r="266">
          <cell r="D266">
            <v>48004</v>
          </cell>
          <cell r="E266" t="str">
            <v>नवलपुर</v>
          </cell>
          <cell r="F266" t="str">
            <v>बुंग्दीकाली गाउँपालिका</v>
          </cell>
        </row>
        <row r="267">
          <cell r="D267">
            <v>48005</v>
          </cell>
          <cell r="E267" t="str">
            <v>नवलपुर</v>
          </cell>
          <cell r="F267" t="str">
            <v>देवचुली नगरपालिका</v>
          </cell>
        </row>
        <row r="268">
          <cell r="D268">
            <v>48006</v>
          </cell>
          <cell r="E268" t="str">
            <v>नवलपुर</v>
          </cell>
          <cell r="F268" t="str">
            <v>गैडाकोट नगरपालिका</v>
          </cell>
        </row>
        <row r="269">
          <cell r="D269">
            <v>48007</v>
          </cell>
          <cell r="E269" t="str">
            <v>नवलपुर</v>
          </cell>
          <cell r="F269" t="str">
            <v>हुप्सेकोट नगरपालिका</v>
          </cell>
        </row>
        <row r="270">
          <cell r="D270">
            <v>48008</v>
          </cell>
          <cell r="E270" t="str">
            <v>नवलपुर</v>
          </cell>
          <cell r="F270" t="str">
            <v>कावासोती नगरपालिका</v>
          </cell>
        </row>
        <row r="271">
          <cell r="D271">
            <v>48009</v>
          </cell>
          <cell r="E271" t="str">
            <v>नवलपुर</v>
          </cell>
          <cell r="F271" t="str">
            <v>मध्यविन्दु नगरपालिका</v>
          </cell>
        </row>
        <row r="272">
          <cell r="D272">
            <v>48012</v>
          </cell>
          <cell r="E272" t="str">
            <v>परासी</v>
          </cell>
          <cell r="F272" t="str">
            <v>रामग्राम नगरपालिका</v>
          </cell>
        </row>
        <row r="273">
          <cell r="D273">
            <v>48020</v>
          </cell>
          <cell r="E273" t="str">
            <v>परासी</v>
          </cell>
          <cell r="F273" t="str">
            <v xml:space="preserve">पाल्हि नन्दन गाउँपालिका </v>
          </cell>
        </row>
        <row r="274">
          <cell r="D274">
            <v>48030</v>
          </cell>
          <cell r="E274" t="str">
            <v>परासी</v>
          </cell>
          <cell r="F274" t="str">
            <v xml:space="preserve">प्रतापपुर गाउँपालिका </v>
          </cell>
        </row>
        <row r="275">
          <cell r="D275">
            <v>48050</v>
          </cell>
          <cell r="E275" t="str">
            <v>परासी</v>
          </cell>
          <cell r="F275" t="str">
            <v>सारावाल गाउँपालिका</v>
          </cell>
        </row>
        <row r="276">
          <cell r="D276">
            <v>48060</v>
          </cell>
          <cell r="E276" t="str">
            <v>परासी</v>
          </cell>
          <cell r="F276" t="str">
            <v>सुनवल गाउँपालिका</v>
          </cell>
        </row>
        <row r="277">
          <cell r="D277">
            <v>48070</v>
          </cell>
          <cell r="E277" t="str">
            <v>परासी</v>
          </cell>
          <cell r="F277" t="str">
            <v>सुस्ता गाउँपालिका</v>
          </cell>
        </row>
        <row r="278">
          <cell r="D278">
            <v>51001</v>
          </cell>
          <cell r="E278" t="str">
            <v>अर्घाखाँची</v>
          </cell>
          <cell r="F278" t="str">
            <v>भुमिकास्थान नगरपालिका</v>
          </cell>
        </row>
        <row r="279">
          <cell r="D279">
            <v>51002</v>
          </cell>
          <cell r="E279" t="str">
            <v>अर्घाखाँची</v>
          </cell>
          <cell r="F279" t="str">
            <v>छत्रदेव गाउपालिका</v>
          </cell>
        </row>
        <row r="280">
          <cell r="D280">
            <v>51003</v>
          </cell>
          <cell r="E280" t="str">
            <v>अर्घाखाँची</v>
          </cell>
          <cell r="F280" t="str">
            <v>मालारानी गाउपालिका</v>
          </cell>
        </row>
        <row r="281">
          <cell r="D281">
            <v>51004</v>
          </cell>
          <cell r="E281" t="str">
            <v>अर्घाखाँची</v>
          </cell>
          <cell r="F281" t="str">
            <v>पाणिनी  गाउपालिका</v>
          </cell>
        </row>
        <row r="282">
          <cell r="D282">
            <v>51005</v>
          </cell>
          <cell r="E282" t="str">
            <v>अर्घाखाँची</v>
          </cell>
          <cell r="F282" t="str">
            <v>सन्धिखर्क नगरपलिका</v>
          </cell>
        </row>
        <row r="283">
          <cell r="D283">
            <v>51006</v>
          </cell>
          <cell r="E283" t="str">
            <v>अर्घाखाँची</v>
          </cell>
          <cell r="F283" t="str">
            <v>सितगंगा नगरपालिका</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zoomScale="125" workbookViewId="0">
      <selection activeCell="B9" sqref="B9"/>
    </sheetView>
  </sheetViews>
  <sheetFormatPr baseColWidth="10" defaultRowHeight="16" x14ac:dyDescent="0.2"/>
  <cols>
    <col min="2" max="2" width="65.33203125" style="18" customWidth="1"/>
  </cols>
  <sheetData>
    <row r="1" spans="1:2" ht="17" x14ac:dyDescent="0.2">
      <c r="A1" s="29">
        <v>43475</v>
      </c>
      <c r="B1" s="18" t="s">
        <v>846</v>
      </c>
    </row>
    <row r="2" spans="1:2" ht="34" x14ac:dyDescent="0.2">
      <c r="A2" s="29">
        <v>43475</v>
      </c>
      <c r="B2" s="18" t="s">
        <v>847</v>
      </c>
    </row>
    <row r="3" spans="1:2" ht="17" x14ac:dyDescent="0.2">
      <c r="A3" s="29">
        <v>43503</v>
      </c>
      <c r="B3" s="18" t="s">
        <v>868</v>
      </c>
    </row>
    <row r="4" spans="1:2" ht="17" x14ac:dyDescent="0.2">
      <c r="A4" s="41">
        <v>43535</v>
      </c>
      <c r="B4" s="18" t="s">
        <v>1518</v>
      </c>
    </row>
    <row r="5" spans="1:2" ht="68" x14ac:dyDescent="0.2">
      <c r="A5" s="41">
        <v>43567</v>
      </c>
      <c r="B5" s="18" t="s">
        <v>1524</v>
      </c>
    </row>
    <row r="6" spans="1:2" ht="34" x14ac:dyDescent="0.2">
      <c r="A6" s="41">
        <v>43567</v>
      </c>
      <c r="B6" s="18" t="s">
        <v>1528</v>
      </c>
    </row>
    <row r="7" spans="1:2" ht="17" x14ac:dyDescent="0.2">
      <c r="A7" s="41">
        <v>43567</v>
      </c>
      <c r="B7" s="18" t="s">
        <v>1535</v>
      </c>
    </row>
    <row r="8" spans="1:2" ht="17" x14ac:dyDescent="0.2">
      <c r="A8" s="41">
        <v>43574</v>
      </c>
      <c r="B8" s="18" t="s">
        <v>1541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1"/>
  <sheetViews>
    <sheetView zoomScale="68" workbookViewId="0"/>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v>0</v>
      </c>
    </row>
    <row r="2" spans="1:165" x14ac:dyDescent="0.2">
      <c r="A2" t="s">
        <v>517</v>
      </c>
      <c r="B2" t="s">
        <v>518</v>
      </c>
      <c r="C2" t="s">
        <v>519</v>
      </c>
      <c r="D2" t="s">
        <v>520</v>
      </c>
      <c r="E2" t="s">
        <v>521</v>
      </c>
      <c r="F2" t="s">
        <v>522</v>
      </c>
      <c r="G2" t="s">
        <v>523</v>
      </c>
      <c r="H2" t="s">
        <v>524</v>
      </c>
      <c r="I2" t="s">
        <v>525</v>
      </c>
      <c r="J2" t="s">
        <v>526</v>
      </c>
      <c r="K2" t="s">
        <v>527</v>
      </c>
      <c r="L2" t="s">
        <v>528</v>
      </c>
      <c r="M2" t="s">
        <v>529</v>
      </c>
      <c r="N2" t="s">
        <v>530</v>
      </c>
      <c r="O2" t="s">
        <v>531</v>
      </c>
      <c r="P2" t="s">
        <v>532</v>
      </c>
      <c r="Q2" t="s">
        <v>533</v>
      </c>
      <c r="R2" t="s">
        <v>534</v>
      </c>
      <c r="S2" t="s">
        <v>535</v>
      </c>
      <c r="T2" t="s">
        <v>536</v>
      </c>
      <c r="U2" t="s">
        <v>537</v>
      </c>
      <c r="V2" t="s">
        <v>538</v>
      </c>
      <c r="W2" t="s">
        <v>539</v>
      </c>
      <c r="X2" t="s">
        <v>540</v>
      </c>
      <c r="Y2" t="s">
        <v>541</v>
      </c>
      <c r="Z2" t="s">
        <v>542</v>
      </c>
      <c r="AA2" t="s">
        <v>543</v>
      </c>
      <c r="AB2" t="s">
        <v>544</v>
      </c>
      <c r="AC2" t="s">
        <v>545</v>
      </c>
      <c r="AD2" t="s">
        <v>546</v>
      </c>
      <c r="AE2" t="s">
        <v>547</v>
      </c>
      <c r="AF2" t="s">
        <v>548</v>
      </c>
      <c r="AG2" t="s">
        <v>549</v>
      </c>
      <c r="AH2" t="s">
        <v>550</v>
      </c>
      <c r="AI2" t="s">
        <v>551</v>
      </c>
      <c r="AJ2" t="s">
        <v>552</v>
      </c>
      <c r="AK2" t="s">
        <v>553</v>
      </c>
      <c r="AL2" t="s">
        <v>554</v>
      </c>
      <c r="AM2" t="s">
        <v>555</v>
      </c>
      <c r="AN2" t="s">
        <v>556</v>
      </c>
      <c r="AO2" t="s">
        <v>557</v>
      </c>
      <c r="AP2" t="s">
        <v>558</v>
      </c>
      <c r="AQ2" t="s">
        <v>559</v>
      </c>
      <c r="AR2" t="s">
        <v>560</v>
      </c>
      <c r="AS2" t="s">
        <v>561</v>
      </c>
      <c r="AT2" t="s">
        <v>562</v>
      </c>
      <c r="AU2" t="s">
        <v>563</v>
      </c>
      <c r="AV2" t="s">
        <v>564</v>
      </c>
      <c r="AW2" t="s">
        <v>565</v>
      </c>
      <c r="AX2" t="s">
        <v>566</v>
      </c>
      <c r="AY2" t="s">
        <v>567</v>
      </c>
      <c r="AZ2" t="s">
        <v>568</v>
      </c>
      <c r="BA2" t="s">
        <v>569</v>
      </c>
      <c r="BB2" t="s">
        <v>570</v>
      </c>
      <c r="BC2" t="s">
        <v>571</v>
      </c>
      <c r="BD2" t="s">
        <v>572</v>
      </c>
      <c r="BE2" t="s">
        <v>573</v>
      </c>
      <c r="BF2" t="s">
        <v>574</v>
      </c>
      <c r="BG2" t="s">
        <v>575</v>
      </c>
      <c r="BH2" t="s">
        <v>576</v>
      </c>
      <c r="BI2" t="s">
        <v>577</v>
      </c>
      <c r="BJ2" t="s">
        <v>578</v>
      </c>
      <c r="BK2" t="s">
        <v>579</v>
      </c>
      <c r="BL2" t="s">
        <v>580</v>
      </c>
      <c r="BM2" t="s">
        <v>581</v>
      </c>
      <c r="BN2" t="s">
        <v>582</v>
      </c>
      <c r="BO2" t="s">
        <v>583</v>
      </c>
      <c r="BP2" t="s">
        <v>584</v>
      </c>
      <c r="BQ2" t="s">
        <v>585</v>
      </c>
      <c r="BR2" t="s">
        <v>586</v>
      </c>
      <c r="BS2" t="s">
        <v>587</v>
      </c>
      <c r="BT2" t="s">
        <v>588</v>
      </c>
      <c r="BU2" t="s">
        <v>589</v>
      </c>
      <c r="BV2" t="s">
        <v>590</v>
      </c>
      <c r="BW2" t="s">
        <v>591</v>
      </c>
      <c r="BX2" t="s">
        <v>592</v>
      </c>
      <c r="BY2" t="s">
        <v>593</v>
      </c>
      <c r="BZ2" t="s">
        <v>594</v>
      </c>
      <c r="CA2" t="s">
        <v>595</v>
      </c>
      <c r="CB2" t="s">
        <v>596</v>
      </c>
      <c r="CC2" t="s">
        <v>597</v>
      </c>
      <c r="CD2" t="s">
        <v>598</v>
      </c>
      <c r="CE2" t="s">
        <v>599</v>
      </c>
      <c r="CF2" t="s">
        <v>600</v>
      </c>
      <c r="CG2" t="s">
        <v>601</v>
      </c>
      <c r="CH2" t="s">
        <v>602</v>
      </c>
      <c r="CI2" t="s">
        <v>603</v>
      </c>
      <c r="CJ2" t="s">
        <v>604</v>
      </c>
      <c r="CK2" t="s">
        <v>605</v>
      </c>
      <c r="CL2" t="s">
        <v>606</v>
      </c>
      <c r="CM2" t="s">
        <v>607</v>
      </c>
      <c r="CN2" t="s">
        <v>608</v>
      </c>
      <c r="CO2" t="s">
        <v>609</v>
      </c>
      <c r="CP2" t="s">
        <v>610</v>
      </c>
      <c r="CQ2" t="s">
        <v>611</v>
      </c>
      <c r="CR2" t="s">
        <v>612</v>
      </c>
      <c r="CS2" t="s">
        <v>613</v>
      </c>
      <c r="CT2" t="s">
        <v>614</v>
      </c>
      <c r="CU2" t="s">
        <v>615</v>
      </c>
      <c r="CV2" t="s">
        <v>616</v>
      </c>
      <c r="CW2" t="s">
        <v>617</v>
      </c>
      <c r="CX2" t="s">
        <v>618</v>
      </c>
      <c r="CY2" t="s">
        <v>619</v>
      </c>
      <c r="CZ2" t="s">
        <v>620</v>
      </c>
      <c r="DA2" t="s">
        <v>621</v>
      </c>
      <c r="DB2" t="s">
        <v>622</v>
      </c>
      <c r="DC2" t="s">
        <v>623</v>
      </c>
      <c r="DD2" t="s">
        <v>624</v>
      </c>
      <c r="DE2" t="s">
        <v>625</v>
      </c>
      <c r="DF2" t="s">
        <v>626</v>
      </c>
      <c r="DG2" t="s">
        <v>627</v>
      </c>
      <c r="DH2" t="s">
        <v>628</v>
      </c>
      <c r="DI2" t="s">
        <v>629</v>
      </c>
      <c r="DJ2" t="s">
        <v>630</v>
      </c>
      <c r="DK2" t="s">
        <v>631</v>
      </c>
      <c r="DL2" t="s">
        <v>632</v>
      </c>
      <c r="DM2" t="s">
        <v>633</v>
      </c>
      <c r="DN2" t="s">
        <v>634</v>
      </c>
      <c r="DO2" t="s">
        <v>635</v>
      </c>
      <c r="DP2" t="s">
        <v>636</v>
      </c>
      <c r="DQ2" t="s">
        <v>637</v>
      </c>
      <c r="DR2" t="s">
        <v>638</v>
      </c>
      <c r="DS2" t="s">
        <v>639</v>
      </c>
      <c r="DT2" t="s">
        <v>640</v>
      </c>
      <c r="DU2" t="s">
        <v>641</v>
      </c>
      <c r="DV2" t="s">
        <v>642</v>
      </c>
      <c r="DW2" t="s">
        <v>643</v>
      </c>
      <c r="DX2" t="s">
        <v>644</v>
      </c>
      <c r="DY2" t="s">
        <v>645</v>
      </c>
      <c r="DZ2" t="s">
        <v>646</v>
      </c>
      <c r="EA2" t="s">
        <v>647</v>
      </c>
      <c r="EB2" t="s">
        <v>648</v>
      </c>
      <c r="EC2" t="s">
        <v>649</v>
      </c>
      <c r="ED2" t="s">
        <v>650</v>
      </c>
      <c r="EE2" t="s">
        <v>651</v>
      </c>
      <c r="EF2" t="s">
        <v>652</v>
      </c>
      <c r="EG2" t="s">
        <v>653</v>
      </c>
      <c r="EH2" t="s">
        <v>654</v>
      </c>
      <c r="EI2" t="s">
        <v>655</v>
      </c>
      <c r="EJ2" t="s">
        <v>656</v>
      </c>
      <c r="EK2" t="s">
        <v>657</v>
      </c>
      <c r="EL2" t="s">
        <v>658</v>
      </c>
      <c r="EM2" t="s">
        <v>659</v>
      </c>
      <c r="EN2" t="s">
        <v>660</v>
      </c>
      <c r="EO2" t="s">
        <v>661</v>
      </c>
      <c r="EP2" t="s">
        <v>662</v>
      </c>
      <c r="EQ2" t="s">
        <v>663</v>
      </c>
      <c r="ER2" t="s">
        <v>664</v>
      </c>
      <c r="ES2" t="s">
        <v>665</v>
      </c>
      <c r="ET2" t="s">
        <v>666</v>
      </c>
      <c r="EU2" t="s">
        <v>667</v>
      </c>
      <c r="EV2" t="s">
        <v>668</v>
      </c>
      <c r="EW2" t="s">
        <v>669</v>
      </c>
      <c r="EX2" t="s">
        <v>670</v>
      </c>
      <c r="EY2" t="s">
        <v>671</v>
      </c>
      <c r="EZ2" t="s">
        <v>672</v>
      </c>
      <c r="FA2" t="s">
        <v>673</v>
      </c>
      <c r="FB2" t="s">
        <v>674</v>
      </c>
      <c r="FC2" t="s">
        <v>675</v>
      </c>
      <c r="FD2" t="s">
        <v>676</v>
      </c>
      <c r="FE2" t="s">
        <v>677</v>
      </c>
      <c r="FF2" t="s">
        <v>678</v>
      </c>
      <c r="FG2" t="s">
        <v>679</v>
      </c>
      <c r="FH2" t="s">
        <v>680</v>
      </c>
      <c r="FI2" t="s">
        <v>681</v>
      </c>
    </row>
    <row r="3" spans="1:165" x14ac:dyDescent="0.2">
      <c r="A3" s="42" t="s">
        <v>209</v>
      </c>
      <c r="B3" s="42"/>
      <c r="C3" s="42"/>
      <c r="D3" s="42"/>
      <c r="E3" s="42" t="s">
        <v>1</v>
      </c>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t="s">
        <v>17</v>
      </c>
      <c r="AK3" s="42"/>
      <c r="AL3" s="42" t="s">
        <v>20</v>
      </c>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t="s">
        <v>23</v>
      </c>
      <c r="BW3" s="42"/>
      <c r="BX3" s="42"/>
      <c r="BY3" s="42"/>
      <c r="BZ3" s="42"/>
      <c r="CA3" s="42"/>
      <c r="CB3" s="42"/>
      <c r="CC3" s="42"/>
      <c r="CD3" s="22"/>
      <c r="CE3" s="42" t="s">
        <v>28</v>
      </c>
      <c r="CF3" s="42"/>
      <c r="CG3" s="42"/>
      <c r="CH3" s="42"/>
      <c r="CI3" s="42"/>
      <c r="CJ3" s="42"/>
      <c r="CK3" s="42"/>
      <c r="CL3" s="42"/>
      <c r="CM3" s="42"/>
      <c r="CN3" s="42"/>
      <c r="CO3" s="42"/>
      <c r="CP3" s="42"/>
      <c r="CQ3" s="42"/>
      <c r="CR3" s="42"/>
      <c r="CS3" s="42"/>
      <c r="CT3" s="42"/>
      <c r="CU3" s="42"/>
      <c r="CV3" s="42"/>
      <c r="CW3" s="42"/>
      <c r="CX3" s="42"/>
      <c r="CY3" s="42"/>
      <c r="CZ3" s="42"/>
      <c r="DA3" s="42"/>
      <c r="DB3" s="22"/>
      <c r="DC3" s="42" t="s">
        <v>29</v>
      </c>
      <c r="DD3" s="42"/>
      <c r="DE3" s="42"/>
      <c r="DF3" s="42"/>
      <c r="DG3" s="42"/>
      <c r="DH3" s="42"/>
      <c r="DI3" s="42" t="s">
        <v>36</v>
      </c>
      <c r="DJ3" s="42"/>
      <c r="DK3" s="42"/>
      <c r="DL3" s="42"/>
      <c r="DM3" s="42"/>
      <c r="DN3" s="42"/>
      <c r="DO3" s="42"/>
      <c r="DP3" s="42"/>
      <c r="DQ3" s="42"/>
      <c r="DR3" s="42"/>
      <c r="DS3" s="42"/>
      <c r="DT3" s="42"/>
      <c r="DU3" s="42"/>
      <c r="DV3" s="42"/>
      <c r="DW3" s="42"/>
      <c r="DX3" s="42"/>
      <c r="DY3" s="42"/>
      <c r="DZ3" s="42"/>
      <c r="EA3" s="42" t="s">
        <v>41</v>
      </c>
      <c r="EB3" s="42"/>
      <c r="EC3" s="42"/>
      <c r="ED3" s="42"/>
      <c r="EE3" s="42"/>
      <c r="EF3" s="42"/>
      <c r="EG3" s="2" t="s">
        <v>46</v>
      </c>
      <c r="EH3" s="42" t="s">
        <v>109</v>
      </c>
      <c r="EI3" s="42"/>
      <c r="EJ3" s="42"/>
      <c r="EK3" s="42"/>
      <c r="EL3" s="42"/>
      <c r="EM3" s="42"/>
    </row>
    <row r="4" spans="1:165" s="1" customFormat="1" ht="85" x14ac:dyDescent="0.2">
      <c r="A4" s="3" t="s">
        <v>113</v>
      </c>
      <c r="B4" s="3" t="s">
        <v>199</v>
      </c>
      <c r="C4" s="3" t="s">
        <v>482</v>
      </c>
      <c r="D4" s="3" t="s">
        <v>198</v>
      </c>
      <c r="E4" s="3" t="s">
        <v>111</v>
      </c>
      <c r="F4" s="3" t="s">
        <v>112</v>
      </c>
      <c r="G4" s="3" t="s">
        <v>108</v>
      </c>
      <c r="H4" s="3" t="s">
        <v>418</v>
      </c>
      <c r="I4" s="3" t="s">
        <v>419</v>
      </c>
      <c r="J4" s="3" t="s">
        <v>420</v>
      </c>
      <c r="K4" s="3" t="s">
        <v>421</v>
      </c>
      <c r="L4" s="3" t="s">
        <v>422</v>
      </c>
      <c r="M4" s="3" t="s">
        <v>423</v>
      </c>
      <c r="N4" s="3" t="s">
        <v>424</v>
      </c>
      <c r="O4" s="3" t="s">
        <v>425</v>
      </c>
      <c r="P4" s="3" t="s">
        <v>426</v>
      </c>
      <c r="Q4" s="3" t="s">
        <v>427</v>
      </c>
      <c r="R4" s="3" t="s">
        <v>443</v>
      </c>
      <c r="S4" s="3" t="s">
        <v>442</v>
      </c>
      <c r="T4" s="3" t="s">
        <v>428</v>
      </c>
      <c r="U4" s="3" t="s">
        <v>429</v>
      </c>
      <c r="V4" s="3" t="s">
        <v>430</v>
      </c>
      <c r="W4" s="3" t="s">
        <v>431</v>
      </c>
      <c r="X4" s="3" t="s">
        <v>432</v>
      </c>
      <c r="Y4" s="3" t="s">
        <v>433</v>
      </c>
      <c r="Z4" s="3" t="s">
        <v>434</v>
      </c>
      <c r="AA4" s="3" t="s">
        <v>435</v>
      </c>
      <c r="AB4" s="3" t="s">
        <v>436</v>
      </c>
      <c r="AC4" s="3" t="s">
        <v>437</v>
      </c>
      <c r="AD4" s="3" t="s">
        <v>438</v>
      </c>
      <c r="AE4" s="3" t="s">
        <v>439</v>
      </c>
      <c r="AF4" s="3" t="s">
        <v>440</v>
      </c>
      <c r="AG4" s="3" t="s">
        <v>441</v>
      </c>
      <c r="AH4" s="3" t="s">
        <v>2</v>
      </c>
      <c r="AI4" s="3" t="s">
        <v>8</v>
      </c>
      <c r="AJ4" s="3" t="s">
        <v>4</v>
      </c>
      <c r="AK4" s="3" t="s">
        <v>12</v>
      </c>
      <c r="AL4" s="3" t="s">
        <v>5</v>
      </c>
      <c r="AM4" s="3" t="s">
        <v>9</v>
      </c>
      <c r="AN4" s="3" t="s">
        <v>10</v>
      </c>
      <c r="AO4" s="3" t="s">
        <v>3</v>
      </c>
      <c r="AP4" s="3" t="s">
        <v>6</v>
      </c>
      <c r="AQ4" s="3" t="s">
        <v>7</v>
      </c>
      <c r="AR4" s="3" t="s">
        <v>11</v>
      </c>
      <c r="AS4" s="3" t="s">
        <v>13</v>
      </c>
      <c r="AT4" s="3" t="s">
        <v>14</v>
      </c>
      <c r="AU4" s="3" t="s">
        <v>15</v>
      </c>
      <c r="AV4" s="3" t="s">
        <v>16</v>
      </c>
      <c r="AW4" s="3" t="s">
        <v>18</v>
      </c>
      <c r="AX4" s="3" t="s">
        <v>484</v>
      </c>
      <c r="AY4" s="3" t="s">
        <v>19</v>
      </c>
      <c r="AZ4" s="3" t="s">
        <v>483</v>
      </c>
      <c r="BA4" s="3" t="s">
        <v>81</v>
      </c>
      <c r="BB4" s="3" t="s">
        <v>82</v>
      </c>
      <c r="BC4" s="3" t="s">
        <v>485</v>
      </c>
      <c r="BD4" s="3" t="s">
        <v>83</v>
      </c>
      <c r="BE4" s="3" t="s">
        <v>84</v>
      </c>
      <c r="BF4" s="3" t="s">
        <v>85</v>
      </c>
      <c r="BG4" s="3" t="s">
        <v>486</v>
      </c>
      <c r="BH4" s="3" t="s">
        <v>86</v>
      </c>
      <c r="BI4" s="3" t="s">
        <v>87</v>
      </c>
      <c r="BJ4" s="3" t="s">
        <v>88</v>
      </c>
      <c r="BK4" s="3" t="s">
        <v>487</v>
      </c>
      <c r="BL4" s="3" t="s">
        <v>89</v>
      </c>
      <c r="BM4" s="3" t="s">
        <v>90</v>
      </c>
      <c r="BN4" s="3" t="s">
        <v>91</v>
      </c>
      <c r="BO4" s="3" t="s">
        <v>488</v>
      </c>
      <c r="BP4" s="3" t="s">
        <v>92</v>
      </c>
      <c r="BQ4" s="3" t="s">
        <v>93</v>
      </c>
      <c r="BR4" s="3" t="s">
        <v>94</v>
      </c>
      <c r="BS4" s="3" t="s">
        <v>489</v>
      </c>
      <c r="BT4" s="3" t="s">
        <v>95</v>
      </c>
      <c r="BU4" s="3" t="s">
        <v>96</v>
      </c>
      <c r="BV4" s="3" t="s">
        <v>97</v>
      </c>
      <c r="BW4" s="3" t="s">
        <v>490</v>
      </c>
      <c r="BX4" s="3" t="s">
        <v>98</v>
      </c>
      <c r="BY4" s="3" t="s">
        <v>99</v>
      </c>
      <c r="BZ4" s="3" t="s">
        <v>100</v>
      </c>
      <c r="CA4" s="3" t="s">
        <v>491</v>
      </c>
      <c r="CB4" s="3" t="s">
        <v>101</v>
      </c>
      <c r="CC4" s="3" t="s">
        <v>102</v>
      </c>
      <c r="CD4" s="3" t="s">
        <v>492</v>
      </c>
      <c r="CE4" s="3" t="s">
        <v>103</v>
      </c>
      <c r="CF4" s="3" t="s">
        <v>493</v>
      </c>
      <c r="CG4" s="3" t="s">
        <v>104</v>
      </c>
      <c r="CH4" s="3" t="s">
        <v>105</v>
      </c>
      <c r="CI4" s="3" t="s">
        <v>106</v>
      </c>
      <c r="CJ4" s="3" t="s">
        <v>494</v>
      </c>
      <c r="CK4" s="3" t="s">
        <v>107</v>
      </c>
      <c r="CL4" s="3" t="s">
        <v>21</v>
      </c>
      <c r="CM4" s="3" t="s">
        <v>22</v>
      </c>
      <c r="CN4" s="3" t="s">
        <v>24</v>
      </c>
      <c r="CO4" s="4" t="s">
        <v>114</v>
      </c>
      <c r="CP4" s="3" t="s">
        <v>25</v>
      </c>
      <c r="CQ4" s="3" t="s">
        <v>26</v>
      </c>
      <c r="CR4" s="4" t="s">
        <v>445</v>
      </c>
      <c r="CS4" s="3" t="s">
        <v>27</v>
      </c>
      <c r="CT4" s="3" t="s">
        <v>457</v>
      </c>
      <c r="CU4" s="3" t="s">
        <v>495</v>
      </c>
      <c r="CV4" s="3" t="s">
        <v>458</v>
      </c>
      <c r="CW4" s="3" t="s">
        <v>496</v>
      </c>
      <c r="CX4" s="3" t="s">
        <v>468</v>
      </c>
      <c r="CY4" s="3" t="s">
        <v>459</v>
      </c>
      <c r="CZ4" s="3" t="s">
        <v>497</v>
      </c>
      <c r="DA4" s="3" t="s">
        <v>460</v>
      </c>
      <c r="DB4" s="3" t="s">
        <v>499</v>
      </c>
      <c r="DC4" s="3" t="s">
        <v>469</v>
      </c>
      <c r="DD4" s="3" t="s">
        <v>461</v>
      </c>
      <c r="DE4" s="3" t="s">
        <v>498</v>
      </c>
      <c r="DF4" s="3" t="s">
        <v>462</v>
      </c>
      <c r="DG4" s="3" t="s">
        <v>500</v>
      </c>
      <c r="DH4" s="3" t="s">
        <v>470</v>
      </c>
      <c r="DI4" s="3" t="s">
        <v>463</v>
      </c>
      <c r="DJ4" s="3" t="s">
        <v>501</v>
      </c>
      <c r="DK4" s="3" t="s">
        <v>464</v>
      </c>
      <c r="DL4" s="3" t="s">
        <v>502</v>
      </c>
      <c r="DM4" s="3" t="s">
        <v>471</v>
      </c>
      <c r="DN4" s="3" t="s">
        <v>465</v>
      </c>
      <c r="DO4" s="3" t="s">
        <v>503</v>
      </c>
      <c r="DP4" s="3" t="s">
        <v>466</v>
      </c>
      <c r="DQ4" s="3" t="s">
        <v>504</v>
      </c>
      <c r="DR4" s="3" t="s">
        <v>467</v>
      </c>
      <c r="DS4" s="3" t="s">
        <v>472</v>
      </c>
      <c r="DT4" s="3" t="s">
        <v>505</v>
      </c>
      <c r="DU4" s="3" t="s">
        <v>473</v>
      </c>
      <c r="DV4" s="3" t="s">
        <v>506</v>
      </c>
      <c r="DW4" s="3" t="s">
        <v>474</v>
      </c>
      <c r="DX4" s="3" t="s">
        <v>30</v>
      </c>
      <c r="DY4" s="3" t="s">
        <v>31</v>
      </c>
      <c r="DZ4" s="3" t="s">
        <v>32</v>
      </c>
      <c r="EA4" s="3" t="s">
        <v>33</v>
      </c>
      <c r="EB4" s="3" t="s">
        <v>34</v>
      </c>
      <c r="EC4" s="3" t="s">
        <v>35</v>
      </c>
      <c r="ED4" s="3" t="s">
        <v>37</v>
      </c>
      <c r="EE4" s="3" t="s">
        <v>200</v>
      </c>
      <c r="EF4" s="3" t="s">
        <v>38</v>
      </c>
      <c r="EG4" s="3" t="s">
        <v>201</v>
      </c>
      <c r="EH4" s="3" t="s">
        <v>202</v>
      </c>
      <c r="EI4" s="3" t="s">
        <v>203</v>
      </c>
      <c r="EJ4" s="3" t="s">
        <v>39</v>
      </c>
      <c r="EK4" s="3" t="s">
        <v>204</v>
      </c>
      <c r="EL4" s="3" t="s">
        <v>40</v>
      </c>
      <c r="EM4" s="3" t="s">
        <v>205</v>
      </c>
      <c r="EN4" s="3" t="s">
        <v>206</v>
      </c>
      <c r="EO4" s="3" t="s">
        <v>42</v>
      </c>
      <c r="EP4" s="3" t="s">
        <v>43</v>
      </c>
      <c r="EQ4" s="3" t="s">
        <v>207</v>
      </c>
      <c r="ER4" s="3" t="s">
        <v>45</v>
      </c>
      <c r="ES4" s="3" t="s">
        <v>44</v>
      </c>
      <c r="ET4" s="3" t="s">
        <v>218</v>
      </c>
      <c r="EU4" s="3" t="s">
        <v>448</v>
      </c>
      <c r="EV4" s="3" t="s">
        <v>507</v>
      </c>
      <c r="EW4" s="3" t="s">
        <v>449</v>
      </c>
      <c r="EX4" s="3" t="s">
        <v>508</v>
      </c>
      <c r="EY4" s="3" t="s">
        <v>450</v>
      </c>
      <c r="EZ4" s="3" t="s">
        <v>451</v>
      </c>
      <c r="FA4" s="3" t="s">
        <v>509</v>
      </c>
      <c r="FB4" s="3" t="s">
        <v>452</v>
      </c>
      <c r="FC4" s="3" t="s">
        <v>510</v>
      </c>
      <c r="FD4" s="3" t="s">
        <v>453</v>
      </c>
      <c r="FE4" s="3" t="s">
        <v>454</v>
      </c>
      <c r="FF4" s="3" t="s">
        <v>511</v>
      </c>
      <c r="FG4" s="3" t="s">
        <v>455</v>
      </c>
      <c r="FH4" s="3" t="s">
        <v>512</v>
      </c>
      <c r="FI4" s="3" t="s">
        <v>456</v>
      </c>
    </row>
    <row r="5" spans="1:165" ht="34" x14ac:dyDescent="0.2">
      <c r="A5" s="6">
        <v>24001</v>
      </c>
      <c r="B5" s="5" t="s">
        <v>116</v>
      </c>
      <c r="C5" s="5"/>
      <c r="D5" s="5" t="s">
        <v>115</v>
      </c>
      <c r="E5" s="6">
        <v>4855</v>
      </c>
      <c r="F5" s="6">
        <v>7190</v>
      </c>
      <c r="G5" s="6">
        <f>SUM(E5:F5)</f>
        <v>12045</v>
      </c>
      <c r="H5" s="6"/>
      <c r="J5" s="7">
        <v>4.0099999999999997E-2</v>
      </c>
      <c r="L5" s="7">
        <v>0.29522623495226236</v>
      </c>
      <c r="N5" s="7">
        <v>0.69</v>
      </c>
      <c r="P5" s="7">
        <v>0.22814445828144458</v>
      </c>
      <c r="R5" s="7">
        <v>5.9700000000000003E-2</v>
      </c>
      <c r="T5" s="7">
        <v>6.2266500622665004E-3</v>
      </c>
      <c r="V5" s="7">
        <v>2.8999999999999998E-3</v>
      </c>
      <c r="X5" s="7">
        <v>0.1672063096720631</v>
      </c>
      <c r="Z5" s="7">
        <v>4.6399999999999997E-2</v>
      </c>
      <c r="AB5" s="7">
        <v>0.17409713574097135</v>
      </c>
      <c r="AD5" s="7">
        <v>0.161</v>
      </c>
      <c r="AE5" s="6"/>
      <c r="AF5" s="6"/>
      <c r="AG5" s="6"/>
      <c r="AH5" s="6">
        <v>7070</v>
      </c>
      <c r="AI5" s="6">
        <v>5938</v>
      </c>
      <c r="AJ5" s="6">
        <v>7000</v>
      </c>
      <c r="AK5" s="6">
        <v>6700</v>
      </c>
      <c r="AL5" s="6">
        <v>500</v>
      </c>
      <c r="AM5" s="6"/>
      <c r="AN5" s="6"/>
      <c r="AO5" s="6">
        <v>234</v>
      </c>
      <c r="AP5" s="6">
        <v>72</v>
      </c>
      <c r="AQ5" s="6">
        <v>72</v>
      </c>
      <c r="AR5" s="6">
        <v>0</v>
      </c>
      <c r="AS5" s="6">
        <v>2226</v>
      </c>
      <c r="AT5" s="6">
        <v>2031</v>
      </c>
      <c r="AU5" s="6">
        <v>25</v>
      </c>
      <c r="AV5" s="6">
        <v>25</v>
      </c>
      <c r="AW5" s="6" t="s">
        <v>117</v>
      </c>
      <c r="AX5" s="6"/>
      <c r="AY5" s="9" t="s">
        <v>118</v>
      </c>
      <c r="AZ5" s="6"/>
      <c r="BA5" s="8">
        <v>15839.6535767353</v>
      </c>
      <c r="BB5" s="6"/>
      <c r="BC5" s="6"/>
      <c r="BD5" s="6"/>
      <c r="BE5" s="8">
        <v>36847.060284440668</v>
      </c>
      <c r="BF5" s="6"/>
      <c r="BG5" s="6"/>
      <c r="BH5" s="6"/>
      <c r="BI5" s="8">
        <v>29507.811313946084</v>
      </c>
      <c r="BJ5" s="6"/>
      <c r="BK5" s="6"/>
      <c r="BL5" s="6"/>
      <c r="BM5" s="8">
        <v>54902.419868393124</v>
      </c>
      <c r="BN5" s="6"/>
      <c r="BO5" s="6"/>
      <c r="BP5" s="6"/>
      <c r="BQ5" s="8">
        <v>378414.93738059857</v>
      </c>
      <c r="BR5" s="6"/>
      <c r="BS5" s="6"/>
      <c r="BT5" s="6"/>
      <c r="BU5" s="6"/>
      <c r="BV5" s="6"/>
      <c r="BW5" s="6"/>
      <c r="BX5" s="6"/>
      <c r="BY5" s="8">
        <v>4584303.1203566119</v>
      </c>
      <c r="BZ5" s="6"/>
      <c r="CA5" s="6"/>
      <c r="CB5" s="6"/>
      <c r="CC5" s="8">
        <v>1335.1814901294842</v>
      </c>
      <c r="CD5" s="8"/>
      <c r="CE5" s="6"/>
      <c r="CF5" s="6"/>
      <c r="CG5" s="6"/>
      <c r="CH5" s="8">
        <v>22132439.87900658</v>
      </c>
      <c r="CI5" s="6"/>
      <c r="CJ5" s="6"/>
      <c r="CK5" s="6"/>
      <c r="CL5" s="6">
        <v>1500</v>
      </c>
      <c r="CM5" s="6">
        <v>1500</v>
      </c>
      <c r="CN5" s="6"/>
      <c r="CO5" s="6"/>
      <c r="CP5" s="6"/>
      <c r="CQ5" s="6"/>
      <c r="CR5" s="6"/>
      <c r="CS5" s="6"/>
      <c r="CT5" s="6" t="s">
        <v>120</v>
      </c>
      <c r="CU5" s="6"/>
      <c r="CV5" s="6" t="s">
        <v>121</v>
      </c>
      <c r="CW5" s="6"/>
      <c r="CX5" s="6">
        <v>9851056975</v>
      </c>
      <c r="CY5" s="6" t="s">
        <v>122</v>
      </c>
      <c r="CZ5" s="6"/>
      <c r="DA5" s="6" t="s">
        <v>123</v>
      </c>
      <c r="DB5" s="6"/>
      <c r="DC5" s="9">
        <v>9860936366</v>
      </c>
      <c r="DD5" s="6" t="s">
        <v>124</v>
      </c>
      <c r="DE5" s="6"/>
      <c r="DF5" s="6" t="s">
        <v>125</v>
      </c>
      <c r="DG5" s="6"/>
      <c r="DH5" s="6">
        <v>9851049487</v>
      </c>
      <c r="DI5" s="6" t="s">
        <v>126</v>
      </c>
      <c r="DJ5" s="6"/>
      <c r="DK5" s="6" t="s">
        <v>127</v>
      </c>
      <c r="DL5" s="6"/>
      <c r="DM5" s="6">
        <v>9851146403</v>
      </c>
      <c r="DN5" s="6" t="s">
        <v>129</v>
      </c>
      <c r="DO5" s="6"/>
      <c r="DP5" s="6" t="s">
        <v>130</v>
      </c>
      <c r="DQ5" s="6"/>
      <c r="DR5" s="6">
        <v>9851090449</v>
      </c>
      <c r="DS5" s="6" t="s">
        <v>475</v>
      </c>
      <c r="DT5" s="6"/>
      <c r="DU5" s="6" t="s">
        <v>447</v>
      </c>
      <c r="DV5" s="6"/>
      <c r="DW5" s="6"/>
      <c r="DX5" s="6">
        <v>50</v>
      </c>
      <c r="DY5" s="6">
        <v>50</v>
      </c>
      <c r="DZ5" s="6">
        <v>50</v>
      </c>
      <c r="EA5" s="6">
        <v>5000</v>
      </c>
      <c r="EB5" s="6">
        <v>6000</v>
      </c>
      <c r="EC5" s="6">
        <v>100</v>
      </c>
      <c r="ED5" s="6"/>
      <c r="EE5" s="6"/>
      <c r="EF5" s="6"/>
      <c r="EG5" s="6"/>
      <c r="EH5" s="6"/>
      <c r="EI5" s="6"/>
      <c r="EJ5" s="6"/>
      <c r="EK5" s="6"/>
      <c r="EL5" s="6"/>
      <c r="EM5" s="6"/>
      <c r="EN5" s="10">
        <v>456</v>
      </c>
      <c r="EO5" s="11">
        <v>56</v>
      </c>
      <c r="EP5" s="11">
        <f>EN5-EO5</f>
        <v>400</v>
      </c>
      <c r="EQ5" s="10">
        <v>653</v>
      </c>
      <c r="ER5" s="11">
        <v>2</v>
      </c>
      <c r="ES5" s="11">
        <f>EQ5-ER5</f>
        <v>651</v>
      </c>
      <c r="ET5" s="6">
        <v>1</v>
      </c>
      <c r="EU5" s="6"/>
      <c r="EV5" s="6"/>
      <c r="EW5" s="6"/>
      <c r="EX5" s="6"/>
      <c r="EY5" s="6"/>
      <c r="EZ5" s="6"/>
      <c r="FA5" s="6"/>
      <c r="FB5" s="6"/>
      <c r="FC5" s="6"/>
    </row>
    <row r="6" spans="1:165" ht="34" x14ac:dyDescent="0.2">
      <c r="A6" s="6">
        <v>24002</v>
      </c>
      <c r="B6" s="5" t="s">
        <v>131</v>
      </c>
      <c r="C6" s="5"/>
      <c r="D6" s="5" t="s">
        <v>115</v>
      </c>
      <c r="E6" s="6">
        <v>738</v>
      </c>
      <c r="F6" s="6">
        <v>3925</v>
      </c>
      <c r="G6" s="6">
        <f t="shared" ref="G6:G17" si="0">SUM(E6:F6)</f>
        <v>4663</v>
      </c>
      <c r="H6" s="7">
        <v>8.5781685610122243E-4</v>
      </c>
      <c r="J6" s="7">
        <v>4.0099999999999997E-2</v>
      </c>
      <c r="L6" s="7">
        <v>0.89127171348917011</v>
      </c>
      <c r="N6" s="7">
        <v>0.69</v>
      </c>
      <c r="P6" s="7">
        <v>4.2890842805061117E-3</v>
      </c>
      <c r="R6" s="7">
        <v>5.9700000000000003E-2</v>
      </c>
      <c r="T6" s="7">
        <v>6.4336264207591682E-4</v>
      </c>
      <c r="V6" s="7">
        <v>2.8999999999999998E-3</v>
      </c>
      <c r="X6" s="7">
        <v>2.3589963542783618E-3</v>
      </c>
      <c r="Z6" s="7">
        <v>4.6399999999999997E-2</v>
      </c>
      <c r="AB6" s="7">
        <v>0.10057902637786832</v>
      </c>
      <c r="AD6" s="7">
        <v>0.161</v>
      </c>
      <c r="AE6" s="6"/>
      <c r="AF6" s="6"/>
      <c r="AG6" s="6"/>
      <c r="AH6" s="6">
        <v>4377</v>
      </c>
      <c r="AI6" s="6">
        <v>3391</v>
      </c>
      <c r="AJ6" s="6">
        <v>3391</v>
      </c>
      <c r="AK6" s="6">
        <v>2503</v>
      </c>
      <c r="AL6" s="6">
        <v>1176</v>
      </c>
      <c r="AM6" s="6"/>
      <c r="AN6" s="6"/>
      <c r="AO6" s="6">
        <v>553</v>
      </c>
      <c r="AP6" s="6">
        <v>54</v>
      </c>
      <c r="AQ6" s="6">
        <v>54</v>
      </c>
      <c r="AR6" s="6">
        <v>0</v>
      </c>
      <c r="AS6" s="6">
        <v>1202</v>
      </c>
      <c r="AT6" s="6">
        <v>1202</v>
      </c>
      <c r="AU6" s="6">
        <v>4</v>
      </c>
      <c r="AV6" s="6">
        <v>4</v>
      </c>
      <c r="AW6" s="6" t="s">
        <v>132</v>
      </c>
      <c r="AX6" s="6"/>
      <c r="AY6" s="9" t="s">
        <v>133</v>
      </c>
      <c r="AZ6" s="6"/>
      <c r="BA6" s="8">
        <v>9227.1275362318847</v>
      </c>
      <c r="BB6" s="6"/>
      <c r="BC6" s="6"/>
      <c r="BD6" s="6"/>
      <c r="BE6" s="8">
        <v>12089.595652173914</v>
      </c>
      <c r="BF6" s="6"/>
      <c r="BG6" s="6"/>
      <c r="BH6" s="6"/>
      <c r="BI6" s="8">
        <v>10382.668260869566</v>
      </c>
      <c r="BJ6" s="6"/>
      <c r="BK6" s="6"/>
      <c r="BL6" s="6"/>
      <c r="BM6" s="8">
        <v>134719.71014492755</v>
      </c>
      <c r="BN6" s="6"/>
      <c r="BO6" s="6"/>
      <c r="BP6" s="6"/>
      <c r="BQ6" s="8">
        <v>122250.97101449277</v>
      </c>
      <c r="BR6" s="6"/>
      <c r="BS6" s="6"/>
      <c r="BT6" s="6"/>
      <c r="BU6" s="6"/>
      <c r="BV6" s="6"/>
      <c r="BW6" s="6"/>
      <c r="BX6" s="6"/>
      <c r="BY6" s="8">
        <v>1614291.3043478262</v>
      </c>
      <c r="BZ6" s="6"/>
      <c r="CA6" s="6"/>
      <c r="CB6" s="6"/>
      <c r="CC6" s="8">
        <v>5836.985507246377</v>
      </c>
      <c r="CD6" s="8"/>
      <c r="CE6" s="6"/>
      <c r="CF6" s="6"/>
      <c r="CG6" s="6"/>
      <c r="CH6" s="8">
        <v>22780177.927536231</v>
      </c>
      <c r="CI6" s="6"/>
      <c r="CJ6" s="6"/>
      <c r="CK6" s="6"/>
      <c r="CL6" s="6">
        <v>1500</v>
      </c>
      <c r="CM6" s="6">
        <v>800</v>
      </c>
      <c r="CN6" s="6"/>
      <c r="CO6" s="6"/>
      <c r="CP6" s="6"/>
      <c r="CQ6" s="6"/>
      <c r="CR6" s="6"/>
      <c r="CS6" s="6"/>
      <c r="CT6" s="6" t="s">
        <v>134</v>
      </c>
      <c r="CU6" s="6"/>
      <c r="CV6" s="6" t="s">
        <v>121</v>
      </c>
      <c r="CW6" s="6"/>
      <c r="CX6" s="6">
        <v>9851099511</v>
      </c>
      <c r="CY6" s="6" t="s">
        <v>135</v>
      </c>
      <c r="CZ6" s="6"/>
      <c r="DA6" s="6" t="s">
        <v>123</v>
      </c>
      <c r="DB6" s="6"/>
      <c r="DC6" s="9">
        <v>9841447532</v>
      </c>
      <c r="DD6" s="6" t="s">
        <v>136</v>
      </c>
      <c r="DE6" s="6"/>
      <c r="DF6" s="6" t="s">
        <v>125</v>
      </c>
      <c r="DG6" s="6"/>
      <c r="DH6" s="6">
        <v>9851154211</v>
      </c>
      <c r="DI6" s="6" t="s">
        <v>126</v>
      </c>
      <c r="DJ6" s="6"/>
      <c r="DK6" s="6" t="s">
        <v>127</v>
      </c>
      <c r="DL6" s="6"/>
      <c r="DM6" s="6">
        <v>9851146403</v>
      </c>
      <c r="DN6" s="6" t="s">
        <v>129</v>
      </c>
      <c r="DO6" s="6"/>
      <c r="DP6" s="6" t="s">
        <v>130</v>
      </c>
      <c r="DQ6" s="6"/>
      <c r="DR6" s="6">
        <v>9851090449</v>
      </c>
      <c r="DS6" s="6" t="s">
        <v>475</v>
      </c>
      <c r="DT6" s="6"/>
      <c r="DU6" s="6" t="s">
        <v>447</v>
      </c>
      <c r="DV6" s="6"/>
      <c r="DW6" s="6"/>
      <c r="DX6" s="6"/>
      <c r="DY6" s="6"/>
      <c r="DZ6" s="6"/>
      <c r="EA6" s="6"/>
      <c r="EB6" s="6"/>
      <c r="EC6" s="6"/>
      <c r="ED6" s="6">
        <v>6</v>
      </c>
      <c r="EE6" s="6"/>
      <c r="EF6" s="6">
        <v>2</v>
      </c>
      <c r="EG6" s="6">
        <v>4</v>
      </c>
      <c r="EH6" s="6">
        <v>3</v>
      </c>
      <c r="EI6" s="6">
        <v>4</v>
      </c>
      <c r="EJ6" s="6">
        <v>300</v>
      </c>
      <c r="EK6" s="6">
        <v>100</v>
      </c>
      <c r="EL6" s="6"/>
      <c r="EM6" s="6"/>
      <c r="EN6" s="10">
        <v>261</v>
      </c>
      <c r="EO6" s="10">
        <v>306</v>
      </c>
      <c r="EP6" s="11">
        <v>45</v>
      </c>
      <c r="EQ6" s="11">
        <v>378</v>
      </c>
      <c r="ER6" s="11">
        <v>0</v>
      </c>
      <c r="ES6" s="11">
        <f t="shared" ref="ES6:ES17" si="1">EQ6-ER6</f>
        <v>378</v>
      </c>
      <c r="ET6" s="6"/>
      <c r="EU6" s="6"/>
      <c r="EV6" s="6"/>
      <c r="EW6" s="6"/>
      <c r="EX6" s="6"/>
      <c r="EY6" s="6"/>
      <c r="EZ6" s="6"/>
      <c r="FA6" s="6"/>
      <c r="FB6" s="6"/>
      <c r="FC6" s="6"/>
    </row>
    <row r="7" spans="1:165" ht="34" x14ac:dyDescent="0.2">
      <c r="A7" s="6">
        <v>24003</v>
      </c>
      <c r="B7" s="5" t="s">
        <v>137</v>
      </c>
      <c r="C7" s="5"/>
      <c r="D7" s="5" t="s">
        <v>115</v>
      </c>
      <c r="E7" s="6">
        <v>254</v>
      </c>
      <c r="F7" s="6">
        <v>5897</v>
      </c>
      <c r="G7" s="6">
        <f t="shared" si="0"/>
        <v>6151</v>
      </c>
      <c r="H7" s="7">
        <v>8.128759551292473E-4</v>
      </c>
      <c r="J7" s="7">
        <v>4.0099999999999997E-2</v>
      </c>
      <c r="L7" s="7">
        <v>0.97008616485124366</v>
      </c>
      <c r="N7" s="7">
        <v>0.69</v>
      </c>
      <c r="P7" s="7">
        <v>1.2680864900016258E-2</v>
      </c>
      <c r="R7" s="7">
        <v>5.9700000000000003E-2</v>
      </c>
      <c r="T7" s="7">
        <v>6.5030076410339777E-4</v>
      </c>
      <c r="V7" s="7">
        <v>2.8999999999999998E-3</v>
      </c>
      <c r="X7" s="7">
        <v>1.0079661843602667E-2</v>
      </c>
      <c r="Z7" s="7">
        <v>4.6399999999999997E-2</v>
      </c>
      <c r="AB7" s="7">
        <v>5.6901316859047308E-3</v>
      </c>
      <c r="AD7" s="7">
        <v>0.161</v>
      </c>
      <c r="AE7" s="6"/>
      <c r="AF7" s="6"/>
      <c r="AG7" s="6"/>
      <c r="AH7" s="6">
        <v>6203</v>
      </c>
      <c r="AI7" s="6">
        <v>5410</v>
      </c>
      <c r="AJ7" s="6">
        <v>5410</v>
      </c>
      <c r="AK7" s="6">
        <v>4645</v>
      </c>
      <c r="AL7" s="6">
        <v>3156</v>
      </c>
      <c r="AM7" s="6"/>
      <c r="AN7" s="6"/>
      <c r="AO7" s="6">
        <v>88</v>
      </c>
      <c r="AP7" s="6">
        <v>9</v>
      </c>
      <c r="AQ7" s="6">
        <v>9</v>
      </c>
      <c r="AR7" s="6">
        <v>0</v>
      </c>
      <c r="AS7" s="6">
        <v>1038</v>
      </c>
      <c r="AT7" s="6">
        <v>971</v>
      </c>
      <c r="AU7" s="6"/>
      <c r="AV7" s="6"/>
      <c r="AW7" s="6" t="s">
        <v>138</v>
      </c>
      <c r="AX7" s="6"/>
      <c r="AY7" s="9" t="s">
        <v>139</v>
      </c>
      <c r="AZ7" s="6"/>
      <c r="BA7" s="12">
        <v>19712.657664233579</v>
      </c>
      <c r="BB7" s="6" t="s">
        <v>140</v>
      </c>
      <c r="BC7" s="6"/>
      <c r="BD7" s="13">
        <v>3000</v>
      </c>
      <c r="BE7" s="12">
        <v>29797.94854014599</v>
      </c>
      <c r="BF7" s="6" t="s">
        <v>141</v>
      </c>
      <c r="BG7" s="6"/>
      <c r="BH7" s="13">
        <v>5000</v>
      </c>
      <c r="BI7" s="12">
        <v>25063.671131386865</v>
      </c>
      <c r="BJ7" s="13"/>
      <c r="BK7" s="13"/>
      <c r="BL7" s="13"/>
      <c r="BM7" s="8">
        <v>244307.37226277374</v>
      </c>
      <c r="BN7" s="6"/>
      <c r="BO7" s="6"/>
      <c r="BP7" s="6"/>
      <c r="BQ7" s="8">
        <v>302753.58759124094</v>
      </c>
      <c r="BR7" s="6"/>
      <c r="BS7" s="6"/>
      <c r="BT7" s="6"/>
      <c r="BU7" s="14">
        <v>98363</v>
      </c>
      <c r="BV7" s="6" t="s">
        <v>141</v>
      </c>
      <c r="BW7" s="6"/>
      <c r="BX7" s="13">
        <v>1100</v>
      </c>
      <c r="BY7" s="12">
        <v>3896008.3941605845</v>
      </c>
      <c r="BZ7" s="6" t="s">
        <v>141</v>
      </c>
      <c r="CA7" s="6"/>
      <c r="CB7" s="13">
        <v>100</v>
      </c>
      <c r="CC7" s="12">
        <v>10327.649635036498</v>
      </c>
      <c r="CD7" s="12"/>
      <c r="CE7" s="6"/>
      <c r="CF7" s="6"/>
      <c r="CG7" s="6"/>
      <c r="CH7" s="12">
        <v>44480249.208029203</v>
      </c>
      <c r="CI7" s="6"/>
      <c r="CJ7" s="6"/>
      <c r="CK7" s="6"/>
      <c r="CL7" s="13">
        <v>1200</v>
      </c>
      <c r="CM7" s="13">
        <v>1000</v>
      </c>
      <c r="CN7" s="6"/>
      <c r="CO7" s="6"/>
      <c r="CP7" s="6"/>
      <c r="CQ7" s="6"/>
      <c r="CR7" s="6"/>
      <c r="CS7" s="6"/>
      <c r="CT7" s="6" t="s">
        <v>142</v>
      </c>
      <c r="CU7" s="6"/>
      <c r="CV7" s="6" t="s">
        <v>121</v>
      </c>
      <c r="CW7" s="6"/>
      <c r="CX7" s="6">
        <v>9851084008</v>
      </c>
      <c r="CY7" s="6" t="s">
        <v>143</v>
      </c>
      <c r="CZ7" s="6"/>
      <c r="DA7" s="6" t="s">
        <v>123</v>
      </c>
      <c r="DB7" s="6"/>
      <c r="DC7" s="9">
        <v>9841648772</v>
      </c>
      <c r="DD7" s="6" t="s">
        <v>144</v>
      </c>
      <c r="DE7" s="6"/>
      <c r="DF7" s="6" t="s">
        <v>125</v>
      </c>
      <c r="DG7" s="6"/>
      <c r="DH7" s="6">
        <v>9841831427</v>
      </c>
      <c r="DI7" s="6" t="s">
        <v>126</v>
      </c>
      <c r="DJ7" s="6"/>
      <c r="DK7" s="6" t="s">
        <v>127</v>
      </c>
      <c r="DL7" s="6"/>
      <c r="DM7" s="6">
        <v>9851146403</v>
      </c>
      <c r="DN7" s="6" t="s">
        <v>129</v>
      </c>
      <c r="DO7" s="6"/>
      <c r="DP7" s="6" t="s">
        <v>130</v>
      </c>
      <c r="DQ7" s="6"/>
      <c r="DR7" s="6">
        <v>9851090449</v>
      </c>
      <c r="DS7" s="6" t="s">
        <v>475</v>
      </c>
      <c r="DT7" s="6"/>
      <c r="DU7" s="6" t="s">
        <v>447</v>
      </c>
      <c r="DV7" s="6"/>
      <c r="DW7" s="6"/>
      <c r="DX7" s="13">
        <v>80</v>
      </c>
      <c r="DY7" s="13">
        <v>1405</v>
      </c>
      <c r="DZ7" s="13">
        <v>325</v>
      </c>
      <c r="EA7" s="6"/>
      <c r="EB7" s="13">
        <v>150</v>
      </c>
      <c r="EC7" s="13">
        <v>125</v>
      </c>
      <c r="ED7" s="6"/>
      <c r="EE7" s="6"/>
      <c r="EF7" s="6"/>
      <c r="EG7" s="6"/>
      <c r="EH7" s="6"/>
      <c r="EI7" s="6"/>
      <c r="EJ7" s="6"/>
      <c r="EK7" s="6"/>
      <c r="EL7" s="6"/>
      <c r="EM7" s="6"/>
      <c r="EN7" s="10">
        <v>417</v>
      </c>
      <c r="EO7" s="10">
        <v>370</v>
      </c>
      <c r="EP7" s="11">
        <f t="shared" ref="EP7:EP17" si="2">EN7-EO7</f>
        <v>47</v>
      </c>
      <c r="EQ7" s="10">
        <v>599</v>
      </c>
      <c r="ER7" s="10">
        <v>8</v>
      </c>
      <c r="ES7" s="11">
        <f t="shared" si="1"/>
        <v>591</v>
      </c>
      <c r="ET7" s="6"/>
      <c r="EU7" s="6"/>
      <c r="EV7" s="6"/>
      <c r="EW7" s="6"/>
      <c r="EX7" s="6"/>
      <c r="EY7" s="6"/>
      <c r="EZ7" s="6"/>
      <c r="FA7" s="6"/>
      <c r="FB7" s="6"/>
      <c r="FC7" s="6"/>
    </row>
    <row r="8" spans="1:165" ht="17" x14ac:dyDescent="0.2">
      <c r="A8" s="6">
        <v>24004</v>
      </c>
      <c r="B8" s="5" t="s">
        <v>145</v>
      </c>
      <c r="C8" s="5"/>
      <c r="D8" s="5" t="s">
        <v>115</v>
      </c>
      <c r="E8" s="6">
        <v>654</v>
      </c>
      <c r="F8" s="6">
        <v>5481</v>
      </c>
      <c r="G8" s="6">
        <f t="shared" si="0"/>
        <v>6135</v>
      </c>
      <c r="H8" s="7">
        <v>1.6299918500407498E-4</v>
      </c>
      <c r="J8" s="7">
        <v>4.0099999999999997E-2</v>
      </c>
      <c r="L8" s="7">
        <v>0.9791361043194784</v>
      </c>
      <c r="N8" s="7">
        <v>0.69</v>
      </c>
      <c r="P8" s="7">
        <v>4.8899755501222489E-4</v>
      </c>
      <c r="R8" s="7">
        <v>5.9700000000000003E-2</v>
      </c>
      <c r="T8" s="7">
        <v>1.3039934800325999E-3</v>
      </c>
      <c r="V8" s="7">
        <v>2.8999999999999998E-3</v>
      </c>
      <c r="X8" s="7">
        <v>9.7799511002444979E-4</v>
      </c>
      <c r="Z8" s="7">
        <v>4.6399999999999997E-2</v>
      </c>
      <c r="AB8" s="7">
        <v>1.7929910350448247E-2</v>
      </c>
      <c r="AD8" s="7">
        <v>0.161</v>
      </c>
      <c r="AE8" s="6"/>
      <c r="AF8" s="6"/>
      <c r="AG8" s="6"/>
      <c r="AH8" s="6">
        <v>6411</v>
      </c>
      <c r="AI8" s="6">
        <v>5039</v>
      </c>
      <c r="AJ8" s="6">
        <v>5039</v>
      </c>
      <c r="AK8" s="6">
        <v>3632</v>
      </c>
      <c r="AL8" s="6">
        <v>1288</v>
      </c>
      <c r="AM8" s="6"/>
      <c r="AN8" s="6"/>
      <c r="AO8" s="6">
        <v>440</v>
      </c>
      <c r="AP8" s="6">
        <v>40</v>
      </c>
      <c r="AQ8" s="6">
        <v>40</v>
      </c>
      <c r="AR8" s="6">
        <v>0</v>
      </c>
      <c r="AS8" s="6">
        <v>1578</v>
      </c>
      <c r="AT8" s="6">
        <v>1517</v>
      </c>
      <c r="AU8" s="6"/>
      <c r="AV8" s="6"/>
      <c r="AW8" s="6" t="s">
        <v>146</v>
      </c>
      <c r="AX8" s="6"/>
      <c r="AY8" s="9" t="s">
        <v>147</v>
      </c>
      <c r="AZ8" s="6"/>
      <c r="BA8" s="12">
        <v>11003.716981132075</v>
      </c>
      <c r="BB8" s="6"/>
      <c r="BC8" s="6"/>
      <c r="BD8" s="6"/>
      <c r="BE8" s="12">
        <v>14146.16037735849</v>
      </c>
      <c r="BF8" s="6"/>
      <c r="BG8" s="6"/>
      <c r="BH8" s="6"/>
      <c r="BI8" s="8">
        <v>12184.87075471698</v>
      </c>
      <c r="BJ8" s="6"/>
      <c r="BK8" s="6"/>
      <c r="BL8" s="6"/>
      <c r="BM8" s="8">
        <v>163630.1886792453</v>
      </c>
      <c r="BN8" s="6"/>
      <c r="BO8" s="6"/>
      <c r="BP8" s="6"/>
      <c r="BQ8" s="8">
        <v>142949.15094339623</v>
      </c>
      <c r="BR8" s="6"/>
      <c r="BS8" s="6"/>
      <c r="BT8" s="6"/>
      <c r="BU8" s="14">
        <v>61968</v>
      </c>
      <c r="BV8" s="6" t="s">
        <v>141</v>
      </c>
      <c r="BW8" s="6"/>
      <c r="BX8" s="6"/>
      <c r="BY8" s="12">
        <v>1894556.6037735848</v>
      </c>
      <c r="BZ8" s="6"/>
      <c r="CA8" s="6"/>
      <c r="CB8" s="6"/>
      <c r="CC8" s="12">
        <v>7107.1698113207549</v>
      </c>
      <c r="CD8" s="12"/>
      <c r="CE8" s="6"/>
      <c r="CF8" s="6"/>
      <c r="CG8" s="6"/>
      <c r="CH8" s="12">
        <v>27452249.150943395</v>
      </c>
      <c r="CI8" s="6"/>
      <c r="CJ8" s="6"/>
      <c r="CK8" s="6"/>
      <c r="CL8" s="13">
        <v>1200</v>
      </c>
      <c r="CM8" s="13">
        <v>1000</v>
      </c>
      <c r="CN8" s="6"/>
      <c r="CO8" s="6"/>
      <c r="CP8" s="6"/>
      <c r="CQ8" s="6"/>
      <c r="CR8" s="6"/>
      <c r="CS8" s="6"/>
      <c r="CT8" s="6" t="s">
        <v>148</v>
      </c>
      <c r="CU8" s="6"/>
      <c r="CV8" s="6" t="s">
        <v>121</v>
      </c>
      <c r="CW8" s="6"/>
      <c r="CX8" s="6">
        <v>9751003030</v>
      </c>
      <c r="CY8" s="6" t="s">
        <v>149</v>
      </c>
      <c r="CZ8" s="6"/>
      <c r="DA8" s="6" t="s">
        <v>123</v>
      </c>
      <c r="DB8" s="6"/>
      <c r="DC8" s="9">
        <v>9865051558</v>
      </c>
      <c r="DD8" s="6" t="s">
        <v>150</v>
      </c>
      <c r="DE8" s="6"/>
      <c r="DF8" s="6" t="s">
        <v>125</v>
      </c>
      <c r="DG8" s="6"/>
      <c r="DH8" s="6">
        <v>9861965095</v>
      </c>
      <c r="DI8" s="6" t="s">
        <v>126</v>
      </c>
      <c r="DJ8" s="6"/>
      <c r="DK8" s="6" t="s">
        <v>127</v>
      </c>
      <c r="DL8" s="6"/>
      <c r="DM8" s="6">
        <v>9851146403</v>
      </c>
      <c r="DN8" s="6" t="s">
        <v>129</v>
      </c>
      <c r="DO8" s="6"/>
      <c r="DP8" s="6" t="s">
        <v>130</v>
      </c>
      <c r="DQ8" s="6"/>
      <c r="DR8" s="6">
        <v>9851090449</v>
      </c>
      <c r="DS8" s="6" t="s">
        <v>475</v>
      </c>
      <c r="DT8" s="6"/>
      <c r="DU8" s="6" t="s">
        <v>447</v>
      </c>
      <c r="DV8" s="6"/>
      <c r="DW8" s="6"/>
      <c r="DX8" s="13">
        <v>63</v>
      </c>
      <c r="DY8" s="6"/>
      <c r="DZ8" s="6"/>
      <c r="EA8" s="6"/>
      <c r="EB8" s="6"/>
      <c r="EC8" s="6"/>
      <c r="ED8" s="6">
        <v>5</v>
      </c>
      <c r="EE8" s="6"/>
      <c r="EF8" s="6">
        <v>9</v>
      </c>
      <c r="EG8" s="6"/>
      <c r="EH8" s="6">
        <v>9</v>
      </c>
      <c r="EI8" s="6"/>
      <c r="EJ8" s="6">
        <v>110</v>
      </c>
      <c r="EK8" s="6">
        <v>0</v>
      </c>
      <c r="EL8" s="6"/>
      <c r="EM8" s="6">
        <v>100</v>
      </c>
      <c r="EN8" s="10">
        <v>396</v>
      </c>
      <c r="EO8" s="10">
        <v>100</v>
      </c>
      <c r="EP8" s="11">
        <f t="shared" si="2"/>
        <v>296</v>
      </c>
      <c r="EQ8" s="10">
        <v>531</v>
      </c>
      <c r="ER8" s="10">
        <v>6</v>
      </c>
      <c r="ES8" s="11">
        <f t="shared" si="1"/>
        <v>525</v>
      </c>
      <c r="ET8" s="6"/>
      <c r="EU8" s="6"/>
      <c r="EV8" s="6"/>
      <c r="EW8" s="6"/>
      <c r="EX8" s="6"/>
      <c r="EY8" s="6"/>
      <c r="EZ8" s="6"/>
      <c r="FA8" s="6"/>
      <c r="FB8" s="6"/>
      <c r="FC8" s="6"/>
    </row>
    <row r="9" spans="1:165" ht="34" x14ac:dyDescent="0.2">
      <c r="A9" s="6">
        <v>24005</v>
      </c>
      <c r="B9" s="5" t="s">
        <v>151</v>
      </c>
      <c r="C9" s="5"/>
      <c r="D9" s="5" t="s">
        <v>115</v>
      </c>
      <c r="E9" s="6">
        <v>2094</v>
      </c>
      <c r="F9" s="6">
        <v>5787</v>
      </c>
      <c r="G9" s="6">
        <f t="shared" si="0"/>
        <v>7881</v>
      </c>
      <c r="H9" s="7">
        <v>6.4078162669711961E-2</v>
      </c>
      <c r="J9" s="7">
        <v>4.0099999999999997E-2</v>
      </c>
      <c r="L9" s="7">
        <v>0.38205811445248067</v>
      </c>
      <c r="N9" s="7">
        <v>0.69</v>
      </c>
      <c r="P9" s="7">
        <v>8.4760817155183354E-2</v>
      </c>
      <c r="R9" s="7">
        <v>5.9700000000000003E-2</v>
      </c>
      <c r="T9" s="7">
        <v>3.6797360741022715E-3</v>
      </c>
      <c r="V9" s="7">
        <v>2.8999999999999998E-3</v>
      </c>
      <c r="X9" s="7">
        <v>9.6561350082476849E-2</v>
      </c>
      <c r="Z9" s="7">
        <v>4.6399999999999997E-2</v>
      </c>
      <c r="AB9" s="7">
        <v>0.36886181956604491</v>
      </c>
      <c r="AD9" s="7">
        <v>0.161</v>
      </c>
      <c r="AE9" s="6"/>
      <c r="AF9" s="6"/>
      <c r="AG9" s="6"/>
      <c r="AH9" s="6">
        <v>5968</v>
      </c>
      <c r="AI9" s="6">
        <v>4795</v>
      </c>
      <c r="AJ9" s="6">
        <v>4795</v>
      </c>
      <c r="AK9" s="6">
        <v>2366</v>
      </c>
      <c r="AL9" s="6">
        <v>1280</v>
      </c>
      <c r="AM9" s="6"/>
      <c r="AN9" s="6"/>
      <c r="AO9" s="6">
        <v>362</v>
      </c>
      <c r="AP9" s="6">
        <v>24</v>
      </c>
      <c r="AQ9" s="6">
        <v>24</v>
      </c>
      <c r="AR9" s="6">
        <v>0</v>
      </c>
      <c r="AS9" s="6">
        <v>2151</v>
      </c>
      <c r="AT9" s="6">
        <v>1919</v>
      </c>
      <c r="AU9" s="6">
        <v>2</v>
      </c>
      <c r="AV9" s="6">
        <v>2</v>
      </c>
      <c r="AW9" s="6"/>
      <c r="AX9" s="6"/>
      <c r="AY9" s="9" t="s">
        <v>152</v>
      </c>
      <c r="AZ9" s="6"/>
      <c r="BA9" s="8">
        <v>14998.497358490564</v>
      </c>
      <c r="BB9" s="6"/>
      <c r="BC9" s="6"/>
      <c r="BD9" s="6"/>
      <c r="BE9" s="8">
        <v>33019.28622641509</v>
      </c>
      <c r="BF9" s="6"/>
      <c r="BG9" s="6"/>
      <c r="BH9" s="6"/>
      <c r="BI9" s="8">
        <v>26582.380132075468</v>
      </c>
      <c r="BJ9" s="6"/>
      <c r="BK9" s="6"/>
      <c r="BL9" s="6"/>
      <c r="BM9" s="8">
        <v>72490.698113207545</v>
      </c>
      <c r="BN9" s="6"/>
      <c r="BO9" s="6"/>
      <c r="BP9" s="6"/>
      <c r="BQ9" s="8">
        <v>338723.41320754716</v>
      </c>
      <c r="BR9" s="6"/>
      <c r="BS9" s="6"/>
      <c r="BT9" s="6"/>
      <c r="BU9" s="6"/>
      <c r="BV9" s="6"/>
      <c r="BW9" s="6"/>
      <c r="BX9" s="6"/>
      <c r="BY9" s="8">
        <v>4130060.7547169807</v>
      </c>
      <c r="BZ9" s="6"/>
      <c r="CA9" s="6"/>
      <c r="CB9" s="6"/>
      <c r="CC9" s="8">
        <v>2273.9698113207546</v>
      </c>
      <c r="CD9" s="8"/>
      <c r="CE9" s="6"/>
      <c r="CF9" s="6"/>
      <c r="CG9" s="6"/>
      <c r="CH9" s="8">
        <v>22930370.903773583</v>
      </c>
      <c r="CI9" s="6"/>
      <c r="CJ9" s="6"/>
      <c r="CK9" s="6"/>
      <c r="CL9" s="6">
        <v>1200</v>
      </c>
      <c r="CM9" s="6">
        <v>800</v>
      </c>
      <c r="CN9" s="6"/>
      <c r="CO9" s="6"/>
      <c r="CP9" s="6"/>
      <c r="CQ9" s="6"/>
      <c r="CR9" s="6"/>
      <c r="CS9" s="6"/>
      <c r="CT9" s="6" t="s">
        <v>153</v>
      </c>
      <c r="CU9" s="6"/>
      <c r="CV9" s="6" t="s">
        <v>121</v>
      </c>
      <c r="CW9" s="6"/>
      <c r="CX9" s="6">
        <v>9851073175</v>
      </c>
      <c r="CY9" s="6" t="s">
        <v>154</v>
      </c>
      <c r="CZ9" s="6"/>
      <c r="DA9" s="6" t="s">
        <v>123</v>
      </c>
      <c r="DB9" s="6"/>
      <c r="DC9" s="6">
        <v>9841578064</v>
      </c>
      <c r="DD9" s="6" t="s">
        <v>155</v>
      </c>
      <c r="DE9" s="6"/>
      <c r="DF9" s="6" t="s">
        <v>125</v>
      </c>
      <c r="DG9" s="6"/>
      <c r="DH9" s="6">
        <v>9851066871</v>
      </c>
      <c r="DI9" s="6" t="s">
        <v>126</v>
      </c>
      <c r="DJ9" s="6"/>
      <c r="DK9" s="6" t="s">
        <v>127</v>
      </c>
      <c r="DL9" s="6"/>
      <c r="DM9" s="6">
        <v>9851146403</v>
      </c>
      <c r="DN9" s="6" t="s">
        <v>129</v>
      </c>
      <c r="DO9" s="6"/>
      <c r="DP9" s="6" t="s">
        <v>130</v>
      </c>
      <c r="DQ9" s="6"/>
      <c r="DR9" s="6">
        <v>9851090449</v>
      </c>
      <c r="DS9" s="6" t="s">
        <v>475</v>
      </c>
      <c r="DT9" s="6"/>
      <c r="DU9" s="6" t="s">
        <v>447</v>
      </c>
      <c r="DV9" s="6"/>
      <c r="DW9" s="6"/>
      <c r="DX9" s="6"/>
      <c r="DY9" s="6"/>
      <c r="DZ9" s="6"/>
      <c r="EA9" s="6"/>
      <c r="EB9" s="6"/>
      <c r="EC9" s="6"/>
      <c r="ED9" s="6"/>
      <c r="EE9" s="6"/>
      <c r="EF9" s="6"/>
      <c r="EG9" s="6"/>
      <c r="EH9" s="6"/>
      <c r="EI9" s="6"/>
      <c r="EJ9" s="6"/>
      <c r="EK9" s="6"/>
      <c r="EL9" s="6"/>
      <c r="EM9" s="6"/>
      <c r="EN9" s="10">
        <v>357</v>
      </c>
      <c r="EO9" s="10">
        <v>70</v>
      </c>
      <c r="EP9" s="11">
        <f t="shared" si="2"/>
        <v>287</v>
      </c>
      <c r="EQ9" s="10">
        <v>521</v>
      </c>
      <c r="ER9" s="10">
        <v>90</v>
      </c>
      <c r="ES9" s="11">
        <f t="shared" si="1"/>
        <v>431</v>
      </c>
      <c r="ET9" s="6"/>
      <c r="EU9" s="6"/>
      <c r="EV9" s="6"/>
      <c r="EW9" s="6"/>
      <c r="EX9" s="6"/>
      <c r="EY9" s="6"/>
      <c r="EZ9" s="6"/>
      <c r="FA9" s="6"/>
      <c r="FB9" s="6"/>
      <c r="FC9" s="6"/>
    </row>
    <row r="10" spans="1:165" ht="17" x14ac:dyDescent="0.2">
      <c r="A10" s="6">
        <v>24006</v>
      </c>
      <c r="B10" s="5" t="s">
        <v>156</v>
      </c>
      <c r="C10" s="5"/>
      <c r="D10" s="5" t="s">
        <v>115</v>
      </c>
      <c r="E10" s="6">
        <v>315</v>
      </c>
      <c r="F10" s="6">
        <v>2431</v>
      </c>
      <c r="G10" s="6">
        <f t="shared" si="0"/>
        <v>2746</v>
      </c>
      <c r="H10" s="7">
        <v>0</v>
      </c>
      <c r="J10" s="7">
        <v>4.0099999999999997E-2</v>
      </c>
      <c r="L10" s="7">
        <v>0.84887108521485799</v>
      </c>
      <c r="N10" s="7">
        <v>0.69</v>
      </c>
      <c r="P10" s="7">
        <v>0</v>
      </c>
      <c r="R10" s="7">
        <v>5.9700000000000003E-2</v>
      </c>
      <c r="T10" s="7">
        <v>4.3699927166788053E-3</v>
      </c>
      <c r="V10" s="7">
        <v>2.8999999999999998E-3</v>
      </c>
      <c r="X10" s="7">
        <v>0</v>
      </c>
      <c r="Z10" s="7">
        <v>4.6399999999999997E-2</v>
      </c>
      <c r="AB10" s="7">
        <v>0.14675892206846322</v>
      </c>
      <c r="AD10" s="7">
        <v>0.161</v>
      </c>
      <c r="AE10" s="6"/>
      <c r="AF10" s="6"/>
      <c r="AG10" s="6"/>
      <c r="AH10" s="6">
        <v>2842</v>
      </c>
      <c r="AI10" s="6">
        <v>2352</v>
      </c>
      <c r="AJ10" s="6">
        <v>2352</v>
      </c>
      <c r="AK10" s="6">
        <v>2065</v>
      </c>
      <c r="AL10" s="6">
        <v>377</v>
      </c>
      <c r="AM10" s="6"/>
      <c r="AN10" s="6"/>
      <c r="AO10" s="6">
        <v>217</v>
      </c>
      <c r="AP10" s="6">
        <v>41</v>
      </c>
      <c r="AQ10" s="6">
        <v>41</v>
      </c>
      <c r="AR10" s="6">
        <v>0</v>
      </c>
      <c r="AS10" s="6">
        <v>683</v>
      </c>
      <c r="AT10" s="6">
        <v>681</v>
      </c>
      <c r="AU10" s="6"/>
      <c r="AV10" s="6"/>
      <c r="AW10" s="6" t="s">
        <v>146</v>
      </c>
      <c r="AX10" s="6"/>
      <c r="AY10" s="9" t="s">
        <v>157</v>
      </c>
      <c r="AZ10" s="6"/>
      <c r="BA10" s="12">
        <v>2253.8461538461538</v>
      </c>
      <c r="BB10" s="6" t="s">
        <v>140</v>
      </c>
      <c r="BC10" s="6"/>
      <c r="BD10" s="13">
        <v>2000</v>
      </c>
      <c r="BE10" s="12">
        <v>2253.8461538461538</v>
      </c>
      <c r="BF10" s="6" t="s">
        <v>140</v>
      </c>
      <c r="BG10" s="6"/>
      <c r="BH10" s="13">
        <v>10000</v>
      </c>
      <c r="BI10" s="12">
        <v>2028.4615384615386</v>
      </c>
      <c r="BJ10" s="13"/>
      <c r="BK10" s="13"/>
      <c r="BL10" s="13"/>
      <c r="BM10" s="8">
        <v>40569.230769230773</v>
      </c>
      <c r="BN10" s="6"/>
      <c r="BO10" s="6"/>
      <c r="BP10" s="6"/>
      <c r="BQ10" s="8">
        <v>22538.461538461539</v>
      </c>
      <c r="BR10" s="6"/>
      <c r="BS10" s="6"/>
      <c r="BT10" s="6"/>
      <c r="BU10" s="14">
        <v>40231</v>
      </c>
      <c r="BV10" s="6" t="s">
        <v>141</v>
      </c>
      <c r="BW10" s="6"/>
      <c r="BX10" s="13">
        <v>1000</v>
      </c>
      <c r="BY10" s="12">
        <v>315538.46153846156</v>
      </c>
      <c r="BZ10" s="6"/>
      <c r="CA10" s="6"/>
      <c r="CB10" s="6"/>
      <c r="CC10" s="12">
        <v>1803.0769230769231</v>
      </c>
      <c r="CD10" s="12"/>
      <c r="CE10" s="6"/>
      <c r="CF10" s="6"/>
      <c r="CG10" s="6"/>
      <c r="CH10" s="12">
        <v>6301753.846153846</v>
      </c>
      <c r="CI10" s="6"/>
      <c r="CJ10" s="6"/>
      <c r="CK10" s="6"/>
      <c r="CL10" s="13"/>
      <c r="CM10" s="13"/>
      <c r="CN10" s="6"/>
      <c r="CO10" s="6"/>
      <c r="CP10" s="6"/>
      <c r="CQ10" s="6"/>
      <c r="CR10" s="6"/>
      <c r="CS10" s="6"/>
      <c r="CT10" s="6" t="s">
        <v>158</v>
      </c>
      <c r="CU10" s="6"/>
      <c r="CV10" s="6" t="s">
        <v>121</v>
      </c>
      <c r="CW10" s="6"/>
      <c r="CX10" s="6">
        <v>9741277731</v>
      </c>
      <c r="CY10" s="6" t="s">
        <v>159</v>
      </c>
      <c r="CZ10" s="6"/>
      <c r="DA10" s="6" t="s">
        <v>123</v>
      </c>
      <c r="DB10" s="6"/>
      <c r="DC10" s="9">
        <v>9621198697</v>
      </c>
      <c r="DD10" s="6" t="s">
        <v>160</v>
      </c>
      <c r="DE10" s="6"/>
      <c r="DF10" s="6" t="s">
        <v>125</v>
      </c>
      <c r="DG10" s="6"/>
      <c r="DH10" s="6">
        <v>9841400343</v>
      </c>
      <c r="DI10" s="6" t="s">
        <v>126</v>
      </c>
      <c r="DJ10" s="6"/>
      <c r="DK10" s="6" t="s">
        <v>127</v>
      </c>
      <c r="DL10" s="6"/>
      <c r="DM10" s="6">
        <v>9851146403</v>
      </c>
      <c r="DN10" s="6" t="s">
        <v>129</v>
      </c>
      <c r="DO10" s="6"/>
      <c r="DP10" s="6" t="s">
        <v>130</v>
      </c>
      <c r="DQ10" s="6"/>
      <c r="DR10" s="6">
        <v>9851090449</v>
      </c>
      <c r="DS10" s="6" t="s">
        <v>475</v>
      </c>
      <c r="DT10" s="6"/>
      <c r="DU10" s="6" t="s">
        <v>447</v>
      </c>
      <c r="DV10" s="6"/>
      <c r="DW10" s="6"/>
      <c r="DX10" s="6"/>
      <c r="DY10" s="6"/>
      <c r="DZ10" s="6"/>
      <c r="EA10" s="6"/>
      <c r="EB10" s="6"/>
      <c r="EC10" s="6"/>
      <c r="ED10" s="6"/>
      <c r="EE10" s="6"/>
      <c r="EF10" s="6"/>
      <c r="EG10" s="6"/>
      <c r="EH10" s="6"/>
      <c r="EI10" s="6"/>
      <c r="EJ10" s="6"/>
      <c r="EK10" s="6"/>
      <c r="EL10" s="6"/>
      <c r="EM10" s="6"/>
      <c r="EN10" s="10">
        <v>171</v>
      </c>
      <c r="EO10" s="10">
        <v>170</v>
      </c>
      <c r="EP10" s="11">
        <f t="shared" si="2"/>
        <v>1</v>
      </c>
      <c r="EQ10" s="10">
        <v>252</v>
      </c>
      <c r="ER10" s="10">
        <v>24</v>
      </c>
      <c r="ES10" s="11">
        <f t="shared" si="1"/>
        <v>228</v>
      </c>
      <c r="ET10" s="6"/>
      <c r="EU10" s="6"/>
      <c r="EV10" s="6"/>
      <c r="EW10" s="6"/>
      <c r="EX10" s="6"/>
      <c r="EY10" s="6"/>
      <c r="EZ10" s="6"/>
      <c r="FA10" s="6"/>
      <c r="FB10" s="6"/>
      <c r="FC10" s="6"/>
    </row>
    <row r="11" spans="1:165" ht="17" x14ac:dyDescent="0.2">
      <c r="A11" s="6">
        <v>24007</v>
      </c>
      <c r="B11" s="5" t="s">
        <v>161</v>
      </c>
      <c r="C11" s="5"/>
      <c r="D11" s="5" t="s">
        <v>115</v>
      </c>
      <c r="E11" s="6">
        <v>643</v>
      </c>
      <c r="F11" s="6">
        <v>2861</v>
      </c>
      <c r="G11" s="6">
        <f t="shared" si="0"/>
        <v>3504</v>
      </c>
      <c r="H11" s="7">
        <v>2.8538812785388126E-4</v>
      </c>
      <c r="J11" s="7">
        <v>4.0099999999999997E-2</v>
      </c>
      <c r="L11" s="7">
        <v>0.94035388127853881</v>
      </c>
      <c r="N11" s="7">
        <v>0.69</v>
      </c>
      <c r="P11" s="7">
        <v>2.8538812785388126E-4</v>
      </c>
      <c r="R11" s="7">
        <v>5.9700000000000003E-2</v>
      </c>
      <c r="T11" s="7">
        <v>0</v>
      </c>
      <c r="V11" s="7">
        <v>2.8999999999999998E-3</v>
      </c>
      <c r="X11" s="7">
        <v>0</v>
      </c>
      <c r="Z11" s="7">
        <v>4.6399999999999997E-2</v>
      </c>
      <c r="AB11" s="7">
        <v>5.9075342465753425E-2</v>
      </c>
      <c r="AD11" s="7">
        <v>0.161</v>
      </c>
      <c r="AE11" s="6"/>
      <c r="AF11" s="6"/>
      <c r="AG11" s="6"/>
      <c r="AH11" s="6">
        <v>2950</v>
      </c>
      <c r="AI11" s="6">
        <v>2495</v>
      </c>
      <c r="AJ11" s="6">
        <v>2495</v>
      </c>
      <c r="AK11" s="6">
        <v>2342</v>
      </c>
      <c r="AL11" s="6">
        <v>996</v>
      </c>
      <c r="AM11" s="6"/>
      <c r="AN11" s="6"/>
      <c r="AO11" s="6">
        <v>220</v>
      </c>
      <c r="AP11" s="6">
        <v>142</v>
      </c>
      <c r="AQ11" s="6">
        <v>142</v>
      </c>
      <c r="AR11" s="6">
        <v>0</v>
      </c>
      <c r="AS11" s="6">
        <v>1075</v>
      </c>
      <c r="AT11" s="6">
        <v>1055</v>
      </c>
      <c r="AU11" s="6"/>
      <c r="AV11" s="6"/>
      <c r="AW11" s="6" t="s">
        <v>146</v>
      </c>
      <c r="AX11" s="6"/>
      <c r="AY11" s="9" t="s">
        <v>162</v>
      </c>
      <c r="AZ11" s="6"/>
      <c r="BA11" s="12">
        <v>1968.3028248587573</v>
      </c>
      <c r="BB11" s="6" t="s">
        <v>140</v>
      </c>
      <c r="BC11" s="6"/>
      <c r="BD11" s="13">
        <v>4000</v>
      </c>
      <c r="BE11" s="12">
        <v>2060.3457627118646</v>
      </c>
      <c r="BF11" s="6" t="s">
        <v>140</v>
      </c>
      <c r="BG11" s="6"/>
      <c r="BH11" s="13">
        <v>7000</v>
      </c>
      <c r="BI11" s="12">
        <v>1838.2989830508477</v>
      </c>
      <c r="BJ11" s="13"/>
      <c r="BK11" s="13"/>
      <c r="BL11" s="13"/>
      <c r="BM11" s="8">
        <v>34420.790960451981</v>
      </c>
      <c r="BN11" s="6"/>
      <c r="BO11" s="6"/>
      <c r="BP11" s="6"/>
      <c r="BQ11" s="8">
        <v>20647.028248587572</v>
      </c>
      <c r="BR11" s="6"/>
      <c r="BS11" s="6"/>
      <c r="BT11" s="6"/>
      <c r="BU11" s="14">
        <v>51653</v>
      </c>
      <c r="BV11" s="6" t="s">
        <v>141</v>
      </c>
      <c r="BW11" s="6"/>
      <c r="BX11" s="13">
        <v>1000</v>
      </c>
      <c r="BY11" s="12">
        <v>285932.20338983054</v>
      </c>
      <c r="BZ11" s="6" t="s">
        <v>141</v>
      </c>
      <c r="CA11" s="6"/>
      <c r="CB11" s="13">
        <v>110</v>
      </c>
      <c r="CC11" s="12">
        <v>1524.9717514124295</v>
      </c>
      <c r="CD11" s="12"/>
      <c r="CE11" s="6"/>
      <c r="CF11" s="6"/>
      <c r="CG11" s="6"/>
      <c r="CH11" s="12">
        <v>5406302.6214689268</v>
      </c>
      <c r="CI11" s="6"/>
      <c r="CJ11" s="6"/>
      <c r="CK11" s="6"/>
      <c r="CL11" s="13">
        <v>1000</v>
      </c>
      <c r="CM11" s="13">
        <v>700</v>
      </c>
      <c r="CN11" s="6"/>
      <c r="CO11" s="6"/>
      <c r="CP11" s="6"/>
      <c r="CQ11" s="6"/>
      <c r="CR11" s="6"/>
      <c r="CS11" s="6"/>
      <c r="CT11" s="6" t="s">
        <v>163</v>
      </c>
      <c r="CU11" s="6"/>
      <c r="CV11" s="6" t="s">
        <v>121</v>
      </c>
      <c r="CW11" s="6"/>
      <c r="CX11" s="6">
        <v>9751009710</v>
      </c>
      <c r="CY11" s="15" t="s">
        <v>164</v>
      </c>
      <c r="CZ11" s="15"/>
      <c r="DA11" s="6" t="s">
        <v>123</v>
      </c>
      <c r="DB11" s="6"/>
      <c r="DC11" s="16">
        <v>9621105710</v>
      </c>
      <c r="DD11" s="6" t="s">
        <v>165</v>
      </c>
      <c r="DE11" s="6"/>
      <c r="DF11" s="6" t="s">
        <v>125</v>
      </c>
      <c r="DG11" s="6"/>
      <c r="DH11" s="6">
        <v>9851227723</v>
      </c>
      <c r="DI11" s="6" t="s">
        <v>126</v>
      </c>
      <c r="DJ11" s="6"/>
      <c r="DK11" s="6" t="s">
        <v>127</v>
      </c>
      <c r="DL11" s="6"/>
      <c r="DM11" s="6">
        <v>9851146403</v>
      </c>
      <c r="DN11" s="6" t="s">
        <v>129</v>
      </c>
      <c r="DO11" s="6"/>
      <c r="DP11" s="6" t="s">
        <v>130</v>
      </c>
      <c r="DQ11" s="6"/>
      <c r="DR11" s="6">
        <v>9851090449</v>
      </c>
      <c r="DS11" s="6" t="s">
        <v>475</v>
      </c>
      <c r="DT11" s="6"/>
      <c r="DU11" s="6" t="s">
        <v>447</v>
      </c>
      <c r="DV11" s="6"/>
      <c r="DW11" s="6"/>
      <c r="DX11" s="6"/>
      <c r="DY11" s="6"/>
      <c r="DZ11" s="13">
        <v>1</v>
      </c>
      <c r="EA11" s="6"/>
      <c r="EB11" s="13">
        <v>17</v>
      </c>
      <c r="EC11" s="6"/>
      <c r="ED11" s="6">
        <v>4</v>
      </c>
      <c r="EE11" s="6">
        <v>4</v>
      </c>
      <c r="EF11" s="6">
        <v>3</v>
      </c>
      <c r="EG11" s="6">
        <v>5</v>
      </c>
      <c r="EH11" s="6">
        <v>2</v>
      </c>
      <c r="EI11" s="6">
        <v>6</v>
      </c>
      <c r="EJ11" s="6">
        <v>200</v>
      </c>
      <c r="EK11" s="6">
        <v>8</v>
      </c>
      <c r="EL11" s="6"/>
      <c r="EM11" s="6">
        <v>7</v>
      </c>
      <c r="EN11" s="10">
        <v>180</v>
      </c>
      <c r="EO11" s="10">
        <v>36</v>
      </c>
      <c r="EP11" s="11">
        <f t="shared" si="2"/>
        <v>144</v>
      </c>
      <c r="EQ11" s="10">
        <v>279</v>
      </c>
      <c r="ER11" s="10">
        <v>190</v>
      </c>
      <c r="ES11" s="11">
        <f t="shared" si="1"/>
        <v>89</v>
      </c>
      <c r="ET11" s="6"/>
      <c r="EU11" s="6"/>
      <c r="EV11" s="6"/>
      <c r="EW11" s="6"/>
      <c r="EX11" s="6"/>
      <c r="EY11" s="6"/>
      <c r="EZ11" s="6"/>
      <c r="FA11" s="6"/>
      <c r="FB11" s="6"/>
      <c r="FC11" s="6"/>
    </row>
    <row r="12" spans="1:165" ht="17" x14ac:dyDescent="0.2">
      <c r="A12" s="6">
        <v>24008</v>
      </c>
      <c r="B12" s="5" t="s">
        <v>166</v>
      </c>
      <c r="C12" s="5"/>
      <c r="D12" s="5" t="s">
        <v>115</v>
      </c>
      <c r="E12" s="6">
        <v>967</v>
      </c>
      <c r="F12" s="6">
        <v>8768</v>
      </c>
      <c r="G12" s="6">
        <f t="shared" si="0"/>
        <v>9735</v>
      </c>
      <c r="H12" s="7">
        <v>1.6743708269131997E-2</v>
      </c>
      <c r="J12" s="7">
        <v>4.0099999999999997E-2</v>
      </c>
      <c r="L12" s="7">
        <v>0.87231638418079094</v>
      </c>
      <c r="N12" s="7">
        <v>0.69</v>
      </c>
      <c r="P12" s="7">
        <v>2.1982537236774524E-2</v>
      </c>
      <c r="R12" s="7">
        <v>3.0999999999999999E-3</v>
      </c>
      <c r="T12" s="7">
        <v>3.0816640986132513E-3</v>
      </c>
      <c r="V12" s="7">
        <v>2.8999999999999998E-3</v>
      </c>
      <c r="X12" s="7">
        <v>3.2768361581920903E-2</v>
      </c>
      <c r="Z12" s="7">
        <v>4.6399999999999997E-2</v>
      </c>
      <c r="AB12" s="7">
        <v>5.3107344632768359E-2</v>
      </c>
      <c r="AD12" s="7">
        <v>0.161</v>
      </c>
      <c r="AE12" s="6"/>
      <c r="AF12" s="6"/>
      <c r="AG12" s="6"/>
      <c r="AH12" s="6">
        <v>9195</v>
      </c>
      <c r="AI12" s="6">
        <v>8002</v>
      </c>
      <c r="AJ12" s="6">
        <v>8002</v>
      </c>
      <c r="AK12" s="6">
        <v>6264</v>
      </c>
      <c r="AL12" s="6">
        <v>3119</v>
      </c>
      <c r="AM12" s="6"/>
      <c r="AN12" s="6"/>
      <c r="AO12" s="6">
        <v>145</v>
      </c>
      <c r="AP12" s="6">
        <v>19</v>
      </c>
      <c r="AQ12" s="6">
        <v>19</v>
      </c>
      <c r="AR12" s="6">
        <v>0</v>
      </c>
      <c r="AS12" s="6">
        <v>2300</v>
      </c>
      <c r="AT12" s="6">
        <v>1762</v>
      </c>
      <c r="AU12" s="6">
        <v>19</v>
      </c>
      <c r="AV12" s="6">
        <v>19</v>
      </c>
      <c r="AW12" s="6" t="s">
        <v>167</v>
      </c>
      <c r="AX12" s="6"/>
      <c r="AY12" s="9" t="s">
        <v>168</v>
      </c>
      <c r="AZ12" s="6"/>
      <c r="BA12" s="8">
        <v>21440.41236093943</v>
      </c>
      <c r="BB12" s="6"/>
      <c r="BC12" s="6"/>
      <c r="BD12" s="6"/>
      <c r="BE12" s="8">
        <v>41518.280840543877</v>
      </c>
      <c r="BF12" s="6"/>
      <c r="BG12" s="6"/>
      <c r="BH12" s="6"/>
      <c r="BI12" s="8">
        <v>33873.616464771323</v>
      </c>
      <c r="BJ12" s="6"/>
      <c r="BK12" s="6"/>
      <c r="BL12" s="6"/>
      <c r="BM12" s="8">
        <v>165902.49690976512</v>
      </c>
      <c r="BN12" s="6"/>
      <c r="BO12" s="6"/>
      <c r="BP12" s="6"/>
      <c r="BQ12" s="8">
        <v>424687.12484548817</v>
      </c>
      <c r="BR12" s="6"/>
      <c r="BS12" s="6"/>
      <c r="BT12" s="6"/>
      <c r="BU12" s="6"/>
      <c r="BV12" s="6"/>
      <c r="BW12" s="6"/>
      <c r="BX12" s="6"/>
      <c r="BY12" s="8">
        <v>5263685.0432632873</v>
      </c>
      <c r="BZ12" s="6"/>
      <c r="CA12" s="6"/>
      <c r="CB12" s="6"/>
      <c r="CC12" s="8">
        <v>6317.4091470951789</v>
      </c>
      <c r="CD12" s="8"/>
      <c r="CE12" s="6"/>
      <c r="CF12" s="6"/>
      <c r="CG12" s="6"/>
      <c r="CH12" s="8">
        <v>38772488.756489493</v>
      </c>
      <c r="CI12" s="6"/>
      <c r="CJ12" s="6"/>
      <c r="CK12" s="6"/>
      <c r="CL12" s="13"/>
      <c r="CM12" s="13"/>
      <c r="CN12" s="6"/>
      <c r="CO12" s="6"/>
      <c r="CP12" s="6"/>
      <c r="CQ12" s="6"/>
      <c r="CR12" s="6"/>
      <c r="CS12" s="6"/>
      <c r="CT12" s="6" t="s">
        <v>169</v>
      </c>
      <c r="CU12" s="6"/>
      <c r="CV12" s="6" t="s">
        <v>121</v>
      </c>
      <c r="CW12" s="6"/>
      <c r="CX12" s="6">
        <v>9851199918</v>
      </c>
      <c r="CY12" s="6" t="s">
        <v>170</v>
      </c>
      <c r="CZ12" s="6"/>
      <c r="DA12" s="6" t="s">
        <v>123</v>
      </c>
      <c r="DB12" s="6"/>
      <c r="DC12" s="9">
        <v>9843445819</v>
      </c>
      <c r="DD12" s="6" t="s">
        <v>171</v>
      </c>
      <c r="DE12" s="6"/>
      <c r="DF12" s="6" t="s">
        <v>125</v>
      </c>
      <c r="DG12" s="6"/>
      <c r="DH12" s="6">
        <v>9851243560</v>
      </c>
      <c r="DI12" s="6" t="s">
        <v>126</v>
      </c>
      <c r="DJ12" s="6"/>
      <c r="DK12" s="6" t="s">
        <v>127</v>
      </c>
      <c r="DL12" s="6"/>
      <c r="DM12" s="6">
        <v>9851146403</v>
      </c>
      <c r="DN12" s="6" t="s">
        <v>129</v>
      </c>
      <c r="DO12" s="6"/>
      <c r="DP12" s="6" t="s">
        <v>130</v>
      </c>
      <c r="DQ12" s="6"/>
      <c r="DR12" s="6">
        <v>9851090449</v>
      </c>
      <c r="DS12" s="6" t="s">
        <v>475</v>
      </c>
      <c r="DT12" s="6"/>
      <c r="DU12" s="6" t="s">
        <v>447</v>
      </c>
      <c r="DV12" s="6"/>
      <c r="DW12" s="6"/>
      <c r="DX12" s="6"/>
      <c r="DY12" s="6"/>
      <c r="DZ12" s="6"/>
      <c r="EA12" s="6"/>
      <c r="EB12" s="6"/>
      <c r="EC12" s="6"/>
      <c r="ED12" s="6"/>
      <c r="EE12" s="6"/>
      <c r="EF12" s="6"/>
      <c r="EG12" s="6"/>
      <c r="EH12" s="6"/>
      <c r="EI12" s="6"/>
      <c r="EJ12" s="6"/>
      <c r="EK12" s="6"/>
      <c r="EL12" s="6"/>
      <c r="EM12" s="6"/>
      <c r="EN12" s="10">
        <v>609</v>
      </c>
      <c r="EO12" s="10">
        <v>402</v>
      </c>
      <c r="EP12" s="11">
        <f t="shared" si="2"/>
        <v>207</v>
      </c>
      <c r="EQ12" s="10">
        <v>886</v>
      </c>
      <c r="ER12" s="10">
        <v>84</v>
      </c>
      <c r="ES12" s="11">
        <f t="shared" si="1"/>
        <v>802</v>
      </c>
      <c r="ET12" s="6"/>
      <c r="EU12" s="6"/>
      <c r="EV12" s="6"/>
      <c r="EW12" s="6"/>
      <c r="EX12" s="6"/>
      <c r="EY12" s="6"/>
      <c r="EZ12" s="6"/>
      <c r="FA12" s="6"/>
      <c r="FB12" s="6"/>
      <c r="FC12" s="6"/>
    </row>
    <row r="13" spans="1:165" ht="34" x14ac:dyDescent="0.2">
      <c r="A13" s="6">
        <v>24009</v>
      </c>
      <c r="B13" s="5" t="s">
        <v>172</v>
      </c>
      <c r="C13" s="5"/>
      <c r="D13" s="5" t="s">
        <v>115</v>
      </c>
      <c r="E13" s="6">
        <v>1209</v>
      </c>
      <c r="F13" s="6">
        <v>7064</v>
      </c>
      <c r="G13" s="6">
        <f t="shared" si="0"/>
        <v>8273</v>
      </c>
      <c r="H13" s="7">
        <v>1.5834642813973166E-2</v>
      </c>
      <c r="J13" s="7">
        <v>4.0099999999999997E-2</v>
      </c>
      <c r="L13" s="7">
        <v>0.72670131753898226</v>
      </c>
      <c r="N13" s="7">
        <v>0.69</v>
      </c>
      <c r="P13" s="7">
        <v>1.7526894717756557E-2</v>
      </c>
      <c r="R13" s="7">
        <v>5.9700000000000003E-2</v>
      </c>
      <c r="T13" s="7">
        <v>1.0878762238607518E-3</v>
      </c>
      <c r="V13" s="7">
        <v>2.8999999999999998E-3</v>
      </c>
      <c r="X13" s="7">
        <v>1.7406019581772028E-2</v>
      </c>
      <c r="Z13" s="7">
        <v>4.6399999999999997E-2</v>
      </c>
      <c r="AB13" s="7">
        <v>0.22144324912365526</v>
      </c>
      <c r="AD13" s="7">
        <v>0.161</v>
      </c>
      <c r="AE13" s="6"/>
      <c r="AF13" s="6"/>
      <c r="AG13" s="6"/>
      <c r="AH13" s="6">
        <v>7593</v>
      </c>
      <c r="AI13" s="6">
        <v>6011</v>
      </c>
      <c r="AJ13" s="6">
        <v>6011</v>
      </c>
      <c r="AK13" s="6">
        <v>2932</v>
      </c>
      <c r="AL13" s="6">
        <v>1289</v>
      </c>
      <c r="AM13" s="6"/>
      <c r="AN13" s="6"/>
      <c r="AO13" s="6">
        <v>672</v>
      </c>
      <c r="AP13" s="6">
        <v>19</v>
      </c>
      <c r="AQ13" s="6">
        <v>19</v>
      </c>
      <c r="AR13" s="6">
        <v>0</v>
      </c>
      <c r="AS13" s="6">
        <v>2814</v>
      </c>
      <c r="AT13" s="6">
        <v>2296</v>
      </c>
      <c r="AU13" s="6">
        <v>16</v>
      </c>
      <c r="AV13" s="6">
        <v>16</v>
      </c>
      <c r="AW13" s="6"/>
      <c r="AX13" s="6"/>
      <c r="AY13" s="9" t="s">
        <v>173</v>
      </c>
      <c r="AZ13" s="6"/>
      <c r="BA13" s="8">
        <v>9692.1434094903343</v>
      </c>
      <c r="BB13" s="6" t="s">
        <v>140</v>
      </c>
      <c r="BC13" s="6"/>
      <c r="BD13" s="6">
        <v>13200</v>
      </c>
      <c r="BE13" s="8">
        <v>17105.986291739893</v>
      </c>
      <c r="BF13" s="6"/>
      <c r="BG13" s="6"/>
      <c r="BH13" s="6"/>
      <c r="BI13" s="8">
        <v>14105.642214411249</v>
      </c>
      <c r="BJ13" s="6"/>
      <c r="BK13" s="6"/>
      <c r="BL13" s="6"/>
      <c r="BM13" s="8">
        <v>93213.391915641463</v>
      </c>
      <c r="BN13" s="6"/>
      <c r="BO13" s="6"/>
      <c r="BP13" s="6"/>
      <c r="BQ13" s="8">
        <v>174569.37434094903</v>
      </c>
      <c r="BR13" s="6"/>
      <c r="BS13" s="6"/>
      <c r="BT13" s="6"/>
      <c r="BU13" s="14">
        <v>52040</v>
      </c>
      <c r="BV13" s="6" t="s">
        <v>140</v>
      </c>
      <c r="BW13" s="6"/>
      <c r="BX13" s="13">
        <v>930</v>
      </c>
      <c r="BY13" s="12">
        <v>2192163.7961335676</v>
      </c>
      <c r="BZ13" s="6" t="s">
        <v>140</v>
      </c>
      <c r="CA13" s="6"/>
      <c r="CB13" s="13">
        <v>240</v>
      </c>
      <c r="CC13" s="8">
        <v>3752.8717047451664</v>
      </c>
      <c r="CD13" s="8"/>
      <c r="CE13" s="6"/>
      <c r="CF13" s="6"/>
      <c r="CG13" s="6"/>
      <c r="CH13" s="8">
        <v>19280304.734622143</v>
      </c>
      <c r="CI13" s="6"/>
      <c r="CJ13" s="6"/>
      <c r="CK13" s="6"/>
      <c r="CL13" s="13">
        <v>1500</v>
      </c>
      <c r="CM13" s="13">
        <v>950</v>
      </c>
      <c r="CN13" s="6"/>
      <c r="CO13" s="6"/>
      <c r="CP13" s="6"/>
      <c r="CQ13" s="6"/>
      <c r="CR13" s="6"/>
      <c r="CS13" s="6"/>
      <c r="CT13" s="6" t="s">
        <v>174</v>
      </c>
      <c r="CU13" s="6"/>
      <c r="CV13" s="6" t="s">
        <v>121</v>
      </c>
      <c r="CW13" s="6"/>
      <c r="CX13" s="6">
        <v>9851149160</v>
      </c>
      <c r="CY13" s="6" t="s">
        <v>175</v>
      </c>
      <c r="CZ13" s="6"/>
      <c r="DA13" s="6" t="s">
        <v>123</v>
      </c>
      <c r="DB13" s="6"/>
      <c r="DC13" s="9">
        <v>9851154222</v>
      </c>
      <c r="DD13" s="6" t="s">
        <v>176</v>
      </c>
      <c r="DE13" s="6"/>
      <c r="DF13" s="6" t="s">
        <v>125</v>
      </c>
      <c r="DG13" s="6"/>
      <c r="DH13" s="6">
        <v>9841912151</v>
      </c>
      <c r="DI13" s="6" t="s">
        <v>126</v>
      </c>
      <c r="DJ13" s="6"/>
      <c r="DK13" s="6" t="s">
        <v>127</v>
      </c>
      <c r="DL13" s="6"/>
      <c r="DM13" s="6">
        <v>9851146403</v>
      </c>
      <c r="DN13" s="6" t="s">
        <v>129</v>
      </c>
      <c r="DO13" s="6"/>
      <c r="DP13" s="6" t="s">
        <v>130</v>
      </c>
      <c r="DQ13" s="6"/>
      <c r="DR13" s="6">
        <v>9851090449</v>
      </c>
      <c r="DS13" s="6" t="s">
        <v>475</v>
      </c>
      <c r="DT13" s="6"/>
      <c r="DU13" s="6" t="s">
        <v>447</v>
      </c>
      <c r="DV13" s="6"/>
      <c r="DW13" s="6"/>
      <c r="DX13" s="13">
        <v>4</v>
      </c>
      <c r="DY13" s="13">
        <v>1</v>
      </c>
      <c r="DZ13" s="13">
        <v>2</v>
      </c>
      <c r="EA13" s="6"/>
      <c r="EB13" s="6"/>
      <c r="EC13" s="13">
        <v>158</v>
      </c>
      <c r="ED13" s="6">
        <v>11</v>
      </c>
      <c r="EE13" s="6"/>
      <c r="EF13" s="6">
        <v>4</v>
      </c>
      <c r="EG13" s="6"/>
      <c r="EH13" s="6">
        <v>1</v>
      </c>
      <c r="EI13" s="6"/>
      <c r="EJ13" s="6"/>
      <c r="EK13" s="6"/>
      <c r="EL13" s="6"/>
      <c r="EM13" s="6"/>
      <c r="EN13" s="10">
        <v>471</v>
      </c>
      <c r="EO13" s="10">
        <v>674</v>
      </c>
      <c r="EP13" s="11">
        <v>203</v>
      </c>
      <c r="EQ13" s="10">
        <v>666</v>
      </c>
      <c r="ER13" s="10">
        <v>20</v>
      </c>
      <c r="ES13" s="11">
        <f t="shared" si="1"/>
        <v>646</v>
      </c>
      <c r="ET13" s="6"/>
      <c r="EU13" s="6"/>
      <c r="EV13" s="6"/>
      <c r="EW13" s="6"/>
      <c r="EX13" s="6"/>
      <c r="EY13" s="6"/>
      <c r="EZ13" s="6"/>
      <c r="FA13" s="6"/>
      <c r="FB13" s="6"/>
      <c r="FC13" s="6"/>
    </row>
    <row r="14" spans="1:165" ht="17" x14ac:dyDescent="0.2">
      <c r="A14" s="6">
        <v>24010</v>
      </c>
      <c r="B14" s="5" t="s">
        <v>177</v>
      </c>
      <c r="C14" s="5"/>
      <c r="D14" s="5" t="s">
        <v>115</v>
      </c>
      <c r="E14" s="6">
        <v>3435</v>
      </c>
      <c r="F14" s="6">
        <v>8850</v>
      </c>
      <c r="G14" s="6">
        <f t="shared" si="0"/>
        <v>12285</v>
      </c>
      <c r="H14" s="7">
        <v>0.10085470085470086</v>
      </c>
      <c r="J14" s="7">
        <v>4.0099999999999997E-2</v>
      </c>
      <c r="L14" s="7">
        <v>0.42116402116402119</v>
      </c>
      <c r="N14" s="7">
        <v>0.69</v>
      </c>
      <c r="P14" s="7">
        <v>0.12153032153032153</v>
      </c>
      <c r="R14" s="7">
        <v>5.9700000000000003E-2</v>
      </c>
      <c r="T14" s="7">
        <v>4.6398046398046398E-3</v>
      </c>
      <c r="V14" s="7">
        <v>2.8999999999999998E-3</v>
      </c>
      <c r="X14" s="7">
        <v>6.7480667480667486E-2</v>
      </c>
      <c r="Z14" s="7">
        <v>4.6399999999999997E-2</v>
      </c>
      <c r="AB14" s="7">
        <v>0.28433048433048436</v>
      </c>
      <c r="AD14" s="7">
        <v>0.161</v>
      </c>
      <c r="AE14" s="6"/>
      <c r="AF14" s="6"/>
      <c r="AG14" s="6"/>
      <c r="AH14" s="6">
        <v>9178</v>
      </c>
      <c r="AI14" s="6">
        <v>7123</v>
      </c>
      <c r="AJ14" s="6">
        <v>7123</v>
      </c>
      <c r="AK14" s="6">
        <v>3924</v>
      </c>
      <c r="AL14" s="6">
        <v>2344</v>
      </c>
      <c r="AM14" s="6"/>
      <c r="AN14" s="6"/>
      <c r="AO14" s="6">
        <v>832</v>
      </c>
      <c r="AP14" s="6">
        <v>2</v>
      </c>
      <c r="AQ14" s="6">
        <v>2</v>
      </c>
      <c r="AR14" s="6">
        <v>0</v>
      </c>
      <c r="AS14" s="6">
        <v>2874</v>
      </c>
      <c r="AT14" s="6">
        <v>2851</v>
      </c>
      <c r="AU14" s="6">
        <v>7</v>
      </c>
      <c r="AV14" s="6">
        <v>7</v>
      </c>
      <c r="AW14" s="6" t="s">
        <v>178</v>
      </c>
      <c r="AX14" s="6"/>
      <c r="AY14" s="9" t="s">
        <v>179</v>
      </c>
      <c r="AZ14" s="6"/>
      <c r="BA14" s="12">
        <v>26137.510319708621</v>
      </c>
      <c r="BB14" s="6" t="s">
        <v>141</v>
      </c>
      <c r="BC14" s="6"/>
      <c r="BD14" s="13">
        <v>5500</v>
      </c>
      <c r="BE14" s="12">
        <v>53287.418454067178</v>
      </c>
      <c r="BF14" s="6" t="s">
        <v>141</v>
      </c>
      <c r="BG14" s="6"/>
      <c r="BH14" s="13">
        <v>9000</v>
      </c>
      <c r="BI14" s="12">
        <v>43235.556495346013</v>
      </c>
      <c r="BJ14" s="13"/>
      <c r="BK14" s="13"/>
      <c r="BL14" s="13"/>
      <c r="BM14" s="8">
        <v>172950.74868474301</v>
      </c>
      <c r="BN14" s="6"/>
      <c r="BO14" s="6"/>
      <c r="BP14" s="6"/>
      <c r="BQ14" s="8">
        <v>545726.21205989481</v>
      </c>
      <c r="BR14" s="6"/>
      <c r="BS14" s="6"/>
      <c r="BT14" s="6"/>
      <c r="BU14" s="14">
        <v>100424</v>
      </c>
      <c r="BV14" s="6" t="s">
        <v>141</v>
      </c>
      <c r="BW14" s="6"/>
      <c r="BX14" s="13">
        <v>1100</v>
      </c>
      <c r="BY14" s="12">
        <v>6718033.9943342768</v>
      </c>
      <c r="BZ14" s="6" t="s">
        <v>141</v>
      </c>
      <c r="CA14" s="6"/>
      <c r="CB14" s="13">
        <v>96</v>
      </c>
      <c r="CC14" s="8">
        <v>6258.6968838526909</v>
      </c>
      <c r="CD14" s="8"/>
      <c r="CE14" s="6"/>
      <c r="CF14" s="6"/>
      <c r="CG14" s="6"/>
      <c r="CH14" s="8">
        <v>44447125.443140432</v>
      </c>
      <c r="CI14" s="6"/>
      <c r="CJ14" s="6"/>
      <c r="CK14" s="6"/>
      <c r="CL14" s="13">
        <v>1200</v>
      </c>
      <c r="CM14" s="13">
        <v>1000</v>
      </c>
      <c r="CN14" s="6"/>
      <c r="CO14" s="6"/>
      <c r="CP14" s="6"/>
      <c r="CQ14" s="6"/>
      <c r="CR14" s="6"/>
      <c r="CS14" s="6"/>
      <c r="CT14" s="6" t="s">
        <v>180</v>
      </c>
      <c r="CU14" s="6"/>
      <c r="CV14" s="6" t="s">
        <v>121</v>
      </c>
      <c r="CW14" s="6"/>
      <c r="CX14" s="6">
        <v>9851169272</v>
      </c>
      <c r="CY14" s="6" t="s">
        <v>181</v>
      </c>
      <c r="CZ14" s="6"/>
      <c r="DA14" s="6" t="s">
        <v>123</v>
      </c>
      <c r="DB14" s="6"/>
      <c r="DC14" s="9">
        <v>9841543139</v>
      </c>
      <c r="DD14" s="6" t="s">
        <v>182</v>
      </c>
      <c r="DE14" s="6"/>
      <c r="DF14" s="6" t="s">
        <v>125</v>
      </c>
      <c r="DG14" s="6"/>
      <c r="DH14" s="6">
        <v>9851195271</v>
      </c>
      <c r="DI14" s="6" t="s">
        <v>126</v>
      </c>
      <c r="DJ14" s="6"/>
      <c r="DK14" s="6" t="s">
        <v>127</v>
      </c>
      <c r="DL14" s="6"/>
      <c r="DM14" s="6">
        <v>9851146403</v>
      </c>
      <c r="DN14" s="6" t="s">
        <v>129</v>
      </c>
      <c r="DO14" s="6"/>
      <c r="DP14" s="6" t="s">
        <v>130</v>
      </c>
      <c r="DQ14" s="6"/>
      <c r="DR14" s="6">
        <v>9851090449</v>
      </c>
      <c r="DS14" s="6" t="s">
        <v>475</v>
      </c>
      <c r="DT14" s="6"/>
      <c r="DU14" s="6" t="s">
        <v>447</v>
      </c>
      <c r="DV14" s="6"/>
      <c r="DW14" s="6"/>
      <c r="DX14" s="13">
        <v>105</v>
      </c>
      <c r="DY14" s="13">
        <v>120</v>
      </c>
      <c r="DZ14" s="13">
        <v>2000</v>
      </c>
      <c r="EA14" s="13">
        <v>20</v>
      </c>
      <c r="EB14" s="13">
        <v>300</v>
      </c>
      <c r="EC14" s="13">
        <v>200</v>
      </c>
      <c r="ED14" s="6">
        <v>12</v>
      </c>
      <c r="EE14" s="6">
        <v>5</v>
      </c>
      <c r="EF14" s="6">
        <v>5</v>
      </c>
      <c r="EG14" s="6">
        <v>6</v>
      </c>
      <c r="EH14" s="6">
        <v>4</v>
      </c>
      <c r="EI14" s="6">
        <v>3</v>
      </c>
      <c r="EJ14" s="6">
        <v>100</v>
      </c>
      <c r="EK14" s="6">
        <v>2</v>
      </c>
      <c r="EL14" s="6"/>
      <c r="EM14" s="6"/>
      <c r="EN14" s="10">
        <v>526</v>
      </c>
      <c r="EO14" s="10">
        <v>460</v>
      </c>
      <c r="EP14" s="11">
        <f t="shared" si="2"/>
        <v>66</v>
      </c>
      <c r="EQ14" s="10">
        <v>759</v>
      </c>
      <c r="ER14" s="11">
        <v>0</v>
      </c>
      <c r="ES14" s="11">
        <f t="shared" si="1"/>
        <v>759</v>
      </c>
      <c r="ET14" s="6"/>
      <c r="EU14" s="6"/>
      <c r="EV14" s="6"/>
      <c r="EW14" s="6"/>
      <c r="EX14" s="6"/>
      <c r="EY14" s="6"/>
      <c r="EZ14" s="6"/>
      <c r="FA14" s="6"/>
      <c r="FB14" s="6"/>
      <c r="FC14" s="6"/>
    </row>
    <row r="15" spans="1:165" ht="51" x14ac:dyDescent="0.2">
      <c r="A15" s="6">
        <v>24011</v>
      </c>
      <c r="B15" s="5" t="s">
        <v>183</v>
      </c>
      <c r="C15" s="5"/>
      <c r="D15" s="5" t="s">
        <v>115</v>
      </c>
      <c r="E15" s="6">
        <v>1721</v>
      </c>
      <c r="F15" s="6">
        <v>9278</v>
      </c>
      <c r="G15" s="6">
        <f t="shared" si="0"/>
        <v>10999</v>
      </c>
      <c r="H15" s="7">
        <v>2.818438039821802E-2</v>
      </c>
      <c r="J15" s="7">
        <v>4.0099999999999997E-2</v>
      </c>
      <c r="L15" s="7">
        <v>0.57496136012364762</v>
      </c>
      <c r="N15" s="7">
        <v>0.69</v>
      </c>
      <c r="P15" s="7">
        <v>4.1185562323847624E-2</v>
      </c>
      <c r="R15" s="7">
        <v>5.9700000000000003E-2</v>
      </c>
      <c r="T15" s="7">
        <v>2.6366033275752342E-3</v>
      </c>
      <c r="V15" s="7">
        <v>2.8999999999999998E-3</v>
      </c>
      <c r="X15" s="7">
        <v>3.4184925902354758E-2</v>
      </c>
      <c r="Z15" s="7">
        <v>4.6399999999999997E-2</v>
      </c>
      <c r="AB15" s="7">
        <v>0.31884716792435674</v>
      </c>
      <c r="AD15" s="7">
        <v>0.161</v>
      </c>
      <c r="AE15" s="6"/>
      <c r="AF15" s="6"/>
      <c r="AG15" s="6"/>
      <c r="AH15" s="6">
        <v>9937</v>
      </c>
      <c r="AI15" s="6">
        <v>8508</v>
      </c>
      <c r="AJ15" s="6">
        <v>8508</v>
      </c>
      <c r="AK15" s="6">
        <v>5541</v>
      </c>
      <c r="AL15" s="6">
        <v>2399</v>
      </c>
      <c r="AM15" s="6"/>
      <c r="AN15" s="6"/>
      <c r="AO15" s="6">
        <v>397</v>
      </c>
      <c r="AP15" s="6">
        <v>66</v>
      </c>
      <c r="AQ15" s="6">
        <v>66</v>
      </c>
      <c r="AR15" s="6">
        <v>0</v>
      </c>
      <c r="AS15" s="6">
        <v>3041</v>
      </c>
      <c r="AT15" s="6">
        <v>2932</v>
      </c>
      <c r="AU15" s="6">
        <v>4</v>
      </c>
      <c r="AV15" s="6">
        <v>4</v>
      </c>
      <c r="AW15" s="6"/>
      <c r="AX15" s="6"/>
      <c r="AY15" s="9" t="s">
        <v>184</v>
      </c>
      <c r="AZ15" s="6"/>
      <c r="BA15" s="8">
        <v>14803.184000000001</v>
      </c>
      <c r="BB15" s="6"/>
      <c r="BC15" s="6"/>
      <c r="BD15" s="6"/>
      <c r="BE15" s="8">
        <v>28014.928</v>
      </c>
      <c r="BF15" s="6"/>
      <c r="BG15" s="6"/>
      <c r="BH15" s="6"/>
      <c r="BI15" s="8">
        <v>22915.060799999999</v>
      </c>
      <c r="BJ15" s="6"/>
      <c r="BK15" s="6"/>
      <c r="BL15" s="6"/>
      <c r="BM15" s="8">
        <v>121675.35999999999</v>
      </c>
      <c r="BN15" s="6"/>
      <c r="BO15" s="6"/>
      <c r="BP15" s="6"/>
      <c r="BQ15" s="8">
        <v>286403.36</v>
      </c>
      <c r="BR15" s="6"/>
      <c r="BS15" s="6"/>
      <c r="BT15" s="6"/>
      <c r="BU15" s="6"/>
      <c r="BV15" s="6"/>
      <c r="BW15" s="6"/>
      <c r="BX15" s="6"/>
      <c r="BY15" s="8">
        <v>3560916.8</v>
      </c>
      <c r="BZ15" s="6"/>
      <c r="CA15" s="6"/>
      <c r="CB15" s="6"/>
      <c r="CC15" s="8">
        <v>4712.8959999999997</v>
      </c>
      <c r="CD15" s="8"/>
      <c r="CE15" s="6"/>
      <c r="CF15" s="6"/>
      <c r="CG15" s="6"/>
      <c r="CH15" s="8">
        <v>27456081.280000001</v>
      </c>
      <c r="CI15" s="6"/>
      <c r="CJ15" s="6"/>
      <c r="CK15" s="6"/>
      <c r="CL15" s="6">
        <v>1400</v>
      </c>
      <c r="CM15" s="6">
        <v>800</v>
      </c>
      <c r="CN15" s="6"/>
      <c r="CO15" s="6"/>
      <c r="CP15" s="6"/>
      <c r="CQ15" s="6"/>
      <c r="CR15" s="6"/>
      <c r="CS15" s="6"/>
      <c r="CT15" s="6" t="s">
        <v>185</v>
      </c>
      <c r="CU15" s="6"/>
      <c r="CV15" s="6" t="s">
        <v>121</v>
      </c>
      <c r="CW15" s="6"/>
      <c r="CX15" s="6">
        <v>9843041788</v>
      </c>
      <c r="CY15" s="6" t="s">
        <v>186</v>
      </c>
      <c r="CZ15" s="6"/>
      <c r="DA15" s="6" t="s">
        <v>123</v>
      </c>
      <c r="DB15" s="6"/>
      <c r="DC15" s="9">
        <v>9841670594</v>
      </c>
      <c r="DD15" s="6" t="s">
        <v>187</v>
      </c>
      <c r="DE15" s="6"/>
      <c r="DF15" s="6" t="s">
        <v>125</v>
      </c>
      <c r="DG15" s="6"/>
      <c r="DH15" s="6">
        <v>9851250031</v>
      </c>
      <c r="DI15" s="6" t="s">
        <v>126</v>
      </c>
      <c r="DJ15" s="6"/>
      <c r="DK15" s="6" t="s">
        <v>127</v>
      </c>
      <c r="DL15" s="6"/>
      <c r="DM15" s="6">
        <v>9851146403</v>
      </c>
      <c r="DN15" s="6" t="s">
        <v>129</v>
      </c>
      <c r="DO15" s="6"/>
      <c r="DP15" s="6" t="s">
        <v>130</v>
      </c>
      <c r="DQ15" s="6"/>
      <c r="DR15" s="6">
        <v>9851090449</v>
      </c>
      <c r="DS15" s="6" t="s">
        <v>475</v>
      </c>
      <c r="DT15" s="6"/>
      <c r="DU15" s="6" t="s">
        <v>447</v>
      </c>
      <c r="DV15" s="6"/>
      <c r="DW15" s="6"/>
      <c r="DX15" s="6"/>
      <c r="DY15" s="6"/>
      <c r="DZ15" s="6"/>
      <c r="EA15" s="6"/>
      <c r="EB15" s="6"/>
      <c r="EC15" s="6"/>
      <c r="ED15" s="6">
        <v>14</v>
      </c>
      <c r="EE15" s="6"/>
      <c r="EF15" s="6">
        <v>2</v>
      </c>
      <c r="EG15" s="6"/>
      <c r="EH15" s="6">
        <v>4</v>
      </c>
      <c r="EI15" s="6"/>
      <c r="EJ15" s="6"/>
      <c r="EK15" s="6"/>
      <c r="EL15" s="6"/>
      <c r="EM15" s="6">
        <v>4</v>
      </c>
      <c r="EN15" s="10">
        <v>626</v>
      </c>
      <c r="EO15" s="10">
        <v>450</v>
      </c>
      <c r="EP15" s="11">
        <f t="shared" si="2"/>
        <v>176</v>
      </c>
      <c r="EQ15" s="10">
        <v>883</v>
      </c>
      <c r="ER15" s="10">
        <v>28</v>
      </c>
      <c r="ES15" s="11">
        <f t="shared" si="1"/>
        <v>855</v>
      </c>
      <c r="ET15" s="6"/>
      <c r="EU15" s="6"/>
      <c r="EV15" s="6"/>
      <c r="EW15" s="6"/>
      <c r="EX15" s="6"/>
      <c r="EY15" s="6"/>
      <c r="EZ15" s="6"/>
      <c r="FA15" s="6"/>
      <c r="FB15" s="6"/>
      <c r="FC15" s="6"/>
    </row>
    <row r="16" spans="1:165" ht="34" x14ac:dyDescent="0.2">
      <c r="A16" s="6">
        <v>24012</v>
      </c>
      <c r="B16" s="5" t="s">
        <v>188</v>
      </c>
      <c r="C16" s="5"/>
      <c r="D16" s="5" t="s">
        <v>115</v>
      </c>
      <c r="E16" s="6">
        <v>1539</v>
      </c>
      <c r="F16" s="6">
        <v>5862</v>
      </c>
      <c r="G16" s="6">
        <f t="shared" si="0"/>
        <v>7401</v>
      </c>
      <c r="H16" s="7">
        <v>1.3511687609782462E-3</v>
      </c>
      <c r="J16" s="7">
        <v>4.0099999999999997E-2</v>
      </c>
      <c r="L16" s="7">
        <v>0.96662613160383737</v>
      </c>
      <c r="N16" s="7">
        <v>0.69</v>
      </c>
      <c r="P16" s="7">
        <v>2.837454398054317E-3</v>
      </c>
      <c r="R16" s="7">
        <v>5.9700000000000003E-2</v>
      </c>
      <c r="T16" s="7">
        <v>1.8916362653695446E-3</v>
      </c>
      <c r="V16" s="7">
        <v>2.8999999999999998E-3</v>
      </c>
      <c r="X16" s="7">
        <v>2.7023375219564923E-3</v>
      </c>
      <c r="Z16" s="7">
        <v>4.6399999999999997E-2</v>
      </c>
      <c r="AB16" s="7">
        <v>2.4591271449804081E-2</v>
      </c>
      <c r="AD16" s="7">
        <v>0.161</v>
      </c>
      <c r="AE16" s="6"/>
      <c r="AF16" s="6"/>
      <c r="AG16" s="6"/>
      <c r="AH16" s="6">
        <v>6262</v>
      </c>
      <c r="AI16" s="6">
        <v>5146</v>
      </c>
      <c r="AJ16" s="6">
        <v>5146</v>
      </c>
      <c r="AK16" s="6">
        <v>3607</v>
      </c>
      <c r="AL16" s="6">
        <v>1388</v>
      </c>
      <c r="AM16" s="6"/>
      <c r="AN16" s="6"/>
      <c r="AO16" s="6">
        <v>662</v>
      </c>
      <c r="AP16" s="6">
        <v>117</v>
      </c>
      <c r="AQ16" s="6">
        <v>117</v>
      </c>
      <c r="AR16" s="6">
        <v>0</v>
      </c>
      <c r="AS16" s="6">
        <v>2257</v>
      </c>
      <c r="AT16" s="6">
        <v>2203</v>
      </c>
      <c r="AU16" s="6"/>
      <c r="AV16" s="6"/>
      <c r="AW16" s="6"/>
      <c r="AX16" s="6"/>
      <c r="AY16" s="9" t="s">
        <v>189</v>
      </c>
      <c r="AZ16" s="6"/>
      <c r="BA16" s="8">
        <v>12284.669918699188</v>
      </c>
      <c r="BB16" s="6"/>
      <c r="BC16" s="6"/>
      <c r="BD16" s="6"/>
      <c r="BE16" s="8">
        <v>18563.226016260167</v>
      </c>
      <c r="BF16" s="6"/>
      <c r="BG16" s="6"/>
      <c r="BH16" s="6"/>
      <c r="BI16" s="8">
        <v>15614.657560975611</v>
      </c>
      <c r="BJ16" s="6"/>
      <c r="BK16" s="6"/>
      <c r="BL16" s="6"/>
      <c r="BM16" s="8">
        <v>152320</v>
      </c>
      <c r="BN16" s="6"/>
      <c r="BO16" s="6"/>
      <c r="BP16" s="6"/>
      <c r="BQ16" s="8">
        <v>188604.35772357724</v>
      </c>
      <c r="BR16" s="6"/>
      <c r="BS16" s="6"/>
      <c r="BT16" s="6"/>
      <c r="BU16" s="6"/>
      <c r="BV16" s="6"/>
      <c r="BW16" s="6"/>
      <c r="BX16" s="6"/>
      <c r="BY16" s="8">
        <v>2427213.0081300815</v>
      </c>
      <c r="BZ16" s="6"/>
      <c r="CA16" s="6"/>
      <c r="CB16" s="6"/>
      <c r="CC16" s="8">
        <v>6439.5447154471549</v>
      </c>
      <c r="CD16" s="8"/>
      <c r="CE16" s="6"/>
      <c r="CF16" s="6"/>
      <c r="CG16" s="6"/>
      <c r="CH16" s="8">
        <v>27726326.634146344</v>
      </c>
      <c r="CI16" s="6"/>
      <c r="CJ16" s="6"/>
      <c r="CK16" s="6"/>
      <c r="CL16" s="6"/>
      <c r="CM16" s="6"/>
      <c r="CN16" s="6"/>
      <c r="CO16" s="6"/>
      <c r="CP16" s="6"/>
      <c r="CQ16" s="6"/>
      <c r="CR16" s="6"/>
      <c r="CS16" s="6"/>
      <c r="CT16" s="6" t="s">
        <v>190</v>
      </c>
      <c r="CU16" s="6"/>
      <c r="CV16" s="6" t="s">
        <v>121</v>
      </c>
      <c r="CW16" s="6"/>
      <c r="CX16" s="6">
        <v>9851023673</v>
      </c>
      <c r="CY16" s="6" t="s">
        <v>191</v>
      </c>
      <c r="CZ16" s="6"/>
      <c r="DA16" s="6" t="s">
        <v>123</v>
      </c>
      <c r="DB16" s="6"/>
      <c r="DC16" s="9">
        <v>9841005964</v>
      </c>
      <c r="DD16" s="6" t="s">
        <v>192</v>
      </c>
      <c r="DE16" s="6"/>
      <c r="DF16" s="6" t="s">
        <v>125</v>
      </c>
      <c r="DG16" s="6"/>
      <c r="DH16" s="6">
        <v>9841344795</v>
      </c>
      <c r="DI16" s="6" t="s">
        <v>126</v>
      </c>
      <c r="DJ16" s="6"/>
      <c r="DK16" s="6" t="s">
        <v>127</v>
      </c>
      <c r="DL16" s="6"/>
      <c r="DM16" s="6">
        <v>9851146403</v>
      </c>
      <c r="DN16" s="6" t="s">
        <v>129</v>
      </c>
      <c r="DO16" s="6"/>
      <c r="DP16" s="6" t="s">
        <v>130</v>
      </c>
      <c r="DQ16" s="6"/>
      <c r="DR16" s="6">
        <v>9851090449</v>
      </c>
      <c r="DS16" s="6" t="s">
        <v>475</v>
      </c>
      <c r="DT16" s="6"/>
      <c r="DU16" s="6" t="s">
        <v>447</v>
      </c>
      <c r="DV16" s="6"/>
      <c r="DW16" s="6"/>
      <c r="DX16" s="6"/>
      <c r="DY16" s="6"/>
      <c r="DZ16" s="6"/>
      <c r="EA16" s="6"/>
      <c r="EB16" s="6"/>
      <c r="EC16" s="6"/>
      <c r="ED16" s="6"/>
      <c r="EE16" s="6"/>
      <c r="EF16" s="6"/>
      <c r="EG16" s="6"/>
      <c r="EH16" s="6"/>
      <c r="EI16" s="6"/>
      <c r="EJ16" s="6"/>
      <c r="EK16" s="6"/>
      <c r="EL16" s="6"/>
      <c r="EM16" s="6"/>
      <c r="EN16" s="10">
        <v>396</v>
      </c>
      <c r="EO16" s="10">
        <v>518</v>
      </c>
      <c r="EP16" s="11">
        <f t="shared" si="2"/>
        <v>-122</v>
      </c>
      <c r="EQ16" s="10">
        <v>567</v>
      </c>
      <c r="ER16" s="10">
        <v>38</v>
      </c>
      <c r="ES16" s="11">
        <f t="shared" si="1"/>
        <v>529</v>
      </c>
      <c r="ET16" s="6"/>
      <c r="EU16" s="6"/>
      <c r="EV16" s="6"/>
      <c r="EW16" s="6"/>
      <c r="EX16" s="6"/>
      <c r="EY16" s="6"/>
      <c r="EZ16" s="6"/>
      <c r="FA16" s="6"/>
      <c r="FB16" s="6"/>
      <c r="FC16" s="6"/>
    </row>
    <row r="17" spans="1:159" ht="17" x14ac:dyDescent="0.2">
      <c r="A17" s="6">
        <v>24013</v>
      </c>
      <c r="B17" s="5" t="s">
        <v>193</v>
      </c>
      <c r="C17" s="5"/>
      <c r="D17" s="5" t="s">
        <v>115</v>
      </c>
      <c r="E17" s="6">
        <v>1632</v>
      </c>
      <c r="F17" s="6">
        <v>4569</v>
      </c>
      <c r="G17" s="6">
        <f t="shared" si="0"/>
        <v>6201</v>
      </c>
      <c r="H17" s="7">
        <v>9.6758587324625057E-4</v>
      </c>
      <c r="J17" s="7">
        <v>4.0099999999999997E-2</v>
      </c>
      <c r="L17" s="7">
        <v>0.99193678438961452</v>
      </c>
      <c r="N17" s="7">
        <v>0.69</v>
      </c>
      <c r="P17" s="7">
        <v>4.8379293662312528E-4</v>
      </c>
      <c r="R17" s="7">
        <v>5.9700000000000003E-2</v>
      </c>
      <c r="T17" s="7">
        <v>1.6126431220770843E-3</v>
      </c>
      <c r="V17" s="7">
        <v>2.8999999999999998E-3</v>
      </c>
      <c r="X17" s="7">
        <v>1.1288501854539591E-3</v>
      </c>
      <c r="Z17" s="7">
        <v>4.6399999999999997E-2</v>
      </c>
      <c r="AB17" s="7">
        <v>3.8703434929850023E-3</v>
      </c>
      <c r="AD17" s="7">
        <v>0.161</v>
      </c>
      <c r="AE17" s="6"/>
      <c r="AF17" s="6"/>
      <c r="AG17" s="6"/>
      <c r="AH17" s="6">
        <v>4847</v>
      </c>
      <c r="AI17" s="6">
        <v>3888</v>
      </c>
      <c r="AJ17" s="6">
        <v>3888</v>
      </c>
      <c r="AK17" s="6">
        <v>2704</v>
      </c>
      <c r="AL17" s="6">
        <v>1266</v>
      </c>
      <c r="AM17" s="6"/>
      <c r="AN17" s="6"/>
      <c r="AO17" s="6">
        <v>597</v>
      </c>
      <c r="AP17" s="6">
        <v>98</v>
      </c>
      <c r="AQ17" s="6">
        <v>98</v>
      </c>
      <c r="AR17" s="6">
        <v>0</v>
      </c>
      <c r="AS17" s="6">
        <v>2101</v>
      </c>
      <c r="AT17" s="6">
        <v>2069</v>
      </c>
      <c r="AU17" s="6"/>
      <c r="AV17" s="6"/>
      <c r="AW17" s="6"/>
      <c r="AX17" s="6"/>
      <c r="AY17" s="9" t="s">
        <v>194</v>
      </c>
      <c r="AZ17" s="6"/>
      <c r="BA17" s="8">
        <v>10073.668141592922</v>
      </c>
      <c r="BB17" s="6"/>
      <c r="BC17" s="6"/>
      <c r="BD17" s="6"/>
      <c r="BE17" s="8">
        <v>11517.646017699115</v>
      </c>
      <c r="BF17" s="6"/>
      <c r="BG17" s="6"/>
      <c r="BH17" s="6"/>
      <c r="BI17" s="8">
        <v>10114.680530973452</v>
      </c>
      <c r="BJ17" s="6"/>
      <c r="BK17" s="6"/>
      <c r="BL17" s="6"/>
      <c r="BM17" s="8">
        <v>165502.07964601772</v>
      </c>
      <c r="BN17" s="6"/>
      <c r="BO17" s="6"/>
      <c r="BP17" s="6"/>
      <c r="BQ17" s="8">
        <v>115860.00000000001</v>
      </c>
      <c r="BR17" s="6"/>
      <c r="BS17" s="6"/>
      <c r="BT17" s="6"/>
      <c r="BU17" s="6"/>
      <c r="BV17" s="6"/>
      <c r="BW17" s="6"/>
      <c r="BX17" s="6"/>
      <c r="BY17" s="8">
        <v>1572996.0176991152</v>
      </c>
      <c r="BZ17" s="6"/>
      <c r="CA17" s="6"/>
      <c r="CB17" s="6"/>
      <c r="CC17" s="8">
        <v>7279.6991150442482</v>
      </c>
      <c r="CD17" s="8"/>
      <c r="CE17" s="6"/>
      <c r="CF17" s="6"/>
      <c r="CG17" s="6"/>
      <c r="CH17" s="8">
        <v>26643100.663716815</v>
      </c>
      <c r="CI17" s="6"/>
      <c r="CJ17" s="6"/>
      <c r="CK17" s="6"/>
      <c r="CL17" s="6">
        <v>1500</v>
      </c>
      <c r="CM17" s="6">
        <v>1000</v>
      </c>
      <c r="CN17" s="6"/>
      <c r="CO17" s="6"/>
      <c r="CP17" s="6"/>
      <c r="CQ17" s="6"/>
      <c r="CR17" s="6"/>
      <c r="CS17" s="6"/>
      <c r="CT17" s="6" t="s">
        <v>195</v>
      </c>
      <c r="CU17" s="6"/>
      <c r="CV17" s="6" t="s">
        <v>121</v>
      </c>
      <c r="CW17" s="6"/>
      <c r="CX17" s="6">
        <v>9851083953</v>
      </c>
      <c r="CY17" s="6" t="s">
        <v>196</v>
      </c>
      <c r="CZ17" s="6"/>
      <c r="DA17" s="6" t="s">
        <v>123</v>
      </c>
      <c r="DB17" s="6"/>
      <c r="DC17" s="9">
        <v>9849482709</v>
      </c>
      <c r="DD17" s="6" t="s">
        <v>197</v>
      </c>
      <c r="DE17" s="6"/>
      <c r="DF17" s="6" t="s">
        <v>125</v>
      </c>
      <c r="DG17" s="6"/>
      <c r="DH17" s="6">
        <v>9841700755</v>
      </c>
      <c r="DI17" s="6" t="s">
        <v>126</v>
      </c>
      <c r="DJ17" s="6"/>
      <c r="DK17" s="6" t="s">
        <v>127</v>
      </c>
      <c r="DL17" s="6"/>
      <c r="DM17" s="6">
        <v>9851146403</v>
      </c>
      <c r="DN17" s="6" t="s">
        <v>129</v>
      </c>
      <c r="DO17" s="6"/>
      <c r="DP17" s="6" t="s">
        <v>130</v>
      </c>
      <c r="DQ17" s="6"/>
      <c r="DR17" s="6">
        <v>9851090449</v>
      </c>
      <c r="DS17" s="6" t="s">
        <v>475</v>
      </c>
      <c r="DT17" s="6"/>
      <c r="DU17" s="6" t="s">
        <v>447</v>
      </c>
      <c r="DV17" s="6"/>
      <c r="DW17" s="6"/>
      <c r="DX17" s="6"/>
      <c r="DY17" s="6"/>
      <c r="DZ17" s="6"/>
      <c r="EA17" s="6"/>
      <c r="EB17" s="6"/>
      <c r="EC17" s="6"/>
      <c r="ED17" s="6">
        <v>7</v>
      </c>
      <c r="EE17" s="6"/>
      <c r="EF17" s="6"/>
      <c r="EG17" s="6"/>
      <c r="EH17" s="6">
        <v>8</v>
      </c>
      <c r="EI17" s="6"/>
      <c r="EJ17" s="6">
        <v>160</v>
      </c>
      <c r="EK17" s="6">
        <v>150</v>
      </c>
      <c r="EL17" s="6"/>
      <c r="EM17" s="6"/>
      <c r="EN17" s="11">
        <v>297</v>
      </c>
      <c r="EO17" s="10">
        <v>157</v>
      </c>
      <c r="EP17" s="11">
        <f t="shared" si="2"/>
        <v>140</v>
      </c>
      <c r="EQ17" s="10">
        <v>432</v>
      </c>
      <c r="ER17" s="11">
        <v>0</v>
      </c>
      <c r="ES17" s="11">
        <f t="shared" si="1"/>
        <v>432</v>
      </c>
      <c r="ET17" s="6"/>
      <c r="EU17" s="6"/>
      <c r="EV17" s="6"/>
      <c r="EW17" s="6"/>
      <c r="EX17" s="6"/>
      <c r="EY17" s="6"/>
      <c r="EZ17" s="6"/>
      <c r="FA17" s="6"/>
      <c r="FB17" s="6"/>
      <c r="FC17" s="6"/>
    </row>
    <row r="23" spans="1:159" x14ac:dyDescent="0.2">
      <c r="Y23" s="21"/>
    </row>
    <row r="24" spans="1:159" x14ac:dyDescent="0.2">
      <c r="Y24" s="21"/>
    </row>
    <row r="25" spans="1:159" x14ac:dyDescent="0.2">
      <c r="Y25" s="21"/>
    </row>
    <row r="26" spans="1:159" x14ac:dyDescent="0.2">
      <c r="Y26" s="21"/>
    </row>
    <row r="27" spans="1:159" x14ac:dyDescent="0.2">
      <c r="Y27" s="21"/>
    </row>
    <row r="28" spans="1:159" x14ac:dyDescent="0.2">
      <c r="Y28" s="21"/>
    </row>
    <row r="29" spans="1:159" x14ac:dyDescent="0.2">
      <c r="Y29" s="21"/>
    </row>
    <row r="30" spans="1:159" x14ac:dyDescent="0.2">
      <c r="Y30" s="21"/>
    </row>
    <row r="31" spans="1:159" x14ac:dyDescent="0.2">
      <c r="Y31" s="21"/>
    </row>
    <row r="32" spans="1:159" x14ac:dyDescent="0.2">
      <c r="Y32" s="21"/>
    </row>
    <row r="33" spans="25:25" x14ac:dyDescent="0.2">
      <c r="Y33" s="21"/>
    </row>
    <row r="36" spans="25:25" x14ac:dyDescent="0.2">
      <c r="Y36" s="21"/>
    </row>
    <row r="37" spans="25:25" x14ac:dyDescent="0.2">
      <c r="Y37" s="21"/>
    </row>
    <row r="38" spans="25:25" x14ac:dyDescent="0.2">
      <c r="Y38" s="21"/>
    </row>
    <row r="39" spans="25:25" x14ac:dyDescent="0.2">
      <c r="Y39" s="21"/>
    </row>
    <row r="40" spans="25:25" x14ac:dyDescent="0.2">
      <c r="Y40" s="21"/>
    </row>
    <row r="41" spans="25:25" x14ac:dyDescent="0.2">
      <c r="Y41" s="21"/>
    </row>
  </sheetData>
  <mergeCells count="10">
    <mergeCell ref="EH3:EM3"/>
    <mergeCell ref="A3:D3"/>
    <mergeCell ref="BV3:CC3"/>
    <mergeCell ref="CE3:DA3"/>
    <mergeCell ref="DC3:DH3"/>
    <mergeCell ref="DI3:DZ3"/>
    <mergeCell ref="EA3:EF3"/>
    <mergeCell ref="AJ3:AK3"/>
    <mergeCell ref="AL3:BU3"/>
    <mergeCell ref="E3:AI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293"/>
  <sheetViews>
    <sheetView topLeftCell="CZ1" workbookViewId="0">
      <selection activeCell="DC14" sqref="DC14"/>
    </sheetView>
  </sheetViews>
  <sheetFormatPr baseColWidth="10" defaultColWidth="11" defaultRowHeight="16" x14ac:dyDescent="0.2"/>
  <cols>
    <col min="1" max="1" width="15.6640625" style="27" bestFit="1" customWidth="1"/>
    <col min="2" max="2" width="36.1640625" style="27" bestFit="1" customWidth="1"/>
    <col min="3" max="3" width="32.6640625" style="27" bestFit="1" customWidth="1"/>
    <col min="4" max="4" width="14" style="27" bestFit="1" customWidth="1"/>
    <col min="5" max="5" width="17.6640625" style="27" customWidth="1"/>
    <col min="6" max="6" width="22" style="27" bestFit="1" customWidth="1"/>
    <col min="7" max="7" width="21.5" style="27" bestFit="1" customWidth="1"/>
    <col min="8" max="8" width="16.6640625" style="27" bestFit="1" customWidth="1"/>
    <col min="9" max="9" width="30.33203125" style="27" bestFit="1" customWidth="1"/>
    <col min="10" max="10" width="28" style="27" bestFit="1" customWidth="1"/>
    <col min="11" max="11" width="27.6640625" style="27" bestFit="1" customWidth="1"/>
    <col min="12" max="12" width="25.5" style="27" bestFit="1" customWidth="1"/>
    <col min="13" max="13" width="29.6640625" style="27" bestFit="1" customWidth="1"/>
    <col min="14" max="14" width="27.33203125" style="27" bestFit="1" customWidth="1"/>
    <col min="15" max="15" width="27.1640625" style="27" bestFit="1" customWidth="1"/>
    <col min="16" max="16" width="24.6640625" style="27" bestFit="1" customWidth="1"/>
    <col min="17" max="17" width="22.6640625" style="27" bestFit="1" customWidth="1"/>
    <col min="18" max="18" width="20.33203125" style="27" bestFit="1" customWidth="1"/>
    <col min="19" max="19" width="19.5" style="27" bestFit="1" customWidth="1"/>
    <col min="20" max="20" width="17.1640625" style="27" bestFit="1" customWidth="1"/>
    <col min="21" max="21" width="25.6640625" style="27" bestFit="1" customWidth="1"/>
    <col min="22" max="22" width="23.33203125" style="27" bestFit="1" customWidth="1"/>
    <col min="23" max="23" width="28.1640625" style="27" bestFit="1" customWidth="1"/>
    <col min="24" max="24" width="25.83203125" style="27" bestFit="1" customWidth="1"/>
    <col min="25" max="25" width="22.6640625" style="27" bestFit="1" customWidth="1"/>
    <col min="26" max="26" width="20.1640625" style="27" bestFit="1" customWidth="1"/>
    <col min="27" max="27" width="19.5" style="27" bestFit="1" customWidth="1"/>
    <col min="28" max="28" width="17.1640625" style="27" bestFit="1" customWidth="1"/>
    <col min="29" max="29" width="21" style="27" bestFit="1" customWidth="1"/>
    <col min="30" max="30" width="18.6640625" style="27" bestFit="1" customWidth="1"/>
    <col min="31" max="31" width="18.1640625" style="27" bestFit="1" customWidth="1"/>
    <col min="32" max="32" width="15.83203125" style="27" bestFit="1" customWidth="1"/>
    <col min="33" max="33" width="23.1640625" style="27" bestFit="1" customWidth="1"/>
    <col min="34" max="34" width="20.83203125" style="27" bestFit="1" customWidth="1"/>
    <col min="35" max="35" width="31" style="27" bestFit="1" customWidth="1"/>
    <col min="36" max="36" width="31.6640625" style="27" bestFit="1" customWidth="1"/>
    <col min="37" max="37" width="29.5" style="27" bestFit="1" customWidth="1"/>
    <col min="38" max="38" width="30" style="27" bestFit="1" customWidth="1"/>
    <col min="39" max="39" width="29.6640625" style="27" bestFit="1" customWidth="1"/>
    <col min="40" max="40" width="28.1640625" style="27" bestFit="1" customWidth="1"/>
    <col min="41" max="41" width="20.83203125" style="27" bestFit="1" customWidth="1"/>
    <col min="42" max="42" width="24.6640625" style="27" bestFit="1" customWidth="1"/>
    <col min="43" max="43" width="25.5" style="27" bestFit="1" customWidth="1"/>
    <col min="44" max="44" width="23.1640625" style="27" bestFit="1" customWidth="1"/>
    <col min="45" max="46" width="23.6640625" style="27" bestFit="1" customWidth="1"/>
    <col min="47" max="47" width="23.83203125" style="27" bestFit="1" customWidth="1"/>
    <col min="48" max="48" width="23.33203125" style="27" bestFit="1" customWidth="1"/>
    <col min="49" max="49" width="15.1640625" style="27" customWidth="1"/>
    <col min="50" max="50" width="14.6640625" style="27" customWidth="1"/>
    <col min="51" max="51" width="10.33203125" style="27" customWidth="1"/>
    <col min="52" max="52" width="11.1640625" style="27" customWidth="1"/>
    <col min="53" max="53" width="10" style="27" customWidth="1"/>
    <col min="54" max="54" width="22.1640625" style="27" bestFit="1" customWidth="1"/>
    <col min="55" max="55" width="16.33203125" style="27" bestFit="1" customWidth="1"/>
    <col min="56" max="56" width="19.5" style="27" bestFit="1" customWidth="1"/>
    <col min="57" max="57" width="10.6640625" style="27" bestFit="1" customWidth="1"/>
    <col min="58" max="58" width="26" style="27" bestFit="1" customWidth="1"/>
    <col min="59" max="59" width="20.1640625" style="27" bestFit="1" customWidth="1"/>
    <col min="60" max="60" width="23.33203125" style="27" bestFit="1" customWidth="1"/>
    <col min="61" max="61" width="14.6640625" style="27" bestFit="1" customWidth="1"/>
    <col min="62" max="62" width="21.5" style="27" bestFit="1" customWidth="1"/>
    <col min="63" max="63" width="15.6640625" style="27" bestFit="1" customWidth="1"/>
    <col min="64" max="64" width="18.83203125" style="27" bestFit="1" customWidth="1"/>
    <col min="65" max="65" width="10.1640625" style="27" bestFit="1" customWidth="1"/>
    <col min="66" max="66" width="22.83203125" style="27" bestFit="1" customWidth="1"/>
    <col min="67" max="67" width="17.1640625" style="27" bestFit="1" customWidth="1"/>
    <col min="68" max="68" width="20.1640625" style="27" bestFit="1" customWidth="1"/>
    <col min="69" max="69" width="11.5" style="27" bestFit="1" customWidth="1"/>
    <col min="70" max="70" width="27.6640625" style="27" bestFit="1" customWidth="1"/>
    <col min="71" max="71" width="22" style="27" bestFit="1" customWidth="1"/>
    <col min="72" max="72" width="25" style="27" bestFit="1" customWidth="1"/>
    <col min="73" max="73" width="16.1640625" style="27" bestFit="1" customWidth="1"/>
    <col min="74" max="74" width="27.6640625" style="27" bestFit="1" customWidth="1"/>
    <col min="75" max="75" width="22" style="27" bestFit="1" customWidth="1"/>
    <col min="76" max="76" width="25" style="27" bestFit="1" customWidth="1"/>
    <col min="77" max="77" width="16.1640625" style="27" bestFit="1" customWidth="1"/>
    <col min="78" max="78" width="21.83203125" style="27" bestFit="1" customWidth="1"/>
    <col min="79" max="79" width="16.1640625" style="27" bestFit="1" customWidth="1"/>
    <col min="80" max="80" width="19.1640625" style="27" bestFit="1" customWidth="1"/>
    <col min="81" max="81" width="10.5" style="27" bestFit="1" customWidth="1"/>
    <col min="82" max="82" width="19.6640625" style="27" bestFit="1" customWidth="1"/>
    <col min="83" max="83" width="14" style="27" bestFit="1" customWidth="1"/>
    <col min="84" max="84" width="17.1640625" style="27" bestFit="1" customWidth="1"/>
    <col min="85" max="85" width="8.33203125" style="27" bestFit="1" customWidth="1"/>
    <col min="86" max="86" width="22.33203125" style="27" bestFit="1" customWidth="1"/>
    <col min="87" max="87" width="16.6640625" style="27" bestFit="1" customWidth="1"/>
    <col min="88" max="88" width="19.6640625" style="27" bestFit="1" customWidth="1"/>
    <col min="89" max="89" width="11" style="27"/>
    <col min="90" max="91" width="12.1640625" style="27" bestFit="1" customWidth="1"/>
    <col min="92" max="92" width="20.1640625" style="27" bestFit="1" customWidth="1"/>
    <col min="93" max="93" width="20.33203125" style="27" bestFit="1" customWidth="1"/>
    <col min="94" max="94" width="22.83203125" style="27" bestFit="1" customWidth="1"/>
    <col min="95" max="95" width="24.6640625" style="27" bestFit="1" customWidth="1"/>
    <col min="96" max="96" width="25.83203125" style="27" bestFit="1" customWidth="1"/>
    <col min="97" max="97" width="27.33203125" style="27" bestFit="1" customWidth="1"/>
    <col min="98" max="98" width="24.6640625" style="27" bestFit="1" customWidth="1"/>
    <col min="99" max="99" width="27.6640625" style="27" bestFit="1" customWidth="1"/>
    <col min="100" max="100" width="23.1640625" style="27" bestFit="1" customWidth="1"/>
    <col min="101" max="101" width="26.33203125" style="27" bestFit="1" customWidth="1"/>
    <col min="102" max="102" width="26.1640625" style="27" bestFit="1" customWidth="1"/>
    <col min="103" max="103" width="24.83203125" style="27" bestFit="1" customWidth="1"/>
    <col min="104" max="104" width="27.6640625" style="27" bestFit="1" customWidth="1"/>
    <col min="105" max="105" width="23.1640625" style="27" bestFit="1" customWidth="1"/>
    <col min="106" max="106" width="26.33203125" style="27" bestFit="1" customWidth="1"/>
    <col min="107" max="107" width="26.1640625" style="27" bestFit="1" customWidth="1"/>
    <col min="108" max="108" width="24.6640625" style="27" bestFit="1" customWidth="1"/>
    <col min="109" max="109" width="27.6640625" style="27" bestFit="1" customWidth="1"/>
    <col min="110" max="110" width="23.5" style="27" bestFit="1" customWidth="1"/>
    <col min="111" max="111" width="26.33203125" style="27" bestFit="1" customWidth="1"/>
    <col min="112" max="112" width="26.1640625" style="27" bestFit="1" customWidth="1"/>
    <col min="113" max="113" width="24.6640625" style="27" bestFit="1" customWidth="1"/>
    <col min="114" max="114" width="27.6640625" style="27" bestFit="1" customWidth="1"/>
    <col min="115" max="115" width="23.1640625" style="27" bestFit="1" customWidth="1"/>
    <col min="116" max="116" width="26.33203125" style="27" bestFit="1" customWidth="1"/>
    <col min="117" max="117" width="26.1640625" style="27" bestFit="1" customWidth="1"/>
    <col min="118" max="118" width="22.83203125" style="27" bestFit="1" customWidth="1"/>
    <col min="119" max="119" width="26" style="27" bestFit="1" customWidth="1"/>
    <col min="120" max="120" width="21.5" style="27" bestFit="1" customWidth="1"/>
    <col min="121" max="121" width="28.33203125" style="27" bestFit="1" customWidth="1"/>
    <col min="122" max="122" width="24.33203125" style="27" bestFit="1" customWidth="1"/>
    <col min="123" max="123" width="19.5" style="27" bestFit="1" customWidth="1"/>
    <col min="124" max="124" width="21.6640625" style="27" bestFit="1" customWidth="1"/>
    <col min="125" max="125" width="17.1640625" style="27" bestFit="1" customWidth="1"/>
    <col min="126" max="126" width="31.1640625" style="27" bestFit="1" customWidth="1"/>
    <col min="127" max="127" width="20.1640625" style="27" bestFit="1" customWidth="1"/>
    <col min="128" max="128" width="17.33203125" style="27" bestFit="1" customWidth="1"/>
    <col min="129" max="129" width="12.1640625" style="27" bestFit="1" customWidth="1"/>
    <col min="130" max="131" width="16.1640625" style="27" bestFit="1" customWidth="1"/>
    <col min="132" max="132" width="13.6640625" style="27" bestFit="1" customWidth="1"/>
    <col min="133" max="133" width="16.1640625" style="27" bestFit="1" customWidth="1"/>
    <col min="134" max="134" width="14" style="27" bestFit="1" customWidth="1"/>
    <col min="135" max="135" width="8.33203125" style="27" bestFit="1" customWidth="1"/>
    <col min="136" max="136" width="13.6640625" style="27" bestFit="1" customWidth="1"/>
    <col min="137" max="137" width="14.83203125" style="27" bestFit="1" customWidth="1"/>
    <col min="138" max="138" width="13.6640625" style="27" bestFit="1" customWidth="1"/>
    <col min="139" max="139" width="14.1640625" style="27" bestFit="1" customWidth="1"/>
    <col min="140" max="142" width="18.1640625" style="27" bestFit="1" customWidth="1"/>
    <col min="143" max="143" width="22.1640625" style="31" bestFit="1" customWidth="1"/>
    <col min="144" max="144" width="18.1640625" style="31" bestFit="1" customWidth="1"/>
    <col min="145" max="145" width="25.6640625" style="31" bestFit="1" customWidth="1"/>
    <col min="146" max="146" width="21.83203125" style="31" bestFit="1" customWidth="1"/>
    <col min="147" max="147" width="30.1640625" style="31" bestFit="1" customWidth="1"/>
    <col min="148" max="148" width="26.33203125" style="31" bestFit="1" customWidth="1"/>
    <col min="149" max="149" width="26.33203125" style="27" bestFit="1" customWidth="1"/>
    <col min="150" max="150" width="22.5" style="27" bestFit="1" customWidth="1"/>
    <col min="151" max="151" width="27.33203125" style="27" bestFit="1" customWidth="1"/>
    <col min="152" max="152" width="23.5" style="27" bestFit="1" customWidth="1"/>
    <col min="153" max="153" width="21.6640625" style="27" bestFit="1" customWidth="1"/>
    <col min="154" max="154" width="24.6640625" style="27" bestFit="1" customWidth="1"/>
    <col min="155" max="155" width="20.1640625" style="27" bestFit="1" customWidth="1"/>
    <col min="156" max="156" width="23.1640625" style="27" bestFit="1" customWidth="1"/>
    <col min="157" max="158" width="13.6640625" style="27" bestFit="1" customWidth="1"/>
    <col min="159" max="159" width="19.1640625" style="27" bestFit="1" customWidth="1"/>
    <col min="160" max="160" width="22.33203125" style="27" bestFit="1" customWidth="1"/>
    <col min="161" max="161" width="18" style="27" bestFit="1" customWidth="1"/>
    <col min="162" max="162" width="21" style="27" bestFit="1" customWidth="1"/>
    <col min="163" max="163" width="20.83203125" style="27" bestFit="1" customWidth="1"/>
    <col min="164" max="164" width="20.5" style="27" bestFit="1" customWidth="1"/>
    <col min="165" max="165" width="22.33203125" style="27" bestFit="1" customWidth="1"/>
    <col min="166" max="167" width="21.5" style="27" bestFit="1" customWidth="1"/>
    <col min="168" max="168" width="20.83203125" style="27" bestFit="1" customWidth="1"/>
    <col min="169" max="169" width="19.1640625" style="27" bestFit="1" customWidth="1"/>
    <col min="170" max="170" width="22.33203125" style="27" bestFit="1" customWidth="1"/>
    <col min="171" max="171" width="34.6640625" style="27" bestFit="1" customWidth="1"/>
    <col min="172" max="172" width="27.83203125" style="27" bestFit="1" customWidth="1"/>
    <col min="173" max="173" width="20.83203125" style="27" bestFit="1" customWidth="1"/>
    <col min="174" max="16384" width="11" style="27"/>
  </cols>
  <sheetData>
    <row r="1" spans="1:173" x14ac:dyDescent="0.2">
      <c r="A1" s="27" t="s">
        <v>517</v>
      </c>
      <c r="B1" s="27" t="s">
        <v>518</v>
      </c>
      <c r="C1" s="27" t="s">
        <v>519</v>
      </c>
      <c r="D1" s="27" t="s">
        <v>520</v>
      </c>
      <c r="E1" s="27" t="s">
        <v>1526</v>
      </c>
      <c r="F1" s="27" t="s">
        <v>521</v>
      </c>
      <c r="G1" s="27" t="s">
        <v>522</v>
      </c>
      <c r="H1" s="27" t="s">
        <v>523</v>
      </c>
      <c r="I1" s="27" t="s">
        <v>524</v>
      </c>
      <c r="J1" s="27" t="s">
        <v>525</v>
      </c>
      <c r="K1" s="27" t="s">
        <v>526</v>
      </c>
      <c r="L1" s="27" t="s">
        <v>527</v>
      </c>
      <c r="M1" s="27" t="s">
        <v>528</v>
      </c>
      <c r="N1" s="27" t="s">
        <v>529</v>
      </c>
      <c r="O1" s="27" t="s">
        <v>530</v>
      </c>
      <c r="P1" s="27" t="s">
        <v>531</v>
      </c>
      <c r="Q1" s="27" t="s">
        <v>532</v>
      </c>
      <c r="R1" s="27" t="s">
        <v>533</v>
      </c>
      <c r="S1" s="27" t="s">
        <v>534</v>
      </c>
      <c r="T1" s="27" t="s">
        <v>535</v>
      </c>
      <c r="U1" s="27" t="s">
        <v>536</v>
      </c>
      <c r="V1" s="27" t="s">
        <v>537</v>
      </c>
      <c r="W1" s="27" t="s">
        <v>538</v>
      </c>
      <c r="X1" s="27" t="s">
        <v>539</v>
      </c>
      <c r="Y1" s="27" t="s">
        <v>540</v>
      </c>
      <c r="Z1" s="27" t="s">
        <v>541</v>
      </c>
      <c r="AA1" s="27" t="s">
        <v>542</v>
      </c>
      <c r="AB1" s="27" t="s">
        <v>543</v>
      </c>
      <c r="AC1" s="27" t="s">
        <v>544</v>
      </c>
      <c r="AD1" s="27" t="s">
        <v>545</v>
      </c>
      <c r="AE1" s="27" t="s">
        <v>546</v>
      </c>
      <c r="AF1" s="27" t="s">
        <v>547</v>
      </c>
      <c r="AG1" s="27" t="s">
        <v>548</v>
      </c>
      <c r="AH1" s="27" t="s">
        <v>549</v>
      </c>
      <c r="AI1" s="27" t="s">
        <v>550</v>
      </c>
      <c r="AJ1" s="27" t="s">
        <v>551</v>
      </c>
      <c r="AK1" s="27" t="s">
        <v>552</v>
      </c>
      <c r="AL1" s="27" t="s">
        <v>553</v>
      </c>
      <c r="AM1" s="27" t="s">
        <v>554</v>
      </c>
      <c r="AN1" s="27" t="s">
        <v>555</v>
      </c>
      <c r="AO1" s="27" t="s">
        <v>556</v>
      </c>
      <c r="AP1" s="27" t="s">
        <v>557</v>
      </c>
      <c r="AQ1" s="27" t="s">
        <v>558</v>
      </c>
      <c r="AR1" s="27" t="s">
        <v>559</v>
      </c>
      <c r="AS1" s="27" t="s">
        <v>560</v>
      </c>
      <c r="AT1" s="27" t="s">
        <v>561</v>
      </c>
      <c r="AU1" s="27" t="s">
        <v>562</v>
      </c>
      <c r="AV1" s="27" t="s">
        <v>563</v>
      </c>
      <c r="AW1" s="27" t="s">
        <v>564</v>
      </c>
      <c r="AX1" s="27" t="s">
        <v>565</v>
      </c>
      <c r="AY1" s="27" t="s">
        <v>566</v>
      </c>
      <c r="AZ1" s="27" t="s">
        <v>567</v>
      </c>
      <c r="BA1" s="27" t="s">
        <v>568</v>
      </c>
      <c r="BB1" s="27" t="s">
        <v>569</v>
      </c>
      <c r="BC1" s="27" t="s">
        <v>570</v>
      </c>
      <c r="BD1" s="27" t="s">
        <v>571</v>
      </c>
      <c r="BE1" s="27" t="s">
        <v>572</v>
      </c>
      <c r="BF1" s="27" t="s">
        <v>573</v>
      </c>
      <c r="BG1" s="27" t="s">
        <v>574</v>
      </c>
      <c r="BH1" s="27" t="s">
        <v>575</v>
      </c>
      <c r="BI1" s="27" t="s">
        <v>576</v>
      </c>
      <c r="BJ1" s="27" t="s">
        <v>577</v>
      </c>
      <c r="BK1" s="27" t="s">
        <v>578</v>
      </c>
      <c r="BL1" s="27" t="s">
        <v>579</v>
      </c>
      <c r="BM1" s="27" t="s">
        <v>580</v>
      </c>
      <c r="BN1" s="27" t="s">
        <v>581</v>
      </c>
      <c r="BO1" s="27" t="s">
        <v>582</v>
      </c>
      <c r="BP1" s="27" t="s">
        <v>583</v>
      </c>
      <c r="BQ1" s="27" t="s">
        <v>584</v>
      </c>
      <c r="BR1" s="27" t="s">
        <v>585</v>
      </c>
      <c r="BS1" s="27" t="s">
        <v>586</v>
      </c>
      <c r="BT1" s="27" t="s">
        <v>587</v>
      </c>
      <c r="BU1" s="27" t="s">
        <v>588</v>
      </c>
      <c r="BV1" s="27" t="s">
        <v>589</v>
      </c>
      <c r="BW1" s="27" t="s">
        <v>590</v>
      </c>
      <c r="BX1" s="27" t="s">
        <v>591</v>
      </c>
      <c r="BY1" s="27" t="s">
        <v>592</v>
      </c>
      <c r="BZ1" s="27" t="s">
        <v>593</v>
      </c>
      <c r="CA1" s="27" t="s">
        <v>594</v>
      </c>
      <c r="CB1" s="27" t="s">
        <v>595</v>
      </c>
      <c r="CC1" s="27" t="s">
        <v>596</v>
      </c>
      <c r="CD1" s="27" t="s">
        <v>597</v>
      </c>
      <c r="CE1" s="27" t="s">
        <v>599</v>
      </c>
      <c r="CF1" s="27" t="s">
        <v>600</v>
      </c>
      <c r="CG1" s="27" t="s">
        <v>601</v>
      </c>
      <c r="CH1" s="27" t="s">
        <v>602</v>
      </c>
      <c r="CI1" s="27" t="s">
        <v>603</v>
      </c>
      <c r="CJ1" s="27" t="s">
        <v>604</v>
      </c>
      <c r="CK1" s="27" t="s">
        <v>605</v>
      </c>
      <c r="CL1" s="27" t="s">
        <v>606</v>
      </c>
      <c r="CM1" s="27" t="s">
        <v>607</v>
      </c>
      <c r="CN1" s="27" t="s">
        <v>608</v>
      </c>
      <c r="CO1" s="27" t="s">
        <v>609</v>
      </c>
      <c r="CP1" s="27" t="s">
        <v>610</v>
      </c>
      <c r="CQ1" s="27" t="s">
        <v>611</v>
      </c>
      <c r="CR1" s="27" t="s">
        <v>612</v>
      </c>
      <c r="CS1" s="27" t="s">
        <v>613</v>
      </c>
      <c r="CT1" s="27" t="s">
        <v>614</v>
      </c>
      <c r="CU1" s="27" t="s">
        <v>615</v>
      </c>
      <c r="CV1" s="27" t="s">
        <v>616</v>
      </c>
      <c r="CW1" s="27" t="s">
        <v>617</v>
      </c>
      <c r="CX1" s="27" t="s">
        <v>618</v>
      </c>
      <c r="CY1" s="27" t="s">
        <v>619</v>
      </c>
      <c r="CZ1" s="27" t="s">
        <v>620</v>
      </c>
      <c r="DA1" s="27" t="s">
        <v>621</v>
      </c>
      <c r="DB1" s="27" t="s">
        <v>622</v>
      </c>
      <c r="DC1" s="27" t="s">
        <v>623</v>
      </c>
      <c r="DD1" s="27" t="s">
        <v>624</v>
      </c>
      <c r="DE1" s="27" t="s">
        <v>625</v>
      </c>
      <c r="DF1" s="27" t="s">
        <v>626</v>
      </c>
      <c r="DG1" s="27" t="s">
        <v>627</v>
      </c>
      <c r="DH1" s="27" t="s">
        <v>628</v>
      </c>
      <c r="DI1" s="27" t="s">
        <v>629</v>
      </c>
      <c r="DJ1" s="27" t="s">
        <v>630</v>
      </c>
      <c r="DK1" s="27" t="s">
        <v>631</v>
      </c>
      <c r="DL1" s="27" t="s">
        <v>632</v>
      </c>
      <c r="DM1" s="27" t="s">
        <v>633</v>
      </c>
      <c r="DN1" s="27" t="s">
        <v>634</v>
      </c>
      <c r="DO1" s="27" t="s">
        <v>635</v>
      </c>
      <c r="DP1" s="27" t="s">
        <v>636</v>
      </c>
      <c r="DQ1" s="27" t="s">
        <v>637</v>
      </c>
      <c r="DR1" s="27" t="s">
        <v>638</v>
      </c>
      <c r="DS1" s="27" t="s">
        <v>639</v>
      </c>
      <c r="DT1" s="27" t="s">
        <v>640</v>
      </c>
      <c r="DU1" s="27" t="s">
        <v>641</v>
      </c>
      <c r="DV1" s="27" t="s">
        <v>642</v>
      </c>
      <c r="DW1" s="27" t="s">
        <v>643</v>
      </c>
      <c r="DX1" s="27" t="s">
        <v>848</v>
      </c>
      <c r="DY1" s="27" t="s">
        <v>644</v>
      </c>
      <c r="DZ1" s="27" t="s">
        <v>849</v>
      </c>
      <c r="EA1" s="27" t="s">
        <v>645</v>
      </c>
      <c r="EB1" t="s">
        <v>850</v>
      </c>
      <c r="EC1" t="s">
        <v>646</v>
      </c>
      <c r="ED1" s="27" t="s">
        <v>851</v>
      </c>
      <c r="EE1" s="27" t="s">
        <v>647</v>
      </c>
      <c r="EF1" s="27" t="s">
        <v>852</v>
      </c>
      <c r="EG1" s="27" t="s">
        <v>648</v>
      </c>
      <c r="EH1" t="s">
        <v>853</v>
      </c>
      <c r="EI1" t="s">
        <v>649</v>
      </c>
      <c r="EJ1" t="s">
        <v>854</v>
      </c>
      <c r="EK1" t="s">
        <v>855</v>
      </c>
      <c r="EL1" t="s">
        <v>864</v>
      </c>
      <c r="EM1" s="31" t="s">
        <v>650</v>
      </c>
      <c r="EN1" s="31" t="s">
        <v>651</v>
      </c>
      <c r="EO1" s="31" t="s">
        <v>652</v>
      </c>
      <c r="EP1" s="31" t="s">
        <v>653</v>
      </c>
      <c r="EQ1" s="31" t="s">
        <v>654</v>
      </c>
      <c r="ER1" s="31" t="s">
        <v>655</v>
      </c>
      <c r="ES1" s="27" t="s">
        <v>656</v>
      </c>
      <c r="ET1" s="27" t="s">
        <v>657</v>
      </c>
      <c r="EU1" s="27" t="s">
        <v>658</v>
      </c>
      <c r="EV1" s="27" t="s">
        <v>659</v>
      </c>
      <c r="EW1" s="27" t="s">
        <v>660</v>
      </c>
      <c r="EX1" s="27" t="s">
        <v>661</v>
      </c>
      <c r="EY1" s="27" t="s">
        <v>663</v>
      </c>
      <c r="EZ1" s="27" t="s">
        <v>664</v>
      </c>
      <c r="FA1" s="27" t="s">
        <v>842</v>
      </c>
      <c r="FB1" s="27" t="s">
        <v>843</v>
      </c>
      <c r="FC1" s="27" t="s">
        <v>667</v>
      </c>
      <c r="FD1" s="27" t="s">
        <v>668</v>
      </c>
      <c r="FE1" s="27" t="s">
        <v>669</v>
      </c>
      <c r="FF1" s="27" t="s">
        <v>670</v>
      </c>
      <c r="FG1" s="27" t="s">
        <v>671</v>
      </c>
      <c r="FH1" s="27" t="s">
        <v>672</v>
      </c>
      <c r="FI1" s="27" t="s">
        <v>673</v>
      </c>
      <c r="FJ1" s="27" t="s">
        <v>674</v>
      </c>
      <c r="FK1" s="27" t="s">
        <v>675</v>
      </c>
      <c r="FL1" s="27" t="s">
        <v>676</v>
      </c>
      <c r="FM1" s="27" t="s">
        <v>677</v>
      </c>
      <c r="FN1" s="27" t="s">
        <v>678</v>
      </c>
      <c r="FO1" s="27" t="s">
        <v>679</v>
      </c>
      <c r="FP1" s="27" t="s">
        <v>680</v>
      </c>
      <c r="FQ1" s="27" t="s">
        <v>681</v>
      </c>
    </row>
    <row r="2" spans="1:173" x14ac:dyDescent="0.2">
      <c r="A2" s="27" t="s">
        <v>836</v>
      </c>
      <c r="B2" s="27" t="s">
        <v>835</v>
      </c>
      <c r="C2" s="27" t="s">
        <v>835</v>
      </c>
      <c r="D2" s="27" t="s">
        <v>835</v>
      </c>
      <c r="E2" s="27" t="s">
        <v>835</v>
      </c>
      <c r="F2" s="27" t="s">
        <v>837</v>
      </c>
      <c r="G2" s="27" t="s">
        <v>837</v>
      </c>
      <c r="H2" s="27" t="s">
        <v>837</v>
      </c>
      <c r="I2" s="27" t="s">
        <v>839</v>
      </c>
      <c r="J2" s="27" t="s">
        <v>839</v>
      </c>
      <c r="K2" s="27" t="s">
        <v>839</v>
      </c>
      <c r="L2" s="27" t="s">
        <v>839</v>
      </c>
      <c r="M2" s="27" t="s">
        <v>839</v>
      </c>
      <c r="N2" s="27" t="s">
        <v>839</v>
      </c>
      <c r="O2" s="27" t="s">
        <v>839</v>
      </c>
      <c r="P2" s="27" t="s">
        <v>839</v>
      </c>
      <c r="Q2" s="27" t="s">
        <v>839</v>
      </c>
      <c r="R2" s="27" t="s">
        <v>839</v>
      </c>
      <c r="S2" s="27" t="s">
        <v>839</v>
      </c>
      <c r="T2" s="27" t="s">
        <v>839</v>
      </c>
      <c r="U2" s="27" t="s">
        <v>839</v>
      </c>
      <c r="V2" s="27" t="s">
        <v>839</v>
      </c>
      <c r="W2" s="27" t="s">
        <v>839</v>
      </c>
      <c r="X2" s="27" t="s">
        <v>839</v>
      </c>
      <c r="Y2" s="27" t="s">
        <v>839</v>
      </c>
      <c r="Z2" s="27" t="s">
        <v>839</v>
      </c>
      <c r="AA2" s="27" t="s">
        <v>839</v>
      </c>
      <c r="AB2" s="27" t="s">
        <v>839</v>
      </c>
      <c r="AC2" s="27" t="s">
        <v>839</v>
      </c>
      <c r="AD2" s="27" t="s">
        <v>839</v>
      </c>
      <c r="AE2" s="27" t="s">
        <v>839</v>
      </c>
      <c r="AF2" s="27" t="s">
        <v>839</v>
      </c>
      <c r="AG2" s="27" t="s">
        <v>839</v>
      </c>
      <c r="AH2" s="27" t="s">
        <v>839</v>
      </c>
      <c r="AI2" s="27" t="s">
        <v>837</v>
      </c>
      <c r="AJ2" s="27" t="s">
        <v>837</v>
      </c>
      <c r="AK2" s="27" t="s">
        <v>837</v>
      </c>
      <c r="AL2" s="27" t="s">
        <v>837</v>
      </c>
      <c r="AM2" s="27" t="s">
        <v>837</v>
      </c>
      <c r="AN2" s="27" t="s">
        <v>837</v>
      </c>
      <c r="AO2" s="27" t="s">
        <v>837</v>
      </c>
      <c r="AP2" s="27" t="s">
        <v>837</v>
      </c>
      <c r="AQ2" s="27" t="s">
        <v>837</v>
      </c>
      <c r="AR2" s="27" t="s">
        <v>837</v>
      </c>
      <c r="AS2" s="27" t="s">
        <v>837</v>
      </c>
      <c r="AT2" s="27" t="s">
        <v>837</v>
      </c>
      <c r="AU2" s="27" t="s">
        <v>837</v>
      </c>
      <c r="AV2" s="27" t="s">
        <v>837</v>
      </c>
      <c r="AW2" s="27" t="s">
        <v>837</v>
      </c>
      <c r="AX2" s="27" t="s">
        <v>835</v>
      </c>
      <c r="AY2" s="27" t="s">
        <v>835</v>
      </c>
      <c r="AZ2" s="27" t="s">
        <v>835</v>
      </c>
      <c r="BA2" s="27" t="s">
        <v>835</v>
      </c>
      <c r="BB2" s="27" t="s">
        <v>837</v>
      </c>
      <c r="BC2" s="27" t="s">
        <v>835</v>
      </c>
      <c r="BD2" s="27" t="s">
        <v>835</v>
      </c>
      <c r="BE2" s="27" t="s">
        <v>838</v>
      </c>
      <c r="BF2" s="27" t="s">
        <v>837</v>
      </c>
      <c r="BG2" s="27" t="s">
        <v>835</v>
      </c>
      <c r="BH2" s="27" t="s">
        <v>835</v>
      </c>
      <c r="BI2" s="27" t="s">
        <v>838</v>
      </c>
      <c r="BJ2" s="27" t="s">
        <v>837</v>
      </c>
      <c r="BK2" s="27" t="s">
        <v>835</v>
      </c>
      <c r="BL2" s="27" t="s">
        <v>835</v>
      </c>
      <c r="BM2" s="27" t="s">
        <v>838</v>
      </c>
      <c r="BN2" s="27" t="s">
        <v>837</v>
      </c>
      <c r="BO2" s="27" t="s">
        <v>835</v>
      </c>
      <c r="BP2" s="27" t="s">
        <v>835</v>
      </c>
      <c r="BQ2" s="27" t="s">
        <v>838</v>
      </c>
      <c r="BR2" s="27" t="s">
        <v>837</v>
      </c>
      <c r="BS2" s="27" t="s">
        <v>835</v>
      </c>
      <c r="BT2" s="27" t="s">
        <v>835</v>
      </c>
      <c r="BU2" s="27" t="s">
        <v>838</v>
      </c>
      <c r="BV2" s="27" t="s">
        <v>837</v>
      </c>
      <c r="BW2" s="27" t="s">
        <v>835</v>
      </c>
      <c r="BX2" s="27" t="s">
        <v>835</v>
      </c>
      <c r="BY2" s="27" t="s">
        <v>838</v>
      </c>
      <c r="BZ2" s="27" t="s">
        <v>837</v>
      </c>
      <c r="CA2" s="27" t="s">
        <v>835</v>
      </c>
      <c r="CB2" s="27" t="s">
        <v>835</v>
      </c>
      <c r="CC2" s="27" t="s">
        <v>838</v>
      </c>
      <c r="CD2" s="27" t="s">
        <v>837</v>
      </c>
      <c r="CE2" s="27" t="s">
        <v>835</v>
      </c>
      <c r="CF2" s="27" t="s">
        <v>835</v>
      </c>
      <c r="CG2" s="27" t="s">
        <v>838</v>
      </c>
      <c r="CH2" s="27" t="s">
        <v>837</v>
      </c>
      <c r="CI2" s="27" t="s">
        <v>835</v>
      </c>
      <c r="CJ2" s="27" t="s">
        <v>835</v>
      </c>
      <c r="CK2" s="27" t="s">
        <v>838</v>
      </c>
      <c r="CL2" s="27" t="s">
        <v>838</v>
      </c>
      <c r="CM2" s="27" t="s">
        <v>838</v>
      </c>
      <c r="CN2" s="27" t="s">
        <v>837</v>
      </c>
      <c r="CO2" s="27" t="s">
        <v>837</v>
      </c>
      <c r="CP2" s="27" t="s">
        <v>837</v>
      </c>
      <c r="CQ2" s="27" t="s">
        <v>837</v>
      </c>
      <c r="CR2" s="27" t="s">
        <v>837</v>
      </c>
      <c r="CS2" s="27" t="s">
        <v>837</v>
      </c>
      <c r="CT2" s="27" t="s">
        <v>835</v>
      </c>
      <c r="CU2" s="27" t="s">
        <v>835</v>
      </c>
      <c r="CV2" s="27" t="s">
        <v>835</v>
      </c>
      <c r="CW2" s="27" t="s">
        <v>835</v>
      </c>
      <c r="CX2" s="27" t="s">
        <v>835</v>
      </c>
      <c r="CY2" s="27" t="s">
        <v>835</v>
      </c>
      <c r="CZ2" s="27" t="s">
        <v>835</v>
      </c>
      <c r="DA2" s="27" t="s">
        <v>835</v>
      </c>
      <c r="DB2" s="27" t="s">
        <v>835</v>
      </c>
      <c r="DC2" s="27" t="s">
        <v>835</v>
      </c>
      <c r="DD2" s="27" t="s">
        <v>835</v>
      </c>
      <c r="DE2" s="27" t="s">
        <v>835</v>
      </c>
      <c r="DF2" s="27" t="s">
        <v>835</v>
      </c>
      <c r="DG2" s="27" t="s">
        <v>835</v>
      </c>
      <c r="DH2" s="27" t="s">
        <v>835</v>
      </c>
      <c r="DI2" s="27" t="s">
        <v>835</v>
      </c>
      <c r="DJ2" s="27" t="s">
        <v>835</v>
      </c>
      <c r="DK2" s="27" t="s">
        <v>835</v>
      </c>
      <c r="DL2" s="27" t="s">
        <v>835</v>
      </c>
      <c r="DM2" s="27" t="s">
        <v>835</v>
      </c>
      <c r="DN2" s="27" t="s">
        <v>835</v>
      </c>
      <c r="DO2" s="27" t="s">
        <v>835</v>
      </c>
      <c r="DP2" s="27" t="s">
        <v>835</v>
      </c>
      <c r="DQ2" s="27" t="s">
        <v>835</v>
      </c>
      <c r="DR2" s="27" t="s">
        <v>835</v>
      </c>
      <c r="DS2" s="27" t="s">
        <v>835</v>
      </c>
      <c r="DT2" s="27" t="s">
        <v>835</v>
      </c>
      <c r="DU2" s="27" t="s">
        <v>835</v>
      </c>
      <c r="DV2" s="27" t="s">
        <v>835</v>
      </c>
      <c r="DW2" s="27" t="s">
        <v>835</v>
      </c>
      <c r="DX2" s="27" t="s">
        <v>835</v>
      </c>
      <c r="DY2" s="27" t="s">
        <v>837</v>
      </c>
      <c r="DZ2" s="27" t="s">
        <v>835</v>
      </c>
      <c r="EA2" s="27" t="s">
        <v>837</v>
      </c>
      <c r="EB2" t="s">
        <v>835</v>
      </c>
      <c r="EC2" t="s">
        <v>837</v>
      </c>
      <c r="ED2" s="27" t="s">
        <v>835</v>
      </c>
      <c r="EE2" s="27" t="s">
        <v>837</v>
      </c>
      <c r="EF2" s="27" t="s">
        <v>835</v>
      </c>
      <c r="EG2" s="27" t="s">
        <v>837</v>
      </c>
      <c r="EH2" t="s">
        <v>835</v>
      </c>
      <c r="EI2" t="s">
        <v>837</v>
      </c>
      <c r="EJ2" t="s">
        <v>835</v>
      </c>
      <c r="EK2" t="s">
        <v>837</v>
      </c>
      <c r="EL2" t="s">
        <v>835</v>
      </c>
      <c r="EM2" s="31" t="s">
        <v>837</v>
      </c>
      <c r="EN2" s="31" t="s">
        <v>837</v>
      </c>
      <c r="EO2" s="31" t="s">
        <v>837</v>
      </c>
      <c r="EP2" s="31" t="s">
        <v>837</v>
      </c>
      <c r="EQ2" s="31" t="s">
        <v>837</v>
      </c>
      <c r="ER2" s="31" t="s">
        <v>837</v>
      </c>
      <c r="ES2" s="27" t="s">
        <v>837</v>
      </c>
      <c r="ET2" s="27" t="s">
        <v>837</v>
      </c>
      <c r="EU2" s="27" t="s">
        <v>837</v>
      </c>
      <c r="EV2" s="27" t="s">
        <v>837</v>
      </c>
      <c r="EW2" s="27" t="s">
        <v>837</v>
      </c>
      <c r="EX2" s="27" t="s">
        <v>837</v>
      </c>
      <c r="EY2" s="27" t="s">
        <v>837</v>
      </c>
      <c r="EZ2" s="27" t="s">
        <v>837</v>
      </c>
      <c r="FA2" s="27" t="s">
        <v>837</v>
      </c>
      <c r="FB2" s="27" t="s">
        <v>837</v>
      </c>
      <c r="FC2" s="27" t="s">
        <v>835</v>
      </c>
      <c r="FD2" s="27" t="s">
        <v>835</v>
      </c>
      <c r="FE2" s="27" t="s">
        <v>835</v>
      </c>
      <c r="FF2" s="27" t="s">
        <v>835</v>
      </c>
      <c r="FG2" s="27" t="s">
        <v>835</v>
      </c>
      <c r="FH2" s="27" t="s">
        <v>835</v>
      </c>
      <c r="FI2" s="27" t="s">
        <v>835</v>
      </c>
      <c r="FJ2" s="27" t="s">
        <v>835</v>
      </c>
      <c r="FK2" s="27" t="s">
        <v>835</v>
      </c>
      <c r="FL2" s="27" t="s">
        <v>835</v>
      </c>
      <c r="FM2" s="27" t="s">
        <v>835</v>
      </c>
      <c r="FN2" s="27" t="s">
        <v>835</v>
      </c>
      <c r="FO2" s="27" t="s">
        <v>835</v>
      </c>
      <c r="FP2" s="27" t="s">
        <v>835</v>
      </c>
      <c r="FQ2" s="27" t="s">
        <v>835</v>
      </c>
    </row>
    <row r="3" spans="1:173" x14ac:dyDescent="0.2">
      <c r="A3" s="32" t="s">
        <v>209</v>
      </c>
      <c r="F3" s="32" t="s">
        <v>1</v>
      </c>
      <c r="AI3" s="32" t="s">
        <v>1</v>
      </c>
      <c r="AX3" s="32" t="s">
        <v>869</v>
      </c>
      <c r="BB3" s="32" t="s">
        <v>870</v>
      </c>
      <c r="CN3" s="32" t="s">
        <v>871</v>
      </c>
      <c r="CT3" s="32" t="s">
        <v>872</v>
      </c>
      <c r="DX3" s="32" t="s">
        <v>873</v>
      </c>
      <c r="EB3"/>
      <c r="EC3"/>
      <c r="EH3"/>
      <c r="EI3"/>
      <c r="EJ3"/>
      <c r="EK3"/>
      <c r="EL3"/>
      <c r="EM3" s="33" t="s">
        <v>874</v>
      </c>
      <c r="EW3" s="32" t="s">
        <v>360</v>
      </c>
      <c r="FA3" s="32" t="s">
        <v>875</v>
      </c>
      <c r="FC3" s="32" t="s">
        <v>109</v>
      </c>
    </row>
    <row r="4" spans="1:173" s="34" customFormat="1" ht="27.75" customHeight="1" x14ac:dyDescent="0.2">
      <c r="A4" s="34" t="s">
        <v>113</v>
      </c>
      <c r="B4" s="34" t="s">
        <v>199</v>
      </c>
      <c r="C4" s="34" t="s">
        <v>482</v>
      </c>
      <c r="D4" s="34" t="s">
        <v>198</v>
      </c>
      <c r="E4" s="34" t="s">
        <v>1525</v>
      </c>
      <c r="F4" s="34" t="s">
        <v>111</v>
      </c>
      <c r="G4" s="34" t="s">
        <v>112</v>
      </c>
      <c r="H4" s="34" t="s">
        <v>108</v>
      </c>
      <c r="I4" s="34" t="s">
        <v>418</v>
      </c>
      <c r="J4" s="34" t="s">
        <v>419</v>
      </c>
      <c r="K4" s="34" t="s">
        <v>420</v>
      </c>
      <c r="L4" s="34" t="s">
        <v>421</v>
      </c>
      <c r="M4" s="34" t="s">
        <v>422</v>
      </c>
      <c r="N4" s="34" t="s">
        <v>423</v>
      </c>
      <c r="O4" s="34" t="s">
        <v>424</v>
      </c>
      <c r="P4" s="34" t="s">
        <v>425</v>
      </c>
      <c r="Q4" s="34" t="s">
        <v>426</v>
      </c>
      <c r="R4" s="34" t="s">
        <v>427</v>
      </c>
      <c r="S4" s="34" t="s">
        <v>443</v>
      </c>
      <c r="T4" s="34" t="s">
        <v>442</v>
      </c>
      <c r="U4" s="34" t="s">
        <v>428</v>
      </c>
      <c r="V4" s="34" t="s">
        <v>429</v>
      </c>
      <c r="W4" s="34" t="s">
        <v>430</v>
      </c>
      <c r="X4" s="34" t="s">
        <v>431</v>
      </c>
      <c r="Y4" s="34" t="s">
        <v>432</v>
      </c>
      <c r="Z4" s="34" t="s">
        <v>433</v>
      </c>
      <c r="AA4" s="34" t="s">
        <v>434</v>
      </c>
      <c r="AB4" s="34" t="s">
        <v>435</v>
      </c>
      <c r="AC4" s="34" t="s">
        <v>436</v>
      </c>
      <c r="AD4" s="34" t="s">
        <v>437</v>
      </c>
      <c r="AE4" s="34" t="s">
        <v>876</v>
      </c>
      <c r="AF4" s="34" t="s">
        <v>877</v>
      </c>
      <c r="AG4" s="34" t="s">
        <v>440</v>
      </c>
      <c r="AH4" s="34" t="s">
        <v>441</v>
      </c>
      <c r="AI4" s="34" t="s">
        <v>2</v>
      </c>
      <c r="AJ4" s="34" t="s">
        <v>8</v>
      </c>
      <c r="AK4" s="34" t="s">
        <v>4</v>
      </c>
      <c r="AL4" s="34" t="s">
        <v>12</v>
      </c>
      <c r="AM4" s="34" t="s">
        <v>5</v>
      </c>
      <c r="AN4" s="34" t="s">
        <v>9</v>
      </c>
      <c r="AO4" s="34" t="s">
        <v>10</v>
      </c>
      <c r="AP4" s="34" t="s">
        <v>3</v>
      </c>
      <c r="AQ4" s="34" t="s">
        <v>6</v>
      </c>
      <c r="AR4" s="34" t="s">
        <v>7</v>
      </c>
      <c r="AS4" s="34" t="s">
        <v>11</v>
      </c>
      <c r="AT4" s="34" t="s">
        <v>13</v>
      </c>
      <c r="AU4" s="34" t="s">
        <v>14</v>
      </c>
      <c r="AV4" s="34" t="s">
        <v>15</v>
      </c>
      <c r="AW4" s="34" t="s">
        <v>16</v>
      </c>
      <c r="AX4" s="34" t="s">
        <v>18</v>
      </c>
      <c r="AY4" s="34" t="s">
        <v>484</v>
      </c>
      <c r="AZ4" s="34" t="s">
        <v>19</v>
      </c>
      <c r="BA4" s="34" t="s">
        <v>483</v>
      </c>
      <c r="BB4" s="34" t="s">
        <v>81</v>
      </c>
      <c r="BC4" s="34" t="s">
        <v>82</v>
      </c>
      <c r="BD4" s="34" t="s">
        <v>485</v>
      </c>
      <c r="BE4" s="34" t="s">
        <v>83</v>
      </c>
      <c r="BF4" s="34" t="s">
        <v>84</v>
      </c>
      <c r="BG4" s="34" t="s">
        <v>85</v>
      </c>
      <c r="BH4" s="34" t="s">
        <v>486</v>
      </c>
      <c r="BI4" s="34" t="s">
        <v>86</v>
      </c>
      <c r="BJ4" s="34" t="s">
        <v>87</v>
      </c>
      <c r="BK4" s="34" t="s">
        <v>88</v>
      </c>
      <c r="BL4" s="34" t="s">
        <v>487</v>
      </c>
      <c r="BM4" s="34" t="s">
        <v>89</v>
      </c>
      <c r="BN4" s="34" t="s">
        <v>90</v>
      </c>
      <c r="BO4" s="34" t="s">
        <v>91</v>
      </c>
      <c r="BP4" s="34" t="s">
        <v>488</v>
      </c>
      <c r="BQ4" s="34" t="s">
        <v>92</v>
      </c>
      <c r="BR4" s="34" t="s">
        <v>93</v>
      </c>
      <c r="BS4" s="34" t="s">
        <v>94</v>
      </c>
      <c r="BT4" s="34" t="s">
        <v>489</v>
      </c>
      <c r="BU4" s="34" t="s">
        <v>95</v>
      </c>
      <c r="BV4" s="34" t="s">
        <v>96</v>
      </c>
      <c r="BW4" s="34" t="s">
        <v>97</v>
      </c>
      <c r="BX4" s="34" t="s">
        <v>490</v>
      </c>
      <c r="BY4" s="34" t="s">
        <v>98</v>
      </c>
      <c r="BZ4" s="34" t="s">
        <v>99</v>
      </c>
      <c r="CA4" s="34" t="s">
        <v>100</v>
      </c>
      <c r="CB4" s="34" t="s">
        <v>491</v>
      </c>
      <c r="CC4" s="34" t="s">
        <v>101</v>
      </c>
      <c r="CD4" s="34" t="s">
        <v>102</v>
      </c>
      <c r="CE4" s="34" t="s">
        <v>103</v>
      </c>
      <c r="CF4" s="34" t="s">
        <v>493</v>
      </c>
      <c r="CG4" s="34" t="s">
        <v>104</v>
      </c>
      <c r="CH4" s="34" t="s">
        <v>105</v>
      </c>
      <c r="CI4" s="34" t="s">
        <v>106</v>
      </c>
      <c r="CJ4" s="34" t="s">
        <v>494</v>
      </c>
      <c r="CK4" s="34" t="s">
        <v>107</v>
      </c>
      <c r="CL4" s="34" t="s">
        <v>21</v>
      </c>
      <c r="CM4" s="34" t="s">
        <v>22</v>
      </c>
      <c r="CN4" s="34" t="s">
        <v>24</v>
      </c>
      <c r="CO4" s="34" t="s">
        <v>114</v>
      </c>
      <c r="CP4" s="34" t="s">
        <v>25</v>
      </c>
      <c r="CQ4" s="34" t="s">
        <v>26</v>
      </c>
      <c r="CR4" s="34" t="s">
        <v>445</v>
      </c>
      <c r="CS4" s="34" t="s">
        <v>27</v>
      </c>
      <c r="CT4" s="34" t="s">
        <v>457</v>
      </c>
      <c r="CU4" s="34" t="s">
        <v>495</v>
      </c>
      <c r="CV4" s="34" t="s">
        <v>458</v>
      </c>
      <c r="CW4" s="34" t="s">
        <v>496</v>
      </c>
      <c r="CX4" s="34" t="s">
        <v>468</v>
      </c>
      <c r="CY4" s="34" t="s">
        <v>459</v>
      </c>
      <c r="CZ4" s="34" t="s">
        <v>497</v>
      </c>
      <c r="DA4" s="34" t="s">
        <v>460</v>
      </c>
      <c r="DB4" s="34" t="s">
        <v>499</v>
      </c>
      <c r="DC4" s="34" t="s">
        <v>469</v>
      </c>
      <c r="DD4" s="34" t="s">
        <v>461</v>
      </c>
      <c r="DE4" s="34" t="s">
        <v>498</v>
      </c>
      <c r="DF4" s="34" t="s">
        <v>462</v>
      </c>
      <c r="DG4" s="34" t="s">
        <v>500</v>
      </c>
      <c r="DH4" s="34" t="s">
        <v>470</v>
      </c>
      <c r="DI4" s="34" t="s">
        <v>463</v>
      </c>
      <c r="DJ4" s="34" t="s">
        <v>501</v>
      </c>
      <c r="DK4" s="34" t="s">
        <v>464</v>
      </c>
      <c r="DL4" s="34" t="s">
        <v>502</v>
      </c>
      <c r="DM4" s="34" t="s">
        <v>471</v>
      </c>
      <c r="DN4" s="34" t="s">
        <v>465</v>
      </c>
      <c r="DO4" s="34" t="s">
        <v>503</v>
      </c>
      <c r="DP4" s="34" t="s">
        <v>466</v>
      </c>
      <c r="DQ4" s="34" t="s">
        <v>504</v>
      </c>
      <c r="DR4" s="34" t="s">
        <v>467</v>
      </c>
      <c r="DS4" s="34" t="s">
        <v>472</v>
      </c>
      <c r="DT4" s="34" t="s">
        <v>505</v>
      </c>
      <c r="DU4" s="34" t="s">
        <v>473</v>
      </c>
      <c r="DV4" s="34" t="s">
        <v>506</v>
      </c>
      <c r="DW4" s="34" t="s">
        <v>474</v>
      </c>
      <c r="DX4" s="34" t="s">
        <v>856</v>
      </c>
      <c r="DY4" s="34" t="s">
        <v>865</v>
      </c>
      <c r="DZ4" s="34" t="s">
        <v>857</v>
      </c>
      <c r="EA4" s="34" t="s">
        <v>31</v>
      </c>
      <c r="EB4" s="18" t="s">
        <v>858</v>
      </c>
      <c r="EC4" s="18" t="s">
        <v>32</v>
      </c>
      <c r="ED4" s="34" t="s">
        <v>859</v>
      </c>
      <c r="EE4" s="34" t="s">
        <v>33</v>
      </c>
      <c r="EF4" s="34" t="s">
        <v>860</v>
      </c>
      <c r="EG4" s="34" t="s">
        <v>34</v>
      </c>
      <c r="EH4" s="18" t="s">
        <v>861</v>
      </c>
      <c r="EI4" s="18" t="s">
        <v>35</v>
      </c>
      <c r="EJ4" s="18" t="s">
        <v>862</v>
      </c>
      <c r="EK4" s="18" t="s">
        <v>866</v>
      </c>
      <c r="EL4" s="18" t="s">
        <v>863</v>
      </c>
      <c r="EM4" s="35" t="s">
        <v>37</v>
      </c>
      <c r="EN4" s="35" t="s">
        <v>200</v>
      </c>
      <c r="EO4" s="35" t="s">
        <v>38</v>
      </c>
      <c r="EP4" s="35" t="s">
        <v>201</v>
      </c>
      <c r="EQ4" s="35" t="s">
        <v>202</v>
      </c>
      <c r="ER4" s="35" t="s">
        <v>203</v>
      </c>
      <c r="ES4" s="34" t="s">
        <v>39</v>
      </c>
      <c r="ET4" s="34" t="s">
        <v>204</v>
      </c>
      <c r="EU4" s="34" t="s">
        <v>40</v>
      </c>
      <c r="EV4" s="34" t="s">
        <v>205</v>
      </c>
      <c r="EW4" s="34" t="s">
        <v>206</v>
      </c>
      <c r="EX4" s="34" t="s">
        <v>42</v>
      </c>
      <c r="EY4" s="34" t="s">
        <v>207</v>
      </c>
      <c r="EZ4" s="34" t="s">
        <v>45</v>
      </c>
      <c r="FA4" s="34" t="s">
        <v>841</v>
      </c>
      <c r="FB4" s="34" t="s">
        <v>840</v>
      </c>
      <c r="FC4" s="34" t="s">
        <v>448</v>
      </c>
      <c r="FD4" s="34" t="s">
        <v>507</v>
      </c>
      <c r="FE4" s="34" t="s">
        <v>449</v>
      </c>
      <c r="FF4" s="34" t="s">
        <v>508</v>
      </c>
      <c r="FG4" s="34" t="s">
        <v>450</v>
      </c>
      <c r="FH4" s="34" t="s">
        <v>451</v>
      </c>
      <c r="FI4" s="34" t="s">
        <v>509</v>
      </c>
      <c r="FJ4" s="34" t="s">
        <v>452</v>
      </c>
      <c r="FK4" s="34" t="s">
        <v>510</v>
      </c>
      <c r="FL4" s="34" t="s">
        <v>453</v>
      </c>
      <c r="FM4" s="34" t="s">
        <v>454</v>
      </c>
      <c r="FN4" s="34" t="s">
        <v>511</v>
      </c>
      <c r="FO4" s="34" t="s">
        <v>455</v>
      </c>
      <c r="FP4" s="34" t="s">
        <v>512</v>
      </c>
      <c r="FQ4" s="34" t="s">
        <v>456</v>
      </c>
    </row>
    <row r="5" spans="1:173" ht="24" x14ac:dyDescent="0.45">
      <c r="A5" s="27">
        <v>7001</v>
      </c>
      <c r="B5" s="36" t="s">
        <v>1537</v>
      </c>
      <c r="C5" s="37" t="str">
        <f>VLOOKUP(A5,'[1]Palika and District in Nepali '!$D$1:$F$283,3,FALSE)</f>
        <v>चौबीसे गाउँपालिका</v>
      </c>
      <c r="D5" s="36" t="str">
        <f ca="1">IFERROR(__xludf.DUMMYFUNCTION("""COMPUTED_VALUE"""),"Dhankuta")</f>
        <v>Dhankuta</v>
      </c>
      <c r="E5" s="36" t="s">
        <v>1527</v>
      </c>
      <c r="F5" s="27">
        <f>VLOOKUP(A5,'[1]Raw Data'!$A$3:$FB$285,4,FALSE)</f>
        <v>153</v>
      </c>
      <c r="G5" s="27">
        <f>VLOOKUP(A5,'[1]Raw Data'!$A$3:$FB$285,5,FALSE)</f>
        <v>361</v>
      </c>
      <c r="H5" s="27">
        <f>VLOOKUP(A5,'[1]Raw Data'!$A$3:$FB$285,6,FALSE)</f>
        <v>514</v>
      </c>
      <c r="I5" s="27">
        <f>VLOOKUP($A5,'[1]Raw Data'!$A$3:$FB$285,8,FALSE)</f>
        <v>2.34</v>
      </c>
      <c r="J5" s="27">
        <f>VLOOKUP($A5,'[1]Raw Data'!$A$3:$FB$285,9,FALSE)</f>
        <v>0.44</v>
      </c>
      <c r="K5" s="27">
        <f>VLOOKUP($A5,'[1]Raw Data'!$A$3:$FB$285,11,FALSE)</f>
        <v>95.71</v>
      </c>
      <c r="L5" s="27">
        <f>VLOOKUP($A5,'[1]Raw Data'!$A$3:$FB$285,12,FALSE)</f>
        <v>90.09</v>
      </c>
      <c r="M5" s="27">
        <f>VLOOKUP($A5,'[1]Raw Data'!$A$3:$FB$285,14,FALSE)</f>
        <v>0.78</v>
      </c>
      <c r="N5" s="27">
        <f>VLOOKUP($A5,'[1]Raw Data'!$A$3:$FB$285,15,FALSE)</f>
        <v>0.39</v>
      </c>
      <c r="O5" s="27">
        <f>VLOOKUP($A5,'[1]Raw Data'!$A$3:$FB$285,17,FALSE)</f>
        <v>0</v>
      </c>
      <c r="P5" s="27">
        <f>VLOOKUP($A5,'[1]Raw Data'!$A$3:$FB$285,18,FALSE)</f>
        <v>0.77</v>
      </c>
      <c r="Q5" s="27">
        <f>VLOOKUP($A5,'[1]Raw Data'!$A$3:$FB$285,20,FALSE)</f>
        <v>0</v>
      </c>
      <c r="R5" s="27">
        <f>VLOOKUP($A5,'[1]Raw Data'!$A$3:$FB$285,21,FALSE)</f>
        <v>0.28999999999999998</v>
      </c>
      <c r="S5" s="27">
        <f>VLOOKUP($A5,'[1]Raw Data'!$A$3:$FB$285,23,FALSE)</f>
        <v>0</v>
      </c>
      <c r="T5" s="27">
        <f>VLOOKUP($A5,'[1]Raw Data'!$A$3:$FB$285,24,FALSE)</f>
        <v>0</v>
      </c>
      <c r="U5" s="27">
        <f>VLOOKUP($A5,'[1]Raw Data'!$A$3:$FB$285,26,FALSE)</f>
        <v>0.39</v>
      </c>
      <c r="V5" s="27">
        <f>VLOOKUP($A5,'[1]Raw Data'!$A$3:$FB$285,27,FALSE)</f>
        <v>0.24</v>
      </c>
      <c r="W5" s="27">
        <f>VLOOKUP($A5,'[1]Raw Data'!$A$3:$FB$285,29,FALSE)</f>
        <v>0</v>
      </c>
      <c r="X5" s="27">
        <f>VLOOKUP($A5,'[1]Raw Data'!$A$3:$FB$285,30,FALSE)</f>
        <v>0</v>
      </c>
      <c r="Y5" s="27">
        <f>VLOOKUP($A5,'[1]Raw Data'!$A$3:$FB$285,32,FALSE)</f>
        <v>0.19</v>
      </c>
      <c r="Z5" s="27">
        <f>VLOOKUP($A5,'[1]Raw Data'!$A$3:$FB$285,33,FALSE)</f>
        <v>0.04</v>
      </c>
      <c r="AA5" s="27">
        <f>VLOOKUP($A5,'[1]Raw Data'!$A$3:$FB$285,35,FALSE)</f>
        <v>0</v>
      </c>
      <c r="AB5" s="27">
        <f>VLOOKUP($A5,'[1]Raw Data'!$A$3:$FB$285,36,FALSE)</f>
        <v>7.52</v>
      </c>
      <c r="AC5" s="27">
        <f>VLOOKUP($A5,'[1]Raw Data'!$A$3:$FB$285,38,FALSE)</f>
        <v>0.57999999999999996</v>
      </c>
      <c r="AD5" s="27">
        <f>VLOOKUP($A5,'[1]Raw Data'!$A$3:$FB$285,39,FALSE)</f>
        <v>0.22</v>
      </c>
      <c r="AE5" s="27">
        <f>VLOOKUP($A5,'[1]Raw Data'!$A$3:$FB$285,41,FALSE)</f>
        <v>0</v>
      </c>
      <c r="AF5" s="27">
        <f>VLOOKUP($A5,'[1]Raw Data'!$A$3:$FB$285,42,FALSE)</f>
        <v>0</v>
      </c>
      <c r="AG5" s="27">
        <f>VLOOKUP($A5,'[1]Raw Data'!$A$3:$FB$285,44,FALSE)</f>
        <v>0</v>
      </c>
      <c r="AH5" s="27">
        <f>VLOOKUP($A5,'[1]Raw Data'!$A$3:$FB$285,45,FALSE)</f>
        <v>0</v>
      </c>
      <c r="AI5" s="27">
        <f>VLOOKUP($A5,'[1]Raw Data'!$A$3:$FB$285,46,FALSE)</f>
        <v>340</v>
      </c>
      <c r="AJ5" s="27">
        <f>VLOOKUP($A5,'[1]Raw Data'!$A$3:$FB$285,47,FALSE)</f>
        <v>151</v>
      </c>
      <c r="AK5" s="27">
        <f>VLOOKUP($A5,'[1]Raw Data'!$A$3:$FB$285,48,FALSE)</f>
        <v>160</v>
      </c>
      <c r="AL5" s="27">
        <f>VLOOKUP($A5,'[1]Raw Data'!$A$3:$FB$285,49,FALSE)</f>
        <v>116</v>
      </c>
      <c r="AM5" s="27">
        <f>VLOOKUP($A5,'[1]Raw Data'!$A$3:$FB$285,50,FALSE)</f>
        <v>0</v>
      </c>
      <c r="AN5" s="27" t="str">
        <f>VLOOKUP($A5,'[1]Raw Data'!$A$3:$FB$285,51,FALSE)</f>
        <v/>
      </c>
      <c r="AO5" s="27" t="str">
        <f>VLOOKUP($A5,'[1]Raw Data'!$A$3:$FB$285,52,FALSE)</f>
        <v/>
      </c>
      <c r="AP5" s="27">
        <f>VLOOKUP($A5,'[1]Raw Data'!$A$3:$FB$285,53,FALSE)</f>
        <v>5</v>
      </c>
      <c r="AQ5" s="27" t="str">
        <f>VLOOKUP($A5,'[1]Raw Data'!$A$3:$FB$285,54,FALSE)</f>
        <v/>
      </c>
      <c r="AR5" s="27" t="str">
        <f>VLOOKUP($A5,'[1]Raw Data'!$A$3:$FB$285,55,FALSE)</f>
        <v/>
      </c>
      <c r="AS5" s="27" t="str">
        <f>VLOOKUP($A5,'[1]Raw Data'!$A$3:$FB$285,56,FALSE)</f>
        <v/>
      </c>
      <c r="AT5" s="27" t="str">
        <f>VLOOKUP($A5,'[1]Raw Data'!$A$3:$FB$285,57,FALSE)</f>
        <v/>
      </c>
      <c r="AU5" s="27" t="str">
        <f>VLOOKUP($A5,'[1]Raw Data'!$A$3:$FB$285,58,FALSE)</f>
        <v/>
      </c>
      <c r="AV5" s="27" t="str">
        <f>VLOOKUP($A5,'[1]Raw Data'!$A$3:$FB$285,59,FALSE)</f>
        <v/>
      </c>
      <c r="AW5" s="27" t="str">
        <f>VLOOKUP($A5,'[1]Raw Data'!$A$3:$FB$285,60,FALSE)</f>
        <v/>
      </c>
      <c r="AX5" s="27" t="s">
        <v>1536</v>
      </c>
      <c r="AZ5" s="27" t="str">
        <f>VLOOKUP(A5,'[1]PO''s List'!$A$3:$E$285,5,FALSE)</f>
        <v/>
      </c>
      <c r="BB5" s="27">
        <f>VLOOKUP($A5,'[1]Raw Data'!$A$3:$FB$285,63,FALSE)</f>
        <v>4359</v>
      </c>
      <c r="BC5" s="27" t="str">
        <f>VLOOKUP($A5,'[1]Raw Data'!$A$3:$FB$285,64,FALSE)</f>
        <v/>
      </c>
      <c r="BD5" s="27" t="str">
        <f>IF(BC5="Y","छ", IF(BC5="N","छैन",""))</f>
        <v/>
      </c>
      <c r="BE5" s="27" t="str">
        <f>VLOOKUP($A5,'[1]Raw Data'!$A$3:$FB$285,65,FALSE)</f>
        <v/>
      </c>
      <c r="BF5" s="27">
        <f>VLOOKUP($A5,'[1]Raw Data'!$A$3:$FB$285,66,FALSE)</f>
        <v>4459</v>
      </c>
      <c r="BG5" s="27" t="str">
        <f>VLOOKUP($A5,'[1]Raw Data'!$A$3:$FB$285,67,FALSE)</f>
        <v/>
      </c>
      <c r="BH5" s="27" t="str">
        <f>IF(BG5="Y","छ", IF(BG5="N","छैन",""))</f>
        <v/>
      </c>
      <c r="BI5" s="27" t="str">
        <f>VLOOKUP($A5,'[1]Raw Data'!$A$3:$FB$285,68,FALSE)</f>
        <v/>
      </c>
      <c r="BJ5" s="27">
        <f>VLOOKUP($A5,'[1]Raw Data'!$A$3:$FB$285,69,FALSE)</f>
        <v>465</v>
      </c>
      <c r="BM5" s="27" t="str">
        <f>VLOOKUP($A5,'[1]Raw Data'!$A$3:$FB$285,71,FALSE)</f>
        <v/>
      </c>
      <c r="BN5" s="27">
        <f>VLOOKUP($A5,'[1]Raw Data'!$A$3:$FB$285,72,FALSE)</f>
        <v>536</v>
      </c>
      <c r="BO5" s="27" t="str">
        <f>VLOOKUP($A5,'[1]Raw Data'!$A$3:$FB$285,73,FALSE)</f>
        <v/>
      </c>
      <c r="BP5" s="27" t="str">
        <f>IF(BO5="Y","छ", IF(BO5="N","छैन",""))</f>
        <v/>
      </c>
      <c r="BQ5" s="27" t="str">
        <f>VLOOKUP($A5,'[1]Raw Data'!$A$3:$FB$285,74,FALSE)</f>
        <v/>
      </c>
      <c r="BR5" s="27" t="str">
        <f>VLOOKUP($A5,'[1]Raw Data'!$A$3:$FB$285,75,FALSE)</f>
        <v/>
      </c>
      <c r="BS5" s="27" t="str">
        <f>VLOOKUP($A5,'[1]Raw Data'!$A$3:$FB$285,76,FALSE)</f>
        <v/>
      </c>
      <c r="BT5" s="27" t="str">
        <f>IF(BS5="Y","छ", IF(BS5="N","छैन",""))</f>
        <v/>
      </c>
      <c r="BU5" s="27" t="str">
        <f>VLOOKUP($A5,'[1]Raw Data'!$A$3:$FB$285,77,FALSE)</f>
        <v/>
      </c>
      <c r="BV5" s="27">
        <f>VLOOKUP($A5,'[1]Raw Data'!$A$3:$FB$285,78,FALSE)</f>
        <v>14718</v>
      </c>
      <c r="BW5" s="27" t="str">
        <f>VLOOKUP($A5,'[1]Raw Data'!$A$3:$FB$285,79,FALSE)</f>
        <v/>
      </c>
      <c r="BX5" s="27" t="str">
        <f>IF(BW5="Y","छ", IF(BW5="N","छैन",""))</f>
        <v/>
      </c>
      <c r="BY5" s="27" t="str">
        <f>VLOOKUP($A5,'[1]Raw Data'!$A$3:$FB$285,80,FALSE)</f>
        <v/>
      </c>
      <c r="BZ5" s="27">
        <f>VLOOKUP($A5,'[1]Raw Data'!$A$3:$FB$285,81,FALSE)</f>
        <v>47187</v>
      </c>
      <c r="CA5" s="27" t="str">
        <f>VLOOKUP($A5,'[1]Raw Data'!$A$3:$FB$285,82,FALSE)</f>
        <v/>
      </c>
      <c r="CB5" s="27" t="str">
        <f>IF(CA5="Y","छ", IF(CA5="N","छैन",""))</f>
        <v/>
      </c>
      <c r="CC5" s="27" t="str">
        <f>VLOOKUP($A5,'[1]Raw Data'!$A$3:$FB$285,83,FALSE)</f>
        <v/>
      </c>
      <c r="CD5" s="27">
        <f>VLOOKUP($A5,'[1]Raw Data'!$A$3:$FB$285,84,FALSE)</f>
        <v>601</v>
      </c>
      <c r="CE5" s="27" t="str">
        <f>VLOOKUP($A5,'[1]Raw Data'!$A$3:$FB$285,85,FALSE)</f>
        <v/>
      </c>
      <c r="CF5" s="27" t="str">
        <f>IF(CE5="Y","छ", IF(CE5="N","छैन",""))</f>
        <v/>
      </c>
      <c r="CG5" s="27" t="str">
        <f>VLOOKUP($A5,'[1]Raw Data'!$A$3:$FB$285,86,FALSE)</f>
        <v/>
      </c>
      <c r="CH5" s="27">
        <f>VLOOKUP($A5,'[1]Raw Data'!$A$3:$FB$285,87,FALSE)</f>
        <v>34876</v>
      </c>
      <c r="CI5" s="27" t="str">
        <f>VLOOKUP($A5,'[1]Raw Data'!$A$3:$FB$285,88,FALSE)</f>
        <v/>
      </c>
      <c r="CJ5" s="27" t="str">
        <f>IF(CI5="Y","छ", IF(CI5="N","छैन",""))</f>
        <v/>
      </c>
      <c r="CK5" s="27">
        <v>333.44</v>
      </c>
      <c r="CN5" s="27" t="str">
        <f>VLOOKUP($A5,'[1]Raw Data'!$A$3:$FB$285,94,FALSE)</f>
        <v/>
      </c>
      <c r="CO5" s="27" t="str">
        <f>VLOOKUP($A5,'[1]Raw Data'!$A$3:$FB$285,95,FALSE)</f>
        <v/>
      </c>
      <c r="CP5" s="27" t="str">
        <f>VLOOKUP($A5,'[1]Raw Data'!$A$3:$FB$285,96,FALSE)</f>
        <v/>
      </c>
      <c r="CQ5" s="27" t="str">
        <f>VLOOKUP($A5,'[1]Raw Data'!$A$3:$FB$285,97,FALSE)</f>
        <v/>
      </c>
      <c r="CR5" s="27" t="str">
        <f>VLOOKUP($A5,'[1]Raw Data'!$A$3:$FB$285,98,FALSE)</f>
        <v/>
      </c>
      <c r="CS5" s="27" t="str">
        <f>VLOOKUP($A5,'[1]Raw Data'!$A$3:$FB$285,99,FALSE)</f>
        <v/>
      </c>
      <c r="CT5" s="27" t="str">
        <f>VLOOKUP($A5,'[1]Raw Data'!$A$3:$FB$285,101,FALSE)</f>
        <v/>
      </c>
      <c r="CV5" s="27" t="str">
        <f>VLOOKUP($A5,'[1]Raw Data'!$A$3:$FB$285,102,FALSE)</f>
        <v>Chairman</v>
      </c>
      <c r="CW5" s="27" t="s">
        <v>878</v>
      </c>
      <c r="CX5" s="27" t="str">
        <f>VLOOKUP($A5,'[1]Raw Data'!$A$3:$FB$285,103,FALSE)</f>
        <v/>
      </c>
      <c r="CY5" s="27" t="str">
        <f>VLOOKUP($A5,'[1]Raw Data'!$A$3:$FB$285,105,FALSE)</f>
        <v/>
      </c>
      <c r="DA5" s="27" t="str">
        <f>VLOOKUP($A5,'[1]Raw Data'!$A$3:$FB$285,106,FALSE)</f>
        <v>Deputy Chairman</v>
      </c>
      <c r="DB5" s="27" t="s">
        <v>879</v>
      </c>
      <c r="DC5" s="27" t="str">
        <f>VLOOKUP($A5,'[1]Raw Data'!$A$3:$FB$285,107,FALSE)</f>
        <v/>
      </c>
      <c r="DD5" s="27" t="str">
        <f>VLOOKUP($A5,'[1]Raw Data'!$A$3:$FB$285,109,FALSE)</f>
        <v/>
      </c>
      <c r="DF5" s="27" t="str">
        <f>VLOOKUP($A5,'[1]Raw Data'!$A$3:$FB$285,110,FALSE)</f>
        <v>Chief Adminstration Officer</v>
      </c>
      <c r="DG5" s="27" t="s">
        <v>880</v>
      </c>
      <c r="DH5" s="27" t="str">
        <f>VLOOKUP($A5,'[1]Raw Data'!$A$3:$FB$285,111,FALSE)</f>
        <v/>
      </c>
      <c r="DI5" s="27" t="str">
        <f>VLOOKUP($A5,'[1]Raw Data'!$A$3:$FB$285,121,FALSE)</f>
        <v/>
      </c>
      <c r="DK5" s="27" t="str">
        <f>VLOOKUP($A5,'[1]Raw Data'!$A$3:$FB$285,122,FALSE)</f>
        <v>Focal Person</v>
      </c>
      <c r="DL5" s="27" t="s">
        <v>881</v>
      </c>
      <c r="DM5" s="27" t="str">
        <f>VLOOKUP($A5,'[1]Raw Data'!$A$3:$FB$285,123,FALSE)</f>
        <v/>
      </c>
      <c r="DN5" s="27" t="str">
        <f>VLOOKUP($A5,'[1]Raw Data'!$A$3:$FB$285,113,FALSE)</f>
        <v/>
      </c>
      <c r="DP5" s="27" t="str">
        <f>VLOOKUP($A5,'[1]Raw Data'!$A$3:$FB$285,114,FALSE)</f>
        <v>NRA Chief-District</v>
      </c>
      <c r="DQ5" s="27" t="s">
        <v>882</v>
      </c>
      <c r="DR5" s="27" t="str">
        <f>VLOOKUP($A5,'[1]Raw Data'!$A$3:$FB$285,115,FALSE)</f>
        <v/>
      </c>
      <c r="DS5" s="27" t="str">
        <f>VLOOKUP($A5,'[1]Raw Data'!$A$3:$FB$285,117,FALSE)</f>
        <v/>
      </c>
      <c r="DU5" s="27" t="str">
        <f>VLOOKUP($A5,'[1]Raw Data'!$A$3:$FB$285,118,FALSE)</f>
        <v>DUDBC.DLPIU Chief</v>
      </c>
      <c r="DV5" s="27" t="s">
        <v>883</v>
      </c>
      <c r="DW5" s="27" t="str">
        <f>VLOOKUP($A5,'[1]Raw Data'!$A$3:$FB$285,119,FALSE)</f>
        <v/>
      </c>
      <c r="DX5" s="27" t="s">
        <v>339</v>
      </c>
      <c r="DY5" s="27" t="str">
        <f>VLOOKUP($A5,'[1]Raw Data'!$A$3:$FB$285,124,FALSE)</f>
        <v/>
      </c>
      <c r="DZ5" s="27" t="s">
        <v>884</v>
      </c>
      <c r="EA5" s="27" t="str">
        <f>VLOOKUP($A5,'[1]Raw Data'!$A$3:$FB$285,125,FALSE)</f>
        <v/>
      </c>
      <c r="EB5" s="27" t="s">
        <v>341</v>
      </c>
      <c r="EC5" s="27" t="str">
        <f>VLOOKUP($A5,'[1]Raw Data'!$A$3:$FB$285,126,FALSE)</f>
        <v/>
      </c>
      <c r="ED5" t="s">
        <v>478</v>
      </c>
      <c r="EE5" s="27" t="str">
        <f>VLOOKUP($A5,'[1]Raw Data'!$A$3:$FB$285,127,FALSE)</f>
        <v/>
      </c>
      <c r="EF5" s="27" t="s">
        <v>343</v>
      </c>
      <c r="EG5" s="27" t="str">
        <f>VLOOKUP($A5,'[1]Raw Data'!$A$3:$FB$285,128,FALSE)</f>
        <v/>
      </c>
      <c r="EH5" t="s">
        <v>344</v>
      </c>
      <c r="EI5" s="27" t="str">
        <f>VLOOKUP($A5,'[1]Raw Data'!$A$3:$FB$285,129,FALSE)</f>
        <v/>
      </c>
      <c r="EM5" s="27">
        <v>11</v>
      </c>
      <c r="EN5" s="27">
        <v>11.2</v>
      </c>
      <c r="EO5" s="27">
        <v>33</v>
      </c>
      <c r="EP5" s="27">
        <v>33.299999999999997</v>
      </c>
      <c r="EQ5" s="27">
        <v>34</v>
      </c>
      <c r="ER5" s="27" t="str">
        <f>VLOOKUP($A5,'[1]Raw Data'!$A$3:$FB$285,135,FALSE)</f>
        <v/>
      </c>
      <c r="ES5" s="27" t="str">
        <f>VLOOKUP($A5,'[1]Raw Data'!$A$3:$FB$285,136,FALSE)</f>
        <v/>
      </c>
      <c r="ET5" s="27" t="str">
        <f>VLOOKUP($A5,'[1]Raw Data'!$A$3:$FB$285,137,FALSE)</f>
        <v/>
      </c>
      <c r="EU5" s="27" t="str">
        <f>VLOOKUP($A5,'[1]Raw Data'!$A$3:$FB$285,138,FALSE)</f>
        <v/>
      </c>
      <c r="EV5" s="27" t="str">
        <f>VLOOKUP($A5,'[1]Raw Data'!$A$3:$FB$285,139,FALSE)</f>
        <v/>
      </c>
      <c r="EW5" s="38">
        <f>VLOOKUP($A5,[1]Training!$A$2:$I$284,5,FALSE)</f>
        <v>26.153846153846199</v>
      </c>
      <c r="EX5" s="31">
        <f>VLOOKUP($A5,[1]Training!$A$2:$I$284,6,FALSE)</f>
        <v>0</v>
      </c>
      <c r="EY5" s="38">
        <f>VLOOKUP($A5,[1]Training!$A$2:$I$284,8,FALSE)</f>
        <v>30.90909090909091</v>
      </c>
      <c r="EZ5" s="31">
        <f>VLOOKUP($A5,[1]Training!$A$2:$I$284,9,FALSE)</f>
        <v>352</v>
      </c>
      <c r="FA5" s="27">
        <v>1</v>
      </c>
      <c r="FB5" s="27">
        <v>2</v>
      </c>
      <c r="FC5" s="27" t="str">
        <f>VLOOKUP($A5,'[1]Raw Data'!$A$3:$FB$285,148,FALSE)</f>
        <v/>
      </c>
      <c r="FE5" s="27" t="str">
        <f>VLOOKUP($A5,'[1]Raw Data'!$A$3:$FB$285,149,FALSE)</f>
        <v>District Coordinator</v>
      </c>
      <c r="FF5" s="27" t="s">
        <v>885</v>
      </c>
      <c r="FG5" s="27" t="str">
        <f>VLOOKUP($A5,'[1]Raw Data'!$A$3:$FB$285,150,FALSE)</f>
        <v/>
      </c>
      <c r="FH5" s="27" t="str">
        <f>VLOOKUP($A5,'[1]Raw Data'!$A$3:$FB$285,156,FALSE)</f>
        <v/>
      </c>
      <c r="FJ5" s="27" t="str">
        <f>VLOOKUP($A5,'[1]Raw Data'!$A$3:$FB$285,157,FALSE)</f>
        <v>District Technical Officer</v>
      </c>
      <c r="FK5" s="27" t="s">
        <v>886</v>
      </c>
      <c r="FL5" s="27" t="str">
        <f>VLOOKUP($A5,'[1]Raw Data'!$A$3:$FB$285,158,FALSE)</f>
        <v/>
      </c>
      <c r="FM5" s="27" t="str">
        <f>VLOOKUP($A5,'[1]Raw Data'!$A$3:$FB$285,152,FALSE)</f>
        <v/>
      </c>
      <c r="FO5" s="27" t="str">
        <f>VLOOKUP($A5,'[1]Raw Data'!$A$3:$FB$285,153,FALSE)</f>
        <v>DIstrict Information Management Officer</v>
      </c>
      <c r="FP5" s="27" t="s">
        <v>887</v>
      </c>
      <c r="FQ5" s="27" t="str">
        <f>VLOOKUP($A5,'[1]Raw Data'!$A$3:$FB$285,154,FALSE)</f>
        <v/>
      </c>
    </row>
    <row r="6" spans="1:173" ht="24" x14ac:dyDescent="0.45">
      <c r="A6" s="27">
        <v>7002</v>
      </c>
      <c r="B6" s="36" t="str">
        <f ca="1">IFERROR(__xludf.DUMMYFUNCTION("""COMPUTED_VALUE"""),"Chhathar Jorpati Gaunpalika")</f>
        <v>Chhathar Jorpati Gaunpalika</v>
      </c>
      <c r="C6" s="37" t="str">
        <f>VLOOKUP(A6,'[1]Palika and District in Nepali '!$D$1:$F$283,3,FALSE)</f>
        <v>चथर जोरपाटी गाउँपालिका</v>
      </c>
      <c r="D6" s="36" t="str">
        <f ca="1">IFERROR(__xludf.DUMMYFUNCTION("""COMPUTED_VALUE"""),"Dhankuta")</f>
        <v>Dhankuta</v>
      </c>
      <c r="E6" s="36"/>
      <c r="F6" s="27">
        <f>VLOOKUP(A6,'[1]Raw Data'!$A$3:$FB$285,4,FALSE)</f>
        <v>249</v>
      </c>
      <c r="G6" s="27">
        <f>VLOOKUP(A6,'[1]Raw Data'!$A$3:$FB$285,5,FALSE)</f>
        <v>424</v>
      </c>
      <c r="H6" s="27">
        <f>VLOOKUP(A6,'[1]Raw Data'!$A$3:$FB$285,6,FALSE)</f>
        <v>673</v>
      </c>
      <c r="I6" s="27">
        <f>VLOOKUP($A6,'[1]Raw Data'!$A$3:$FB$285,8,FALSE)</f>
        <v>0.15</v>
      </c>
      <c r="J6" s="27">
        <f>VLOOKUP($A6,'[1]Raw Data'!$A$3:$FB$285,9,FALSE)</f>
        <v>0.44</v>
      </c>
      <c r="K6" s="27">
        <f>VLOOKUP($A6,'[1]Raw Data'!$A$3:$FB$285,11,FALSE)</f>
        <v>75.040000000000006</v>
      </c>
      <c r="L6" s="27">
        <f>VLOOKUP($A6,'[1]Raw Data'!$A$3:$FB$285,12,FALSE)</f>
        <v>90.09</v>
      </c>
      <c r="M6" s="27">
        <f>VLOOKUP($A6,'[1]Raw Data'!$A$3:$FB$285,14,FALSE)</f>
        <v>0</v>
      </c>
      <c r="N6" s="27">
        <f>VLOOKUP($A6,'[1]Raw Data'!$A$3:$FB$285,15,FALSE)</f>
        <v>0.39</v>
      </c>
      <c r="O6" s="27">
        <f>VLOOKUP($A6,'[1]Raw Data'!$A$3:$FB$285,17,FALSE)</f>
        <v>0.3</v>
      </c>
      <c r="P6" s="27">
        <f>VLOOKUP($A6,'[1]Raw Data'!$A$3:$FB$285,18,FALSE)</f>
        <v>0.77</v>
      </c>
      <c r="Q6" s="27">
        <f>VLOOKUP($A6,'[1]Raw Data'!$A$3:$FB$285,20,FALSE)</f>
        <v>0.74</v>
      </c>
      <c r="R6" s="27">
        <f>VLOOKUP($A6,'[1]Raw Data'!$A$3:$FB$285,21,FALSE)</f>
        <v>0.28999999999999998</v>
      </c>
      <c r="S6" s="27">
        <f>VLOOKUP($A6,'[1]Raw Data'!$A$3:$FB$285,23,FALSE)</f>
        <v>0</v>
      </c>
      <c r="T6" s="27">
        <f>VLOOKUP($A6,'[1]Raw Data'!$A$3:$FB$285,24,FALSE)</f>
        <v>0</v>
      </c>
      <c r="U6" s="27">
        <f>VLOOKUP($A6,'[1]Raw Data'!$A$3:$FB$285,26,FALSE)</f>
        <v>0.15</v>
      </c>
      <c r="V6" s="27">
        <f>VLOOKUP($A6,'[1]Raw Data'!$A$3:$FB$285,27,FALSE)</f>
        <v>0.24</v>
      </c>
      <c r="W6" s="27">
        <f>VLOOKUP($A6,'[1]Raw Data'!$A$3:$FB$285,29,FALSE)</f>
        <v>0</v>
      </c>
      <c r="X6" s="27">
        <f>VLOOKUP($A6,'[1]Raw Data'!$A$3:$FB$285,30,FALSE)</f>
        <v>0</v>
      </c>
      <c r="Y6" s="27">
        <f>VLOOKUP($A6,'[1]Raw Data'!$A$3:$FB$285,32,FALSE)</f>
        <v>0</v>
      </c>
      <c r="Z6" s="27">
        <f>VLOOKUP($A6,'[1]Raw Data'!$A$3:$FB$285,33,FALSE)</f>
        <v>0.04</v>
      </c>
      <c r="AA6" s="27">
        <f>VLOOKUP($A6,'[1]Raw Data'!$A$3:$FB$285,35,FALSE)</f>
        <v>23.63</v>
      </c>
      <c r="AB6" s="27">
        <f>VLOOKUP($A6,'[1]Raw Data'!$A$3:$FB$285,36,FALSE)</f>
        <v>7.52</v>
      </c>
      <c r="AC6" s="27">
        <f>VLOOKUP($A6,'[1]Raw Data'!$A$3:$FB$285,38,FALSE)</f>
        <v>0</v>
      </c>
      <c r="AD6" s="27">
        <f>VLOOKUP($A6,'[1]Raw Data'!$A$3:$FB$285,39,FALSE)</f>
        <v>0.22</v>
      </c>
      <c r="AE6" s="27">
        <f>VLOOKUP($A6,'[1]Raw Data'!$A$3:$FB$285,41,FALSE)</f>
        <v>0</v>
      </c>
      <c r="AF6" s="27">
        <f>VLOOKUP($A6,'[1]Raw Data'!$A$3:$FB$285,42,FALSE)</f>
        <v>0</v>
      </c>
      <c r="AG6" s="27">
        <f>VLOOKUP($A6,'[1]Raw Data'!$A$3:$FB$285,44,FALSE)</f>
        <v>0</v>
      </c>
      <c r="AH6" s="27">
        <f>VLOOKUP($A6,'[1]Raw Data'!$A$3:$FB$285,45,FALSE)</f>
        <v>0</v>
      </c>
      <c r="AI6" s="27">
        <f>VLOOKUP($A6,'[1]Raw Data'!$A$3:$FB$285,46,FALSE)</f>
        <v>382</v>
      </c>
      <c r="AJ6" s="27">
        <f>VLOOKUP($A6,'[1]Raw Data'!$A$3:$FB$285,47,FALSE)</f>
        <v>160</v>
      </c>
      <c r="AK6" s="27">
        <f>VLOOKUP($A6,'[1]Raw Data'!$A$3:$FB$285,48,FALSE)</f>
        <v>151</v>
      </c>
      <c r="AL6" s="27">
        <f>VLOOKUP($A6,'[1]Raw Data'!$A$3:$FB$285,49,FALSE)</f>
        <v>50</v>
      </c>
      <c r="AM6" s="27">
        <f>VLOOKUP($A6,'[1]Raw Data'!$A$3:$FB$285,50,FALSE)</f>
        <v>0</v>
      </c>
      <c r="AN6" s="27" t="str">
        <f>VLOOKUP($A6,'[1]Raw Data'!$A$3:$FB$285,51,FALSE)</f>
        <v/>
      </c>
      <c r="AO6" s="27" t="str">
        <f>VLOOKUP($A6,'[1]Raw Data'!$A$3:$FB$285,52,FALSE)</f>
        <v/>
      </c>
      <c r="AP6" s="27">
        <f>VLOOKUP($A6,'[1]Raw Data'!$A$3:$FB$285,53,FALSE)</f>
        <v>55</v>
      </c>
      <c r="AQ6" s="27" t="str">
        <f>VLOOKUP($A6,'[1]Raw Data'!$A$3:$FB$285,54,FALSE)</f>
        <v/>
      </c>
      <c r="AR6" s="27" t="str">
        <f>VLOOKUP($A6,'[1]Raw Data'!$A$3:$FB$285,55,FALSE)</f>
        <v/>
      </c>
      <c r="AS6" s="27" t="str">
        <f>VLOOKUP($A6,'[1]Raw Data'!$A$3:$FB$285,56,FALSE)</f>
        <v/>
      </c>
      <c r="AT6" s="27" t="str">
        <f>VLOOKUP($A6,'[1]Raw Data'!$A$3:$FB$285,57,FALSE)</f>
        <v/>
      </c>
      <c r="AU6" s="27" t="str">
        <f>VLOOKUP($A6,'[1]Raw Data'!$A$3:$FB$285,58,FALSE)</f>
        <v/>
      </c>
      <c r="AV6" s="27" t="str">
        <f>VLOOKUP($A6,'[1]Raw Data'!$A$3:$FB$285,59,FALSE)</f>
        <v/>
      </c>
      <c r="AW6" s="27" t="str">
        <f>VLOOKUP($A6,'[1]Raw Data'!$A$3:$FB$285,60,FALSE)</f>
        <v/>
      </c>
      <c r="AX6" s="27" t="str">
        <f>VLOOKUP(A6,'[1]PO''s List'!A4:E286,4,FALSE)</f>
        <v/>
      </c>
      <c r="AZ6" s="27" t="str">
        <f>VLOOKUP(A6,'[1]PO''s List'!$A$3:$E$285,5,FALSE)</f>
        <v/>
      </c>
      <c r="BB6" s="27">
        <f>VLOOKUP($A6,'[1]Raw Data'!$A$3:$FB$285,63,FALSE)</f>
        <v>4811</v>
      </c>
      <c r="BC6" s="27" t="str">
        <f>VLOOKUP($A6,'[1]Raw Data'!$A$3:$FB$285,64,FALSE)</f>
        <v/>
      </c>
      <c r="BD6" s="27" t="str">
        <f t="shared" ref="BD6:BD69" si="0">IF(BC6="Y","छ", IF(BC6="N","छैन",""))</f>
        <v/>
      </c>
      <c r="BE6" s="27" t="str">
        <f>VLOOKUP($A6,'[1]Raw Data'!$A$3:$FB$285,65,FALSE)</f>
        <v/>
      </c>
      <c r="BF6" s="27">
        <f>VLOOKUP($A6,'[1]Raw Data'!$A$3:$FB$285,66,FALSE)</f>
        <v>4548</v>
      </c>
      <c r="BG6" s="27" t="str">
        <f>VLOOKUP($A6,'[1]Raw Data'!$A$3:$FB$285,67,FALSE)</f>
        <v/>
      </c>
      <c r="BH6" s="27" t="str">
        <f t="shared" ref="BH6:BH69" si="1">IF(BG6="Y","छ", IF(BG6="N","छैन",""))</f>
        <v/>
      </c>
      <c r="BI6" s="27" t="str">
        <f>VLOOKUP($A6,'[1]Raw Data'!$A$3:$FB$285,68,FALSE)</f>
        <v/>
      </c>
      <c r="BJ6" s="27">
        <f>VLOOKUP($A6,'[1]Raw Data'!$A$3:$FB$285,69,FALSE)</f>
        <v>511</v>
      </c>
      <c r="BK6" s="27" t="str">
        <f>VLOOKUP($A6,'[1]Raw Data'!$A$3:$FB$285,70,FALSE)</f>
        <v/>
      </c>
      <c r="BL6" s="27" t="str">
        <f t="shared" ref="BL6:BL69" si="2">IF(BK6="Y","छ", IF(BK6="N","छैन",""))</f>
        <v/>
      </c>
      <c r="BM6" s="27" t="str">
        <f>VLOOKUP($A6,'[1]Raw Data'!$A$3:$FB$285,71,FALSE)</f>
        <v/>
      </c>
      <c r="BN6" s="27">
        <f>VLOOKUP($A6,'[1]Raw Data'!$A$3:$FB$285,72,FALSE)</f>
        <v>578</v>
      </c>
      <c r="BO6" s="27" t="str">
        <f>VLOOKUP($A6,'[1]Raw Data'!$A$3:$FB$285,73,FALSE)</f>
        <v/>
      </c>
      <c r="BP6" s="27" t="str">
        <f t="shared" ref="BP6:BP69" si="3">IF(BO6="Y","छ", IF(BO6="N","छैन",""))</f>
        <v/>
      </c>
      <c r="BQ6" s="27" t="str">
        <f>VLOOKUP($A6,'[1]Raw Data'!$A$3:$FB$285,74,FALSE)</f>
        <v/>
      </c>
      <c r="BR6" s="27" t="str">
        <f>VLOOKUP($A6,'[1]Raw Data'!$A$3:$FB$285,75,FALSE)</f>
        <v/>
      </c>
      <c r="BS6" s="27" t="str">
        <f>VLOOKUP($A6,'[1]Raw Data'!$A$3:$FB$285,76,FALSE)</f>
        <v/>
      </c>
      <c r="BT6" s="27" t="str">
        <f t="shared" ref="BT6:BT69" si="4">IF(BS6="Y","छ", IF(BS6="N","छैन",""))</f>
        <v/>
      </c>
      <c r="BU6" s="27" t="str">
        <f>VLOOKUP($A6,'[1]Raw Data'!$A$3:$FB$285,77,FALSE)</f>
        <v/>
      </c>
      <c r="BV6" s="27">
        <f>VLOOKUP($A6,'[1]Raw Data'!$A$3:$FB$285,78,FALSE)</f>
        <v>15567</v>
      </c>
      <c r="BW6" s="27" t="str">
        <f>VLOOKUP($A6,'[1]Raw Data'!$A$3:$FB$285,79,FALSE)</f>
        <v/>
      </c>
      <c r="BX6" s="27" t="str">
        <f t="shared" ref="BX6:BX69" si="5">IF(BW6="Y","छ", IF(BW6="N","छैन",""))</f>
        <v/>
      </c>
      <c r="BY6" s="27" t="str">
        <f>VLOOKUP($A6,'[1]Raw Data'!$A$3:$FB$285,80,FALSE)</f>
        <v/>
      </c>
      <c r="BZ6" s="27">
        <f>VLOOKUP($A6,'[1]Raw Data'!$A$3:$FB$285,81,FALSE)</f>
        <v>53319</v>
      </c>
      <c r="CA6" s="27" t="str">
        <f>VLOOKUP($A6,'[1]Raw Data'!$A$3:$FB$285,82,FALSE)</f>
        <v/>
      </c>
      <c r="CB6" s="27" t="str">
        <f t="shared" ref="CB6:CB69" si="6">IF(CA6="Y","छ", IF(CA6="N","छैन",""))</f>
        <v/>
      </c>
      <c r="CC6" s="27" t="str">
        <f>VLOOKUP($A6,'[1]Raw Data'!$A$3:$FB$285,83,FALSE)</f>
        <v/>
      </c>
      <c r="CD6" s="27">
        <f>VLOOKUP($A6,'[1]Raw Data'!$A$3:$FB$285,84,FALSE)</f>
        <v>638</v>
      </c>
      <c r="CE6" s="27" t="str">
        <f>VLOOKUP($A6,'[1]Raw Data'!$A$3:$FB$285,85,FALSE)</f>
        <v/>
      </c>
      <c r="CF6" s="27" t="str">
        <f t="shared" ref="CF6:CF69" si="7">IF(CE6="Y","छ", IF(CE6="N","छैन",""))</f>
        <v/>
      </c>
      <c r="CG6" s="27" t="str">
        <f>VLOOKUP($A6,'[1]Raw Data'!$A$3:$FB$285,86,FALSE)</f>
        <v/>
      </c>
      <c r="CH6" s="27">
        <f>VLOOKUP($A6,'[1]Raw Data'!$A$3:$FB$285,87,FALSE)</f>
        <v>142542</v>
      </c>
      <c r="CI6" s="27" t="str">
        <f>VLOOKUP($A6,'[1]Raw Data'!$A$3:$FB$285,88,FALSE)</f>
        <v/>
      </c>
      <c r="CJ6" s="27" t="str">
        <f t="shared" ref="CJ6:CJ69" si="8">IF(CI6="Y","छ", IF(CI6="N","छैन",""))</f>
        <v/>
      </c>
      <c r="CK6" s="27" t="str">
        <f>VLOOKUP($A6,'[1]Raw Data'!$A$3:$FB$285,89,FALSE)</f>
        <v/>
      </c>
      <c r="CL6" s="27" t="str">
        <f>VLOOKUP($A6,'[1]Raw Data'!$A$3:$FB$285,91,FALSE)</f>
        <v/>
      </c>
      <c r="CM6" s="27" t="str">
        <f>VLOOKUP($A6,'[1]Raw Data'!$A$3:$FB$285,93,FALSE)</f>
        <v/>
      </c>
      <c r="CN6" s="27" t="str">
        <f>VLOOKUP($A6,'[1]Raw Data'!$A$3:$FB$285,94,FALSE)</f>
        <v/>
      </c>
      <c r="CO6" s="27" t="str">
        <f>VLOOKUP($A6,'[1]Raw Data'!$A$3:$FB$285,95,FALSE)</f>
        <v/>
      </c>
      <c r="CP6" s="27" t="str">
        <f>VLOOKUP($A6,'[1]Raw Data'!$A$3:$FB$285,96,FALSE)</f>
        <v/>
      </c>
      <c r="CQ6" s="27" t="str">
        <f>VLOOKUP($A6,'[1]Raw Data'!$A$3:$FB$285,97,FALSE)</f>
        <v/>
      </c>
      <c r="CR6" s="27" t="str">
        <f>VLOOKUP($A6,'[1]Raw Data'!$A$3:$FB$285,98,FALSE)</f>
        <v/>
      </c>
      <c r="CS6" s="27" t="str">
        <f>VLOOKUP($A6,'[1]Raw Data'!$A$3:$FB$285,99,FALSE)</f>
        <v/>
      </c>
      <c r="CT6" s="27" t="str">
        <f>VLOOKUP($A6,'[1]Raw Data'!$A$3:$FB$285,101,FALSE)</f>
        <v/>
      </c>
      <c r="CV6" s="27" t="str">
        <f>VLOOKUP($A6,'[1]Raw Data'!$A$3:$FB$285,102,FALSE)</f>
        <v>Chairman</v>
      </c>
      <c r="CW6" s="27" t="s">
        <v>878</v>
      </c>
      <c r="CX6" s="27" t="str">
        <f>VLOOKUP($A6,'[1]Raw Data'!$A$3:$FB$285,103,FALSE)</f>
        <v/>
      </c>
      <c r="CY6" s="27" t="str">
        <f>VLOOKUP($A6,'[1]Raw Data'!$A$3:$FB$285,105,FALSE)</f>
        <v/>
      </c>
      <c r="DA6" s="27" t="str">
        <f>VLOOKUP($A6,'[1]Raw Data'!$A$3:$FB$285,106,FALSE)</f>
        <v>Deputy Chairman</v>
      </c>
      <c r="DB6" s="27" t="s">
        <v>879</v>
      </c>
      <c r="DC6" s="27" t="str">
        <f>VLOOKUP($A6,'[1]Raw Data'!$A$3:$FB$285,107,FALSE)</f>
        <v/>
      </c>
      <c r="DD6" s="27" t="str">
        <f>VLOOKUP($A6,'[1]Raw Data'!$A$3:$FB$285,109,FALSE)</f>
        <v/>
      </c>
      <c r="DF6" s="27" t="str">
        <f>VLOOKUP($A6,'[1]Raw Data'!$A$3:$FB$285,110,FALSE)</f>
        <v>Chief Adminstration Officer</v>
      </c>
      <c r="DG6" s="27" t="s">
        <v>880</v>
      </c>
      <c r="DH6" s="27" t="str">
        <f>VLOOKUP($A6,'[1]Raw Data'!$A$3:$FB$285,111,FALSE)</f>
        <v/>
      </c>
      <c r="DI6" s="27" t="str">
        <f>VLOOKUP($A6,'[1]Raw Data'!$A$3:$FB$285,121,FALSE)</f>
        <v/>
      </c>
      <c r="DK6" s="27" t="str">
        <f>VLOOKUP($A6,'[1]Raw Data'!$A$3:$FB$285,122,FALSE)</f>
        <v>Focal Person</v>
      </c>
      <c r="DL6" s="27" t="s">
        <v>881</v>
      </c>
      <c r="DM6" s="27" t="str">
        <f>VLOOKUP($A6,'[1]Raw Data'!$A$3:$FB$285,123,FALSE)</f>
        <v/>
      </c>
      <c r="DN6" s="27" t="str">
        <f>VLOOKUP($A6,'[1]Raw Data'!$A$3:$FB$285,113,FALSE)</f>
        <v/>
      </c>
      <c r="DP6" s="27" t="str">
        <f>VLOOKUP($A6,'[1]Raw Data'!$A$3:$FB$285,114,FALSE)</f>
        <v>NRA Chief-District</v>
      </c>
      <c r="DQ6" s="27" t="s">
        <v>882</v>
      </c>
      <c r="DR6" s="27" t="str">
        <f>VLOOKUP($A6,'[1]Raw Data'!$A$3:$FB$285,115,FALSE)</f>
        <v/>
      </c>
      <c r="DS6" s="27" t="str">
        <f>VLOOKUP($A6,'[1]Raw Data'!$A$3:$FB$285,117,FALSE)</f>
        <v/>
      </c>
      <c r="DU6" s="27" t="str">
        <f>VLOOKUP($A6,'[1]Raw Data'!$A$3:$FB$285,118,FALSE)</f>
        <v>DUDBC.DLPIU Chief</v>
      </c>
      <c r="DV6" s="27" t="s">
        <v>883</v>
      </c>
      <c r="DW6" s="27" t="str">
        <f>VLOOKUP($A6,'[1]Raw Data'!$A$3:$FB$285,119,FALSE)</f>
        <v/>
      </c>
      <c r="DX6" s="27" t="s">
        <v>339</v>
      </c>
      <c r="DY6" s="27" t="str">
        <f>VLOOKUP($A6,'[1]Raw Data'!$A$3:$FB$285,124,FALSE)</f>
        <v/>
      </c>
      <c r="DZ6" s="27" t="s">
        <v>884</v>
      </c>
      <c r="EA6" s="27" t="str">
        <f>VLOOKUP($A6,'[1]Raw Data'!$A$3:$FB$285,125,FALSE)</f>
        <v/>
      </c>
      <c r="EB6" s="27" t="s">
        <v>341</v>
      </c>
      <c r="EC6" s="27" t="str">
        <f>VLOOKUP($A6,'[1]Raw Data'!$A$3:$FB$285,126,FALSE)</f>
        <v/>
      </c>
      <c r="ED6" t="s">
        <v>478</v>
      </c>
      <c r="EE6" s="27" t="str">
        <f>VLOOKUP($A6,'[1]Raw Data'!$A$3:$FB$285,127,FALSE)</f>
        <v/>
      </c>
      <c r="EF6" s="27" t="s">
        <v>343</v>
      </c>
      <c r="EG6" s="27" t="str">
        <f>VLOOKUP($A6,'[1]Raw Data'!$A$3:$FB$285,128,FALSE)</f>
        <v/>
      </c>
      <c r="EH6" t="s">
        <v>344</v>
      </c>
      <c r="EI6" s="27" t="str">
        <f>VLOOKUP($A6,'[1]Raw Data'!$A$3:$FB$285,129,FALSE)</f>
        <v/>
      </c>
      <c r="EM6" s="27" t="str">
        <f>VLOOKUP($A6,'[1]Raw Data'!$A$3:$FB$285,130,FALSE)</f>
        <v/>
      </c>
      <c r="EN6" s="27" t="str">
        <f>VLOOKUP($A6,'[1]Raw Data'!$A$3:$FB$285,131,FALSE)</f>
        <v/>
      </c>
      <c r="EO6" s="27" t="str">
        <f>VLOOKUP($A6,'[1]Raw Data'!$A$3:$FB$285,132,FALSE)</f>
        <v/>
      </c>
      <c r="EP6" s="27" t="str">
        <f>VLOOKUP($A6,'[1]Raw Data'!$A$3:$FB$285,133,FALSE)</f>
        <v/>
      </c>
      <c r="EQ6" s="27" t="str">
        <f>VLOOKUP($A6,'[1]Raw Data'!$A$3:$FB$285,134,FALSE)</f>
        <v/>
      </c>
      <c r="ER6" s="27" t="str">
        <f>VLOOKUP($A6,'[1]Raw Data'!$A$3:$FB$285,135,FALSE)</f>
        <v/>
      </c>
      <c r="ES6" s="27" t="str">
        <f>VLOOKUP($A6,'[1]Raw Data'!$A$3:$FB$285,136,FALSE)</f>
        <v/>
      </c>
      <c r="ET6" s="27" t="str">
        <f>VLOOKUP($A6,'[1]Raw Data'!$A$3:$FB$285,137,FALSE)</f>
        <v/>
      </c>
      <c r="EU6" s="27" t="str">
        <f>VLOOKUP($A6,'[1]Raw Data'!$A$3:$FB$285,138,FALSE)</f>
        <v/>
      </c>
      <c r="EV6" s="27" t="str">
        <f>VLOOKUP($A6,'[1]Raw Data'!$A$3:$FB$285,139,FALSE)</f>
        <v/>
      </c>
      <c r="EW6" s="38">
        <f>VLOOKUP($A6,[1]Training!$A$2:$I$284,5,FALSE)</f>
        <v>29.384615384615383</v>
      </c>
      <c r="EX6" s="31">
        <f>VLOOKUP($A6,[1]Training!$A$2:$I$284,6,FALSE)</f>
        <v>0</v>
      </c>
      <c r="EY6" s="38">
        <f>VLOOKUP($A6,[1]Training!$A$2:$I$284,8,FALSE)</f>
        <v>34.727272727272727</v>
      </c>
      <c r="EZ6" s="31">
        <f>VLOOKUP($A6,[1]Training!$A$2:$I$284,9,FALSE)</f>
        <v>1</v>
      </c>
      <c r="FA6" s="27">
        <v>1</v>
      </c>
      <c r="FB6" s="27">
        <v>2</v>
      </c>
      <c r="FC6" s="27" t="str">
        <f>VLOOKUP($A6,'[1]Raw Data'!$A$3:$FB$285,148,FALSE)</f>
        <v/>
      </c>
      <c r="FE6" s="27" t="str">
        <f>VLOOKUP($A6,'[1]Raw Data'!$A$3:$FB$285,149,FALSE)</f>
        <v>District Coordinator</v>
      </c>
      <c r="FF6" s="27" t="s">
        <v>885</v>
      </c>
      <c r="FG6" s="27" t="str">
        <f>VLOOKUP($A6,'[1]Raw Data'!$A$3:$FB$285,150,FALSE)</f>
        <v/>
      </c>
      <c r="FH6" s="27" t="str">
        <f>VLOOKUP($A6,'[1]Raw Data'!$A$3:$FB$285,156,FALSE)</f>
        <v/>
      </c>
      <c r="FJ6" s="27" t="str">
        <f>VLOOKUP($A6,'[1]Raw Data'!$A$3:$FB$285,157,FALSE)</f>
        <v>District Technical Officer</v>
      </c>
      <c r="FK6" s="27" t="s">
        <v>886</v>
      </c>
      <c r="FL6" s="27" t="str">
        <f>VLOOKUP($A6,'[1]Raw Data'!$A$3:$FB$285,158,FALSE)</f>
        <v/>
      </c>
      <c r="FM6" s="27" t="str">
        <f>VLOOKUP($A6,'[1]Raw Data'!$A$3:$FB$285,152,FALSE)</f>
        <v/>
      </c>
      <c r="FO6" s="27" t="str">
        <f>VLOOKUP($A6,'[1]Raw Data'!$A$3:$FB$285,153,FALSE)</f>
        <v>DIstrict Information Management Officer</v>
      </c>
      <c r="FP6" s="27" t="s">
        <v>887</v>
      </c>
      <c r="FQ6" s="27" t="str">
        <f>VLOOKUP($A6,'[1]Raw Data'!$A$3:$FB$285,154,FALSE)</f>
        <v/>
      </c>
    </row>
    <row r="7" spans="1:173" ht="24" x14ac:dyDescent="0.45">
      <c r="A7" s="27">
        <v>7003</v>
      </c>
      <c r="B7" s="36" t="str">
        <f ca="1">IFERROR(__xludf.DUMMYFUNCTION("""COMPUTED_VALUE"""),"Dhankuta Nagarpalika")</f>
        <v>Dhankuta Nagarpalika</v>
      </c>
      <c r="C7" s="37" t="str">
        <f>VLOOKUP(A7,'[1]Palika and District in Nepali '!$D$1:$F$283,3,FALSE)</f>
        <v>धनकुटा नगरपालिका</v>
      </c>
      <c r="D7" s="36" t="str">
        <f ca="1">IFERROR(__xludf.DUMMYFUNCTION("""COMPUTED_VALUE"""),"Dhankuta")</f>
        <v>Dhankuta</v>
      </c>
      <c r="E7" s="36"/>
      <c r="F7" s="27">
        <f>VLOOKUP(A7,'[1]Raw Data'!$A$3:$FB$285,4,FALSE)</f>
        <v>193</v>
      </c>
      <c r="G7" s="27">
        <f>VLOOKUP(A7,'[1]Raw Data'!$A$3:$FB$285,5,FALSE)</f>
        <v>404</v>
      </c>
      <c r="H7" s="27">
        <f>VLOOKUP(A7,'[1]Raw Data'!$A$3:$FB$285,6,FALSE)</f>
        <v>597</v>
      </c>
      <c r="I7" s="27">
        <f>VLOOKUP($A7,'[1]Raw Data'!$A$3:$FB$285,8,FALSE)</f>
        <v>0.17</v>
      </c>
      <c r="J7" s="27">
        <f>VLOOKUP($A7,'[1]Raw Data'!$A$3:$FB$285,9,FALSE)</f>
        <v>0.44</v>
      </c>
      <c r="K7" s="27">
        <f>VLOOKUP($A7,'[1]Raw Data'!$A$3:$FB$285,11,FALSE)</f>
        <v>89.93</v>
      </c>
      <c r="L7" s="27">
        <f>VLOOKUP($A7,'[1]Raw Data'!$A$3:$FB$285,12,FALSE)</f>
        <v>90.09</v>
      </c>
      <c r="M7" s="27">
        <f>VLOOKUP($A7,'[1]Raw Data'!$A$3:$FB$285,14,FALSE)</f>
        <v>1.51</v>
      </c>
      <c r="N7" s="27">
        <f>VLOOKUP($A7,'[1]Raw Data'!$A$3:$FB$285,15,FALSE)</f>
        <v>0.39</v>
      </c>
      <c r="O7" s="27">
        <f>VLOOKUP($A7,'[1]Raw Data'!$A$3:$FB$285,17,FALSE)</f>
        <v>4.3600000000000003</v>
      </c>
      <c r="P7" s="27">
        <f>VLOOKUP($A7,'[1]Raw Data'!$A$3:$FB$285,18,FALSE)</f>
        <v>0.77</v>
      </c>
      <c r="Q7" s="27">
        <f>VLOOKUP($A7,'[1]Raw Data'!$A$3:$FB$285,20,FALSE)</f>
        <v>0.34</v>
      </c>
      <c r="R7" s="27">
        <f>VLOOKUP($A7,'[1]Raw Data'!$A$3:$FB$285,21,FALSE)</f>
        <v>0.28999999999999998</v>
      </c>
      <c r="S7" s="27">
        <f>VLOOKUP($A7,'[1]Raw Data'!$A$3:$FB$285,23,FALSE)</f>
        <v>0</v>
      </c>
      <c r="T7" s="27">
        <f>VLOOKUP($A7,'[1]Raw Data'!$A$3:$FB$285,24,FALSE)</f>
        <v>0</v>
      </c>
      <c r="U7" s="27">
        <f>VLOOKUP($A7,'[1]Raw Data'!$A$3:$FB$285,26,FALSE)</f>
        <v>0.34</v>
      </c>
      <c r="V7" s="27">
        <f>VLOOKUP($A7,'[1]Raw Data'!$A$3:$FB$285,27,FALSE)</f>
        <v>0.24</v>
      </c>
      <c r="W7" s="27">
        <f>VLOOKUP($A7,'[1]Raw Data'!$A$3:$FB$285,29,FALSE)</f>
        <v>0</v>
      </c>
      <c r="X7" s="27">
        <f>VLOOKUP($A7,'[1]Raw Data'!$A$3:$FB$285,30,FALSE)</f>
        <v>0</v>
      </c>
      <c r="Y7" s="27">
        <f>VLOOKUP($A7,'[1]Raw Data'!$A$3:$FB$285,32,FALSE)</f>
        <v>0</v>
      </c>
      <c r="Z7" s="27">
        <f>VLOOKUP($A7,'[1]Raw Data'!$A$3:$FB$285,33,FALSE)</f>
        <v>0.04</v>
      </c>
      <c r="AA7" s="27">
        <f>VLOOKUP($A7,'[1]Raw Data'!$A$3:$FB$285,35,FALSE)</f>
        <v>3.19</v>
      </c>
      <c r="AB7" s="27">
        <f>VLOOKUP($A7,'[1]Raw Data'!$A$3:$FB$285,36,FALSE)</f>
        <v>7.52</v>
      </c>
      <c r="AC7" s="27">
        <f>VLOOKUP($A7,'[1]Raw Data'!$A$3:$FB$285,38,FALSE)</f>
        <v>0.17</v>
      </c>
      <c r="AD7" s="27">
        <f>VLOOKUP($A7,'[1]Raw Data'!$A$3:$FB$285,39,FALSE)</f>
        <v>0.22</v>
      </c>
      <c r="AE7" s="27">
        <f>VLOOKUP($A7,'[1]Raw Data'!$A$3:$FB$285,41,FALSE)</f>
        <v>0</v>
      </c>
      <c r="AF7" s="27">
        <f>VLOOKUP($A7,'[1]Raw Data'!$A$3:$FB$285,42,FALSE)</f>
        <v>0</v>
      </c>
      <c r="AG7" s="27">
        <f>VLOOKUP($A7,'[1]Raw Data'!$A$3:$FB$285,44,FALSE)</f>
        <v>0</v>
      </c>
      <c r="AH7" s="27">
        <f>VLOOKUP($A7,'[1]Raw Data'!$A$3:$FB$285,45,FALSE)</f>
        <v>0</v>
      </c>
      <c r="AI7" s="27">
        <f>VLOOKUP($A7,'[1]Raw Data'!$A$3:$FB$285,46,FALSE)</f>
        <v>427</v>
      </c>
      <c r="AJ7" s="27">
        <f>VLOOKUP($A7,'[1]Raw Data'!$A$3:$FB$285,47,FALSE)</f>
        <v>119</v>
      </c>
      <c r="AK7" s="27">
        <f>VLOOKUP($A7,'[1]Raw Data'!$A$3:$FB$285,48,FALSE)</f>
        <v>119</v>
      </c>
      <c r="AL7" s="27">
        <f>VLOOKUP($A7,'[1]Raw Data'!$A$3:$FB$285,49,FALSE)</f>
        <v>95</v>
      </c>
      <c r="AM7" s="27">
        <f>VLOOKUP($A7,'[1]Raw Data'!$A$3:$FB$285,50,FALSE)</f>
        <v>0</v>
      </c>
      <c r="AN7" s="27" t="str">
        <f>VLOOKUP($A7,'[1]Raw Data'!$A$3:$FB$285,51,FALSE)</f>
        <v/>
      </c>
      <c r="AO7" s="27" t="str">
        <f>VLOOKUP($A7,'[1]Raw Data'!$A$3:$FB$285,52,FALSE)</f>
        <v/>
      </c>
      <c r="AP7" s="27">
        <f>VLOOKUP($A7,'[1]Raw Data'!$A$3:$FB$285,53,FALSE)</f>
        <v>28</v>
      </c>
      <c r="AQ7" s="27" t="str">
        <f>VLOOKUP($A7,'[1]Raw Data'!$A$3:$FB$285,54,FALSE)</f>
        <v/>
      </c>
      <c r="AR7" s="27" t="str">
        <f>VLOOKUP($A7,'[1]Raw Data'!$A$3:$FB$285,55,FALSE)</f>
        <v/>
      </c>
      <c r="AS7" s="27" t="str">
        <f>VLOOKUP($A7,'[1]Raw Data'!$A$3:$FB$285,56,FALSE)</f>
        <v/>
      </c>
      <c r="AT7" s="27" t="str">
        <f>VLOOKUP($A7,'[1]Raw Data'!$A$3:$FB$285,57,FALSE)</f>
        <v/>
      </c>
      <c r="AU7" s="27" t="str">
        <f>VLOOKUP($A7,'[1]Raw Data'!$A$3:$FB$285,58,FALSE)</f>
        <v/>
      </c>
      <c r="AV7" s="27" t="str">
        <f>VLOOKUP($A7,'[1]Raw Data'!$A$3:$FB$285,59,FALSE)</f>
        <v/>
      </c>
      <c r="AW7" s="27" t="str">
        <f>VLOOKUP($A7,'[1]Raw Data'!$A$3:$FB$285,60,FALSE)</f>
        <v/>
      </c>
      <c r="AX7" s="27" t="str">
        <f>VLOOKUP(A7,'[1]PO''s List'!A5:E287,4,FALSE)</f>
        <v/>
      </c>
      <c r="AZ7" s="27" t="str">
        <f>VLOOKUP(A7,'[1]PO''s List'!$A$3:$E$285,5,FALSE)</f>
        <v/>
      </c>
      <c r="BB7" s="27">
        <f>VLOOKUP($A7,'[1]Raw Data'!$A$3:$FB$285,63,FALSE)</f>
        <v>3321</v>
      </c>
      <c r="BC7" s="27" t="str">
        <f>VLOOKUP($A7,'[1]Raw Data'!$A$3:$FB$285,64,FALSE)</f>
        <v/>
      </c>
      <c r="BD7" s="27" t="str">
        <f t="shared" si="0"/>
        <v/>
      </c>
      <c r="BE7" s="27" t="str">
        <f>VLOOKUP($A7,'[1]Raw Data'!$A$3:$FB$285,65,FALSE)</f>
        <v/>
      </c>
      <c r="BF7" s="27">
        <f>VLOOKUP($A7,'[1]Raw Data'!$A$3:$FB$285,66,FALSE)</f>
        <v>3401</v>
      </c>
      <c r="BG7" s="27" t="str">
        <f>VLOOKUP($A7,'[1]Raw Data'!$A$3:$FB$285,67,FALSE)</f>
        <v/>
      </c>
      <c r="BH7" s="27" t="str">
        <f t="shared" si="1"/>
        <v/>
      </c>
      <c r="BI7" s="27" t="str">
        <f>VLOOKUP($A7,'[1]Raw Data'!$A$3:$FB$285,68,FALSE)</f>
        <v/>
      </c>
      <c r="BJ7" s="27">
        <f>VLOOKUP($A7,'[1]Raw Data'!$A$3:$FB$285,69,FALSE)</f>
        <v>355</v>
      </c>
      <c r="BK7" s="27" t="str">
        <f>VLOOKUP($A7,'[1]Raw Data'!$A$3:$FB$285,70,FALSE)</f>
        <v/>
      </c>
      <c r="BL7" s="27" t="str">
        <f t="shared" si="2"/>
        <v/>
      </c>
      <c r="BM7" s="27" t="str">
        <f>VLOOKUP($A7,'[1]Raw Data'!$A$3:$FB$285,71,FALSE)</f>
        <v/>
      </c>
      <c r="BN7" s="27">
        <f>VLOOKUP($A7,'[1]Raw Data'!$A$3:$FB$285,72,FALSE)</f>
        <v>409</v>
      </c>
      <c r="BO7" s="27" t="str">
        <f>VLOOKUP($A7,'[1]Raw Data'!$A$3:$FB$285,73,FALSE)</f>
        <v/>
      </c>
      <c r="BP7" s="27" t="str">
        <f t="shared" si="3"/>
        <v/>
      </c>
      <c r="BQ7" s="27" t="str">
        <f>VLOOKUP($A7,'[1]Raw Data'!$A$3:$FB$285,74,FALSE)</f>
        <v/>
      </c>
      <c r="BR7" s="27" t="str">
        <f>VLOOKUP($A7,'[1]Raw Data'!$A$3:$FB$285,75,FALSE)</f>
        <v/>
      </c>
      <c r="BS7" s="27" t="str">
        <f>VLOOKUP($A7,'[1]Raw Data'!$A$3:$FB$285,76,FALSE)</f>
        <v/>
      </c>
      <c r="BT7" s="27" t="str">
        <f t="shared" si="4"/>
        <v/>
      </c>
      <c r="BU7" s="27" t="str">
        <f>VLOOKUP($A7,'[1]Raw Data'!$A$3:$FB$285,77,FALSE)</f>
        <v/>
      </c>
      <c r="BV7" s="27">
        <f>VLOOKUP($A7,'[1]Raw Data'!$A$3:$FB$285,78,FALSE)</f>
        <v>11347</v>
      </c>
      <c r="BW7" s="27" t="str">
        <f>VLOOKUP($A7,'[1]Raw Data'!$A$3:$FB$285,79,FALSE)</f>
        <v/>
      </c>
      <c r="BX7" s="27" t="str">
        <f t="shared" si="5"/>
        <v/>
      </c>
      <c r="BY7" s="27" t="str">
        <f>VLOOKUP($A7,'[1]Raw Data'!$A$3:$FB$285,80,FALSE)</f>
        <v/>
      </c>
      <c r="BZ7" s="27">
        <f>VLOOKUP($A7,'[1]Raw Data'!$A$3:$FB$285,81,FALSE)</f>
        <v>36112</v>
      </c>
      <c r="CA7" s="27" t="str">
        <f>VLOOKUP($A7,'[1]Raw Data'!$A$3:$FB$285,82,FALSE)</f>
        <v/>
      </c>
      <c r="CB7" s="27" t="str">
        <f t="shared" si="6"/>
        <v/>
      </c>
      <c r="CC7" s="27" t="str">
        <f>VLOOKUP($A7,'[1]Raw Data'!$A$3:$FB$285,83,FALSE)</f>
        <v/>
      </c>
      <c r="CD7" s="27">
        <f>VLOOKUP($A7,'[1]Raw Data'!$A$3:$FB$285,84,FALSE)</f>
        <v>464</v>
      </c>
      <c r="CE7" s="27" t="str">
        <f>VLOOKUP($A7,'[1]Raw Data'!$A$3:$FB$285,85,FALSE)</f>
        <v/>
      </c>
      <c r="CF7" s="27" t="str">
        <f t="shared" si="7"/>
        <v/>
      </c>
      <c r="CG7" s="27" t="str">
        <f>VLOOKUP($A7,'[1]Raw Data'!$A$3:$FB$285,86,FALSE)</f>
        <v/>
      </c>
      <c r="CH7" s="27">
        <f>VLOOKUP($A7,'[1]Raw Data'!$A$3:$FB$285,87,FALSE)</f>
        <v>45297</v>
      </c>
      <c r="CI7" s="27" t="str">
        <f>VLOOKUP($A7,'[1]Raw Data'!$A$3:$FB$285,88,FALSE)</f>
        <v/>
      </c>
      <c r="CJ7" s="27" t="str">
        <f t="shared" si="8"/>
        <v/>
      </c>
      <c r="CK7" s="27" t="str">
        <f>VLOOKUP($A7,'[1]Raw Data'!$A$3:$FB$285,89,FALSE)</f>
        <v/>
      </c>
      <c r="CL7" s="27" t="str">
        <f>VLOOKUP($A7,'[1]Raw Data'!$A$3:$FB$285,91,FALSE)</f>
        <v/>
      </c>
      <c r="CM7" s="27" t="str">
        <f>VLOOKUP($A7,'[1]Raw Data'!$A$3:$FB$285,93,FALSE)</f>
        <v/>
      </c>
      <c r="CN7" s="27" t="str">
        <f>VLOOKUP($A7,'[1]Raw Data'!$A$3:$FB$285,94,FALSE)</f>
        <v/>
      </c>
      <c r="CO7" s="27" t="str">
        <f>VLOOKUP($A7,'[1]Raw Data'!$A$3:$FB$285,95,FALSE)</f>
        <v/>
      </c>
      <c r="CP7" s="27" t="str">
        <f>VLOOKUP($A7,'[1]Raw Data'!$A$3:$FB$285,96,FALSE)</f>
        <v/>
      </c>
      <c r="CQ7" s="27" t="str">
        <f>VLOOKUP($A7,'[1]Raw Data'!$A$3:$FB$285,97,FALSE)</f>
        <v/>
      </c>
      <c r="CR7" s="27" t="str">
        <f>VLOOKUP($A7,'[1]Raw Data'!$A$3:$FB$285,98,FALSE)</f>
        <v/>
      </c>
      <c r="CS7" s="27" t="str">
        <f>VLOOKUP($A7,'[1]Raw Data'!$A$3:$FB$285,99,FALSE)</f>
        <v/>
      </c>
      <c r="CT7" s="27" t="str">
        <f>VLOOKUP($A7,'[1]Raw Data'!$A$3:$FB$285,101,FALSE)</f>
        <v/>
      </c>
      <c r="CV7" s="27" t="str">
        <f>VLOOKUP($A7,'[1]Raw Data'!$A$3:$FB$285,102,FALSE)</f>
        <v>Mayor</v>
      </c>
      <c r="CW7" s="27" t="s">
        <v>834</v>
      </c>
      <c r="CX7" s="27" t="str">
        <f>VLOOKUP($A7,'[1]Raw Data'!$A$3:$FB$285,103,FALSE)</f>
        <v/>
      </c>
      <c r="CY7" s="27" t="str">
        <f>VLOOKUP($A7,'[1]Raw Data'!$A$3:$FB$285,105,FALSE)</f>
        <v/>
      </c>
      <c r="DA7" s="27" t="str">
        <f>VLOOKUP($A7,'[1]Raw Data'!$A$3:$FB$285,106,FALSE)</f>
        <v>Deputy Mayor</v>
      </c>
      <c r="DB7" s="27" t="s">
        <v>888</v>
      </c>
      <c r="DC7" s="27" t="str">
        <f>VLOOKUP($A7,'[1]Raw Data'!$A$3:$FB$285,107,FALSE)</f>
        <v/>
      </c>
      <c r="DD7" s="27" t="str">
        <f>VLOOKUP($A7,'[1]Raw Data'!$A$3:$FB$285,109,FALSE)</f>
        <v/>
      </c>
      <c r="DF7" s="27" t="str">
        <f>VLOOKUP($A7,'[1]Raw Data'!$A$3:$FB$285,110,FALSE)</f>
        <v>Chief Adminstration Officer</v>
      </c>
      <c r="DG7" s="27" t="s">
        <v>880</v>
      </c>
      <c r="DH7" s="27" t="str">
        <f>VLOOKUP($A7,'[1]Raw Data'!$A$3:$FB$285,111,FALSE)</f>
        <v/>
      </c>
      <c r="DI7" s="27" t="str">
        <f>VLOOKUP($A7,'[1]Raw Data'!$A$3:$FB$285,121,FALSE)</f>
        <v/>
      </c>
      <c r="DK7" s="27" t="str">
        <f>VLOOKUP($A7,'[1]Raw Data'!$A$3:$FB$285,122,FALSE)</f>
        <v>Focal Person</v>
      </c>
      <c r="DL7" s="27" t="s">
        <v>881</v>
      </c>
      <c r="DM7" s="27" t="str">
        <f>VLOOKUP($A7,'[1]Raw Data'!$A$3:$FB$285,123,FALSE)</f>
        <v/>
      </c>
      <c r="DN7" s="27" t="str">
        <f>VLOOKUP($A7,'[1]Raw Data'!$A$3:$FB$285,113,FALSE)</f>
        <v/>
      </c>
      <c r="DP7" s="27" t="str">
        <f>VLOOKUP($A7,'[1]Raw Data'!$A$3:$FB$285,114,FALSE)</f>
        <v>NRA Chief-District</v>
      </c>
      <c r="DQ7" s="27" t="s">
        <v>882</v>
      </c>
      <c r="DR7" s="27" t="str">
        <f>VLOOKUP($A7,'[1]Raw Data'!$A$3:$FB$285,115,FALSE)</f>
        <v/>
      </c>
      <c r="DS7" s="27" t="str">
        <f>VLOOKUP($A7,'[1]Raw Data'!$A$3:$FB$285,117,FALSE)</f>
        <v/>
      </c>
      <c r="DU7" s="27" t="str">
        <f>VLOOKUP($A7,'[1]Raw Data'!$A$3:$FB$285,118,FALSE)</f>
        <v>DUDBC.DLPIU Chief</v>
      </c>
      <c r="DV7" s="27" t="s">
        <v>883</v>
      </c>
      <c r="DW7" s="27" t="str">
        <f>VLOOKUP($A7,'[1]Raw Data'!$A$3:$FB$285,119,FALSE)</f>
        <v/>
      </c>
      <c r="DX7" s="27" t="s">
        <v>339</v>
      </c>
      <c r="DY7" s="27" t="str">
        <f>VLOOKUP($A7,'[1]Raw Data'!$A$3:$FB$285,124,FALSE)</f>
        <v/>
      </c>
      <c r="DZ7" s="27" t="s">
        <v>884</v>
      </c>
      <c r="EA7" s="27" t="str">
        <f>VLOOKUP($A7,'[1]Raw Data'!$A$3:$FB$285,125,FALSE)</f>
        <v/>
      </c>
      <c r="EB7" s="27" t="s">
        <v>341</v>
      </c>
      <c r="EC7" s="27" t="str">
        <f>VLOOKUP($A7,'[1]Raw Data'!$A$3:$FB$285,126,FALSE)</f>
        <v/>
      </c>
      <c r="ED7" t="s">
        <v>478</v>
      </c>
      <c r="EE7" s="27" t="str">
        <f>VLOOKUP($A7,'[1]Raw Data'!$A$3:$FB$285,127,FALSE)</f>
        <v/>
      </c>
      <c r="EF7" s="27" t="s">
        <v>343</v>
      </c>
      <c r="EG7" s="27" t="str">
        <f>VLOOKUP($A7,'[1]Raw Data'!$A$3:$FB$285,128,FALSE)</f>
        <v/>
      </c>
      <c r="EH7" t="s">
        <v>344</v>
      </c>
      <c r="EI7" s="27" t="str">
        <f>VLOOKUP($A7,'[1]Raw Data'!$A$3:$FB$285,129,FALSE)</f>
        <v/>
      </c>
      <c r="EM7" s="27" t="str">
        <f>VLOOKUP($A7,'[1]Raw Data'!$A$3:$FB$285,130,FALSE)</f>
        <v/>
      </c>
      <c r="EN7" s="27" t="str">
        <f>VLOOKUP($A7,'[1]Raw Data'!$A$3:$FB$285,131,FALSE)</f>
        <v/>
      </c>
      <c r="EO7" s="27" t="str">
        <f>VLOOKUP($A7,'[1]Raw Data'!$A$3:$FB$285,132,FALSE)</f>
        <v/>
      </c>
      <c r="EP7" s="27" t="str">
        <f>VLOOKUP($A7,'[1]Raw Data'!$A$3:$FB$285,133,FALSE)</f>
        <v/>
      </c>
      <c r="EQ7" s="27" t="str">
        <f>VLOOKUP($A7,'[1]Raw Data'!$A$3:$FB$285,134,FALSE)</f>
        <v/>
      </c>
      <c r="ER7" s="27" t="str">
        <f>VLOOKUP($A7,'[1]Raw Data'!$A$3:$FB$285,135,FALSE)</f>
        <v/>
      </c>
      <c r="ES7" s="27" t="str">
        <f>VLOOKUP($A7,'[1]Raw Data'!$A$3:$FB$285,136,FALSE)</f>
        <v/>
      </c>
      <c r="ET7" s="27" t="str">
        <f>VLOOKUP($A7,'[1]Raw Data'!$A$3:$FB$285,137,FALSE)</f>
        <v/>
      </c>
      <c r="EU7" s="27" t="str">
        <f>VLOOKUP($A7,'[1]Raw Data'!$A$3:$FB$285,138,FALSE)</f>
        <v/>
      </c>
      <c r="EV7" s="27" t="str">
        <f>VLOOKUP($A7,'[1]Raw Data'!$A$3:$FB$285,139,FALSE)</f>
        <v/>
      </c>
      <c r="EW7" s="38">
        <f>VLOOKUP($A7,[1]Training!$A$2:$I$284,5,FALSE)</f>
        <v>32.846153846153847</v>
      </c>
      <c r="EX7" s="31">
        <f>VLOOKUP($A7,[1]Training!$A$2:$I$284,6,FALSE)</f>
        <v>0</v>
      </c>
      <c r="EY7" s="38">
        <f>VLOOKUP($A7,[1]Training!$A$2:$I$284,8,FALSE)</f>
        <v>38.81818181818182</v>
      </c>
      <c r="EZ7" s="31">
        <f>VLOOKUP($A7,[1]Training!$A$2:$I$284,9,FALSE)</f>
        <v>129</v>
      </c>
      <c r="FA7" s="27">
        <v>1</v>
      </c>
      <c r="FB7" s="27">
        <v>2</v>
      </c>
      <c r="FC7" s="27" t="str">
        <f>VLOOKUP($A7,'[1]Raw Data'!$A$3:$FB$285,148,FALSE)</f>
        <v/>
      </c>
      <c r="FE7" s="27" t="str">
        <f>VLOOKUP($A7,'[1]Raw Data'!$A$3:$FB$285,149,FALSE)</f>
        <v>District Coordinator</v>
      </c>
      <c r="FF7" s="27" t="s">
        <v>885</v>
      </c>
      <c r="FG7" s="27" t="str">
        <f>VLOOKUP($A7,'[1]Raw Data'!$A$3:$FB$285,150,FALSE)</f>
        <v/>
      </c>
      <c r="FH7" s="27" t="str">
        <f>VLOOKUP($A7,'[1]Raw Data'!$A$3:$FB$285,156,FALSE)</f>
        <v/>
      </c>
      <c r="FJ7" s="27" t="str">
        <f>VLOOKUP($A7,'[1]Raw Data'!$A$3:$FB$285,157,FALSE)</f>
        <v>District Technical Officer</v>
      </c>
      <c r="FK7" s="27" t="s">
        <v>886</v>
      </c>
      <c r="FL7" s="27" t="str">
        <f>VLOOKUP($A7,'[1]Raw Data'!$A$3:$FB$285,158,FALSE)</f>
        <v/>
      </c>
      <c r="FM7" s="27" t="str">
        <f>VLOOKUP($A7,'[1]Raw Data'!$A$3:$FB$285,152,FALSE)</f>
        <v/>
      </c>
      <c r="FO7" s="27" t="str">
        <f>VLOOKUP($A7,'[1]Raw Data'!$A$3:$FB$285,153,FALSE)</f>
        <v>DIstrict Information Management Officer</v>
      </c>
      <c r="FP7" s="27" t="s">
        <v>887</v>
      </c>
      <c r="FQ7" s="27" t="str">
        <f>VLOOKUP($A7,'[1]Raw Data'!$A$3:$FB$285,154,FALSE)</f>
        <v/>
      </c>
    </row>
    <row r="8" spans="1:173" ht="24" x14ac:dyDescent="0.45">
      <c r="A8" s="27">
        <v>7004</v>
      </c>
      <c r="B8" s="36" t="str">
        <f ca="1">IFERROR(__xludf.DUMMYFUNCTION("""COMPUTED_VALUE"""),"Khalsa Chhintang Shahidbhumi Gaunpalika")</f>
        <v>Khalsa Chhintang Shahidbhumi Gaunpalika</v>
      </c>
      <c r="C8" s="37" t="str">
        <f>VLOOKUP(A8,'[1]Palika and District in Nepali '!$D$1:$F$283,3,FALSE)</f>
        <v>खाल्सा छिन्तांङ शहिदभूमि गाउँपलिका</v>
      </c>
      <c r="D8" s="36" t="str">
        <f ca="1">IFERROR(__xludf.DUMMYFUNCTION("""COMPUTED_VALUE"""),"Dhankuta")</f>
        <v>Dhankuta</v>
      </c>
      <c r="E8" s="36"/>
      <c r="F8" s="27">
        <f>VLOOKUP(A8,'[1]Raw Data'!$A$3:$FB$285,4,FALSE)</f>
        <v>87</v>
      </c>
      <c r="G8" s="27">
        <f>VLOOKUP(A8,'[1]Raw Data'!$A$3:$FB$285,5,FALSE)</f>
        <v>179</v>
      </c>
      <c r="H8" s="27">
        <f>VLOOKUP(A8,'[1]Raw Data'!$A$3:$FB$285,6,FALSE)</f>
        <v>266</v>
      </c>
      <c r="I8" s="27">
        <f>VLOOKUP($A8,'[1]Raw Data'!$A$3:$FB$285,8,FALSE)</f>
        <v>0.38</v>
      </c>
      <c r="J8" s="27">
        <f>VLOOKUP($A8,'[1]Raw Data'!$A$3:$FB$285,9,FALSE)</f>
        <v>0.44</v>
      </c>
      <c r="K8" s="27">
        <f>VLOOKUP($A8,'[1]Raw Data'!$A$3:$FB$285,11,FALSE)</f>
        <v>99.25</v>
      </c>
      <c r="L8" s="27">
        <f>VLOOKUP($A8,'[1]Raw Data'!$A$3:$FB$285,12,FALSE)</f>
        <v>90.09</v>
      </c>
      <c r="M8" s="27">
        <f>VLOOKUP($A8,'[1]Raw Data'!$A$3:$FB$285,14,FALSE)</f>
        <v>0</v>
      </c>
      <c r="N8" s="27">
        <f>VLOOKUP($A8,'[1]Raw Data'!$A$3:$FB$285,15,FALSE)</f>
        <v>0.39</v>
      </c>
      <c r="O8" s="27">
        <f>VLOOKUP($A8,'[1]Raw Data'!$A$3:$FB$285,17,FALSE)</f>
        <v>0</v>
      </c>
      <c r="P8" s="27">
        <f>VLOOKUP($A8,'[1]Raw Data'!$A$3:$FB$285,18,FALSE)</f>
        <v>0.77</v>
      </c>
      <c r="Q8" s="27">
        <f>VLOOKUP($A8,'[1]Raw Data'!$A$3:$FB$285,20,FALSE)</f>
        <v>0.38</v>
      </c>
      <c r="R8" s="27">
        <f>VLOOKUP($A8,'[1]Raw Data'!$A$3:$FB$285,21,FALSE)</f>
        <v>0.28999999999999998</v>
      </c>
      <c r="S8" s="27">
        <f>VLOOKUP($A8,'[1]Raw Data'!$A$3:$FB$285,23,FALSE)</f>
        <v>0</v>
      </c>
      <c r="T8" s="27">
        <f>VLOOKUP($A8,'[1]Raw Data'!$A$3:$FB$285,24,FALSE)</f>
        <v>0</v>
      </c>
      <c r="U8" s="27">
        <f>VLOOKUP($A8,'[1]Raw Data'!$A$3:$FB$285,26,FALSE)</f>
        <v>0</v>
      </c>
      <c r="V8" s="27">
        <f>VLOOKUP($A8,'[1]Raw Data'!$A$3:$FB$285,27,FALSE)</f>
        <v>0.24</v>
      </c>
      <c r="W8" s="27">
        <f>VLOOKUP($A8,'[1]Raw Data'!$A$3:$FB$285,29,FALSE)</f>
        <v>0</v>
      </c>
      <c r="X8" s="27">
        <f>VLOOKUP($A8,'[1]Raw Data'!$A$3:$FB$285,30,FALSE)</f>
        <v>0</v>
      </c>
      <c r="Y8" s="27">
        <f>VLOOKUP($A8,'[1]Raw Data'!$A$3:$FB$285,32,FALSE)</f>
        <v>0</v>
      </c>
      <c r="Z8" s="27">
        <f>VLOOKUP($A8,'[1]Raw Data'!$A$3:$FB$285,33,FALSE)</f>
        <v>0.04</v>
      </c>
      <c r="AA8" s="27">
        <f>VLOOKUP($A8,'[1]Raw Data'!$A$3:$FB$285,35,FALSE)</f>
        <v>0</v>
      </c>
      <c r="AB8" s="27">
        <f>VLOOKUP($A8,'[1]Raw Data'!$A$3:$FB$285,36,FALSE)</f>
        <v>7.52</v>
      </c>
      <c r="AC8" s="27">
        <f>VLOOKUP($A8,'[1]Raw Data'!$A$3:$FB$285,38,FALSE)</f>
        <v>0</v>
      </c>
      <c r="AD8" s="27">
        <f>VLOOKUP($A8,'[1]Raw Data'!$A$3:$FB$285,39,FALSE)</f>
        <v>0.22</v>
      </c>
      <c r="AE8" s="27">
        <f>VLOOKUP($A8,'[1]Raw Data'!$A$3:$FB$285,41,FALSE)</f>
        <v>0</v>
      </c>
      <c r="AF8" s="27">
        <f>VLOOKUP($A8,'[1]Raw Data'!$A$3:$FB$285,42,FALSE)</f>
        <v>0</v>
      </c>
      <c r="AG8" s="27">
        <f>VLOOKUP($A8,'[1]Raw Data'!$A$3:$FB$285,44,FALSE)</f>
        <v>0</v>
      </c>
      <c r="AH8" s="27">
        <f>VLOOKUP($A8,'[1]Raw Data'!$A$3:$FB$285,45,FALSE)</f>
        <v>0</v>
      </c>
      <c r="AI8" s="27">
        <f>VLOOKUP($A8,'[1]Raw Data'!$A$3:$FB$285,46,FALSE)</f>
        <v>176</v>
      </c>
      <c r="AJ8" s="27">
        <f>VLOOKUP($A8,'[1]Raw Data'!$A$3:$FB$285,47,FALSE)</f>
        <v>50</v>
      </c>
      <c r="AK8" s="27">
        <f>VLOOKUP($A8,'[1]Raw Data'!$A$3:$FB$285,48,FALSE)</f>
        <v>50</v>
      </c>
      <c r="AL8" s="27">
        <f>VLOOKUP($A8,'[1]Raw Data'!$A$3:$FB$285,49,FALSE)</f>
        <v>30</v>
      </c>
      <c r="AM8" s="27">
        <f>VLOOKUP($A8,'[1]Raw Data'!$A$3:$FB$285,50,FALSE)</f>
        <v>0</v>
      </c>
      <c r="AN8" s="27" t="str">
        <f>VLOOKUP($A8,'[1]Raw Data'!$A$3:$FB$285,51,FALSE)</f>
        <v/>
      </c>
      <c r="AO8" s="27" t="str">
        <f>VLOOKUP($A8,'[1]Raw Data'!$A$3:$FB$285,52,FALSE)</f>
        <v/>
      </c>
      <c r="AP8" s="27">
        <f>VLOOKUP($A8,'[1]Raw Data'!$A$3:$FB$285,53,FALSE)</f>
        <v>3</v>
      </c>
      <c r="AQ8" s="27" t="str">
        <f>VLOOKUP($A8,'[1]Raw Data'!$A$3:$FB$285,54,FALSE)</f>
        <v/>
      </c>
      <c r="AR8" s="27" t="str">
        <f>VLOOKUP($A8,'[1]Raw Data'!$A$3:$FB$285,55,FALSE)</f>
        <v/>
      </c>
      <c r="AS8" s="27" t="str">
        <f>VLOOKUP($A8,'[1]Raw Data'!$A$3:$FB$285,56,FALSE)</f>
        <v/>
      </c>
      <c r="AT8" s="27" t="str">
        <f>VLOOKUP($A8,'[1]Raw Data'!$A$3:$FB$285,57,FALSE)</f>
        <v/>
      </c>
      <c r="AU8" s="27" t="str">
        <f>VLOOKUP($A8,'[1]Raw Data'!$A$3:$FB$285,58,FALSE)</f>
        <v/>
      </c>
      <c r="AV8" s="27" t="str">
        <f>VLOOKUP($A8,'[1]Raw Data'!$A$3:$FB$285,59,FALSE)</f>
        <v/>
      </c>
      <c r="AW8" s="27" t="str">
        <f>VLOOKUP($A8,'[1]Raw Data'!$A$3:$FB$285,60,FALSE)</f>
        <v/>
      </c>
      <c r="AX8" s="27" t="str">
        <f>VLOOKUP(A8,'[1]PO''s List'!A6:E288,4,FALSE)</f>
        <v/>
      </c>
      <c r="AZ8" s="27" t="str">
        <f>VLOOKUP(A8,'[1]PO''s List'!$A$3:$E$285,5,FALSE)</f>
        <v/>
      </c>
      <c r="BB8" s="27">
        <f>VLOOKUP($A8,'[1]Raw Data'!$A$3:$FB$285,63,FALSE)</f>
        <v>1412</v>
      </c>
      <c r="BC8" s="27" t="str">
        <f>VLOOKUP($A8,'[1]Raw Data'!$A$3:$FB$285,64,FALSE)</f>
        <v/>
      </c>
      <c r="BD8" s="27" t="str">
        <f t="shared" si="0"/>
        <v/>
      </c>
      <c r="BE8" s="27" t="str">
        <f>VLOOKUP($A8,'[1]Raw Data'!$A$3:$FB$285,65,FALSE)</f>
        <v/>
      </c>
      <c r="BF8" s="27">
        <f>VLOOKUP($A8,'[1]Raw Data'!$A$3:$FB$285,66,FALSE)</f>
        <v>1486</v>
      </c>
      <c r="BG8" s="27" t="str">
        <f>VLOOKUP($A8,'[1]Raw Data'!$A$3:$FB$285,67,FALSE)</f>
        <v/>
      </c>
      <c r="BH8" s="27" t="str">
        <f t="shared" si="1"/>
        <v/>
      </c>
      <c r="BI8" s="27" t="str">
        <f>VLOOKUP($A8,'[1]Raw Data'!$A$3:$FB$285,68,FALSE)</f>
        <v/>
      </c>
      <c r="BJ8" s="27">
        <f>VLOOKUP($A8,'[1]Raw Data'!$A$3:$FB$285,69,FALSE)</f>
        <v>151</v>
      </c>
      <c r="BK8" s="27" t="str">
        <f>VLOOKUP($A8,'[1]Raw Data'!$A$3:$FB$285,70,FALSE)</f>
        <v/>
      </c>
      <c r="BL8" s="27" t="str">
        <f t="shared" si="2"/>
        <v/>
      </c>
      <c r="BM8" s="27" t="str">
        <f>VLOOKUP($A8,'[1]Raw Data'!$A$3:$FB$285,71,FALSE)</f>
        <v/>
      </c>
      <c r="BN8" s="27">
        <f>VLOOKUP($A8,'[1]Raw Data'!$A$3:$FB$285,72,FALSE)</f>
        <v>176</v>
      </c>
      <c r="BO8" s="27" t="str">
        <f>VLOOKUP($A8,'[1]Raw Data'!$A$3:$FB$285,73,FALSE)</f>
        <v/>
      </c>
      <c r="BP8" s="27" t="str">
        <f t="shared" si="3"/>
        <v/>
      </c>
      <c r="BQ8" s="27" t="str">
        <f>VLOOKUP($A8,'[1]Raw Data'!$A$3:$FB$285,74,FALSE)</f>
        <v/>
      </c>
      <c r="BR8" s="27" t="str">
        <f>VLOOKUP($A8,'[1]Raw Data'!$A$3:$FB$285,75,FALSE)</f>
        <v/>
      </c>
      <c r="BS8" s="27" t="str">
        <f>VLOOKUP($A8,'[1]Raw Data'!$A$3:$FB$285,76,FALSE)</f>
        <v/>
      </c>
      <c r="BT8" s="27" t="str">
        <f t="shared" si="4"/>
        <v/>
      </c>
      <c r="BU8" s="27" t="str">
        <f>VLOOKUP($A8,'[1]Raw Data'!$A$3:$FB$285,77,FALSE)</f>
        <v/>
      </c>
      <c r="BV8" s="27">
        <f>VLOOKUP($A8,'[1]Raw Data'!$A$3:$FB$285,78,FALSE)</f>
        <v>4896</v>
      </c>
      <c r="BW8" s="27" t="str">
        <f>VLOOKUP($A8,'[1]Raw Data'!$A$3:$FB$285,79,FALSE)</f>
        <v/>
      </c>
      <c r="BX8" s="27" t="str">
        <f t="shared" si="5"/>
        <v/>
      </c>
      <c r="BY8" s="27" t="str">
        <f>VLOOKUP($A8,'[1]Raw Data'!$A$3:$FB$285,80,FALSE)</f>
        <v/>
      </c>
      <c r="BZ8" s="27">
        <f>VLOOKUP($A8,'[1]Raw Data'!$A$3:$FB$285,81,FALSE)</f>
        <v>15223</v>
      </c>
      <c r="CA8" s="27" t="str">
        <f>VLOOKUP($A8,'[1]Raw Data'!$A$3:$FB$285,82,FALSE)</f>
        <v/>
      </c>
      <c r="CB8" s="27" t="str">
        <f t="shared" si="6"/>
        <v/>
      </c>
      <c r="CC8" s="27" t="str">
        <f>VLOOKUP($A8,'[1]Raw Data'!$A$3:$FB$285,83,FALSE)</f>
        <v/>
      </c>
      <c r="CD8" s="27">
        <f>VLOOKUP($A8,'[1]Raw Data'!$A$3:$FB$285,84,FALSE)</f>
        <v>200</v>
      </c>
      <c r="CE8" s="27" t="str">
        <f>VLOOKUP($A8,'[1]Raw Data'!$A$3:$FB$285,85,FALSE)</f>
        <v/>
      </c>
      <c r="CF8" s="27" t="str">
        <f t="shared" si="7"/>
        <v/>
      </c>
      <c r="CG8" s="27" t="str">
        <f>VLOOKUP($A8,'[1]Raw Data'!$A$3:$FB$285,86,FALSE)</f>
        <v/>
      </c>
      <c r="CH8" s="27">
        <f>VLOOKUP($A8,'[1]Raw Data'!$A$3:$FB$285,87,FALSE)</f>
        <v>7810</v>
      </c>
      <c r="CI8" s="27" t="str">
        <f>VLOOKUP($A8,'[1]Raw Data'!$A$3:$FB$285,88,FALSE)</f>
        <v/>
      </c>
      <c r="CJ8" s="27" t="str">
        <f t="shared" si="8"/>
        <v/>
      </c>
      <c r="CK8" s="27" t="str">
        <f>VLOOKUP($A8,'[1]Raw Data'!$A$3:$FB$285,89,FALSE)</f>
        <v/>
      </c>
      <c r="CL8" s="27" t="str">
        <f>VLOOKUP($A8,'[1]Raw Data'!$A$3:$FB$285,91,FALSE)</f>
        <v/>
      </c>
      <c r="CM8" s="27" t="str">
        <f>VLOOKUP($A8,'[1]Raw Data'!$A$3:$FB$285,93,FALSE)</f>
        <v/>
      </c>
      <c r="CN8" s="27" t="str">
        <f>VLOOKUP($A8,'[1]Raw Data'!$A$3:$FB$285,94,FALSE)</f>
        <v/>
      </c>
      <c r="CO8" s="27" t="str">
        <f>VLOOKUP($A8,'[1]Raw Data'!$A$3:$FB$285,95,FALSE)</f>
        <v/>
      </c>
      <c r="CP8" s="27" t="str">
        <f>VLOOKUP($A8,'[1]Raw Data'!$A$3:$FB$285,96,FALSE)</f>
        <v/>
      </c>
      <c r="CQ8" s="27" t="str">
        <f>VLOOKUP($A8,'[1]Raw Data'!$A$3:$FB$285,97,FALSE)</f>
        <v/>
      </c>
      <c r="CR8" s="27" t="str">
        <f>VLOOKUP($A8,'[1]Raw Data'!$A$3:$FB$285,98,FALSE)</f>
        <v/>
      </c>
      <c r="CS8" s="27" t="str">
        <f>VLOOKUP($A8,'[1]Raw Data'!$A$3:$FB$285,99,FALSE)</f>
        <v/>
      </c>
      <c r="CT8" s="27" t="str">
        <f>VLOOKUP($A8,'[1]Raw Data'!$A$3:$FB$285,101,FALSE)</f>
        <v/>
      </c>
      <c r="CV8" s="27" t="str">
        <f>VLOOKUP($A8,'[1]Raw Data'!$A$3:$FB$285,102,FALSE)</f>
        <v>Chairman</v>
      </c>
      <c r="CW8" s="27" t="s">
        <v>878</v>
      </c>
      <c r="CX8" s="27" t="str">
        <f>VLOOKUP($A8,'[1]Raw Data'!$A$3:$FB$285,103,FALSE)</f>
        <v/>
      </c>
      <c r="CY8" s="27" t="str">
        <f>VLOOKUP($A8,'[1]Raw Data'!$A$3:$FB$285,105,FALSE)</f>
        <v/>
      </c>
      <c r="DA8" s="27" t="str">
        <f>VLOOKUP($A8,'[1]Raw Data'!$A$3:$FB$285,106,FALSE)</f>
        <v>Deputy Chairman</v>
      </c>
      <c r="DB8" s="27" t="s">
        <v>879</v>
      </c>
      <c r="DC8" s="27" t="str">
        <f>VLOOKUP($A8,'[1]Raw Data'!$A$3:$FB$285,107,FALSE)</f>
        <v/>
      </c>
      <c r="DD8" s="27" t="str">
        <f>VLOOKUP($A8,'[1]Raw Data'!$A$3:$FB$285,109,FALSE)</f>
        <v/>
      </c>
      <c r="DF8" s="27" t="str">
        <f>VLOOKUP($A8,'[1]Raw Data'!$A$3:$FB$285,110,FALSE)</f>
        <v>Chief Adminstration Officer</v>
      </c>
      <c r="DG8" s="27" t="s">
        <v>880</v>
      </c>
      <c r="DH8" s="27" t="str">
        <f>VLOOKUP($A8,'[1]Raw Data'!$A$3:$FB$285,111,FALSE)</f>
        <v/>
      </c>
      <c r="DI8" s="27" t="str">
        <f>VLOOKUP($A8,'[1]Raw Data'!$A$3:$FB$285,121,FALSE)</f>
        <v/>
      </c>
      <c r="DK8" s="27" t="str">
        <f>VLOOKUP($A8,'[1]Raw Data'!$A$3:$FB$285,122,FALSE)</f>
        <v>Focal Person</v>
      </c>
      <c r="DL8" s="27" t="s">
        <v>881</v>
      </c>
      <c r="DM8" s="27" t="str">
        <f>VLOOKUP($A8,'[1]Raw Data'!$A$3:$FB$285,123,FALSE)</f>
        <v/>
      </c>
      <c r="DN8" s="27" t="str">
        <f>VLOOKUP($A8,'[1]Raw Data'!$A$3:$FB$285,113,FALSE)</f>
        <v/>
      </c>
      <c r="DP8" s="27" t="str">
        <f>VLOOKUP($A8,'[1]Raw Data'!$A$3:$FB$285,114,FALSE)</f>
        <v>NRA Chief-District</v>
      </c>
      <c r="DQ8" s="27" t="s">
        <v>882</v>
      </c>
      <c r="DR8" s="27" t="str">
        <f>VLOOKUP($A8,'[1]Raw Data'!$A$3:$FB$285,115,FALSE)</f>
        <v/>
      </c>
      <c r="DS8" s="27" t="str">
        <f>VLOOKUP($A8,'[1]Raw Data'!$A$3:$FB$285,117,FALSE)</f>
        <v/>
      </c>
      <c r="DU8" s="27" t="str">
        <f>VLOOKUP($A8,'[1]Raw Data'!$A$3:$FB$285,118,FALSE)</f>
        <v>DUDBC.DLPIU Chief</v>
      </c>
      <c r="DV8" s="27" t="s">
        <v>883</v>
      </c>
      <c r="DW8" s="27" t="str">
        <f>VLOOKUP($A8,'[1]Raw Data'!$A$3:$FB$285,119,FALSE)</f>
        <v/>
      </c>
      <c r="DX8" s="27" t="s">
        <v>339</v>
      </c>
      <c r="DY8" s="27" t="str">
        <f>VLOOKUP($A8,'[1]Raw Data'!$A$3:$FB$285,124,FALSE)</f>
        <v/>
      </c>
      <c r="DZ8" s="27" t="s">
        <v>884</v>
      </c>
      <c r="EA8" s="27" t="str">
        <f>VLOOKUP($A8,'[1]Raw Data'!$A$3:$FB$285,125,FALSE)</f>
        <v/>
      </c>
      <c r="EB8" s="27" t="s">
        <v>341</v>
      </c>
      <c r="EC8" s="27" t="str">
        <f>VLOOKUP($A8,'[1]Raw Data'!$A$3:$FB$285,126,FALSE)</f>
        <v/>
      </c>
      <c r="ED8" t="s">
        <v>478</v>
      </c>
      <c r="EE8" s="27" t="str">
        <f>VLOOKUP($A8,'[1]Raw Data'!$A$3:$FB$285,127,FALSE)</f>
        <v/>
      </c>
      <c r="EF8" s="27" t="s">
        <v>343</v>
      </c>
      <c r="EG8" s="27" t="str">
        <f>VLOOKUP($A8,'[1]Raw Data'!$A$3:$FB$285,128,FALSE)</f>
        <v/>
      </c>
      <c r="EH8" t="s">
        <v>344</v>
      </c>
      <c r="EI8" s="27" t="str">
        <f>VLOOKUP($A8,'[1]Raw Data'!$A$3:$FB$285,129,FALSE)</f>
        <v/>
      </c>
      <c r="EM8" s="27" t="str">
        <f>VLOOKUP($A8,'[1]Raw Data'!$A$3:$FB$285,130,FALSE)</f>
        <v/>
      </c>
      <c r="EN8" s="27" t="str">
        <f>VLOOKUP($A8,'[1]Raw Data'!$A$3:$FB$285,131,FALSE)</f>
        <v/>
      </c>
      <c r="EO8" s="27" t="str">
        <f>VLOOKUP($A8,'[1]Raw Data'!$A$3:$FB$285,132,FALSE)</f>
        <v/>
      </c>
      <c r="EP8" s="27" t="str">
        <f>VLOOKUP($A8,'[1]Raw Data'!$A$3:$FB$285,133,FALSE)</f>
        <v/>
      </c>
      <c r="EQ8" s="27" t="str">
        <f>VLOOKUP($A8,'[1]Raw Data'!$A$3:$FB$285,134,FALSE)</f>
        <v/>
      </c>
      <c r="ER8" s="27" t="str">
        <f>VLOOKUP($A8,'[1]Raw Data'!$A$3:$FB$285,135,FALSE)</f>
        <v/>
      </c>
      <c r="ES8" s="27" t="str">
        <f>VLOOKUP($A8,'[1]Raw Data'!$A$3:$FB$285,136,FALSE)</f>
        <v/>
      </c>
      <c r="ET8" s="27" t="str">
        <f>VLOOKUP($A8,'[1]Raw Data'!$A$3:$FB$285,137,FALSE)</f>
        <v/>
      </c>
      <c r="EU8" s="27" t="str">
        <f>VLOOKUP($A8,'[1]Raw Data'!$A$3:$FB$285,138,FALSE)</f>
        <v/>
      </c>
      <c r="EV8" s="27" t="str">
        <f>VLOOKUP($A8,'[1]Raw Data'!$A$3:$FB$285,139,FALSE)</f>
        <v/>
      </c>
      <c r="EW8" s="38">
        <f>VLOOKUP($A8,[1]Training!$A$2:$I$284,5,FALSE)</f>
        <v>13.538461538461538</v>
      </c>
      <c r="EX8" s="31">
        <f>VLOOKUP($A8,[1]Training!$A$2:$I$284,6,FALSE)</f>
        <v>0</v>
      </c>
      <c r="EY8" s="38">
        <f>VLOOKUP($A8,[1]Training!$A$2:$I$284,8,FALSE)</f>
        <v>16</v>
      </c>
      <c r="EZ8" s="31">
        <f>VLOOKUP($A8,[1]Training!$A$2:$I$284,9,FALSE)</f>
        <v>233</v>
      </c>
      <c r="FA8" s="27">
        <v>1</v>
      </c>
      <c r="FB8" s="27">
        <v>2</v>
      </c>
      <c r="FC8" s="27" t="str">
        <f>VLOOKUP($A8,'[1]Raw Data'!$A$3:$FB$285,148,FALSE)</f>
        <v/>
      </c>
      <c r="FE8" s="27" t="str">
        <f>VLOOKUP($A8,'[1]Raw Data'!$A$3:$FB$285,149,FALSE)</f>
        <v>District Coordinator</v>
      </c>
      <c r="FF8" s="27" t="s">
        <v>885</v>
      </c>
      <c r="FG8" s="27" t="str">
        <f>VLOOKUP($A8,'[1]Raw Data'!$A$3:$FB$285,150,FALSE)</f>
        <v/>
      </c>
      <c r="FH8" s="27" t="str">
        <f>VLOOKUP($A8,'[1]Raw Data'!$A$3:$FB$285,156,FALSE)</f>
        <v/>
      </c>
      <c r="FJ8" s="27" t="str">
        <f>VLOOKUP($A8,'[1]Raw Data'!$A$3:$FB$285,157,FALSE)</f>
        <v>District Technical Officer</v>
      </c>
      <c r="FK8" s="27" t="s">
        <v>886</v>
      </c>
      <c r="FL8" s="27" t="str">
        <f>VLOOKUP($A8,'[1]Raw Data'!$A$3:$FB$285,158,FALSE)</f>
        <v/>
      </c>
      <c r="FM8" s="27" t="str">
        <f>VLOOKUP($A8,'[1]Raw Data'!$A$3:$FB$285,152,FALSE)</f>
        <v/>
      </c>
      <c r="FO8" s="27" t="str">
        <f>VLOOKUP($A8,'[1]Raw Data'!$A$3:$FB$285,153,FALSE)</f>
        <v>DIstrict Information Management Officer</v>
      </c>
      <c r="FP8" s="27" t="s">
        <v>887</v>
      </c>
      <c r="FQ8" s="27" t="str">
        <f>VLOOKUP($A8,'[1]Raw Data'!$A$3:$FB$285,154,FALSE)</f>
        <v/>
      </c>
    </row>
    <row r="9" spans="1:173" ht="24" x14ac:dyDescent="0.45">
      <c r="A9" s="27">
        <v>7005</v>
      </c>
      <c r="B9" s="36" t="str">
        <f ca="1">IFERROR(__xludf.DUMMYFUNCTION("""COMPUTED_VALUE"""),"Mahalaxmi Nagarpalika")</f>
        <v>Mahalaxmi Nagarpalika</v>
      </c>
      <c r="C9" s="37" t="str">
        <f>VLOOKUP(A9,'[1]Palika and District in Nepali '!$D$1:$F$283,3,FALSE)</f>
        <v>महालक्ष्मि नगरपालिका</v>
      </c>
      <c r="D9" s="36" t="str">
        <f ca="1">IFERROR(__xludf.DUMMYFUNCTION("""COMPUTED_VALUE"""),"Dhankuta")</f>
        <v>Dhankuta</v>
      </c>
      <c r="E9" s="36"/>
      <c r="F9" s="27">
        <f>VLOOKUP(A9,'[1]Raw Data'!$A$3:$FB$285,4,FALSE)</f>
        <v>450</v>
      </c>
      <c r="G9" s="27">
        <f>VLOOKUP(A9,'[1]Raw Data'!$A$3:$FB$285,5,FALSE)</f>
        <v>1093</v>
      </c>
      <c r="H9" s="27">
        <f>VLOOKUP(A9,'[1]Raw Data'!$A$3:$FB$285,6,FALSE)</f>
        <v>1543</v>
      </c>
      <c r="I9" s="27">
        <f>VLOOKUP($A9,'[1]Raw Data'!$A$3:$FB$285,8,FALSE)</f>
        <v>0.19</v>
      </c>
      <c r="J9" s="27">
        <f>VLOOKUP($A9,'[1]Raw Data'!$A$3:$FB$285,9,FALSE)</f>
        <v>0.44</v>
      </c>
      <c r="K9" s="27">
        <f>VLOOKUP($A9,'[1]Raw Data'!$A$3:$FB$285,11,FALSE)</f>
        <v>89.24</v>
      </c>
      <c r="L9" s="27">
        <f>VLOOKUP($A9,'[1]Raw Data'!$A$3:$FB$285,12,FALSE)</f>
        <v>90.09</v>
      </c>
      <c r="M9" s="27">
        <f>VLOOKUP($A9,'[1]Raw Data'!$A$3:$FB$285,14,FALSE)</f>
        <v>0.06</v>
      </c>
      <c r="N9" s="27">
        <f>VLOOKUP($A9,'[1]Raw Data'!$A$3:$FB$285,15,FALSE)</f>
        <v>0.39</v>
      </c>
      <c r="O9" s="27">
        <f>VLOOKUP($A9,'[1]Raw Data'!$A$3:$FB$285,17,FALSE)</f>
        <v>0.39</v>
      </c>
      <c r="P9" s="27">
        <f>VLOOKUP($A9,'[1]Raw Data'!$A$3:$FB$285,18,FALSE)</f>
        <v>0.77</v>
      </c>
      <c r="Q9" s="27">
        <f>VLOOKUP($A9,'[1]Raw Data'!$A$3:$FB$285,20,FALSE)</f>
        <v>0.19</v>
      </c>
      <c r="R9" s="27">
        <f>VLOOKUP($A9,'[1]Raw Data'!$A$3:$FB$285,21,FALSE)</f>
        <v>0.28999999999999998</v>
      </c>
      <c r="S9" s="27">
        <f>VLOOKUP($A9,'[1]Raw Data'!$A$3:$FB$285,23,FALSE)</f>
        <v>0</v>
      </c>
      <c r="T9" s="27">
        <f>VLOOKUP($A9,'[1]Raw Data'!$A$3:$FB$285,24,FALSE)</f>
        <v>0</v>
      </c>
      <c r="U9" s="27">
        <f>VLOOKUP($A9,'[1]Raw Data'!$A$3:$FB$285,26,FALSE)</f>
        <v>0.13</v>
      </c>
      <c r="V9" s="27">
        <f>VLOOKUP($A9,'[1]Raw Data'!$A$3:$FB$285,27,FALSE)</f>
        <v>0.24</v>
      </c>
      <c r="W9" s="27">
        <f>VLOOKUP($A9,'[1]Raw Data'!$A$3:$FB$285,29,FALSE)</f>
        <v>0</v>
      </c>
      <c r="X9" s="27">
        <f>VLOOKUP($A9,'[1]Raw Data'!$A$3:$FB$285,30,FALSE)</f>
        <v>0</v>
      </c>
      <c r="Y9" s="27">
        <f>VLOOKUP($A9,'[1]Raw Data'!$A$3:$FB$285,32,FALSE)</f>
        <v>0.06</v>
      </c>
      <c r="Z9" s="27">
        <f>VLOOKUP($A9,'[1]Raw Data'!$A$3:$FB$285,33,FALSE)</f>
        <v>0.04</v>
      </c>
      <c r="AA9" s="27">
        <f>VLOOKUP($A9,'[1]Raw Data'!$A$3:$FB$285,35,FALSE)</f>
        <v>9.5299999999999994</v>
      </c>
      <c r="AB9" s="27">
        <f>VLOOKUP($A9,'[1]Raw Data'!$A$3:$FB$285,36,FALSE)</f>
        <v>7.52</v>
      </c>
      <c r="AC9" s="27">
        <f>VLOOKUP($A9,'[1]Raw Data'!$A$3:$FB$285,38,FALSE)</f>
        <v>0.19</v>
      </c>
      <c r="AD9" s="27">
        <f>VLOOKUP($A9,'[1]Raw Data'!$A$3:$FB$285,39,FALSE)</f>
        <v>0.22</v>
      </c>
      <c r="AE9" s="27">
        <f>VLOOKUP($A9,'[1]Raw Data'!$A$3:$FB$285,41,FALSE)</f>
        <v>0</v>
      </c>
      <c r="AF9" s="27">
        <f>VLOOKUP($A9,'[1]Raw Data'!$A$3:$FB$285,42,FALSE)</f>
        <v>0</v>
      </c>
      <c r="AG9" s="27">
        <f>VLOOKUP($A9,'[1]Raw Data'!$A$3:$FB$285,44,FALSE)</f>
        <v>0</v>
      </c>
      <c r="AH9" s="27">
        <f>VLOOKUP($A9,'[1]Raw Data'!$A$3:$FB$285,45,FALSE)</f>
        <v>0</v>
      </c>
      <c r="AI9" s="27">
        <f>VLOOKUP($A9,'[1]Raw Data'!$A$3:$FB$285,46,FALSE)</f>
        <v>1035</v>
      </c>
      <c r="AJ9" s="27">
        <f>VLOOKUP($A9,'[1]Raw Data'!$A$3:$FB$285,47,FALSE)</f>
        <v>497</v>
      </c>
      <c r="AK9" s="27">
        <f>VLOOKUP($A9,'[1]Raw Data'!$A$3:$FB$285,48,FALSE)</f>
        <v>497</v>
      </c>
      <c r="AL9" s="27">
        <f>VLOOKUP($A9,'[1]Raw Data'!$A$3:$FB$285,49,FALSE)</f>
        <v>343</v>
      </c>
      <c r="AM9" s="27">
        <f>VLOOKUP($A9,'[1]Raw Data'!$A$3:$FB$285,50,FALSE)</f>
        <v>0</v>
      </c>
      <c r="AN9" s="27" t="str">
        <f>VLOOKUP($A9,'[1]Raw Data'!$A$3:$FB$285,51,FALSE)</f>
        <v/>
      </c>
      <c r="AO9" s="27" t="str">
        <f>VLOOKUP($A9,'[1]Raw Data'!$A$3:$FB$285,52,FALSE)</f>
        <v/>
      </c>
      <c r="AP9" s="27">
        <f>VLOOKUP($A9,'[1]Raw Data'!$A$3:$FB$285,53,FALSE)</f>
        <v>36</v>
      </c>
      <c r="AQ9" s="27" t="str">
        <f>VLOOKUP($A9,'[1]Raw Data'!$A$3:$FB$285,54,FALSE)</f>
        <v/>
      </c>
      <c r="AR9" s="27" t="str">
        <f>VLOOKUP($A9,'[1]Raw Data'!$A$3:$FB$285,55,FALSE)</f>
        <v/>
      </c>
      <c r="AS9" s="27" t="str">
        <f>VLOOKUP($A9,'[1]Raw Data'!$A$3:$FB$285,56,FALSE)</f>
        <v/>
      </c>
      <c r="AT9" s="27" t="str">
        <f>VLOOKUP($A9,'[1]Raw Data'!$A$3:$FB$285,57,FALSE)</f>
        <v/>
      </c>
      <c r="AU9" s="27" t="str">
        <f>VLOOKUP($A9,'[1]Raw Data'!$A$3:$FB$285,58,FALSE)</f>
        <v/>
      </c>
      <c r="AV9" s="27" t="str">
        <f>VLOOKUP($A9,'[1]Raw Data'!$A$3:$FB$285,59,FALSE)</f>
        <v/>
      </c>
      <c r="AW9" s="27" t="str">
        <f>VLOOKUP($A9,'[1]Raw Data'!$A$3:$FB$285,60,FALSE)</f>
        <v/>
      </c>
      <c r="AX9" s="27" t="str">
        <f>VLOOKUP(A9,'[1]PO''s List'!A7:E289,4,FALSE)</f>
        <v/>
      </c>
      <c r="AZ9" s="27" t="str">
        <f>VLOOKUP(A9,'[1]PO''s List'!$A$3:$E$285,5,FALSE)</f>
        <v/>
      </c>
      <c r="BB9" s="27">
        <f>VLOOKUP($A9,'[1]Raw Data'!$A$3:$FB$285,63,FALSE)</f>
        <v>14143</v>
      </c>
      <c r="BC9" s="27" t="str">
        <f>VLOOKUP($A9,'[1]Raw Data'!$A$3:$FB$285,64,FALSE)</f>
        <v/>
      </c>
      <c r="BD9" s="27" t="str">
        <f t="shared" si="0"/>
        <v/>
      </c>
      <c r="BE9" s="27" t="str">
        <f>VLOOKUP($A9,'[1]Raw Data'!$A$3:$FB$285,65,FALSE)</f>
        <v/>
      </c>
      <c r="BF9" s="27">
        <f>VLOOKUP($A9,'[1]Raw Data'!$A$3:$FB$285,66,FALSE)</f>
        <v>14751</v>
      </c>
      <c r="BG9" s="27" t="str">
        <f>VLOOKUP($A9,'[1]Raw Data'!$A$3:$FB$285,67,FALSE)</f>
        <v/>
      </c>
      <c r="BH9" s="27" t="str">
        <f t="shared" si="1"/>
        <v/>
      </c>
      <c r="BI9" s="27" t="str">
        <f>VLOOKUP($A9,'[1]Raw Data'!$A$3:$FB$285,68,FALSE)</f>
        <v/>
      </c>
      <c r="BJ9" s="27">
        <f>VLOOKUP($A9,'[1]Raw Data'!$A$3:$FB$285,69,FALSE)</f>
        <v>1512</v>
      </c>
      <c r="BK9" s="27" t="str">
        <f>VLOOKUP($A9,'[1]Raw Data'!$A$3:$FB$285,70,FALSE)</f>
        <v/>
      </c>
      <c r="BL9" s="27" t="str">
        <f t="shared" si="2"/>
        <v/>
      </c>
      <c r="BM9" s="27" t="str">
        <f>VLOOKUP($A9,'[1]Raw Data'!$A$3:$FB$285,71,FALSE)</f>
        <v/>
      </c>
      <c r="BN9" s="27">
        <f>VLOOKUP($A9,'[1]Raw Data'!$A$3:$FB$285,72,FALSE)</f>
        <v>1752</v>
      </c>
      <c r="BO9" s="27" t="str">
        <f>VLOOKUP($A9,'[1]Raw Data'!$A$3:$FB$285,73,FALSE)</f>
        <v/>
      </c>
      <c r="BP9" s="27" t="str">
        <f t="shared" si="3"/>
        <v/>
      </c>
      <c r="BQ9" s="27" t="str">
        <f>VLOOKUP($A9,'[1]Raw Data'!$A$3:$FB$285,74,FALSE)</f>
        <v/>
      </c>
      <c r="BR9" s="27" t="str">
        <f>VLOOKUP($A9,'[1]Raw Data'!$A$3:$FB$285,75,FALSE)</f>
        <v/>
      </c>
      <c r="BS9" s="27" t="str">
        <f>VLOOKUP($A9,'[1]Raw Data'!$A$3:$FB$285,76,FALSE)</f>
        <v/>
      </c>
      <c r="BT9" s="27" t="str">
        <f t="shared" si="4"/>
        <v/>
      </c>
      <c r="BU9" s="27" t="str">
        <f>VLOOKUP($A9,'[1]Raw Data'!$A$3:$FB$285,77,FALSE)</f>
        <v/>
      </c>
      <c r="BV9" s="27">
        <f>VLOOKUP($A9,'[1]Raw Data'!$A$3:$FB$285,78,FALSE)</f>
        <v>48582</v>
      </c>
      <c r="BW9" s="27" t="str">
        <f>VLOOKUP($A9,'[1]Raw Data'!$A$3:$FB$285,79,FALSE)</f>
        <v/>
      </c>
      <c r="BX9" s="27" t="str">
        <f t="shared" si="5"/>
        <v/>
      </c>
      <c r="BY9" s="27" t="str">
        <f>VLOOKUP($A9,'[1]Raw Data'!$A$3:$FB$285,80,FALSE)</f>
        <v/>
      </c>
      <c r="BZ9" s="27">
        <f>VLOOKUP($A9,'[1]Raw Data'!$A$3:$FB$285,81,FALSE)</f>
        <v>152601</v>
      </c>
      <c r="CA9" s="27" t="str">
        <f>VLOOKUP($A9,'[1]Raw Data'!$A$3:$FB$285,82,FALSE)</f>
        <v/>
      </c>
      <c r="CB9" s="27" t="str">
        <f t="shared" si="6"/>
        <v/>
      </c>
      <c r="CC9" s="27" t="str">
        <f>VLOOKUP($A9,'[1]Raw Data'!$A$3:$FB$285,83,FALSE)</f>
        <v/>
      </c>
      <c r="CD9" s="27">
        <f>VLOOKUP($A9,'[1]Raw Data'!$A$3:$FB$285,84,FALSE)</f>
        <v>1984</v>
      </c>
      <c r="CE9" s="27" t="str">
        <f>VLOOKUP($A9,'[1]Raw Data'!$A$3:$FB$285,85,FALSE)</f>
        <v/>
      </c>
      <c r="CF9" s="27" t="str">
        <f t="shared" si="7"/>
        <v/>
      </c>
      <c r="CG9" s="27" t="str">
        <f>VLOOKUP($A9,'[1]Raw Data'!$A$3:$FB$285,86,FALSE)</f>
        <v/>
      </c>
      <c r="CH9" s="27">
        <f>VLOOKUP($A9,'[1]Raw Data'!$A$3:$FB$285,87,FALSE)</f>
        <v>82672</v>
      </c>
      <c r="CI9" s="27" t="str">
        <f>VLOOKUP($A9,'[1]Raw Data'!$A$3:$FB$285,88,FALSE)</f>
        <v/>
      </c>
      <c r="CJ9" s="27" t="str">
        <f t="shared" si="8"/>
        <v/>
      </c>
      <c r="CK9" s="27" t="str">
        <f>VLOOKUP($A9,'[1]Raw Data'!$A$3:$FB$285,89,FALSE)</f>
        <v/>
      </c>
      <c r="CL9" s="27" t="str">
        <f>VLOOKUP($A9,'[1]Raw Data'!$A$3:$FB$285,91,FALSE)</f>
        <v/>
      </c>
      <c r="CM9" s="27" t="str">
        <f>VLOOKUP($A9,'[1]Raw Data'!$A$3:$FB$285,93,FALSE)</f>
        <v/>
      </c>
      <c r="CN9" s="27" t="str">
        <f>VLOOKUP($A9,'[1]Raw Data'!$A$3:$FB$285,94,FALSE)</f>
        <v/>
      </c>
      <c r="CO9" s="27" t="str">
        <f>VLOOKUP($A9,'[1]Raw Data'!$A$3:$FB$285,95,FALSE)</f>
        <v/>
      </c>
      <c r="CP9" s="27" t="str">
        <f>VLOOKUP($A9,'[1]Raw Data'!$A$3:$FB$285,96,FALSE)</f>
        <v/>
      </c>
      <c r="CQ9" s="27" t="str">
        <f>VLOOKUP($A9,'[1]Raw Data'!$A$3:$FB$285,97,FALSE)</f>
        <v/>
      </c>
      <c r="CR9" s="27" t="str">
        <f>VLOOKUP($A9,'[1]Raw Data'!$A$3:$FB$285,98,FALSE)</f>
        <v/>
      </c>
      <c r="CS9" s="27" t="str">
        <f>VLOOKUP($A9,'[1]Raw Data'!$A$3:$FB$285,99,FALSE)</f>
        <v/>
      </c>
      <c r="CT9" s="27" t="str">
        <f>VLOOKUP($A9,'[1]Raw Data'!$A$3:$FB$285,101,FALSE)</f>
        <v/>
      </c>
      <c r="CV9" s="27" t="str">
        <f>VLOOKUP($A9,'[1]Raw Data'!$A$3:$FB$285,102,FALSE)</f>
        <v>Mayor</v>
      </c>
      <c r="CW9" s="27" t="s">
        <v>834</v>
      </c>
      <c r="CX9" s="27" t="str">
        <f>VLOOKUP($A9,'[1]Raw Data'!$A$3:$FB$285,103,FALSE)</f>
        <v/>
      </c>
      <c r="CY9" s="27" t="str">
        <f>VLOOKUP($A9,'[1]Raw Data'!$A$3:$FB$285,105,FALSE)</f>
        <v/>
      </c>
      <c r="DA9" s="27" t="str">
        <f>VLOOKUP($A9,'[1]Raw Data'!$A$3:$FB$285,106,FALSE)</f>
        <v>Deputy Mayor</v>
      </c>
      <c r="DB9" s="27" t="s">
        <v>888</v>
      </c>
      <c r="DC9" s="27" t="str">
        <f>VLOOKUP($A9,'[1]Raw Data'!$A$3:$FB$285,107,FALSE)</f>
        <v/>
      </c>
      <c r="DD9" s="27" t="str">
        <f>VLOOKUP($A9,'[1]Raw Data'!$A$3:$FB$285,109,FALSE)</f>
        <v/>
      </c>
      <c r="DF9" s="27" t="str">
        <f>VLOOKUP($A9,'[1]Raw Data'!$A$3:$FB$285,110,FALSE)</f>
        <v>Chief Adminstration Officer</v>
      </c>
      <c r="DG9" s="27" t="s">
        <v>880</v>
      </c>
      <c r="DH9" s="27" t="str">
        <f>VLOOKUP($A9,'[1]Raw Data'!$A$3:$FB$285,111,FALSE)</f>
        <v/>
      </c>
      <c r="DI9" s="27" t="str">
        <f>VLOOKUP($A9,'[1]Raw Data'!$A$3:$FB$285,121,FALSE)</f>
        <v/>
      </c>
      <c r="DK9" s="27" t="str">
        <f>VLOOKUP($A9,'[1]Raw Data'!$A$3:$FB$285,122,FALSE)</f>
        <v>Focal Person</v>
      </c>
      <c r="DL9" s="27" t="s">
        <v>881</v>
      </c>
      <c r="DM9" s="27" t="str">
        <f>VLOOKUP($A9,'[1]Raw Data'!$A$3:$FB$285,123,FALSE)</f>
        <v/>
      </c>
      <c r="DN9" s="27" t="str">
        <f>VLOOKUP($A9,'[1]Raw Data'!$A$3:$FB$285,113,FALSE)</f>
        <v/>
      </c>
      <c r="DP9" s="27" t="str">
        <f>VLOOKUP($A9,'[1]Raw Data'!$A$3:$FB$285,114,FALSE)</f>
        <v>NRA Chief-District</v>
      </c>
      <c r="DQ9" s="27" t="s">
        <v>882</v>
      </c>
      <c r="DR9" s="27" t="str">
        <f>VLOOKUP($A9,'[1]Raw Data'!$A$3:$FB$285,115,FALSE)</f>
        <v/>
      </c>
      <c r="DS9" s="27" t="str">
        <f>VLOOKUP($A9,'[1]Raw Data'!$A$3:$FB$285,117,FALSE)</f>
        <v/>
      </c>
      <c r="DU9" s="27" t="str">
        <f>VLOOKUP($A9,'[1]Raw Data'!$A$3:$FB$285,118,FALSE)</f>
        <v>DUDBC.DLPIU Chief</v>
      </c>
      <c r="DV9" s="27" t="s">
        <v>883</v>
      </c>
      <c r="DW9" s="27" t="str">
        <f>VLOOKUP($A9,'[1]Raw Data'!$A$3:$FB$285,119,FALSE)</f>
        <v/>
      </c>
      <c r="DX9" s="27" t="s">
        <v>339</v>
      </c>
      <c r="DY9" s="27" t="str">
        <f>VLOOKUP($A9,'[1]Raw Data'!$A$3:$FB$285,124,FALSE)</f>
        <v/>
      </c>
      <c r="DZ9" s="27" t="s">
        <v>884</v>
      </c>
      <c r="EA9" s="27" t="str">
        <f>VLOOKUP($A9,'[1]Raw Data'!$A$3:$FB$285,125,FALSE)</f>
        <v/>
      </c>
      <c r="EB9" s="27" t="s">
        <v>341</v>
      </c>
      <c r="EC9" s="27" t="str">
        <f>VLOOKUP($A9,'[1]Raw Data'!$A$3:$FB$285,126,FALSE)</f>
        <v/>
      </c>
      <c r="ED9" t="s">
        <v>478</v>
      </c>
      <c r="EE9" s="27" t="str">
        <f>VLOOKUP($A9,'[1]Raw Data'!$A$3:$FB$285,127,FALSE)</f>
        <v/>
      </c>
      <c r="EF9" s="27" t="s">
        <v>343</v>
      </c>
      <c r="EG9" s="27" t="str">
        <f>VLOOKUP($A9,'[1]Raw Data'!$A$3:$FB$285,128,FALSE)</f>
        <v/>
      </c>
      <c r="EH9" t="s">
        <v>344</v>
      </c>
      <c r="EI9" s="27" t="str">
        <f>VLOOKUP($A9,'[1]Raw Data'!$A$3:$FB$285,129,FALSE)</f>
        <v/>
      </c>
      <c r="EM9" s="27" t="str">
        <f>VLOOKUP($A9,'[1]Raw Data'!$A$3:$FB$285,130,FALSE)</f>
        <v/>
      </c>
      <c r="EN9" s="27" t="str">
        <f>VLOOKUP($A9,'[1]Raw Data'!$A$3:$FB$285,131,FALSE)</f>
        <v/>
      </c>
      <c r="EO9" s="27" t="str">
        <f>VLOOKUP($A9,'[1]Raw Data'!$A$3:$FB$285,132,FALSE)</f>
        <v/>
      </c>
      <c r="EP9" s="27" t="str">
        <f>VLOOKUP($A9,'[1]Raw Data'!$A$3:$FB$285,133,FALSE)</f>
        <v/>
      </c>
      <c r="EQ9" s="27" t="str">
        <f>VLOOKUP($A9,'[1]Raw Data'!$A$3:$FB$285,134,FALSE)</f>
        <v/>
      </c>
      <c r="ER9" s="27" t="str">
        <f>VLOOKUP($A9,'[1]Raw Data'!$A$3:$FB$285,135,FALSE)</f>
        <v/>
      </c>
      <c r="ES9" s="27" t="str">
        <f>VLOOKUP($A9,'[1]Raw Data'!$A$3:$FB$285,136,FALSE)</f>
        <v/>
      </c>
      <c r="ET9" s="27" t="str">
        <f>VLOOKUP($A9,'[1]Raw Data'!$A$3:$FB$285,137,FALSE)</f>
        <v/>
      </c>
      <c r="EU9" s="27" t="str">
        <f>VLOOKUP($A9,'[1]Raw Data'!$A$3:$FB$285,138,FALSE)</f>
        <v/>
      </c>
      <c r="EV9" s="27" t="str">
        <f>VLOOKUP($A9,'[1]Raw Data'!$A$3:$FB$285,139,FALSE)</f>
        <v/>
      </c>
      <c r="EW9" s="38">
        <f>VLOOKUP($A9,[1]Training!$A$2:$I$284,5,FALSE)</f>
        <v>79.615384615384613</v>
      </c>
      <c r="EX9" s="31">
        <f>VLOOKUP($A9,[1]Training!$A$2:$I$284,6,FALSE)</f>
        <v>0</v>
      </c>
      <c r="EY9" s="38">
        <f>VLOOKUP($A9,[1]Training!$A$2:$I$284,8,FALSE)</f>
        <v>94.090909090909093</v>
      </c>
      <c r="EZ9" s="31">
        <f>VLOOKUP($A9,[1]Training!$A$2:$I$284,9,FALSE)</f>
        <v>3</v>
      </c>
      <c r="FA9" s="27">
        <v>1</v>
      </c>
      <c r="FB9" s="27">
        <v>2</v>
      </c>
      <c r="FC9" s="27" t="str">
        <f>VLOOKUP($A9,'[1]Raw Data'!$A$3:$FB$285,148,FALSE)</f>
        <v/>
      </c>
      <c r="FE9" s="27" t="str">
        <f>VLOOKUP($A9,'[1]Raw Data'!$A$3:$FB$285,149,FALSE)</f>
        <v>District Coordinator</v>
      </c>
      <c r="FF9" s="27" t="s">
        <v>885</v>
      </c>
      <c r="FG9" s="27" t="str">
        <f>VLOOKUP($A9,'[1]Raw Data'!$A$3:$FB$285,150,FALSE)</f>
        <v/>
      </c>
      <c r="FH9" s="27" t="str">
        <f>VLOOKUP($A9,'[1]Raw Data'!$A$3:$FB$285,156,FALSE)</f>
        <v/>
      </c>
      <c r="FJ9" s="27" t="str">
        <f>VLOOKUP($A9,'[1]Raw Data'!$A$3:$FB$285,157,FALSE)</f>
        <v>District Technical Officer</v>
      </c>
      <c r="FK9" s="27" t="s">
        <v>886</v>
      </c>
      <c r="FL9" s="27" t="str">
        <f>VLOOKUP($A9,'[1]Raw Data'!$A$3:$FB$285,158,FALSE)</f>
        <v/>
      </c>
      <c r="FM9" s="27" t="str">
        <f>VLOOKUP($A9,'[1]Raw Data'!$A$3:$FB$285,152,FALSE)</f>
        <v/>
      </c>
      <c r="FO9" s="27" t="str">
        <f>VLOOKUP($A9,'[1]Raw Data'!$A$3:$FB$285,153,FALSE)</f>
        <v>DIstrict Information Management Officer</v>
      </c>
      <c r="FP9" s="27" t="s">
        <v>887</v>
      </c>
      <c r="FQ9" s="27" t="str">
        <f>VLOOKUP($A9,'[1]Raw Data'!$A$3:$FB$285,154,FALSE)</f>
        <v/>
      </c>
    </row>
    <row r="10" spans="1:173" ht="24" x14ac:dyDescent="0.45">
      <c r="A10" s="27">
        <v>7006</v>
      </c>
      <c r="B10" s="36" t="str">
        <f ca="1">IFERROR(__xludf.DUMMYFUNCTION("""COMPUTED_VALUE"""),"Pakhribas Nagarpalika")</f>
        <v>Pakhribas Nagarpalika</v>
      </c>
      <c r="C10" s="37" t="str">
        <f>VLOOKUP(A10,'[1]Palika and District in Nepali '!$D$1:$F$283,3,FALSE)</f>
        <v>पाख्रिबास नगरपालिका</v>
      </c>
      <c r="D10" s="36" t="str">
        <f ca="1">IFERROR(__xludf.DUMMYFUNCTION("""COMPUTED_VALUE"""),"Dhankuta")</f>
        <v>Dhankuta</v>
      </c>
      <c r="E10" s="36"/>
      <c r="F10" s="27">
        <f>VLOOKUP(A10,'[1]Raw Data'!$A$3:$FB$285,4,FALSE)</f>
        <v>390</v>
      </c>
      <c r="G10" s="27">
        <f>VLOOKUP(A10,'[1]Raw Data'!$A$3:$FB$285,5,FALSE)</f>
        <v>356</v>
      </c>
      <c r="H10" s="27">
        <f>VLOOKUP(A10,'[1]Raw Data'!$A$3:$FB$285,6,FALSE)</f>
        <v>746</v>
      </c>
      <c r="I10" s="27">
        <f>VLOOKUP($A10,'[1]Raw Data'!$A$3:$FB$285,8,FALSE)</f>
        <v>0.13</v>
      </c>
      <c r="J10" s="27">
        <f>VLOOKUP($A10,'[1]Raw Data'!$A$3:$FB$285,9,FALSE)</f>
        <v>0.44</v>
      </c>
      <c r="K10" s="27">
        <f>VLOOKUP($A10,'[1]Raw Data'!$A$3:$FB$285,11,FALSE)</f>
        <v>96.51</v>
      </c>
      <c r="L10" s="27">
        <f>VLOOKUP($A10,'[1]Raw Data'!$A$3:$FB$285,12,FALSE)</f>
        <v>90.09</v>
      </c>
      <c r="M10" s="27">
        <f>VLOOKUP($A10,'[1]Raw Data'!$A$3:$FB$285,14,FALSE)</f>
        <v>0.13</v>
      </c>
      <c r="N10" s="27">
        <f>VLOOKUP($A10,'[1]Raw Data'!$A$3:$FB$285,15,FALSE)</f>
        <v>0.39</v>
      </c>
      <c r="O10" s="27">
        <f>VLOOKUP($A10,'[1]Raw Data'!$A$3:$FB$285,17,FALSE)</f>
        <v>0.13</v>
      </c>
      <c r="P10" s="27">
        <f>VLOOKUP($A10,'[1]Raw Data'!$A$3:$FB$285,18,FALSE)</f>
        <v>0.77</v>
      </c>
      <c r="Q10" s="27">
        <f>VLOOKUP($A10,'[1]Raw Data'!$A$3:$FB$285,20,FALSE)</f>
        <v>0.27</v>
      </c>
      <c r="R10" s="27">
        <f>VLOOKUP($A10,'[1]Raw Data'!$A$3:$FB$285,21,FALSE)</f>
        <v>0.28999999999999998</v>
      </c>
      <c r="S10" s="27">
        <f>VLOOKUP($A10,'[1]Raw Data'!$A$3:$FB$285,23,FALSE)</f>
        <v>0</v>
      </c>
      <c r="T10" s="27">
        <f>VLOOKUP($A10,'[1]Raw Data'!$A$3:$FB$285,24,FALSE)</f>
        <v>0</v>
      </c>
      <c r="U10" s="27">
        <f>VLOOKUP($A10,'[1]Raw Data'!$A$3:$FB$285,26,FALSE)</f>
        <v>0.4</v>
      </c>
      <c r="V10" s="27">
        <f>VLOOKUP($A10,'[1]Raw Data'!$A$3:$FB$285,27,FALSE)</f>
        <v>0.24</v>
      </c>
      <c r="W10" s="27">
        <f>VLOOKUP($A10,'[1]Raw Data'!$A$3:$FB$285,29,FALSE)</f>
        <v>0</v>
      </c>
      <c r="X10" s="27">
        <f>VLOOKUP($A10,'[1]Raw Data'!$A$3:$FB$285,30,FALSE)</f>
        <v>0</v>
      </c>
      <c r="Y10" s="27">
        <f>VLOOKUP($A10,'[1]Raw Data'!$A$3:$FB$285,32,FALSE)</f>
        <v>0</v>
      </c>
      <c r="Z10" s="27">
        <f>VLOOKUP($A10,'[1]Raw Data'!$A$3:$FB$285,33,FALSE)</f>
        <v>0.04</v>
      </c>
      <c r="AA10" s="27">
        <f>VLOOKUP($A10,'[1]Raw Data'!$A$3:$FB$285,35,FALSE)</f>
        <v>2.41</v>
      </c>
      <c r="AB10" s="27">
        <f>VLOOKUP($A10,'[1]Raw Data'!$A$3:$FB$285,36,FALSE)</f>
        <v>7.52</v>
      </c>
      <c r="AC10" s="27">
        <f>VLOOKUP($A10,'[1]Raw Data'!$A$3:$FB$285,38,FALSE)</f>
        <v>0</v>
      </c>
      <c r="AD10" s="27">
        <f>VLOOKUP($A10,'[1]Raw Data'!$A$3:$FB$285,39,FALSE)</f>
        <v>0.22</v>
      </c>
      <c r="AE10" s="27">
        <f>VLOOKUP($A10,'[1]Raw Data'!$A$3:$FB$285,41,FALSE)</f>
        <v>0</v>
      </c>
      <c r="AF10" s="27">
        <f>VLOOKUP($A10,'[1]Raw Data'!$A$3:$FB$285,42,FALSE)</f>
        <v>0</v>
      </c>
      <c r="AG10" s="27">
        <f>VLOOKUP($A10,'[1]Raw Data'!$A$3:$FB$285,44,FALSE)</f>
        <v>0</v>
      </c>
      <c r="AH10" s="27">
        <f>VLOOKUP($A10,'[1]Raw Data'!$A$3:$FB$285,45,FALSE)</f>
        <v>0</v>
      </c>
      <c r="AI10" s="27">
        <f>VLOOKUP($A10,'[1]Raw Data'!$A$3:$FB$285,46,FALSE)</f>
        <v>333</v>
      </c>
      <c r="AJ10" s="27">
        <f>VLOOKUP($A10,'[1]Raw Data'!$A$3:$FB$285,47,FALSE)</f>
        <v>112</v>
      </c>
      <c r="AK10" s="27">
        <f>VLOOKUP($A10,'[1]Raw Data'!$A$3:$FB$285,48,FALSE)</f>
        <v>112</v>
      </c>
      <c r="AL10" s="27">
        <f>VLOOKUP($A10,'[1]Raw Data'!$A$3:$FB$285,49,FALSE)</f>
        <v>59</v>
      </c>
      <c r="AM10" s="27">
        <f>VLOOKUP($A10,'[1]Raw Data'!$A$3:$FB$285,50,FALSE)</f>
        <v>0</v>
      </c>
      <c r="AN10" s="27" t="str">
        <f>VLOOKUP($A10,'[1]Raw Data'!$A$3:$FB$285,51,FALSE)</f>
        <v/>
      </c>
      <c r="AO10" s="27" t="str">
        <f>VLOOKUP($A10,'[1]Raw Data'!$A$3:$FB$285,52,FALSE)</f>
        <v/>
      </c>
      <c r="AP10" s="27">
        <f>VLOOKUP($A10,'[1]Raw Data'!$A$3:$FB$285,53,FALSE)</f>
        <v>1</v>
      </c>
      <c r="AQ10" s="27" t="str">
        <f>VLOOKUP($A10,'[1]Raw Data'!$A$3:$FB$285,54,FALSE)</f>
        <v/>
      </c>
      <c r="AR10" s="27" t="str">
        <f>VLOOKUP($A10,'[1]Raw Data'!$A$3:$FB$285,55,FALSE)</f>
        <v/>
      </c>
      <c r="AS10" s="27" t="str">
        <f>VLOOKUP($A10,'[1]Raw Data'!$A$3:$FB$285,56,FALSE)</f>
        <v/>
      </c>
      <c r="AT10" s="27" t="str">
        <f>VLOOKUP($A10,'[1]Raw Data'!$A$3:$FB$285,57,FALSE)</f>
        <v/>
      </c>
      <c r="AU10" s="27" t="str">
        <f>VLOOKUP($A10,'[1]Raw Data'!$A$3:$FB$285,58,FALSE)</f>
        <v/>
      </c>
      <c r="AV10" s="27" t="str">
        <f>VLOOKUP($A10,'[1]Raw Data'!$A$3:$FB$285,59,FALSE)</f>
        <v/>
      </c>
      <c r="AW10" s="27" t="str">
        <f>VLOOKUP($A10,'[1]Raw Data'!$A$3:$FB$285,60,FALSE)</f>
        <v/>
      </c>
      <c r="AX10" s="27" t="str">
        <f>VLOOKUP(A10,'[1]PO''s List'!A8:E290,4,FALSE)</f>
        <v/>
      </c>
      <c r="AZ10" s="27" t="str">
        <f>VLOOKUP(A10,'[1]PO''s List'!$A$3:$E$285,5,FALSE)</f>
        <v/>
      </c>
      <c r="BB10" s="27">
        <f>VLOOKUP($A10,'[1]Raw Data'!$A$3:$FB$285,63,FALSE)</f>
        <v>3171</v>
      </c>
      <c r="BC10" s="27" t="str">
        <f>VLOOKUP($A10,'[1]Raw Data'!$A$3:$FB$285,64,FALSE)</f>
        <v/>
      </c>
      <c r="BD10" s="27" t="str">
        <f t="shared" si="0"/>
        <v/>
      </c>
      <c r="BE10" s="27" t="str">
        <f>VLOOKUP($A10,'[1]Raw Data'!$A$3:$FB$285,65,FALSE)</f>
        <v/>
      </c>
      <c r="BF10" s="27">
        <f>VLOOKUP($A10,'[1]Raw Data'!$A$3:$FB$285,66,FALSE)</f>
        <v>3321</v>
      </c>
      <c r="BG10" s="27" t="str">
        <f>VLOOKUP($A10,'[1]Raw Data'!$A$3:$FB$285,67,FALSE)</f>
        <v/>
      </c>
      <c r="BH10" s="27" t="str">
        <f t="shared" si="1"/>
        <v/>
      </c>
      <c r="BI10" s="27" t="str">
        <f>VLOOKUP($A10,'[1]Raw Data'!$A$3:$FB$285,68,FALSE)</f>
        <v/>
      </c>
      <c r="BJ10" s="27">
        <f>VLOOKUP($A10,'[1]Raw Data'!$A$3:$FB$285,69,FALSE)</f>
        <v>339</v>
      </c>
      <c r="BK10" s="27" t="str">
        <f>VLOOKUP($A10,'[1]Raw Data'!$A$3:$FB$285,70,FALSE)</f>
        <v/>
      </c>
      <c r="BL10" s="27" t="str">
        <f t="shared" si="2"/>
        <v/>
      </c>
      <c r="BM10" s="27" t="str">
        <f>VLOOKUP($A10,'[1]Raw Data'!$A$3:$FB$285,71,FALSE)</f>
        <v/>
      </c>
      <c r="BN10" s="27">
        <f>VLOOKUP($A10,'[1]Raw Data'!$A$3:$FB$285,72,FALSE)</f>
        <v>394</v>
      </c>
      <c r="BO10" s="27" t="str">
        <f>VLOOKUP($A10,'[1]Raw Data'!$A$3:$FB$285,73,FALSE)</f>
        <v/>
      </c>
      <c r="BP10" s="27" t="str">
        <f t="shared" si="3"/>
        <v/>
      </c>
      <c r="BQ10" s="27" t="str">
        <f>VLOOKUP($A10,'[1]Raw Data'!$A$3:$FB$285,74,FALSE)</f>
        <v/>
      </c>
      <c r="BR10" s="27" t="str">
        <f>VLOOKUP($A10,'[1]Raw Data'!$A$3:$FB$285,75,FALSE)</f>
        <v/>
      </c>
      <c r="BS10" s="27" t="str">
        <f>VLOOKUP($A10,'[1]Raw Data'!$A$3:$FB$285,76,FALSE)</f>
        <v/>
      </c>
      <c r="BT10" s="27" t="str">
        <f t="shared" si="4"/>
        <v/>
      </c>
      <c r="BU10" s="27" t="str">
        <f>VLOOKUP($A10,'[1]Raw Data'!$A$3:$FB$285,77,FALSE)</f>
        <v/>
      </c>
      <c r="BV10" s="27">
        <f>VLOOKUP($A10,'[1]Raw Data'!$A$3:$FB$285,78,FALSE)</f>
        <v>10963</v>
      </c>
      <c r="BW10" s="27" t="str">
        <f>VLOOKUP($A10,'[1]Raw Data'!$A$3:$FB$285,79,FALSE)</f>
        <v/>
      </c>
      <c r="BX10" s="27" t="str">
        <f t="shared" si="5"/>
        <v/>
      </c>
      <c r="BY10" s="27" t="str">
        <f>VLOOKUP($A10,'[1]Raw Data'!$A$3:$FB$285,80,FALSE)</f>
        <v/>
      </c>
      <c r="BZ10" s="27">
        <f>VLOOKUP($A10,'[1]Raw Data'!$A$3:$FB$285,81,FALSE)</f>
        <v>34229</v>
      </c>
      <c r="CA10" s="27" t="str">
        <f>VLOOKUP($A10,'[1]Raw Data'!$A$3:$FB$285,82,FALSE)</f>
        <v/>
      </c>
      <c r="CB10" s="27" t="str">
        <f t="shared" si="6"/>
        <v/>
      </c>
      <c r="CC10" s="27" t="str">
        <f>VLOOKUP($A10,'[1]Raw Data'!$A$3:$FB$285,83,FALSE)</f>
        <v/>
      </c>
      <c r="CD10" s="27">
        <f>VLOOKUP($A10,'[1]Raw Data'!$A$3:$FB$285,84,FALSE)</f>
        <v>448</v>
      </c>
      <c r="CE10" s="27" t="str">
        <f>VLOOKUP($A10,'[1]Raw Data'!$A$3:$FB$285,85,FALSE)</f>
        <v/>
      </c>
      <c r="CF10" s="27" t="str">
        <f t="shared" si="7"/>
        <v/>
      </c>
      <c r="CG10" s="27" t="str">
        <f>VLOOKUP($A10,'[1]Raw Data'!$A$3:$FB$285,86,FALSE)</f>
        <v/>
      </c>
      <c r="CH10" s="27">
        <f>VLOOKUP($A10,'[1]Raw Data'!$A$3:$FB$285,87,FALSE)</f>
        <v>21991</v>
      </c>
      <c r="CI10" s="27" t="str">
        <f>VLOOKUP($A10,'[1]Raw Data'!$A$3:$FB$285,88,FALSE)</f>
        <v/>
      </c>
      <c r="CJ10" s="27" t="str">
        <f t="shared" si="8"/>
        <v/>
      </c>
      <c r="CK10" s="27" t="str">
        <f>VLOOKUP($A10,'[1]Raw Data'!$A$3:$FB$285,89,FALSE)</f>
        <v/>
      </c>
      <c r="CL10" s="27" t="str">
        <f>VLOOKUP($A10,'[1]Raw Data'!$A$3:$FB$285,91,FALSE)</f>
        <v/>
      </c>
      <c r="CM10" s="27" t="str">
        <f>VLOOKUP($A10,'[1]Raw Data'!$A$3:$FB$285,93,FALSE)</f>
        <v/>
      </c>
      <c r="CN10" s="27" t="str">
        <f>VLOOKUP($A10,'[1]Raw Data'!$A$3:$FB$285,94,FALSE)</f>
        <v/>
      </c>
      <c r="CO10" s="27" t="str">
        <f>VLOOKUP($A10,'[1]Raw Data'!$A$3:$FB$285,95,FALSE)</f>
        <v/>
      </c>
      <c r="CP10" s="27" t="str">
        <f>VLOOKUP($A10,'[1]Raw Data'!$A$3:$FB$285,96,FALSE)</f>
        <v/>
      </c>
      <c r="CQ10" s="27" t="str">
        <f>VLOOKUP($A10,'[1]Raw Data'!$A$3:$FB$285,97,FALSE)</f>
        <v/>
      </c>
      <c r="CR10" s="27" t="str">
        <f>VLOOKUP($A10,'[1]Raw Data'!$A$3:$FB$285,98,FALSE)</f>
        <v/>
      </c>
      <c r="CS10" s="27" t="str">
        <f>VLOOKUP($A10,'[1]Raw Data'!$A$3:$FB$285,99,FALSE)</f>
        <v/>
      </c>
      <c r="CT10" s="27" t="str">
        <f>VLOOKUP($A10,'[1]Raw Data'!$A$3:$FB$285,101,FALSE)</f>
        <v/>
      </c>
      <c r="CV10" s="27" t="str">
        <f>VLOOKUP($A10,'[1]Raw Data'!$A$3:$FB$285,102,FALSE)</f>
        <v>Mayor</v>
      </c>
      <c r="CW10" s="27" t="s">
        <v>834</v>
      </c>
      <c r="CX10" s="27" t="str">
        <f>VLOOKUP($A10,'[1]Raw Data'!$A$3:$FB$285,103,FALSE)</f>
        <v/>
      </c>
      <c r="CY10" s="27" t="str">
        <f>VLOOKUP($A10,'[1]Raw Data'!$A$3:$FB$285,105,FALSE)</f>
        <v/>
      </c>
      <c r="DA10" s="27" t="str">
        <f>VLOOKUP($A10,'[1]Raw Data'!$A$3:$FB$285,106,FALSE)</f>
        <v>Deputy Mayor</v>
      </c>
      <c r="DB10" s="27" t="s">
        <v>888</v>
      </c>
      <c r="DC10" s="27" t="str">
        <f>VLOOKUP($A10,'[1]Raw Data'!$A$3:$FB$285,107,FALSE)</f>
        <v/>
      </c>
      <c r="DD10" s="27" t="str">
        <f>VLOOKUP($A10,'[1]Raw Data'!$A$3:$FB$285,109,FALSE)</f>
        <v/>
      </c>
      <c r="DF10" s="27" t="str">
        <f>VLOOKUP($A10,'[1]Raw Data'!$A$3:$FB$285,110,FALSE)</f>
        <v>Chief Adminstration Officer</v>
      </c>
      <c r="DG10" s="27" t="s">
        <v>880</v>
      </c>
      <c r="DH10" s="27" t="str">
        <f>VLOOKUP($A10,'[1]Raw Data'!$A$3:$FB$285,111,FALSE)</f>
        <v/>
      </c>
      <c r="DI10" s="27" t="str">
        <f>VLOOKUP($A10,'[1]Raw Data'!$A$3:$FB$285,121,FALSE)</f>
        <v/>
      </c>
      <c r="DK10" s="27" t="str">
        <f>VLOOKUP($A10,'[1]Raw Data'!$A$3:$FB$285,122,FALSE)</f>
        <v>Focal Person</v>
      </c>
      <c r="DL10" s="27" t="s">
        <v>881</v>
      </c>
      <c r="DM10" s="27" t="str">
        <f>VLOOKUP($A10,'[1]Raw Data'!$A$3:$FB$285,123,FALSE)</f>
        <v/>
      </c>
      <c r="DN10" s="27" t="str">
        <f>VLOOKUP($A10,'[1]Raw Data'!$A$3:$FB$285,113,FALSE)</f>
        <v/>
      </c>
      <c r="DP10" s="27" t="str">
        <f>VLOOKUP($A10,'[1]Raw Data'!$A$3:$FB$285,114,FALSE)</f>
        <v>NRA Chief-District</v>
      </c>
      <c r="DQ10" s="27" t="s">
        <v>882</v>
      </c>
      <c r="DR10" s="27" t="str">
        <f>VLOOKUP($A10,'[1]Raw Data'!$A$3:$FB$285,115,FALSE)</f>
        <v/>
      </c>
      <c r="DS10" s="27" t="str">
        <f>VLOOKUP($A10,'[1]Raw Data'!$A$3:$FB$285,117,FALSE)</f>
        <v/>
      </c>
      <c r="DU10" s="27" t="str">
        <f>VLOOKUP($A10,'[1]Raw Data'!$A$3:$FB$285,118,FALSE)</f>
        <v>DUDBC.DLPIU Chief</v>
      </c>
      <c r="DV10" s="27" t="s">
        <v>883</v>
      </c>
      <c r="DW10" s="27" t="str">
        <f>VLOOKUP($A10,'[1]Raw Data'!$A$3:$FB$285,119,FALSE)</f>
        <v/>
      </c>
      <c r="DX10" s="27" t="s">
        <v>339</v>
      </c>
      <c r="DY10" s="27" t="str">
        <f>VLOOKUP($A10,'[1]Raw Data'!$A$3:$FB$285,124,FALSE)</f>
        <v/>
      </c>
      <c r="DZ10" s="27" t="s">
        <v>884</v>
      </c>
      <c r="EA10" s="27" t="str">
        <f>VLOOKUP($A10,'[1]Raw Data'!$A$3:$FB$285,125,FALSE)</f>
        <v/>
      </c>
      <c r="EB10" s="27" t="s">
        <v>341</v>
      </c>
      <c r="EC10" s="27" t="str">
        <f>VLOOKUP($A10,'[1]Raw Data'!$A$3:$FB$285,126,FALSE)</f>
        <v/>
      </c>
      <c r="ED10" t="s">
        <v>478</v>
      </c>
      <c r="EE10" s="27" t="str">
        <f>VLOOKUP($A10,'[1]Raw Data'!$A$3:$FB$285,127,FALSE)</f>
        <v/>
      </c>
      <c r="EF10" s="27" t="s">
        <v>343</v>
      </c>
      <c r="EG10" s="27" t="str">
        <f>VLOOKUP($A10,'[1]Raw Data'!$A$3:$FB$285,128,FALSE)</f>
        <v/>
      </c>
      <c r="EH10" t="s">
        <v>344</v>
      </c>
      <c r="EI10" s="27" t="str">
        <f>VLOOKUP($A10,'[1]Raw Data'!$A$3:$FB$285,129,FALSE)</f>
        <v/>
      </c>
      <c r="EM10" s="27" t="str">
        <f>VLOOKUP($A10,'[1]Raw Data'!$A$3:$FB$285,130,FALSE)</f>
        <v/>
      </c>
      <c r="EN10" s="27" t="str">
        <f>VLOOKUP($A10,'[1]Raw Data'!$A$3:$FB$285,131,FALSE)</f>
        <v/>
      </c>
      <c r="EO10" s="27" t="str">
        <f>VLOOKUP($A10,'[1]Raw Data'!$A$3:$FB$285,132,FALSE)</f>
        <v/>
      </c>
      <c r="EP10" s="27" t="str">
        <f>VLOOKUP($A10,'[1]Raw Data'!$A$3:$FB$285,133,FALSE)</f>
        <v/>
      </c>
      <c r="EQ10" s="27" t="str">
        <f>VLOOKUP($A10,'[1]Raw Data'!$A$3:$FB$285,134,FALSE)</f>
        <v/>
      </c>
      <c r="ER10" s="27" t="str">
        <f>VLOOKUP($A10,'[1]Raw Data'!$A$3:$FB$285,135,FALSE)</f>
        <v/>
      </c>
      <c r="ES10" s="27" t="str">
        <f>VLOOKUP($A10,'[1]Raw Data'!$A$3:$FB$285,136,FALSE)</f>
        <v/>
      </c>
      <c r="ET10" s="27" t="str">
        <f>VLOOKUP($A10,'[1]Raw Data'!$A$3:$FB$285,137,FALSE)</f>
        <v/>
      </c>
      <c r="EU10" s="27" t="str">
        <f>VLOOKUP($A10,'[1]Raw Data'!$A$3:$FB$285,138,FALSE)</f>
        <v/>
      </c>
      <c r="EV10" s="27" t="str">
        <f>VLOOKUP($A10,'[1]Raw Data'!$A$3:$FB$285,139,FALSE)</f>
        <v/>
      </c>
      <c r="EW10" s="38">
        <f>VLOOKUP($A10,[1]Training!$A$2:$I$284,5,FALSE)</f>
        <v>25.615384615384617</v>
      </c>
      <c r="EX10" s="31">
        <f>VLOOKUP($A10,[1]Training!$A$2:$I$284,6,FALSE)</f>
        <v>0</v>
      </c>
      <c r="EY10" s="38">
        <f>VLOOKUP($A10,[1]Training!$A$2:$I$284,8,FALSE)</f>
        <v>30.272727272727273</v>
      </c>
      <c r="EZ10" s="31">
        <f>VLOOKUP($A10,[1]Training!$A$2:$I$284,9,FALSE)</f>
        <v>156</v>
      </c>
      <c r="FA10" s="27">
        <v>1</v>
      </c>
      <c r="FB10" s="27">
        <v>2</v>
      </c>
      <c r="FC10" s="27" t="str">
        <f>VLOOKUP($A10,'[1]Raw Data'!$A$3:$FB$285,148,FALSE)</f>
        <v/>
      </c>
      <c r="FE10" s="27" t="str">
        <f>VLOOKUP($A10,'[1]Raw Data'!$A$3:$FB$285,149,FALSE)</f>
        <v>District Coordinator</v>
      </c>
      <c r="FF10" s="27" t="s">
        <v>885</v>
      </c>
      <c r="FG10" s="27" t="str">
        <f>VLOOKUP($A10,'[1]Raw Data'!$A$3:$FB$285,150,FALSE)</f>
        <v/>
      </c>
      <c r="FH10" s="27" t="str">
        <f>VLOOKUP($A10,'[1]Raw Data'!$A$3:$FB$285,156,FALSE)</f>
        <v/>
      </c>
      <c r="FJ10" s="27" t="str">
        <f>VLOOKUP($A10,'[1]Raw Data'!$A$3:$FB$285,157,FALSE)</f>
        <v>District Technical Officer</v>
      </c>
      <c r="FK10" s="27" t="s">
        <v>886</v>
      </c>
      <c r="FL10" s="27" t="str">
        <f>VLOOKUP($A10,'[1]Raw Data'!$A$3:$FB$285,158,FALSE)</f>
        <v/>
      </c>
      <c r="FM10" s="27" t="str">
        <f>VLOOKUP($A10,'[1]Raw Data'!$A$3:$FB$285,152,FALSE)</f>
        <v/>
      </c>
      <c r="FO10" s="27" t="str">
        <f>VLOOKUP($A10,'[1]Raw Data'!$A$3:$FB$285,153,FALSE)</f>
        <v>DIstrict Information Management Officer</v>
      </c>
      <c r="FP10" s="27" t="s">
        <v>887</v>
      </c>
      <c r="FQ10" s="27" t="str">
        <f>VLOOKUP($A10,'[1]Raw Data'!$A$3:$FB$285,154,FALSE)</f>
        <v/>
      </c>
    </row>
    <row r="11" spans="1:173" ht="24" x14ac:dyDescent="0.45">
      <c r="A11" s="27">
        <v>7007</v>
      </c>
      <c r="B11" s="36" t="str">
        <f ca="1">IFERROR(__xludf.DUMMYFUNCTION("""COMPUTED_VALUE"""),"Sangurigadhi Gaunpalika")</f>
        <v>Sangurigadhi Gaunpalika</v>
      </c>
      <c r="C11" s="37" t="str">
        <f>VLOOKUP(A11,'[1]Palika and District in Nepali '!$D$1:$F$283,3,FALSE)</f>
        <v>सांगुरीगढी गाउँपालिका</v>
      </c>
      <c r="D11" s="36" t="str">
        <f ca="1">IFERROR(__xludf.DUMMYFUNCTION("""COMPUTED_VALUE"""),"Dhankuta")</f>
        <v>Dhankuta</v>
      </c>
      <c r="E11" s="36"/>
      <c r="F11" s="27">
        <f>VLOOKUP(A11,'[1]Raw Data'!$A$3:$FB$285,4,FALSE)</f>
        <v>113</v>
      </c>
      <c r="G11" s="27">
        <f>VLOOKUP(A11,'[1]Raw Data'!$A$3:$FB$285,5,FALSE)</f>
        <v>109</v>
      </c>
      <c r="H11" s="27">
        <f>VLOOKUP(A11,'[1]Raw Data'!$A$3:$FB$285,6,FALSE)</f>
        <v>222</v>
      </c>
      <c r="I11" s="27">
        <f>VLOOKUP($A11,'[1]Raw Data'!$A$3:$FB$285,8,FALSE)</f>
        <v>0.45</v>
      </c>
      <c r="J11" s="27">
        <f>VLOOKUP($A11,'[1]Raw Data'!$A$3:$FB$285,9,FALSE)</f>
        <v>0.44</v>
      </c>
      <c r="K11" s="27">
        <f>VLOOKUP($A11,'[1]Raw Data'!$A$3:$FB$285,11,FALSE)</f>
        <v>96.4</v>
      </c>
      <c r="L11" s="27">
        <f>VLOOKUP($A11,'[1]Raw Data'!$A$3:$FB$285,12,FALSE)</f>
        <v>90.09</v>
      </c>
      <c r="M11" s="27">
        <f>VLOOKUP($A11,'[1]Raw Data'!$A$3:$FB$285,14,FALSE)</f>
        <v>1.35</v>
      </c>
      <c r="N11" s="27">
        <f>VLOOKUP($A11,'[1]Raw Data'!$A$3:$FB$285,15,FALSE)</f>
        <v>0.39</v>
      </c>
      <c r="O11" s="27">
        <f>VLOOKUP($A11,'[1]Raw Data'!$A$3:$FB$285,17,FALSE)</f>
        <v>0</v>
      </c>
      <c r="P11" s="27">
        <f>VLOOKUP($A11,'[1]Raw Data'!$A$3:$FB$285,18,FALSE)</f>
        <v>0.77</v>
      </c>
      <c r="Q11" s="27">
        <f>VLOOKUP($A11,'[1]Raw Data'!$A$3:$FB$285,20,FALSE)</f>
        <v>0</v>
      </c>
      <c r="R11" s="27">
        <f>VLOOKUP($A11,'[1]Raw Data'!$A$3:$FB$285,21,FALSE)</f>
        <v>0.28999999999999998</v>
      </c>
      <c r="S11" s="27">
        <f>VLOOKUP($A11,'[1]Raw Data'!$A$3:$FB$285,23,FALSE)</f>
        <v>0</v>
      </c>
      <c r="T11" s="27">
        <f>VLOOKUP($A11,'[1]Raw Data'!$A$3:$FB$285,24,FALSE)</f>
        <v>0</v>
      </c>
      <c r="U11" s="27">
        <f>VLOOKUP($A11,'[1]Raw Data'!$A$3:$FB$285,26,FALSE)</f>
        <v>0.45</v>
      </c>
      <c r="V11" s="27">
        <f>VLOOKUP($A11,'[1]Raw Data'!$A$3:$FB$285,27,FALSE)</f>
        <v>0.24</v>
      </c>
      <c r="W11" s="27">
        <f>VLOOKUP($A11,'[1]Raw Data'!$A$3:$FB$285,29,FALSE)</f>
        <v>0</v>
      </c>
      <c r="X11" s="27">
        <f>VLOOKUP($A11,'[1]Raw Data'!$A$3:$FB$285,30,FALSE)</f>
        <v>0</v>
      </c>
      <c r="Y11" s="27">
        <f>VLOOKUP($A11,'[1]Raw Data'!$A$3:$FB$285,32,FALSE)</f>
        <v>0</v>
      </c>
      <c r="Z11" s="27">
        <f>VLOOKUP($A11,'[1]Raw Data'!$A$3:$FB$285,33,FALSE)</f>
        <v>0.04</v>
      </c>
      <c r="AA11" s="27">
        <f>VLOOKUP($A11,'[1]Raw Data'!$A$3:$FB$285,35,FALSE)</f>
        <v>0</v>
      </c>
      <c r="AB11" s="27">
        <f>VLOOKUP($A11,'[1]Raw Data'!$A$3:$FB$285,36,FALSE)</f>
        <v>7.52</v>
      </c>
      <c r="AC11" s="27">
        <f>VLOOKUP($A11,'[1]Raw Data'!$A$3:$FB$285,38,FALSE)</f>
        <v>1.35</v>
      </c>
      <c r="AD11" s="27">
        <f>VLOOKUP($A11,'[1]Raw Data'!$A$3:$FB$285,39,FALSE)</f>
        <v>0.22</v>
      </c>
      <c r="AE11" s="27">
        <f>VLOOKUP($A11,'[1]Raw Data'!$A$3:$FB$285,41,FALSE)</f>
        <v>0</v>
      </c>
      <c r="AF11" s="27">
        <f>VLOOKUP($A11,'[1]Raw Data'!$A$3:$FB$285,42,FALSE)</f>
        <v>0</v>
      </c>
      <c r="AG11" s="27">
        <f>VLOOKUP($A11,'[1]Raw Data'!$A$3:$FB$285,44,FALSE)</f>
        <v>0</v>
      </c>
      <c r="AH11" s="27">
        <f>VLOOKUP($A11,'[1]Raw Data'!$A$3:$FB$285,45,FALSE)</f>
        <v>0</v>
      </c>
      <c r="AI11" s="27">
        <f>VLOOKUP($A11,'[1]Raw Data'!$A$3:$FB$285,46,FALSE)</f>
        <v>103</v>
      </c>
      <c r="AJ11" s="27">
        <f>VLOOKUP($A11,'[1]Raw Data'!$A$3:$FB$285,47,FALSE)</f>
        <v>34</v>
      </c>
      <c r="AK11" s="27">
        <f>VLOOKUP($A11,'[1]Raw Data'!$A$3:$FB$285,48,FALSE)</f>
        <v>34</v>
      </c>
      <c r="AL11" s="27">
        <f>VLOOKUP($A11,'[1]Raw Data'!$A$3:$FB$285,49,FALSE)</f>
        <v>16</v>
      </c>
      <c r="AM11" s="27">
        <f>VLOOKUP($A11,'[1]Raw Data'!$A$3:$FB$285,50,FALSE)</f>
        <v>0</v>
      </c>
      <c r="AN11" s="27" t="str">
        <f>VLOOKUP($A11,'[1]Raw Data'!$A$3:$FB$285,51,FALSE)</f>
        <v/>
      </c>
      <c r="AO11" s="27" t="str">
        <f>VLOOKUP($A11,'[1]Raw Data'!$A$3:$FB$285,52,FALSE)</f>
        <v/>
      </c>
      <c r="AP11" s="27">
        <f>VLOOKUP($A11,'[1]Raw Data'!$A$3:$FB$285,53,FALSE)</f>
        <v>6</v>
      </c>
      <c r="AQ11" s="27" t="str">
        <f>VLOOKUP($A11,'[1]Raw Data'!$A$3:$FB$285,54,FALSE)</f>
        <v/>
      </c>
      <c r="AR11" s="27" t="str">
        <f>VLOOKUP($A11,'[1]Raw Data'!$A$3:$FB$285,55,FALSE)</f>
        <v/>
      </c>
      <c r="AS11" s="27" t="str">
        <f>VLOOKUP($A11,'[1]Raw Data'!$A$3:$FB$285,56,FALSE)</f>
        <v/>
      </c>
      <c r="AT11" s="27" t="str">
        <f>VLOOKUP($A11,'[1]Raw Data'!$A$3:$FB$285,57,FALSE)</f>
        <v/>
      </c>
      <c r="AU11" s="27" t="str">
        <f>VLOOKUP($A11,'[1]Raw Data'!$A$3:$FB$285,58,FALSE)</f>
        <v/>
      </c>
      <c r="AV11" s="27" t="str">
        <f>VLOOKUP($A11,'[1]Raw Data'!$A$3:$FB$285,59,FALSE)</f>
        <v/>
      </c>
      <c r="AW11" s="27" t="str">
        <f>VLOOKUP($A11,'[1]Raw Data'!$A$3:$FB$285,60,FALSE)</f>
        <v/>
      </c>
      <c r="AX11" s="27" t="str">
        <f>VLOOKUP(A11,'[1]PO''s List'!A9:E291,4,FALSE)</f>
        <v/>
      </c>
      <c r="AZ11" s="27" t="str">
        <f>VLOOKUP(A11,'[1]PO''s List'!$A$3:$E$285,5,FALSE)</f>
        <v/>
      </c>
      <c r="BB11" s="27">
        <f>VLOOKUP($A11,'[1]Raw Data'!$A$3:$FB$285,63,FALSE)</f>
        <v>1033</v>
      </c>
      <c r="BC11" s="27" t="str">
        <f>VLOOKUP($A11,'[1]Raw Data'!$A$3:$FB$285,64,FALSE)</f>
        <v/>
      </c>
      <c r="BD11" s="27" t="str">
        <f t="shared" si="0"/>
        <v/>
      </c>
      <c r="BE11" s="27" t="str">
        <f>VLOOKUP($A11,'[1]Raw Data'!$A$3:$FB$285,65,FALSE)</f>
        <v/>
      </c>
      <c r="BF11" s="27">
        <f>VLOOKUP($A11,'[1]Raw Data'!$A$3:$FB$285,66,FALSE)</f>
        <v>938</v>
      </c>
      <c r="BG11" s="27" t="str">
        <f>VLOOKUP($A11,'[1]Raw Data'!$A$3:$FB$285,67,FALSE)</f>
        <v/>
      </c>
      <c r="BH11" s="27" t="str">
        <f t="shared" si="1"/>
        <v/>
      </c>
      <c r="BI11" s="27" t="str">
        <f>VLOOKUP($A11,'[1]Raw Data'!$A$3:$FB$285,68,FALSE)</f>
        <v/>
      </c>
      <c r="BJ11" s="27">
        <f>VLOOKUP($A11,'[1]Raw Data'!$A$3:$FB$285,69,FALSE)</f>
        <v>109</v>
      </c>
      <c r="BK11" s="27" t="str">
        <f>VLOOKUP($A11,'[1]Raw Data'!$A$3:$FB$285,70,FALSE)</f>
        <v/>
      </c>
      <c r="BL11" s="27" t="str">
        <f t="shared" si="2"/>
        <v/>
      </c>
      <c r="BM11" s="27" t="str">
        <f>VLOOKUP($A11,'[1]Raw Data'!$A$3:$FB$285,71,FALSE)</f>
        <v/>
      </c>
      <c r="BN11" s="27">
        <f>VLOOKUP($A11,'[1]Raw Data'!$A$3:$FB$285,72,FALSE)</f>
        <v>122</v>
      </c>
      <c r="BO11" s="27" t="str">
        <f>VLOOKUP($A11,'[1]Raw Data'!$A$3:$FB$285,73,FALSE)</f>
        <v/>
      </c>
      <c r="BP11" s="27" t="str">
        <f t="shared" si="3"/>
        <v/>
      </c>
      <c r="BQ11" s="27" t="str">
        <f>VLOOKUP($A11,'[1]Raw Data'!$A$3:$FB$285,74,FALSE)</f>
        <v/>
      </c>
      <c r="BR11" s="27" t="str">
        <f>VLOOKUP($A11,'[1]Raw Data'!$A$3:$FB$285,75,FALSE)</f>
        <v/>
      </c>
      <c r="BS11" s="27" t="str">
        <f>VLOOKUP($A11,'[1]Raw Data'!$A$3:$FB$285,76,FALSE)</f>
        <v/>
      </c>
      <c r="BT11" s="27" t="str">
        <f t="shared" si="4"/>
        <v/>
      </c>
      <c r="BU11" s="27" t="str">
        <f>VLOOKUP($A11,'[1]Raw Data'!$A$3:$FB$285,77,FALSE)</f>
        <v/>
      </c>
      <c r="BV11" s="27">
        <f>VLOOKUP($A11,'[1]Raw Data'!$A$3:$FB$285,78,FALSE)</f>
        <v>3173</v>
      </c>
      <c r="BW11" s="27" t="str">
        <f>VLOOKUP($A11,'[1]Raw Data'!$A$3:$FB$285,79,FALSE)</f>
        <v/>
      </c>
      <c r="BX11" s="27" t="str">
        <f t="shared" si="5"/>
        <v/>
      </c>
      <c r="BY11" s="27" t="str">
        <f>VLOOKUP($A11,'[1]Raw Data'!$A$3:$FB$285,80,FALSE)</f>
        <v/>
      </c>
      <c r="BZ11" s="27">
        <f>VLOOKUP($A11,'[1]Raw Data'!$A$3:$FB$285,81,FALSE)</f>
        <v>11448</v>
      </c>
      <c r="CA11" s="27" t="str">
        <f>VLOOKUP($A11,'[1]Raw Data'!$A$3:$FB$285,82,FALSE)</f>
        <v/>
      </c>
      <c r="CB11" s="27" t="str">
        <f t="shared" si="6"/>
        <v/>
      </c>
      <c r="CC11" s="27" t="str">
        <f>VLOOKUP($A11,'[1]Raw Data'!$A$3:$FB$285,83,FALSE)</f>
        <v/>
      </c>
      <c r="CD11" s="27">
        <f>VLOOKUP($A11,'[1]Raw Data'!$A$3:$FB$285,84,FALSE)</f>
        <v>130</v>
      </c>
      <c r="CE11" s="27" t="str">
        <f>VLOOKUP($A11,'[1]Raw Data'!$A$3:$FB$285,85,FALSE)</f>
        <v/>
      </c>
      <c r="CF11" s="27" t="str">
        <f t="shared" si="7"/>
        <v/>
      </c>
      <c r="CG11" s="27" t="str">
        <f>VLOOKUP($A11,'[1]Raw Data'!$A$3:$FB$285,86,FALSE)</f>
        <v/>
      </c>
      <c r="CH11" s="27">
        <f>VLOOKUP($A11,'[1]Raw Data'!$A$3:$FB$285,87,FALSE)</f>
        <v>26187</v>
      </c>
      <c r="CI11" s="27" t="str">
        <f>VLOOKUP($A11,'[1]Raw Data'!$A$3:$FB$285,88,FALSE)</f>
        <v/>
      </c>
      <c r="CJ11" s="27" t="str">
        <f t="shared" si="8"/>
        <v/>
      </c>
      <c r="CK11" s="27" t="str">
        <f>VLOOKUP($A11,'[1]Raw Data'!$A$3:$FB$285,89,FALSE)</f>
        <v/>
      </c>
      <c r="CL11" s="27" t="str">
        <f>VLOOKUP($A11,'[1]Raw Data'!$A$3:$FB$285,91,FALSE)</f>
        <v/>
      </c>
      <c r="CM11" s="27" t="str">
        <f>VLOOKUP($A11,'[1]Raw Data'!$A$3:$FB$285,93,FALSE)</f>
        <v/>
      </c>
      <c r="CN11" s="27" t="str">
        <f>VLOOKUP($A11,'[1]Raw Data'!$A$3:$FB$285,94,FALSE)</f>
        <v/>
      </c>
      <c r="CO11" s="27" t="str">
        <f>VLOOKUP($A11,'[1]Raw Data'!$A$3:$FB$285,95,FALSE)</f>
        <v/>
      </c>
      <c r="CP11" s="27" t="str">
        <f>VLOOKUP($A11,'[1]Raw Data'!$A$3:$FB$285,96,FALSE)</f>
        <v/>
      </c>
      <c r="CQ11" s="27" t="str">
        <f>VLOOKUP($A11,'[1]Raw Data'!$A$3:$FB$285,97,FALSE)</f>
        <v/>
      </c>
      <c r="CR11" s="27" t="str">
        <f>VLOOKUP($A11,'[1]Raw Data'!$A$3:$FB$285,98,FALSE)</f>
        <v/>
      </c>
      <c r="CS11" s="27" t="str">
        <f>VLOOKUP($A11,'[1]Raw Data'!$A$3:$FB$285,99,FALSE)</f>
        <v/>
      </c>
      <c r="CT11" s="27" t="str">
        <f>VLOOKUP($A11,'[1]Raw Data'!$A$3:$FB$285,101,FALSE)</f>
        <v/>
      </c>
      <c r="CV11" s="27" t="str">
        <f>VLOOKUP($A11,'[1]Raw Data'!$A$3:$FB$285,102,FALSE)</f>
        <v>Chairman</v>
      </c>
      <c r="CW11" s="27" t="s">
        <v>878</v>
      </c>
      <c r="CX11" s="27" t="str">
        <f>VLOOKUP($A11,'[1]Raw Data'!$A$3:$FB$285,103,FALSE)</f>
        <v/>
      </c>
      <c r="CY11" s="27" t="str">
        <f>VLOOKUP($A11,'[1]Raw Data'!$A$3:$FB$285,105,FALSE)</f>
        <v/>
      </c>
      <c r="DA11" s="27" t="str">
        <f>VLOOKUP($A11,'[1]Raw Data'!$A$3:$FB$285,106,FALSE)</f>
        <v>Deputy Chairman</v>
      </c>
      <c r="DB11" s="27" t="s">
        <v>879</v>
      </c>
      <c r="DC11" s="27" t="str">
        <f>VLOOKUP($A11,'[1]Raw Data'!$A$3:$FB$285,107,FALSE)</f>
        <v/>
      </c>
      <c r="DD11" s="27" t="str">
        <f>VLOOKUP($A11,'[1]Raw Data'!$A$3:$FB$285,109,FALSE)</f>
        <v/>
      </c>
      <c r="DF11" s="27" t="str">
        <f>VLOOKUP($A11,'[1]Raw Data'!$A$3:$FB$285,110,FALSE)</f>
        <v>Chief Adminstration Officer</v>
      </c>
      <c r="DG11" s="27" t="s">
        <v>880</v>
      </c>
      <c r="DH11" s="27" t="str">
        <f>VLOOKUP($A11,'[1]Raw Data'!$A$3:$FB$285,111,FALSE)</f>
        <v/>
      </c>
      <c r="DI11" s="27" t="str">
        <f>VLOOKUP($A11,'[1]Raw Data'!$A$3:$FB$285,121,FALSE)</f>
        <v/>
      </c>
      <c r="DK11" s="27" t="str">
        <f>VLOOKUP($A11,'[1]Raw Data'!$A$3:$FB$285,122,FALSE)</f>
        <v>Focal Person</v>
      </c>
      <c r="DL11" s="27" t="s">
        <v>881</v>
      </c>
      <c r="DM11" s="27" t="str">
        <f>VLOOKUP($A11,'[1]Raw Data'!$A$3:$FB$285,123,FALSE)</f>
        <v/>
      </c>
      <c r="DN11" s="27" t="str">
        <f>VLOOKUP($A11,'[1]Raw Data'!$A$3:$FB$285,113,FALSE)</f>
        <v/>
      </c>
      <c r="DP11" s="27" t="str">
        <f>VLOOKUP($A11,'[1]Raw Data'!$A$3:$FB$285,114,FALSE)</f>
        <v>NRA Chief-District</v>
      </c>
      <c r="DQ11" s="27" t="s">
        <v>882</v>
      </c>
      <c r="DR11" s="27" t="str">
        <f>VLOOKUP($A11,'[1]Raw Data'!$A$3:$FB$285,115,FALSE)</f>
        <v/>
      </c>
      <c r="DS11" s="27" t="str">
        <f>VLOOKUP($A11,'[1]Raw Data'!$A$3:$FB$285,117,FALSE)</f>
        <v/>
      </c>
      <c r="DU11" s="27" t="str">
        <f>VLOOKUP($A11,'[1]Raw Data'!$A$3:$FB$285,118,FALSE)</f>
        <v>DUDBC.DLPIU Chief</v>
      </c>
      <c r="DV11" s="27" t="s">
        <v>883</v>
      </c>
      <c r="DW11" s="27" t="str">
        <f>VLOOKUP($A11,'[1]Raw Data'!$A$3:$FB$285,119,FALSE)</f>
        <v/>
      </c>
      <c r="DX11" s="27" t="s">
        <v>339</v>
      </c>
      <c r="DY11" s="27" t="str">
        <f>VLOOKUP($A11,'[1]Raw Data'!$A$3:$FB$285,124,FALSE)</f>
        <v/>
      </c>
      <c r="DZ11" s="27" t="s">
        <v>884</v>
      </c>
      <c r="EA11" s="27" t="str">
        <f>VLOOKUP($A11,'[1]Raw Data'!$A$3:$FB$285,125,FALSE)</f>
        <v/>
      </c>
      <c r="EB11" s="27" t="s">
        <v>341</v>
      </c>
      <c r="EC11" s="27" t="str">
        <f>VLOOKUP($A11,'[1]Raw Data'!$A$3:$FB$285,126,FALSE)</f>
        <v/>
      </c>
      <c r="ED11" t="s">
        <v>478</v>
      </c>
      <c r="EE11" s="27" t="str">
        <f>VLOOKUP($A11,'[1]Raw Data'!$A$3:$FB$285,127,FALSE)</f>
        <v/>
      </c>
      <c r="EF11" s="27" t="s">
        <v>343</v>
      </c>
      <c r="EG11" s="27" t="str">
        <f>VLOOKUP($A11,'[1]Raw Data'!$A$3:$FB$285,128,FALSE)</f>
        <v/>
      </c>
      <c r="EH11" t="s">
        <v>344</v>
      </c>
      <c r="EI11" s="27" t="str">
        <f>VLOOKUP($A11,'[1]Raw Data'!$A$3:$FB$285,129,FALSE)</f>
        <v/>
      </c>
      <c r="EM11" s="27" t="str">
        <f>VLOOKUP($A11,'[1]Raw Data'!$A$3:$FB$285,130,FALSE)</f>
        <v/>
      </c>
      <c r="EN11" s="27" t="str">
        <f>VLOOKUP($A11,'[1]Raw Data'!$A$3:$FB$285,131,FALSE)</f>
        <v/>
      </c>
      <c r="EO11" s="27" t="str">
        <f>VLOOKUP($A11,'[1]Raw Data'!$A$3:$FB$285,132,FALSE)</f>
        <v/>
      </c>
      <c r="EP11" s="27" t="str">
        <f>VLOOKUP($A11,'[1]Raw Data'!$A$3:$FB$285,133,FALSE)</f>
        <v/>
      </c>
      <c r="EQ11" s="27" t="str">
        <f>VLOOKUP($A11,'[1]Raw Data'!$A$3:$FB$285,134,FALSE)</f>
        <v/>
      </c>
      <c r="ER11" s="27" t="str">
        <f>VLOOKUP($A11,'[1]Raw Data'!$A$3:$FB$285,135,FALSE)</f>
        <v/>
      </c>
      <c r="ES11" s="27" t="str">
        <f>VLOOKUP($A11,'[1]Raw Data'!$A$3:$FB$285,136,FALSE)</f>
        <v/>
      </c>
      <c r="ET11" s="27" t="str">
        <f>VLOOKUP($A11,'[1]Raw Data'!$A$3:$FB$285,137,FALSE)</f>
        <v/>
      </c>
      <c r="EU11" s="27" t="str">
        <f>VLOOKUP($A11,'[1]Raw Data'!$A$3:$FB$285,138,FALSE)</f>
        <v/>
      </c>
      <c r="EV11" s="27" t="str">
        <f>VLOOKUP($A11,'[1]Raw Data'!$A$3:$FB$285,139,FALSE)</f>
        <v/>
      </c>
      <c r="EW11" s="38">
        <f>VLOOKUP($A11,[1]Training!$A$2:$I$284,5,FALSE)</f>
        <v>7.9230769230769234</v>
      </c>
      <c r="EX11" s="31">
        <f>VLOOKUP($A11,[1]Training!$A$2:$I$284,6,FALSE)</f>
        <v>0</v>
      </c>
      <c r="EY11" s="38">
        <f>VLOOKUP($A11,[1]Training!$A$2:$I$284,8,FALSE)</f>
        <v>9.3636363636363633</v>
      </c>
      <c r="EZ11" s="31">
        <f>VLOOKUP($A11,[1]Training!$A$2:$I$284,9,FALSE)</f>
        <v>152</v>
      </c>
      <c r="FA11" s="27">
        <v>1</v>
      </c>
      <c r="FB11" s="27">
        <v>2</v>
      </c>
      <c r="FC11" s="27" t="str">
        <f>VLOOKUP($A11,'[1]Raw Data'!$A$3:$FB$285,148,FALSE)</f>
        <v/>
      </c>
      <c r="FE11" s="27" t="str">
        <f>VLOOKUP($A11,'[1]Raw Data'!$A$3:$FB$285,149,FALSE)</f>
        <v>District Coordinator</v>
      </c>
      <c r="FF11" s="27" t="s">
        <v>885</v>
      </c>
      <c r="FG11" s="27" t="str">
        <f>VLOOKUP($A11,'[1]Raw Data'!$A$3:$FB$285,150,FALSE)</f>
        <v/>
      </c>
      <c r="FH11" s="27" t="str">
        <f>VLOOKUP($A11,'[1]Raw Data'!$A$3:$FB$285,156,FALSE)</f>
        <v/>
      </c>
      <c r="FJ11" s="27" t="str">
        <f>VLOOKUP($A11,'[1]Raw Data'!$A$3:$FB$285,157,FALSE)</f>
        <v>District Technical Officer</v>
      </c>
      <c r="FK11" s="27" t="s">
        <v>886</v>
      </c>
      <c r="FL11" s="27" t="str">
        <f>VLOOKUP($A11,'[1]Raw Data'!$A$3:$FB$285,158,FALSE)</f>
        <v/>
      </c>
      <c r="FM11" s="27" t="str">
        <f>VLOOKUP($A11,'[1]Raw Data'!$A$3:$FB$285,152,FALSE)</f>
        <v/>
      </c>
      <c r="FO11" s="27" t="str">
        <f>VLOOKUP($A11,'[1]Raw Data'!$A$3:$FB$285,153,FALSE)</f>
        <v>DIstrict Information Management Officer</v>
      </c>
      <c r="FP11" s="27" t="s">
        <v>887</v>
      </c>
      <c r="FQ11" s="27" t="str">
        <f>VLOOKUP($A11,'[1]Raw Data'!$A$3:$FB$285,154,FALSE)</f>
        <v/>
      </c>
    </row>
    <row r="12" spans="1:173" ht="24" x14ac:dyDescent="0.45">
      <c r="A12" s="27">
        <v>9001</v>
      </c>
      <c r="B12" s="36" t="str">
        <f ca="1">IFERROR(__xludf.DUMMYFUNCTION("""COMPUTED_VALUE"""),"Bhotkhola Gaunpalika")</f>
        <v>Bhotkhola Gaunpalika</v>
      </c>
      <c r="C12" s="37" t="str">
        <f>VLOOKUP(A12,'[1]Palika and District in Nepali '!$D$1:$F$283,3,FALSE)</f>
        <v>भोटखोला गाउँपालिका</v>
      </c>
      <c r="D12" s="36" t="str">
        <f ca="1">IFERROR(__xludf.DUMMYFUNCTION("""COMPUTED_VALUE"""),"Sankhuwasabha")</f>
        <v>Sankhuwasabha</v>
      </c>
      <c r="E12" s="36"/>
      <c r="F12" s="27">
        <f>VLOOKUP(A12,'[1]Raw Data'!$A$3:$FB$285,4,FALSE)</f>
        <v>6</v>
      </c>
      <c r="G12" s="27">
        <f>VLOOKUP(A12,'[1]Raw Data'!$A$3:$FB$285,5,FALSE)</f>
        <v>40</v>
      </c>
      <c r="H12" s="27">
        <f>VLOOKUP(A12,'[1]Raw Data'!$A$3:$FB$285,6,FALSE)</f>
        <v>46</v>
      </c>
      <c r="I12" s="27">
        <f>VLOOKUP($A12,'[1]Raw Data'!$A$3:$FB$285,8,FALSE)</f>
        <v>0</v>
      </c>
      <c r="J12" s="27">
        <f>VLOOKUP($A12,'[1]Raw Data'!$A$3:$FB$285,9,FALSE)</f>
        <v>0.6</v>
      </c>
      <c r="K12" s="27">
        <f>VLOOKUP($A12,'[1]Raw Data'!$A$3:$FB$285,11,FALSE)</f>
        <v>71.739999999999995</v>
      </c>
      <c r="L12" s="27">
        <f>VLOOKUP($A12,'[1]Raw Data'!$A$3:$FB$285,12,FALSE)</f>
        <v>77</v>
      </c>
      <c r="M12" s="27">
        <f>VLOOKUP($A12,'[1]Raw Data'!$A$3:$FB$285,14,FALSE)</f>
        <v>0</v>
      </c>
      <c r="N12" s="27">
        <f>VLOOKUP($A12,'[1]Raw Data'!$A$3:$FB$285,15,FALSE)</f>
        <v>0.33</v>
      </c>
      <c r="O12" s="27">
        <f>VLOOKUP($A12,'[1]Raw Data'!$A$3:$FB$285,17,FALSE)</f>
        <v>0</v>
      </c>
      <c r="P12" s="27">
        <f>VLOOKUP($A12,'[1]Raw Data'!$A$3:$FB$285,18,FALSE)</f>
        <v>0.51</v>
      </c>
      <c r="Q12" s="27">
        <f>VLOOKUP($A12,'[1]Raw Data'!$A$3:$FB$285,20,FALSE)</f>
        <v>0</v>
      </c>
      <c r="R12" s="27">
        <f>VLOOKUP($A12,'[1]Raw Data'!$A$3:$FB$285,21,FALSE)</f>
        <v>0.51</v>
      </c>
      <c r="S12" s="27">
        <f>VLOOKUP($A12,'[1]Raw Data'!$A$3:$FB$285,23,FALSE)</f>
        <v>0</v>
      </c>
      <c r="T12" s="27">
        <f>VLOOKUP($A12,'[1]Raw Data'!$A$3:$FB$285,24,FALSE)</f>
        <v>0</v>
      </c>
      <c r="U12" s="27">
        <f>VLOOKUP($A12,'[1]Raw Data'!$A$3:$FB$285,26,FALSE)</f>
        <v>0</v>
      </c>
      <c r="V12" s="27">
        <f>VLOOKUP($A12,'[1]Raw Data'!$A$3:$FB$285,27,FALSE)</f>
        <v>0.8</v>
      </c>
      <c r="W12" s="27">
        <f>VLOOKUP($A12,'[1]Raw Data'!$A$3:$FB$285,29,FALSE)</f>
        <v>0</v>
      </c>
      <c r="X12" s="27">
        <f>VLOOKUP($A12,'[1]Raw Data'!$A$3:$FB$285,30,FALSE)</f>
        <v>0</v>
      </c>
      <c r="Y12" s="27">
        <f>VLOOKUP($A12,'[1]Raw Data'!$A$3:$FB$285,32,FALSE)</f>
        <v>28.26</v>
      </c>
      <c r="Z12" s="27">
        <f>VLOOKUP($A12,'[1]Raw Data'!$A$3:$FB$285,33,FALSE)</f>
        <v>0.28999999999999998</v>
      </c>
      <c r="AA12" s="27">
        <f>VLOOKUP($A12,'[1]Raw Data'!$A$3:$FB$285,35,FALSE)</f>
        <v>0</v>
      </c>
      <c r="AB12" s="27">
        <f>VLOOKUP($A12,'[1]Raw Data'!$A$3:$FB$285,36,FALSE)</f>
        <v>18.559999999999999</v>
      </c>
      <c r="AC12" s="27">
        <f>VLOOKUP($A12,'[1]Raw Data'!$A$3:$FB$285,38,FALSE)</f>
        <v>0</v>
      </c>
      <c r="AD12" s="27">
        <f>VLOOKUP($A12,'[1]Raw Data'!$A$3:$FB$285,39,FALSE)</f>
        <v>1.4</v>
      </c>
      <c r="AE12" s="27">
        <f>VLOOKUP($A12,'[1]Raw Data'!$A$3:$FB$285,41,FALSE)</f>
        <v>0</v>
      </c>
      <c r="AF12" s="27">
        <f>VLOOKUP($A12,'[1]Raw Data'!$A$3:$FB$285,42,FALSE)</f>
        <v>0</v>
      </c>
      <c r="AG12" s="27">
        <f>VLOOKUP($A12,'[1]Raw Data'!$A$3:$FB$285,44,FALSE)</f>
        <v>0</v>
      </c>
      <c r="AH12" s="27">
        <f>VLOOKUP($A12,'[1]Raw Data'!$A$3:$FB$285,45,FALSE)</f>
        <v>0</v>
      </c>
      <c r="AI12" s="27">
        <f>VLOOKUP($A12,'[1]Raw Data'!$A$3:$FB$285,46,FALSE)</f>
        <v>35</v>
      </c>
      <c r="AJ12" s="27">
        <f>VLOOKUP($A12,'[1]Raw Data'!$A$3:$FB$285,47,FALSE)</f>
        <v>35</v>
      </c>
      <c r="AK12" s="27">
        <f>VLOOKUP($A12,'[1]Raw Data'!$A$3:$FB$285,48,FALSE)</f>
        <v>35</v>
      </c>
      <c r="AL12" s="27">
        <f>VLOOKUP($A12,'[1]Raw Data'!$A$3:$FB$285,49,FALSE)</f>
        <v>7</v>
      </c>
      <c r="AM12" s="27">
        <f>VLOOKUP($A12,'[1]Raw Data'!$A$3:$FB$285,50,FALSE)</f>
        <v>0</v>
      </c>
      <c r="AN12" s="27" t="str">
        <f>VLOOKUP($A12,'[1]Raw Data'!$A$3:$FB$285,51,FALSE)</f>
        <v/>
      </c>
      <c r="AO12" s="27" t="str">
        <f>VLOOKUP($A12,'[1]Raw Data'!$A$3:$FB$285,52,FALSE)</f>
        <v/>
      </c>
      <c r="AP12" s="27">
        <f>VLOOKUP($A12,'[1]Raw Data'!$A$3:$FB$285,53,FALSE)</f>
        <v>1</v>
      </c>
      <c r="AQ12" s="27" t="str">
        <f>VLOOKUP($A12,'[1]Raw Data'!$A$3:$FB$285,54,FALSE)</f>
        <v/>
      </c>
      <c r="AR12" s="27" t="str">
        <f>VLOOKUP($A12,'[1]Raw Data'!$A$3:$FB$285,55,FALSE)</f>
        <v/>
      </c>
      <c r="AS12" s="27" t="str">
        <f>VLOOKUP($A12,'[1]Raw Data'!$A$3:$FB$285,56,FALSE)</f>
        <v/>
      </c>
      <c r="AT12" s="27" t="str">
        <f>VLOOKUP($A12,'[1]Raw Data'!$A$3:$FB$285,57,FALSE)</f>
        <v/>
      </c>
      <c r="AU12" s="27" t="str">
        <f>VLOOKUP($A12,'[1]Raw Data'!$A$3:$FB$285,58,FALSE)</f>
        <v/>
      </c>
      <c r="AV12" s="27" t="str">
        <f>VLOOKUP($A12,'[1]Raw Data'!$A$3:$FB$285,59,FALSE)</f>
        <v/>
      </c>
      <c r="AW12" s="27" t="str">
        <f>VLOOKUP($A12,'[1]Raw Data'!$A$3:$FB$285,60,FALSE)</f>
        <v/>
      </c>
      <c r="AX12" s="27" t="str">
        <f>VLOOKUP(A12,'[1]PO''s List'!A10:E292,4,FALSE)</f>
        <v/>
      </c>
      <c r="AZ12" s="27" t="str">
        <f>VLOOKUP(A12,'[1]PO''s List'!$A$3:$E$285,5,FALSE)</f>
        <v/>
      </c>
      <c r="BB12" s="27">
        <f>VLOOKUP($A12,'[1]Raw Data'!$A$3:$FB$285,63,FALSE)</f>
        <v>980</v>
      </c>
      <c r="BC12" s="27" t="str">
        <f>VLOOKUP($A12,'[1]Raw Data'!$A$3:$FB$285,64,FALSE)</f>
        <v/>
      </c>
      <c r="BD12" s="27" t="str">
        <f t="shared" si="0"/>
        <v/>
      </c>
      <c r="BE12" s="27" t="str">
        <f>VLOOKUP($A12,'[1]Raw Data'!$A$3:$FB$285,65,FALSE)</f>
        <v/>
      </c>
      <c r="BF12" s="27">
        <f>VLOOKUP($A12,'[1]Raw Data'!$A$3:$FB$285,66,FALSE)</f>
        <v>1050</v>
      </c>
      <c r="BG12" s="27" t="str">
        <f>VLOOKUP($A12,'[1]Raw Data'!$A$3:$FB$285,67,FALSE)</f>
        <v/>
      </c>
      <c r="BH12" s="27" t="str">
        <f t="shared" si="1"/>
        <v/>
      </c>
      <c r="BI12" s="27" t="str">
        <f>VLOOKUP($A12,'[1]Raw Data'!$A$3:$FB$285,68,FALSE)</f>
        <v/>
      </c>
      <c r="BJ12" s="27">
        <f>VLOOKUP($A12,'[1]Raw Data'!$A$3:$FB$285,69,FALSE)</f>
        <v>105</v>
      </c>
      <c r="BK12" s="27" t="str">
        <f>VLOOKUP($A12,'[1]Raw Data'!$A$3:$FB$285,70,FALSE)</f>
        <v/>
      </c>
      <c r="BL12" s="27" t="str">
        <f t="shared" si="2"/>
        <v/>
      </c>
      <c r="BM12" s="27" t="str">
        <f>VLOOKUP($A12,'[1]Raw Data'!$A$3:$FB$285,71,FALSE)</f>
        <v/>
      </c>
      <c r="BN12" s="27">
        <f>VLOOKUP($A12,'[1]Raw Data'!$A$3:$FB$285,72,FALSE)</f>
        <v>123</v>
      </c>
      <c r="BO12" s="27" t="str">
        <f>VLOOKUP($A12,'[1]Raw Data'!$A$3:$FB$285,73,FALSE)</f>
        <v/>
      </c>
      <c r="BP12" s="27" t="str">
        <f t="shared" si="3"/>
        <v/>
      </c>
      <c r="BQ12" s="27" t="str">
        <f>VLOOKUP($A12,'[1]Raw Data'!$A$3:$FB$285,74,FALSE)</f>
        <v/>
      </c>
      <c r="BR12" s="27" t="str">
        <f>VLOOKUP($A12,'[1]Raw Data'!$A$3:$FB$285,75,FALSE)</f>
        <v/>
      </c>
      <c r="BS12" s="27" t="str">
        <f>VLOOKUP($A12,'[1]Raw Data'!$A$3:$FB$285,76,FALSE)</f>
        <v/>
      </c>
      <c r="BT12" s="27" t="str">
        <f t="shared" si="4"/>
        <v/>
      </c>
      <c r="BU12" s="27" t="str">
        <f>VLOOKUP($A12,'[1]Raw Data'!$A$3:$FB$285,77,FALSE)</f>
        <v/>
      </c>
      <c r="BV12" s="27">
        <f>VLOOKUP($A12,'[1]Raw Data'!$A$3:$FB$285,78,FALSE)</f>
        <v>3430</v>
      </c>
      <c r="BW12" s="27" t="str">
        <f>VLOOKUP($A12,'[1]Raw Data'!$A$3:$FB$285,79,FALSE)</f>
        <v/>
      </c>
      <c r="BX12" s="27" t="str">
        <f t="shared" si="5"/>
        <v/>
      </c>
      <c r="BY12" s="27" t="str">
        <f>VLOOKUP($A12,'[1]Raw Data'!$A$3:$FB$285,80,FALSE)</f>
        <v/>
      </c>
      <c r="BZ12" s="27">
        <f>VLOOKUP($A12,'[1]Raw Data'!$A$3:$FB$285,81,FALSE)</f>
        <v>10500</v>
      </c>
      <c r="CA12" s="27" t="str">
        <f>VLOOKUP($A12,'[1]Raw Data'!$A$3:$FB$285,82,FALSE)</f>
        <v/>
      </c>
      <c r="CB12" s="27" t="str">
        <f t="shared" si="6"/>
        <v/>
      </c>
      <c r="CC12" s="27" t="str">
        <f>VLOOKUP($A12,'[1]Raw Data'!$A$3:$FB$285,83,FALSE)</f>
        <v/>
      </c>
      <c r="CD12" s="27">
        <f>VLOOKUP($A12,'[1]Raw Data'!$A$3:$FB$285,84,FALSE)</f>
        <v>140</v>
      </c>
      <c r="CE12" s="27" t="str">
        <f>VLOOKUP($A12,'[1]Raw Data'!$A$3:$FB$285,85,FALSE)</f>
        <v/>
      </c>
      <c r="CF12" s="27" t="str">
        <f t="shared" si="7"/>
        <v/>
      </c>
      <c r="CG12" s="27" t="str">
        <f>VLOOKUP($A12,'[1]Raw Data'!$A$3:$FB$285,86,FALSE)</f>
        <v/>
      </c>
      <c r="CH12" s="27">
        <f>VLOOKUP($A12,'[1]Raw Data'!$A$3:$FB$285,87,FALSE)</f>
        <v>0</v>
      </c>
      <c r="CI12" s="27" t="str">
        <f>VLOOKUP($A12,'[1]Raw Data'!$A$3:$FB$285,88,FALSE)</f>
        <v/>
      </c>
      <c r="CJ12" s="27" t="str">
        <f t="shared" si="8"/>
        <v/>
      </c>
      <c r="CK12" s="27" t="str">
        <f>VLOOKUP($A12,'[1]Raw Data'!$A$3:$FB$285,89,FALSE)</f>
        <v/>
      </c>
      <c r="CL12" s="27" t="str">
        <f>VLOOKUP($A12,'[1]Raw Data'!$A$3:$FB$285,91,FALSE)</f>
        <v/>
      </c>
      <c r="CM12" s="27" t="str">
        <f>VLOOKUP($A12,'[1]Raw Data'!$A$3:$FB$285,93,FALSE)</f>
        <v/>
      </c>
      <c r="CN12" s="27" t="str">
        <f>VLOOKUP($A12,'[1]Raw Data'!$A$3:$FB$285,94,FALSE)</f>
        <v/>
      </c>
      <c r="CO12" s="27" t="str">
        <f>VLOOKUP($A12,'[1]Raw Data'!$A$3:$FB$285,95,FALSE)</f>
        <v/>
      </c>
      <c r="CP12" s="27" t="str">
        <f>VLOOKUP($A12,'[1]Raw Data'!$A$3:$FB$285,96,FALSE)</f>
        <v/>
      </c>
      <c r="CQ12" s="27" t="str">
        <f>VLOOKUP($A12,'[1]Raw Data'!$A$3:$FB$285,97,FALSE)</f>
        <v/>
      </c>
      <c r="CR12" s="27" t="str">
        <f>VLOOKUP($A12,'[1]Raw Data'!$A$3:$FB$285,98,FALSE)</f>
        <v/>
      </c>
      <c r="CS12" s="27" t="str">
        <f>VLOOKUP($A12,'[1]Raw Data'!$A$3:$FB$285,99,FALSE)</f>
        <v/>
      </c>
      <c r="CT12" s="27" t="str">
        <f>VLOOKUP($A12,'[1]Raw Data'!$A$3:$FB$285,101,FALSE)</f>
        <v/>
      </c>
      <c r="CV12" s="27" t="str">
        <f>VLOOKUP($A12,'[1]Raw Data'!$A$3:$FB$285,102,FALSE)</f>
        <v>Chairman</v>
      </c>
      <c r="CW12" s="27" t="s">
        <v>878</v>
      </c>
      <c r="CX12" s="27" t="str">
        <f>VLOOKUP($A12,'[1]Raw Data'!$A$3:$FB$285,103,FALSE)</f>
        <v/>
      </c>
      <c r="CY12" s="27" t="str">
        <f>VLOOKUP($A12,'[1]Raw Data'!$A$3:$FB$285,105,FALSE)</f>
        <v/>
      </c>
      <c r="DA12" s="27" t="str">
        <f>VLOOKUP($A12,'[1]Raw Data'!$A$3:$FB$285,106,FALSE)</f>
        <v>Deputy Chairman</v>
      </c>
      <c r="DB12" s="27" t="s">
        <v>879</v>
      </c>
      <c r="DC12" s="27" t="str">
        <f>VLOOKUP($A12,'[1]Raw Data'!$A$3:$FB$285,107,FALSE)</f>
        <v/>
      </c>
      <c r="DD12" s="27" t="str">
        <f>VLOOKUP($A12,'[1]Raw Data'!$A$3:$FB$285,109,FALSE)</f>
        <v/>
      </c>
      <c r="DF12" s="27" t="str">
        <f>VLOOKUP($A12,'[1]Raw Data'!$A$3:$FB$285,110,FALSE)</f>
        <v>Chief Adminstration Officer</v>
      </c>
      <c r="DG12" s="27" t="s">
        <v>880</v>
      </c>
      <c r="DH12" s="27" t="str">
        <f>VLOOKUP($A12,'[1]Raw Data'!$A$3:$FB$285,111,FALSE)</f>
        <v/>
      </c>
      <c r="DI12" s="27" t="str">
        <f>VLOOKUP($A12,'[1]Raw Data'!$A$3:$FB$285,121,FALSE)</f>
        <v/>
      </c>
      <c r="DK12" s="27" t="str">
        <f>VLOOKUP($A12,'[1]Raw Data'!$A$3:$FB$285,122,FALSE)</f>
        <v>Focal Person</v>
      </c>
      <c r="DL12" s="27" t="s">
        <v>881</v>
      </c>
      <c r="DM12" s="27" t="str">
        <f>VLOOKUP($A12,'[1]Raw Data'!$A$3:$FB$285,123,FALSE)</f>
        <v/>
      </c>
      <c r="DN12" s="27" t="str">
        <f>VLOOKUP($A12,'[1]Raw Data'!$A$3:$FB$285,113,FALSE)</f>
        <v/>
      </c>
      <c r="DP12" s="27" t="str">
        <f>VLOOKUP($A12,'[1]Raw Data'!$A$3:$FB$285,114,FALSE)</f>
        <v>NRA Chief-District</v>
      </c>
      <c r="DQ12" s="27" t="s">
        <v>882</v>
      </c>
      <c r="DR12" s="27" t="str">
        <f>VLOOKUP($A12,'[1]Raw Data'!$A$3:$FB$285,115,FALSE)</f>
        <v/>
      </c>
      <c r="DS12" s="27" t="str">
        <f>VLOOKUP($A12,'[1]Raw Data'!$A$3:$FB$285,117,FALSE)</f>
        <v/>
      </c>
      <c r="DU12" s="27" t="str">
        <f>VLOOKUP($A12,'[1]Raw Data'!$A$3:$FB$285,118,FALSE)</f>
        <v>DUDBC.DLPIU Chief</v>
      </c>
      <c r="DV12" s="27" t="s">
        <v>883</v>
      </c>
      <c r="DW12" s="27" t="str">
        <f>VLOOKUP($A12,'[1]Raw Data'!$A$3:$FB$285,119,FALSE)</f>
        <v/>
      </c>
      <c r="DX12" s="27" t="s">
        <v>339</v>
      </c>
      <c r="DY12" s="27" t="str">
        <f>VLOOKUP($A12,'[1]Raw Data'!$A$3:$FB$285,124,FALSE)</f>
        <v/>
      </c>
      <c r="DZ12" s="27" t="s">
        <v>884</v>
      </c>
      <c r="EA12" s="27" t="str">
        <f>VLOOKUP($A12,'[1]Raw Data'!$A$3:$FB$285,125,FALSE)</f>
        <v/>
      </c>
      <c r="EB12" s="27" t="s">
        <v>341</v>
      </c>
      <c r="EC12" s="27" t="str">
        <f>VLOOKUP($A12,'[1]Raw Data'!$A$3:$FB$285,126,FALSE)</f>
        <v/>
      </c>
      <c r="ED12" t="s">
        <v>478</v>
      </c>
      <c r="EE12" s="27" t="str">
        <f>VLOOKUP($A12,'[1]Raw Data'!$A$3:$FB$285,127,FALSE)</f>
        <v/>
      </c>
      <c r="EF12" s="27" t="s">
        <v>343</v>
      </c>
      <c r="EG12" s="27" t="str">
        <f>VLOOKUP($A12,'[1]Raw Data'!$A$3:$FB$285,128,FALSE)</f>
        <v/>
      </c>
      <c r="EH12" t="s">
        <v>344</v>
      </c>
      <c r="EI12" s="27" t="str">
        <f>VLOOKUP($A12,'[1]Raw Data'!$A$3:$FB$285,129,FALSE)</f>
        <v/>
      </c>
      <c r="EM12" s="27" t="str">
        <f>VLOOKUP($A12,'[1]Raw Data'!$A$3:$FB$285,130,FALSE)</f>
        <v/>
      </c>
      <c r="EN12" s="27" t="str">
        <f>VLOOKUP($A12,'[1]Raw Data'!$A$3:$FB$285,131,FALSE)</f>
        <v/>
      </c>
      <c r="EO12" s="27" t="str">
        <f>VLOOKUP($A12,'[1]Raw Data'!$A$3:$FB$285,132,FALSE)</f>
        <v/>
      </c>
      <c r="EP12" s="27" t="str">
        <f>VLOOKUP($A12,'[1]Raw Data'!$A$3:$FB$285,133,FALSE)</f>
        <v/>
      </c>
      <c r="EQ12" s="27" t="str">
        <f>VLOOKUP($A12,'[1]Raw Data'!$A$3:$FB$285,134,FALSE)</f>
        <v/>
      </c>
      <c r="ER12" s="27" t="str">
        <f>VLOOKUP($A12,'[1]Raw Data'!$A$3:$FB$285,135,FALSE)</f>
        <v/>
      </c>
      <c r="ES12" s="27" t="str">
        <f>VLOOKUP($A12,'[1]Raw Data'!$A$3:$FB$285,136,FALSE)</f>
        <v/>
      </c>
      <c r="ET12" s="27" t="str">
        <f>VLOOKUP($A12,'[1]Raw Data'!$A$3:$FB$285,137,FALSE)</f>
        <v/>
      </c>
      <c r="EU12" s="27" t="str">
        <f>VLOOKUP($A12,'[1]Raw Data'!$A$3:$FB$285,138,FALSE)</f>
        <v/>
      </c>
      <c r="EV12" s="27" t="str">
        <f>VLOOKUP($A12,'[1]Raw Data'!$A$3:$FB$285,139,FALSE)</f>
        <v/>
      </c>
      <c r="EW12" s="38">
        <f>VLOOKUP($A12,[1]Training!$A$2:$I$284,5,FALSE)</f>
        <v>2.6923076923076925</v>
      </c>
      <c r="EX12" s="31">
        <f>VLOOKUP($A12,[1]Training!$A$2:$I$284,6,FALSE)</f>
        <v>0</v>
      </c>
      <c r="EY12" s="38">
        <f>VLOOKUP($A12,[1]Training!$A$2:$I$284,8,FALSE)</f>
        <v>3.1818181818181817</v>
      </c>
      <c r="EZ12" s="31">
        <f>VLOOKUP($A12,[1]Training!$A$2:$I$284,9,FALSE)</f>
        <v>214</v>
      </c>
      <c r="FA12" s="27">
        <v>1</v>
      </c>
      <c r="FB12" s="27">
        <v>2</v>
      </c>
      <c r="FC12" s="27" t="str">
        <f>VLOOKUP($A12,'[1]Raw Data'!$A$3:$FB$285,148,FALSE)</f>
        <v/>
      </c>
      <c r="FE12" s="27" t="str">
        <f>VLOOKUP($A12,'[1]Raw Data'!$A$3:$FB$285,149,FALSE)</f>
        <v>District Coordinator</v>
      </c>
      <c r="FF12" s="27" t="s">
        <v>885</v>
      </c>
      <c r="FG12" s="27" t="str">
        <f>VLOOKUP($A12,'[1]Raw Data'!$A$3:$FB$285,150,FALSE)</f>
        <v/>
      </c>
      <c r="FH12" s="27" t="str">
        <f>VLOOKUP($A12,'[1]Raw Data'!$A$3:$FB$285,156,FALSE)</f>
        <v/>
      </c>
      <c r="FJ12" s="27" t="str">
        <f>VLOOKUP($A12,'[1]Raw Data'!$A$3:$FB$285,157,FALSE)</f>
        <v>District Technical Officer</v>
      </c>
      <c r="FK12" s="27" t="s">
        <v>886</v>
      </c>
      <c r="FL12" s="27" t="str">
        <f>VLOOKUP($A12,'[1]Raw Data'!$A$3:$FB$285,158,FALSE)</f>
        <v/>
      </c>
      <c r="FM12" s="27" t="str">
        <f>VLOOKUP($A12,'[1]Raw Data'!$A$3:$FB$285,152,FALSE)</f>
        <v/>
      </c>
      <c r="FO12" s="27" t="str">
        <f>VLOOKUP($A12,'[1]Raw Data'!$A$3:$FB$285,153,FALSE)</f>
        <v>DIstrict Information Management Officer</v>
      </c>
      <c r="FP12" s="27" t="s">
        <v>887</v>
      </c>
      <c r="FQ12" s="27" t="str">
        <f>VLOOKUP($A12,'[1]Raw Data'!$A$3:$FB$285,154,FALSE)</f>
        <v/>
      </c>
    </row>
    <row r="13" spans="1:173" ht="24" x14ac:dyDescent="0.45">
      <c r="A13" s="27">
        <v>9002</v>
      </c>
      <c r="B13" s="36" t="str">
        <f ca="1">IFERROR(__xludf.DUMMYFUNCTION("""COMPUTED_VALUE"""),"Chainpur Nagarpalika")</f>
        <v>Chainpur Nagarpalika</v>
      </c>
      <c r="C13" s="37" t="str">
        <f>VLOOKUP(A13,'[1]Palika and District in Nepali '!$D$1:$F$283,3,FALSE)</f>
        <v>चैनपुर नगरपालिका</v>
      </c>
      <c r="D13" s="36" t="str">
        <f ca="1">IFERROR(__xludf.DUMMYFUNCTION("""COMPUTED_VALUE"""),"Sankhuwasabha")</f>
        <v>Sankhuwasabha</v>
      </c>
      <c r="E13" s="36"/>
      <c r="F13" s="27">
        <f>VLOOKUP(A13,'[1]Raw Data'!$A$3:$FB$285,4,FALSE)</f>
        <v>15</v>
      </c>
      <c r="G13" s="27">
        <f>VLOOKUP(A13,'[1]Raw Data'!$A$3:$FB$285,5,FALSE)</f>
        <v>182</v>
      </c>
      <c r="H13" s="27">
        <f>VLOOKUP(A13,'[1]Raw Data'!$A$3:$FB$285,6,FALSE)</f>
        <v>197</v>
      </c>
      <c r="I13" s="27">
        <f>VLOOKUP($A13,'[1]Raw Data'!$A$3:$FB$285,8,FALSE)</f>
        <v>0</v>
      </c>
      <c r="J13" s="27">
        <f>VLOOKUP($A13,'[1]Raw Data'!$A$3:$FB$285,9,FALSE)</f>
        <v>0.6</v>
      </c>
      <c r="K13" s="27">
        <f>VLOOKUP($A13,'[1]Raw Data'!$A$3:$FB$285,11,FALSE)</f>
        <v>95.94</v>
      </c>
      <c r="L13" s="27">
        <f>VLOOKUP($A13,'[1]Raw Data'!$A$3:$FB$285,12,FALSE)</f>
        <v>77</v>
      </c>
      <c r="M13" s="27">
        <f>VLOOKUP($A13,'[1]Raw Data'!$A$3:$FB$285,14,FALSE)</f>
        <v>1.02</v>
      </c>
      <c r="N13" s="27">
        <f>VLOOKUP($A13,'[1]Raw Data'!$A$3:$FB$285,15,FALSE)</f>
        <v>0.33</v>
      </c>
      <c r="O13" s="27">
        <f>VLOOKUP($A13,'[1]Raw Data'!$A$3:$FB$285,17,FALSE)</f>
        <v>2.54</v>
      </c>
      <c r="P13" s="27">
        <f>VLOOKUP($A13,'[1]Raw Data'!$A$3:$FB$285,18,FALSE)</f>
        <v>0.51</v>
      </c>
      <c r="Q13" s="27">
        <f>VLOOKUP($A13,'[1]Raw Data'!$A$3:$FB$285,20,FALSE)</f>
        <v>0</v>
      </c>
      <c r="R13" s="27">
        <f>VLOOKUP($A13,'[1]Raw Data'!$A$3:$FB$285,21,FALSE)</f>
        <v>0.51</v>
      </c>
      <c r="S13" s="27">
        <f>VLOOKUP($A13,'[1]Raw Data'!$A$3:$FB$285,23,FALSE)</f>
        <v>0</v>
      </c>
      <c r="T13" s="27">
        <f>VLOOKUP($A13,'[1]Raw Data'!$A$3:$FB$285,24,FALSE)</f>
        <v>0</v>
      </c>
      <c r="U13" s="27">
        <f>VLOOKUP($A13,'[1]Raw Data'!$A$3:$FB$285,26,FALSE)</f>
        <v>0</v>
      </c>
      <c r="V13" s="27">
        <f>VLOOKUP($A13,'[1]Raw Data'!$A$3:$FB$285,27,FALSE)</f>
        <v>0.8</v>
      </c>
      <c r="W13" s="27">
        <f>VLOOKUP($A13,'[1]Raw Data'!$A$3:$FB$285,29,FALSE)</f>
        <v>0</v>
      </c>
      <c r="X13" s="27">
        <f>VLOOKUP($A13,'[1]Raw Data'!$A$3:$FB$285,30,FALSE)</f>
        <v>0</v>
      </c>
      <c r="Y13" s="27">
        <f>VLOOKUP($A13,'[1]Raw Data'!$A$3:$FB$285,32,FALSE)</f>
        <v>0</v>
      </c>
      <c r="Z13" s="27">
        <f>VLOOKUP($A13,'[1]Raw Data'!$A$3:$FB$285,33,FALSE)</f>
        <v>0.28999999999999998</v>
      </c>
      <c r="AA13" s="27">
        <f>VLOOKUP($A13,'[1]Raw Data'!$A$3:$FB$285,35,FALSE)</f>
        <v>0.51</v>
      </c>
      <c r="AB13" s="27">
        <f>VLOOKUP($A13,'[1]Raw Data'!$A$3:$FB$285,36,FALSE)</f>
        <v>18.559999999999999</v>
      </c>
      <c r="AC13" s="27">
        <f>VLOOKUP($A13,'[1]Raw Data'!$A$3:$FB$285,38,FALSE)</f>
        <v>0</v>
      </c>
      <c r="AD13" s="27">
        <f>VLOOKUP($A13,'[1]Raw Data'!$A$3:$FB$285,39,FALSE)</f>
        <v>1.4</v>
      </c>
      <c r="AE13" s="27">
        <f>VLOOKUP($A13,'[1]Raw Data'!$A$3:$FB$285,41,FALSE)</f>
        <v>0</v>
      </c>
      <c r="AF13" s="27">
        <f>VLOOKUP($A13,'[1]Raw Data'!$A$3:$FB$285,42,FALSE)</f>
        <v>0</v>
      </c>
      <c r="AG13" s="27">
        <f>VLOOKUP($A13,'[1]Raw Data'!$A$3:$FB$285,44,FALSE)</f>
        <v>0</v>
      </c>
      <c r="AH13" s="27">
        <f>VLOOKUP($A13,'[1]Raw Data'!$A$3:$FB$285,45,FALSE)</f>
        <v>0</v>
      </c>
      <c r="AI13" s="27">
        <f>VLOOKUP($A13,'[1]Raw Data'!$A$3:$FB$285,46,FALSE)</f>
        <v>160</v>
      </c>
      <c r="AJ13" s="27">
        <f>VLOOKUP($A13,'[1]Raw Data'!$A$3:$FB$285,47,FALSE)</f>
        <v>51</v>
      </c>
      <c r="AK13" s="27">
        <f>VLOOKUP($A13,'[1]Raw Data'!$A$3:$FB$285,48,FALSE)</f>
        <v>51</v>
      </c>
      <c r="AL13" s="27">
        <f>VLOOKUP($A13,'[1]Raw Data'!$A$3:$FB$285,49,FALSE)</f>
        <v>23</v>
      </c>
      <c r="AM13" s="27">
        <f>VLOOKUP($A13,'[1]Raw Data'!$A$3:$FB$285,50,FALSE)</f>
        <v>0</v>
      </c>
      <c r="AN13" s="27" t="str">
        <f>VLOOKUP($A13,'[1]Raw Data'!$A$3:$FB$285,51,FALSE)</f>
        <v/>
      </c>
      <c r="AO13" s="27" t="str">
        <f>VLOOKUP($A13,'[1]Raw Data'!$A$3:$FB$285,52,FALSE)</f>
        <v/>
      </c>
      <c r="AP13" s="27">
        <f>VLOOKUP($A13,'[1]Raw Data'!$A$3:$FB$285,53,FALSE)</f>
        <v>26</v>
      </c>
      <c r="AQ13" s="27" t="str">
        <f>VLOOKUP($A13,'[1]Raw Data'!$A$3:$FB$285,54,FALSE)</f>
        <v/>
      </c>
      <c r="AR13" s="27" t="str">
        <f>VLOOKUP($A13,'[1]Raw Data'!$A$3:$FB$285,55,FALSE)</f>
        <v/>
      </c>
      <c r="AS13" s="27" t="str">
        <f>VLOOKUP($A13,'[1]Raw Data'!$A$3:$FB$285,56,FALSE)</f>
        <v/>
      </c>
      <c r="AT13" s="27" t="str">
        <f>VLOOKUP($A13,'[1]Raw Data'!$A$3:$FB$285,57,FALSE)</f>
        <v/>
      </c>
      <c r="AU13" s="27" t="str">
        <f>VLOOKUP($A13,'[1]Raw Data'!$A$3:$FB$285,58,FALSE)</f>
        <v/>
      </c>
      <c r="AV13" s="27" t="str">
        <f>VLOOKUP($A13,'[1]Raw Data'!$A$3:$FB$285,59,FALSE)</f>
        <v/>
      </c>
      <c r="AW13" s="27" t="str">
        <f>VLOOKUP($A13,'[1]Raw Data'!$A$3:$FB$285,60,FALSE)</f>
        <v/>
      </c>
      <c r="AX13" s="27" t="str">
        <f>VLOOKUP(A13,'[1]PO''s List'!A11:E293,4,FALSE)</f>
        <v/>
      </c>
      <c r="AZ13" s="27" t="str">
        <f>VLOOKUP(A13,'[1]PO''s List'!$A$3:$E$285,5,FALSE)</f>
        <v/>
      </c>
      <c r="BB13" s="27">
        <f>VLOOKUP($A13,'[1]Raw Data'!$A$3:$FB$285,63,FALSE)</f>
        <v>1513</v>
      </c>
      <c r="BC13" s="27" t="str">
        <f>VLOOKUP($A13,'[1]Raw Data'!$A$3:$FB$285,64,FALSE)</f>
        <v/>
      </c>
      <c r="BD13" s="27" t="str">
        <f t="shared" si="0"/>
        <v/>
      </c>
      <c r="BE13" s="27" t="str">
        <f>VLOOKUP($A13,'[1]Raw Data'!$A$3:$FB$285,65,FALSE)</f>
        <v/>
      </c>
      <c r="BF13" s="27">
        <f>VLOOKUP($A13,'[1]Raw Data'!$A$3:$FB$285,66,FALSE)</f>
        <v>1417</v>
      </c>
      <c r="BG13" s="27" t="str">
        <f>VLOOKUP($A13,'[1]Raw Data'!$A$3:$FB$285,67,FALSE)</f>
        <v/>
      </c>
      <c r="BH13" s="27" t="str">
        <f t="shared" si="1"/>
        <v/>
      </c>
      <c r="BI13" s="27" t="str">
        <f>VLOOKUP($A13,'[1]Raw Data'!$A$3:$FB$285,68,FALSE)</f>
        <v/>
      </c>
      <c r="BJ13" s="27">
        <f>VLOOKUP($A13,'[1]Raw Data'!$A$3:$FB$285,69,FALSE)</f>
        <v>161</v>
      </c>
      <c r="BK13" s="27" t="str">
        <f>VLOOKUP($A13,'[1]Raw Data'!$A$3:$FB$285,70,FALSE)</f>
        <v/>
      </c>
      <c r="BL13" s="27" t="str">
        <f t="shared" si="2"/>
        <v/>
      </c>
      <c r="BM13" s="27" t="str">
        <f>VLOOKUP($A13,'[1]Raw Data'!$A$3:$FB$285,71,FALSE)</f>
        <v/>
      </c>
      <c r="BN13" s="27">
        <f>VLOOKUP($A13,'[1]Raw Data'!$A$3:$FB$285,72,FALSE)</f>
        <v>182</v>
      </c>
      <c r="BO13" s="27" t="str">
        <f>VLOOKUP($A13,'[1]Raw Data'!$A$3:$FB$285,73,FALSE)</f>
        <v/>
      </c>
      <c r="BP13" s="27" t="str">
        <f t="shared" si="3"/>
        <v/>
      </c>
      <c r="BQ13" s="27" t="str">
        <f>VLOOKUP($A13,'[1]Raw Data'!$A$3:$FB$285,74,FALSE)</f>
        <v/>
      </c>
      <c r="BR13" s="27" t="str">
        <f>VLOOKUP($A13,'[1]Raw Data'!$A$3:$FB$285,75,FALSE)</f>
        <v/>
      </c>
      <c r="BS13" s="27" t="str">
        <f>VLOOKUP($A13,'[1]Raw Data'!$A$3:$FB$285,76,FALSE)</f>
        <v/>
      </c>
      <c r="BT13" s="27" t="str">
        <f t="shared" si="4"/>
        <v/>
      </c>
      <c r="BU13" s="27" t="str">
        <f>VLOOKUP($A13,'[1]Raw Data'!$A$3:$FB$285,77,FALSE)</f>
        <v/>
      </c>
      <c r="BV13" s="27">
        <f>VLOOKUP($A13,'[1]Raw Data'!$A$3:$FB$285,78,FALSE)</f>
        <v>4937</v>
      </c>
      <c r="BW13" s="27" t="str">
        <f>VLOOKUP($A13,'[1]Raw Data'!$A$3:$FB$285,79,FALSE)</f>
        <v/>
      </c>
      <c r="BX13" s="27" t="str">
        <f t="shared" si="5"/>
        <v/>
      </c>
      <c r="BY13" s="27" t="str">
        <f>VLOOKUP($A13,'[1]Raw Data'!$A$3:$FB$285,80,FALSE)</f>
        <v/>
      </c>
      <c r="BZ13" s="27">
        <f>VLOOKUP($A13,'[1]Raw Data'!$A$3:$FB$285,81,FALSE)</f>
        <v>16897</v>
      </c>
      <c r="CA13" s="27" t="str">
        <f>VLOOKUP($A13,'[1]Raw Data'!$A$3:$FB$285,82,FALSE)</f>
        <v/>
      </c>
      <c r="CB13" s="27" t="str">
        <f t="shared" si="6"/>
        <v/>
      </c>
      <c r="CC13" s="27" t="str">
        <f>VLOOKUP($A13,'[1]Raw Data'!$A$3:$FB$285,83,FALSE)</f>
        <v/>
      </c>
      <c r="CD13" s="27">
        <f>VLOOKUP($A13,'[1]Raw Data'!$A$3:$FB$285,84,FALSE)</f>
        <v>203</v>
      </c>
      <c r="CE13" s="27" t="str">
        <f>VLOOKUP($A13,'[1]Raw Data'!$A$3:$FB$285,85,FALSE)</f>
        <v/>
      </c>
      <c r="CF13" s="27" t="str">
        <f t="shared" si="7"/>
        <v/>
      </c>
      <c r="CG13" s="27" t="str">
        <f>VLOOKUP($A13,'[1]Raw Data'!$A$3:$FB$285,86,FALSE)</f>
        <v/>
      </c>
      <c r="CH13" s="27">
        <f>VLOOKUP($A13,'[1]Raw Data'!$A$3:$FB$285,87,FALSE)</f>
        <v>58762</v>
      </c>
      <c r="CI13" s="27" t="str">
        <f>VLOOKUP($A13,'[1]Raw Data'!$A$3:$FB$285,88,FALSE)</f>
        <v/>
      </c>
      <c r="CJ13" s="27" t="str">
        <f t="shared" si="8"/>
        <v/>
      </c>
      <c r="CK13" s="27" t="str">
        <f>VLOOKUP($A13,'[1]Raw Data'!$A$3:$FB$285,89,FALSE)</f>
        <v/>
      </c>
      <c r="CL13" s="27" t="str">
        <f>VLOOKUP($A13,'[1]Raw Data'!$A$3:$FB$285,91,FALSE)</f>
        <v/>
      </c>
      <c r="CM13" s="27" t="str">
        <f>VLOOKUP($A13,'[1]Raw Data'!$A$3:$FB$285,93,FALSE)</f>
        <v/>
      </c>
      <c r="CN13" s="27" t="str">
        <f>VLOOKUP($A13,'[1]Raw Data'!$A$3:$FB$285,94,FALSE)</f>
        <v/>
      </c>
      <c r="CO13" s="27" t="str">
        <f>VLOOKUP($A13,'[1]Raw Data'!$A$3:$FB$285,95,FALSE)</f>
        <v/>
      </c>
      <c r="CP13" s="27" t="str">
        <f>VLOOKUP($A13,'[1]Raw Data'!$A$3:$FB$285,96,FALSE)</f>
        <v/>
      </c>
      <c r="CQ13" s="27" t="str">
        <f>VLOOKUP($A13,'[1]Raw Data'!$A$3:$FB$285,97,FALSE)</f>
        <v/>
      </c>
      <c r="CR13" s="27" t="str">
        <f>VLOOKUP($A13,'[1]Raw Data'!$A$3:$FB$285,98,FALSE)</f>
        <v/>
      </c>
      <c r="CS13" s="27" t="str">
        <f>VLOOKUP($A13,'[1]Raw Data'!$A$3:$FB$285,99,FALSE)</f>
        <v/>
      </c>
      <c r="CT13" s="27" t="str">
        <f>VLOOKUP($A13,'[1]Raw Data'!$A$3:$FB$285,101,FALSE)</f>
        <v/>
      </c>
      <c r="CV13" s="27" t="str">
        <f>VLOOKUP($A13,'[1]Raw Data'!$A$3:$FB$285,102,FALSE)</f>
        <v>Mayor</v>
      </c>
      <c r="CW13" s="27" t="s">
        <v>834</v>
      </c>
      <c r="CX13" s="27" t="str">
        <f>VLOOKUP($A13,'[1]Raw Data'!$A$3:$FB$285,103,FALSE)</f>
        <v/>
      </c>
      <c r="CY13" s="27" t="str">
        <f>VLOOKUP($A13,'[1]Raw Data'!$A$3:$FB$285,105,FALSE)</f>
        <v/>
      </c>
      <c r="DA13" s="27" t="str">
        <f>VLOOKUP($A13,'[1]Raw Data'!$A$3:$FB$285,106,FALSE)</f>
        <v>Deputy Mayor</v>
      </c>
      <c r="DB13" s="27" t="s">
        <v>888</v>
      </c>
      <c r="DC13" s="27" t="str">
        <f>VLOOKUP($A13,'[1]Raw Data'!$A$3:$FB$285,107,FALSE)</f>
        <v/>
      </c>
      <c r="DD13" s="27" t="str">
        <f>VLOOKUP($A13,'[1]Raw Data'!$A$3:$FB$285,109,FALSE)</f>
        <v/>
      </c>
      <c r="DF13" s="27" t="str">
        <f>VLOOKUP($A13,'[1]Raw Data'!$A$3:$FB$285,110,FALSE)</f>
        <v>Chief Adminstration Officer</v>
      </c>
      <c r="DG13" s="27" t="s">
        <v>880</v>
      </c>
      <c r="DH13" s="27" t="str">
        <f>VLOOKUP($A13,'[1]Raw Data'!$A$3:$FB$285,111,FALSE)</f>
        <v/>
      </c>
      <c r="DI13" s="27" t="str">
        <f>VLOOKUP($A13,'[1]Raw Data'!$A$3:$FB$285,121,FALSE)</f>
        <v/>
      </c>
      <c r="DK13" s="27" t="str">
        <f>VLOOKUP($A13,'[1]Raw Data'!$A$3:$FB$285,122,FALSE)</f>
        <v>Focal Person</v>
      </c>
      <c r="DL13" s="27" t="s">
        <v>881</v>
      </c>
      <c r="DM13" s="27" t="str">
        <f>VLOOKUP($A13,'[1]Raw Data'!$A$3:$FB$285,123,FALSE)</f>
        <v/>
      </c>
      <c r="DN13" s="27" t="str">
        <f>VLOOKUP($A13,'[1]Raw Data'!$A$3:$FB$285,113,FALSE)</f>
        <v/>
      </c>
      <c r="DP13" s="27" t="str">
        <f>VLOOKUP($A13,'[1]Raw Data'!$A$3:$FB$285,114,FALSE)</f>
        <v>NRA Chief-District</v>
      </c>
      <c r="DQ13" s="27" t="s">
        <v>882</v>
      </c>
      <c r="DR13" s="27" t="str">
        <f>VLOOKUP($A13,'[1]Raw Data'!$A$3:$FB$285,115,FALSE)</f>
        <v/>
      </c>
      <c r="DS13" s="27" t="str">
        <f>VLOOKUP($A13,'[1]Raw Data'!$A$3:$FB$285,117,FALSE)</f>
        <v/>
      </c>
      <c r="DU13" s="27" t="str">
        <f>VLOOKUP($A13,'[1]Raw Data'!$A$3:$FB$285,118,FALSE)</f>
        <v>DUDBC.DLPIU Chief</v>
      </c>
      <c r="DV13" s="27" t="s">
        <v>883</v>
      </c>
      <c r="DW13" s="27" t="str">
        <f>VLOOKUP($A13,'[1]Raw Data'!$A$3:$FB$285,119,FALSE)</f>
        <v/>
      </c>
      <c r="DX13" s="27" t="s">
        <v>339</v>
      </c>
      <c r="DY13" s="27" t="str">
        <f>VLOOKUP($A13,'[1]Raw Data'!$A$3:$FB$285,124,FALSE)</f>
        <v/>
      </c>
      <c r="DZ13" s="27" t="s">
        <v>884</v>
      </c>
      <c r="EA13" s="27" t="str">
        <f>VLOOKUP($A13,'[1]Raw Data'!$A$3:$FB$285,125,FALSE)</f>
        <v/>
      </c>
      <c r="EB13" s="27" t="s">
        <v>341</v>
      </c>
      <c r="EC13" s="27" t="str">
        <f>VLOOKUP($A13,'[1]Raw Data'!$A$3:$FB$285,126,FALSE)</f>
        <v/>
      </c>
      <c r="ED13" t="s">
        <v>478</v>
      </c>
      <c r="EE13" s="27" t="str">
        <f>VLOOKUP($A13,'[1]Raw Data'!$A$3:$FB$285,127,FALSE)</f>
        <v/>
      </c>
      <c r="EF13" s="27" t="s">
        <v>343</v>
      </c>
      <c r="EG13" s="27" t="str">
        <f>VLOOKUP($A13,'[1]Raw Data'!$A$3:$FB$285,128,FALSE)</f>
        <v/>
      </c>
      <c r="EH13" t="s">
        <v>344</v>
      </c>
      <c r="EI13" s="27" t="str">
        <f>VLOOKUP($A13,'[1]Raw Data'!$A$3:$FB$285,129,FALSE)</f>
        <v/>
      </c>
      <c r="EM13" s="27" t="str">
        <f>VLOOKUP($A13,'[1]Raw Data'!$A$3:$FB$285,130,FALSE)</f>
        <v/>
      </c>
      <c r="EN13" s="27" t="str">
        <f>VLOOKUP($A13,'[1]Raw Data'!$A$3:$FB$285,131,FALSE)</f>
        <v/>
      </c>
      <c r="EO13" s="27" t="str">
        <f>VLOOKUP($A13,'[1]Raw Data'!$A$3:$FB$285,132,FALSE)</f>
        <v/>
      </c>
      <c r="EP13" s="27" t="str">
        <f>VLOOKUP($A13,'[1]Raw Data'!$A$3:$FB$285,133,FALSE)</f>
        <v/>
      </c>
      <c r="EQ13" s="27" t="str">
        <f>VLOOKUP($A13,'[1]Raw Data'!$A$3:$FB$285,134,FALSE)</f>
        <v/>
      </c>
      <c r="ER13" s="27" t="str">
        <f>VLOOKUP($A13,'[1]Raw Data'!$A$3:$FB$285,135,FALSE)</f>
        <v/>
      </c>
      <c r="ES13" s="27" t="str">
        <f>VLOOKUP($A13,'[1]Raw Data'!$A$3:$FB$285,136,FALSE)</f>
        <v/>
      </c>
      <c r="ET13" s="27" t="str">
        <f>VLOOKUP($A13,'[1]Raw Data'!$A$3:$FB$285,137,FALSE)</f>
        <v/>
      </c>
      <c r="EU13" s="27" t="str">
        <f>VLOOKUP($A13,'[1]Raw Data'!$A$3:$FB$285,138,FALSE)</f>
        <v/>
      </c>
      <c r="EV13" s="27" t="str">
        <f>VLOOKUP($A13,'[1]Raw Data'!$A$3:$FB$285,139,FALSE)</f>
        <v/>
      </c>
      <c r="EW13" s="38">
        <f>VLOOKUP($A13,[1]Training!$A$2:$I$284,5,FALSE)</f>
        <v>12.307692307692308</v>
      </c>
      <c r="EX13" s="31">
        <f>VLOOKUP($A13,[1]Training!$A$2:$I$284,6,FALSE)</f>
        <v>0</v>
      </c>
      <c r="EY13" s="38">
        <f>VLOOKUP($A13,[1]Training!$A$2:$I$284,8,FALSE)</f>
        <v>14.545454545454545</v>
      </c>
      <c r="EZ13" s="31">
        <f>VLOOKUP($A13,[1]Training!$A$2:$I$284,9,FALSE)</f>
        <v>0</v>
      </c>
      <c r="FA13" s="27">
        <v>1</v>
      </c>
      <c r="FB13" s="27">
        <v>2</v>
      </c>
      <c r="FC13" s="27" t="str">
        <f>VLOOKUP($A13,'[1]Raw Data'!$A$3:$FB$285,148,FALSE)</f>
        <v/>
      </c>
      <c r="FE13" s="27" t="str">
        <f>VLOOKUP($A13,'[1]Raw Data'!$A$3:$FB$285,149,FALSE)</f>
        <v>District Coordinator</v>
      </c>
      <c r="FF13" s="27" t="s">
        <v>885</v>
      </c>
      <c r="FG13" s="27" t="str">
        <f>VLOOKUP($A13,'[1]Raw Data'!$A$3:$FB$285,150,FALSE)</f>
        <v/>
      </c>
      <c r="FH13" s="27" t="str">
        <f>VLOOKUP($A13,'[1]Raw Data'!$A$3:$FB$285,156,FALSE)</f>
        <v/>
      </c>
      <c r="FJ13" s="27" t="str">
        <f>VLOOKUP($A13,'[1]Raw Data'!$A$3:$FB$285,157,FALSE)</f>
        <v>District Technical Officer</v>
      </c>
      <c r="FK13" s="27" t="s">
        <v>886</v>
      </c>
      <c r="FL13" s="27" t="str">
        <f>VLOOKUP($A13,'[1]Raw Data'!$A$3:$FB$285,158,FALSE)</f>
        <v/>
      </c>
      <c r="FM13" s="27" t="str">
        <f>VLOOKUP($A13,'[1]Raw Data'!$A$3:$FB$285,152,FALSE)</f>
        <v/>
      </c>
      <c r="FO13" s="27" t="str">
        <f>VLOOKUP($A13,'[1]Raw Data'!$A$3:$FB$285,153,FALSE)</f>
        <v>DIstrict Information Management Officer</v>
      </c>
      <c r="FP13" s="27" t="s">
        <v>887</v>
      </c>
      <c r="FQ13" s="27" t="str">
        <f>VLOOKUP($A13,'[1]Raw Data'!$A$3:$FB$285,154,FALSE)</f>
        <v/>
      </c>
    </row>
    <row r="14" spans="1:173" ht="24" x14ac:dyDescent="0.45">
      <c r="A14" s="27">
        <v>9003</v>
      </c>
      <c r="B14" s="36" t="str">
        <f ca="1">IFERROR(__xludf.DUMMYFUNCTION("""COMPUTED_VALUE"""),"Chichila Gaunpalika")</f>
        <v>Chichila Gaunpalika</v>
      </c>
      <c r="C14" s="37" t="str">
        <f>VLOOKUP(A14,'[1]Palika and District in Nepali '!$D$1:$F$283,3,FALSE)</f>
        <v>चिचिला गाउँपालिका</v>
      </c>
      <c r="D14" s="36" t="str">
        <f ca="1">IFERROR(__xludf.DUMMYFUNCTION("""COMPUTED_VALUE"""),"Sankhuwasabha")</f>
        <v>Sankhuwasabha</v>
      </c>
      <c r="E14" s="36"/>
      <c r="F14" s="27">
        <f>VLOOKUP(A14,'[1]Raw Data'!$A$3:$FB$285,4,FALSE)</f>
        <v>67</v>
      </c>
      <c r="G14" s="27">
        <f>VLOOKUP(A14,'[1]Raw Data'!$A$3:$FB$285,5,FALSE)</f>
        <v>63</v>
      </c>
      <c r="H14" s="27">
        <f>VLOOKUP(A14,'[1]Raw Data'!$A$3:$FB$285,6,FALSE)</f>
        <v>130</v>
      </c>
      <c r="I14" s="27">
        <f>VLOOKUP($A14,'[1]Raw Data'!$A$3:$FB$285,8,FALSE)</f>
        <v>2.31</v>
      </c>
      <c r="J14" s="27">
        <f>VLOOKUP($A14,'[1]Raw Data'!$A$3:$FB$285,9,FALSE)</f>
        <v>0.6</v>
      </c>
      <c r="K14" s="27">
        <f>VLOOKUP($A14,'[1]Raw Data'!$A$3:$FB$285,11,FALSE)</f>
        <v>63.85</v>
      </c>
      <c r="L14" s="27">
        <f>VLOOKUP($A14,'[1]Raw Data'!$A$3:$FB$285,12,FALSE)</f>
        <v>77</v>
      </c>
      <c r="M14" s="27">
        <f>VLOOKUP($A14,'[1]Raw Data'!$A$3:$FB$285,14,FALSE)</f>
        <v>0</v>
      </c>
      <c r="N14" s="27">
        <f>VLOOKUP($A14,'[1]Raw Data'!$A$3:$FB$285,15,FALSE)</f>
        <v>0.33</v>
      </c>
      <c r="O14" s="27">
        <f>VLOOKUP($A14,'[1]Raw Data'!$A$3:$FB$285,17,FALSE)</f>
        <v>0</v>
      </c>
      <c r="P14" s="27">
        <f>VLOOKUP($A14,'[1]Raw Data'!$A$3:$FB$285,18,FALSE)</f>
        <v>0.51</v>
      </c>
      <c r="Q14" s="27">
        <f>VLOOKUP($A14,'[1]Raw Data'!$A$3:$FB$285,20,FALSE)</f>
        <v>0</v>
      </c>
      <c r="R14" s="27">
        <f>VLOOKUP($A14,'[1]Raw Data'!$A$3:$FB$285,21,FALSE)</f>
        <v>0.51</v>
      </c>
      <c r="S14" s="27">
        <f>VLOOKUP($A14,'[1]Raw Data'!$A$3:$FB$285,23,FALSE)</f>
        <v>0</v>
      </c>
      <c r="T14" s="27">
        <f>VLOOKUP($A14,'[1]Raw Data'!$A$3:$FB$285,24,FALSE)</f>
        <v>0</v>
      </c>
      <c r="U14" s="27">
        <f>VLOOKUP($A14,'[1]Raw Data'!$A$3:$FB$285,26,FALSE)</f>
        <v>1.54</v>
      </c>
      <c r="V14" s="27">
        <f>VLOOKUP($A14,'[1]Raw Data'!$A$3:$FB$285,27,FALSE)</f>
        <v>0.8</v>
      </c>
      <c r="W14" s="27">
        <f>VLOOKUP($A14,'[1]Raw Data'!$A$3:$FB$285,29,FALSE)</f>
        <v>0</v>
      </c>
      <c r="X14" s="27">
        <f>VLOOKUP($A14,'[1]Raw Data'!$A$3:$FB$285,30,FALSE)</f>
        <v>0</v>
      </c>
      <c r="Y14" s="27">
        <f>VLOOKUP($A14,'[1]Raw Data'!$A$3:$FB$285,32,FALSE)</f>
        <v>0</v>
      </c>
      <c r="Z14" s="27">
        <f>VLOOKUP($A14,'[1]Raw Data'!$A$3:$FB$285,33,FALSE)</f>
        <v>0.28999999999999998</v>
      </c>
      <c r="AA14" s="27">
        <f>VLOOKUP($A14,'[1]Raw Data'!$A$3:$FB$285,35,FALSE)</f>
        <v>31.54</v>
      </c>
      <c r="AB14" s="27">
        <f>VLOOKUP($A14,'[1]Raw Data'!$A$3:$FB$285,36,FALSE)</f>
        <v>18.559999999999999</v>
      </c>
      <c r="AC14" s="27">
        <f>VLOOKUP($A14,'[1]Raw Data'!$A$3:$FB$285,38,FALSE)</f>
        <v>0.77</v>
      </c>
      <c r="AD14" s="27">
        <f>VLOOKUP($A14,'[1]Raw Data'!$A$3:$FB$285,39,FALSE)</f>
        <v>1.4</v>
      </c>
      <c r="AE14" s="27">
        <f>VLOOKUP($A14,'[1]Raw Data'!$A$3:$FB$285,41,FALSE)</f>
        <v>0</v>
      </c>
      <c r="AF14" s="27">
        <f>VLOOKUP($A14,'[1]Raw Data'!$A$3:$FB$285,42,FALSE)</f>
        <v>0</v>
      </c>
      <c r="AG14" s="27">
        <f>VLOOKUP($A14,'[1]Raw Data'!$A$3:$FB$285,44,FALSE)</f>
        <v>0</v>
      </c>
      <c r="AH14" s="27">
        <f>VLOOKUP($A14,'[1]Raw Data'!$A$3:$FB$285,45,FALSE)</f>
        <v>0</v>
      </c>
      <c r="AI14" s="27">
        <f>VLOOKUP($A14,'[1]Raw Data'!$A$3:$FB$285,46,FALSE)</f>
        <v>62</v>
      </c>
      <c r="AJ14" s="27">
        <f>VLOOKUP($A14,'[1]Raw Data'!$A$3:$FB$285,47,FALSE)</f>
        <v>13</v>
      </c>
      <c r="AK14" s="27">
        <f>VLOOKUP($A14,'[1]Raw Data'!$A$3:$FB$285,48,FALSE)</f>
        <v>13</v>
      </c>
      <c r="AL14" s="27">
        <f>VLOOKUP($A14,'[1]Raw Data'!$A$3:$FB$285,49,FALSE)</f>
        <v>9</v>
      </c>
      <c r="AM14" s="27">
        <f>VLOOKUP($A14,'[1]Raw Data'!$A$3:$FB$285,50,FALSE)</f>
        <v>0</v>
      </c>
      <c r="AN14" s="27" t="str">
        <f>VLOOKUP($A14,'[1]Raw Data'!$A$3:$FB$285,51,FALSE)</f>
        <v/>
      </c>
      <c r="AO14" s="27" t="str">
        <f>VLOOKUP($A14,'[1]Raw Data'!$A$3:$FB$285,52,FALSE)</f>
        <v/>
      </c>
      <c r="AP14" s="27">
        <f>VLOOKUP($A14,'[1]Raw Data'!$A$3:$FB$285,53,FALSE)</f>
        <v>1</v>
      </c>
      <c r="AQ14" s="27" t="str">
        <f>VLOOKUP($A14,'[1]Raw Data'!$A$3:$FB$285,54,FALSE)</f>
        <v/>
      </c>
      <c r="AR14" s="27" t="str">
        <f>VLOOKUP($A14,'[1]Raw Data'!$A$3:$FB$285,55,FALSE)</f>
        <v/>
      </c>
      <c r="AS14" s="27" t="str">
        <f>VLOOKUP($A14,'[1]Raw Data'!$A$3:$FB$285,56,FALSE)</f>
        <v/>
      </c>
      <c r="AT14" s="27" t="str">
        <f>VLOOKUP($A14,'[1]Raw Data'!$A$3:$FB$285,57,FALSE)</f>
        <v/>
      </c>
      <c r="AU14" s="27" t="str">
        <f>VLOOKUP($A14,'[1]Raw Data'!$A$3:$FB$285,58,FALSE)</f>
        <v/>
      </c>
      <c r="AV14" s="27" t="str">
        <f>VLOOKUP($A14,'[1]Raw Data'!$A$3:$FB$285,59,FALSE)</f>
        <v/>
      </c>
      <c r="AW14" s="27" t="str">
        <f>VLOOKUP($A14,'[1]Raw Data'!$A$3:$FB$285,60,FALSE)</f>
        <v/>
      </c>
      <c r="AX14" s="27" t="str">
        <f>VLOOKUP(A14,'[1]PO''s List'!A12:E294,4,FALSE)</f>
        <v/>
      </c>
      <c r="AZ14" s="27" t="str">
        <f>VLOOKUP(A14,'[1]PO''s List'!$A$3:$E$285,5,FALSE)</f>
        <v/>
      </c>
      <c r="BB14" s="27">
        <f>VLOOKUP($A14,'[1]Raw Data'!$A$3:$FB$285,63,FALSE)</f>
        <v>362</v>
      </c>
      <c r="BC14" s="27" t="str">
        <f>VLOOKUP($A14,'[1]Raw Data'!$A$3:$FB$285,64,FALSE)</f>
        <v/>
      </c>
      <c r="BD14" s="27" t="str">
        <f t="shared" si="0"/>
        <v/>
      </c>
      <c r="BE14" s="27" t="str">
        <f>VLOOKUP($A14,'[1]Raw Data'!$A$3:$FB$285,65,FALSE)</f>
        <v/>
      </c>
      <c r="BF14" s="27">
        <f>VLOOKUP($A14,'[1]Raw Data'!$A$3:$FB$285,66,FALSE)</f>
        <v>367</v>
      </c>
      <c r="BG14" s="27" t="str">
        <f>VLOOKUP($A14,'[1]Raw Data'!$A$3:$FB$285,67,FALSE)</f>
        <v/>
      </c>
      <c r="BH14" s="27" t="str">
        <f t="shared" si="1"/>
        <v/>
      </c>
      <c r="BI14" s="27" t="str">
        <f>VLOOKUP($A14,'[1]Raw Data'!$A$3:$FB$285,68,FALSE)</f>
        <v/>
      </c>
      <c r="BJ14" s="27">
        <f>VLOOKUP($A14,'[1]Raw Data'!$A$3:$FB$285,69,FALSE)</f>
        <v>39</v>
      </c>
      <c r="BK14" s="27" t="str">
        <f>VLOOKUP($A14,'[1]Raw Data'!$A$3:$FB$285,70,FALSE)</f>
        <v/>
      </c>
      <c r="BL14" s="27" t="str">
        <f t="shared" si="2"/>
        <v/>
      </c>
      <c r="BM14" s="27" t="str">
        <f>VLOOKUP($A14,'[1]Raw Data'!$A$3:$FB$285,71,FALSE)</f>
        <v/>
      </c>
      <c r="BN14" s="27">
        <f>VLOOKUP($A14,'[1]Raw Data'!$A$3:$FB$285,72,FALSE)</f>
        <v>44</v>
      </c>
      <c r="BO14" s="27" t="str">
        <f>VLOOKUP($A14,'[1]Raw Data'!$A$3:$FB$285,73,FALSE)</f>
        <v/>
      </c>
      <c r="BP14" s="27" t="str">
        <f t="shared" si="3"/>
        <v/>
      </c>
      <c r="BQ14" s="27" t="str">
        <f>VLOOKUP($A14,'[1]Raw Data'!$A$3:$FB$285,74,FALSE)</f>
        <v/>
      </c>
      <c r="BR14" s="27" t="str">
        <f>VLOOKUP($A14,'[1]Raw Data'!$A$3:$FB$285,75,FALSE)</f>
        <v/>
      </c>
      <c r="BS14" s="27" t="str">
        <f>VLOOKUP($A14,'[1]Raw Data'!$A$3:$FB$285,76,FALSE)</f>
        <v/>
      </c>
      <c r="BT14" s="27" t="str">
        <f t="shared" si="4"/>
        <v/>
      </c>
      <c r="BU14" s="27" t="str">
        <f>VLOOKUP($A14,'[1]Raw Data'!$A$3:$FB$285,77,FALSE)</f>
        <v/>
      </c>
      <c r="BV14" s="27">
        <f>VLOOKUP($A14,'[1]Raw Data'!$A$3:$FB$285,78,FALSE)</f>
        <v>1230</v>
      </c>
      <c r="BW14" s="27" t="str">
        <f>VLOOKUP($A14,'[1]Raw Data'!$A$3:$FB$285,79,FALSE)</f>
        <v/>
      </c>
      <c r="BX14" s="27" t="str">
        <f t="shared" si="5"/>
        <v/>
      </c>
      <c r="BY14" s="27" t="str">
        <f>VLOOKUP($A14,'[1]Raw Data'!$A$3:$FB$285,80,FALSE)</f>
        <v/>
      </c>
      <c r="BZ14" s="27">
        <f>VLOOKUP($A14,'[1]Raw Data'!$A$3:$FB$285,81,FALSE)</f>
        <v>3941</v>
      </c>
      <c r="CA14" s="27" t="str">
        <f>VLOOKUP($A14,'[1]Raw Data'!$A$3:$FB$285,82,FALSE)</f>
        <v/>
      </c>
      <c r="CB14" s="27" t="str">
        <f t="shared" si="6"/>
        <v/>
      </c>
      <c r="CC14" s="27" t="str">
        <f>VLOOKUP($A14,'[1]Raw Data'!$A$3:$FB$285,83,FALSE)</f>
        <v/>
      </c>
      <c r="CD14" s="27">
        <f>VLOOKUP($A14,'[1]Raw Data'!$A$3:$FB$285,84,FALSE)</f>
        <v>50</v>
      </c>
      <c r="CE14" s="27" t="str">
        <f>VLOOKUP($A14,'[1]Raw Data'!$A$3:$FB$285,85,FALSE)</f>
        <v/>
      </c>
      <c r="CF14" s="27" t="str">
        <f t="shared" si="7"/>
        <v/>
      </c>
      <c r="CG14" s="27" t="str">
        <f>VLOOKUP($A14,'[1]Raw Data'!$A$3:$FB$285,86,FALSE)</f>
        <v/>
      </c>
      <c r="CH14" s="27">
        <f>VLOOKUP($A14,'[1]Raw Data'!$A$3:$FB$285,87,FALSE)</f>
        <v>5770</v>
      </c>
      <c r="CI14" s="27" t="str">
        <f>VLOOKUP($A14,'[1]Raw Data'!$A$3:$FB$285,88,FALSE)</f>
        <v/>
      </c>
      <c r="CJ14" s="27" t="str">
        <f t="shared" si="8"/>
        <v/>
      </c>
      <c r="CK14" s="27" t="str">
        <f>VLOOKUP($A14,'[1]Raw Data'!$A$3:$FB$285,89,FALSE)</f>
        <v/>
      </c>
      <c r="CL14" s="27" t="str">
        <f>VLOOKUP($A14,'[1]Raw Data'!$A$3:$FB$285,91,FALSE)</f>
        <v/>
      </c>
      <c r="CM14" s="27" t="str">
        <f>VLOOKUP($A14,'[1]Raw Data'!$A$3:$FB$285,93,FALSE)</f>
        <v/>
      </c>
      <c r="CN14" s="27" t="str">
        <f>VLOOKUP($A14,'[1]Raw Data'!$A$3:$FB$285,94,FALSE)</f>
        <v/>
      </c>
      <c r="CO14" s="27" t="str">
        <f>VLOOKUP($A14,'[1]Raw Data'!$A$3:$FB$285,95,FALSE)</f>
        <v/>
      </c>
      <c r="CP14" s="27" t="str">
        <f>VLOOKUP($A14,'[1]Raw Data'!$A$3:$FB$285,96,FALSE)</f>
        <v/>
      </c>
      <c r="CQ14" s="27" t="str">
        <f>VLOOKUP($A14,'[1]Raw Data'!$A$3:$FB$285,97,FALSE)</f>
        <v/>
      </c>
      <c r="CR14" s="27" t="str">
        <f>VLOOKUP($A14,'[1]Raw Data'!$A$3:$FB$285,98,FALSE)</f>
        <v/>
      </c>
      <c r="CS14" s="27" t="str">
        <f>VLOOKUP($A14,'[1]Raw Data'!$A$3:$FB$285,99,FALSE)</f>
        <v/>
      </c>
      <c r="CT14" s="27" t="str">
        <f>VLOOKUP($A14,'[1]Raw Data'!$A$3:$FB$285,101,FALSE)</f>
        <v/>
      </c>
      <c r="CV14" s="27" t="str">
        <f>VLOOKUP($A14,'[1]Raw Data'!$A$3:$FB$285,102,FALSE)</f>
        <v>Chairman</v>
      </c>
      <c r="CW14" s="27" t="s">
        <v>878</v>
      </c>
      <c r="CX14" s="27" t="str">
        <f>VLOOKUP($A14,'[1]Raw Data'!$A$3:$FB$285,103,FALSE)</f>
        <v/>
      </c>
      <c r="CY14" s="27" t="str">
        <f>VLOOKUP($A14,'[1]Raw Data'!$A$3:$FB$285,105,FALSE)</f>
        <v/>
      </c>
      <c r="DA14" s="27" t="str">
        <f>VLOOKUP($A14,'[1]Raw Data'!$A$3:$FB$285,106,FALSE)</f>
        <v>Deputy Chairman</v>
      </c>
      <c r="DB14" s="27" t="s">
        <v>879</v>
      </c>
      <c r="DC14" s="27" t="str">
        <f>VLOOKUP($A14,'[1]Raw Data'!$A$3:$FB$285,107,FALSE)</f>
        <v/>
      </c>
      <c r="DD14" s="27" t="str">
        <f>VLOOKUP($A14,'[1]Raw Data'!$A$3:$FB$285,109,FALSE)</f>
        <v/>
      </c>
      <c r="DF14" s="27" t="str">
        <f>VLOOKUP($A14,'[1]Raw Data'!$A$3:$FB$285,110,FALSE)</f>
        <v>Chief Adminstration Officer</v>
      </c>
      <c r="DG14" s="27" t="s">
        <v>880</v>
      </c>
      <c r="DH14" s="27" t="str">
        <f>VLOOKUP($A14,'[1]Raw Data'!$A$3:$FB$285,111,FALSE)</f>
        <v/>
      </c>
      <c r="DI14" s="27" t="str">
        <f>VLOOKUP($A14,'[1]Raw Data'!$A$3:$FB$285,121,FALSE)</f>
        <v/>
      </c>
      <c r="DK14" s="27" t="str">
        <f>VLOOKUP($A14,'[1]Raw Data'!$A$3:$FB$285,122,FALSE)</f>
        <v>Focal Person</v>
      </c>
      <c r="DL14" s="27" t="s">
        <v>881</v>
      </c>
      <c r="DM14" s="27" t="str">
        <f>VLOOKUP($A14,'[1]Raw Data'!$A$3:$FB$285,123,FALSE)</f>
        <v/>
      </c>
      <c r="DN14" s="27" t="str">
        <f>VLOOKUP($A14,'[1]Raw Data'!$A$3:$FB$285,113,FALSE)</f>
        <v/>
      </c>
      <c r="DP14" s="27" t="str">
        <f>VLOOKUP($A14,'[1]Raw Data'!$A$3:$FB$285,114,FALSE)</f>
        <v>NRA Chief-District</v>
      </c>
      <c r="DQ14" s="27" t="s">
        <v>882</v>
      </c>
      <c r="DR14" s="27" t="str">
        <f>VLOOKUP($A14,'[1]Raw Data'!$A$3:$FB$285,115,FALSE)</f>
        <v/>
      </c>
      <c r="DS14" s="27" t="str">
        <f>VLOOKUP($A14,'[1]Raw Data'!$A$3:$FB$285,117,FALSE)</f>
        <v/>
      </c>
      <c r="DU14" s="27" t="str">
        <f>VLOOKUP($A14,'[1]Raw Data'!$A$3:$FB$285,118,FALSE)</f>
        <v>DUDBC.DLPIU Chief</v>
      </c>
      <c r="DV14" s="27" t="s">
        <v>883</v>
      </c>
      <c r="DW14" s="27" t="str">
        <f>VLOOKUP($A14,'[1]Raw Data'!$A$3:$FB$285,119,FALSE)</f>
        <v/>
      </c>
      <c r="DX14" s="27" t="s">
        <v>339</v>
      </c>
      <c r="DY14" s="27" t="str">
        <f>VLOOKUP($A14,'[1]Raw Data'!$A$3:$FB$285,124,FALSE)</f>
        <v/>
      </c>
      <c r="DZ14" s="27" t="s">
        <v>884</v>
      </c>
      <c r="EA14" s="27" t="str">
        <f>VLOOKUP($A14,'[1]Raw Data'!$A$3:$FB$285,125,FALSE)</f>
        <v/>
      </c>
      <c r="EB14" s="27" t="s">
        <v>341</v>
      </c>
      <c r="EC14" s="27" t="str">
        <f>VLOOKUP($A14,'[1]Raw Data'!$A$3:$FB$285,126,FALSE)</f>
        <v/>
      </c>
      <c r="ED14" t="s">
        <v>478</v>
      </c>
      <c r="EE14" s="27" t="str">
        <f>VLOOKUP($A14,'[1]Raw Data'!$A$3:$FB$285,127,FALSE)</f>
        <v/>
      </c>
      <c r="EF14" s="27" t="s">
        <v>343</v>
      </c>
      <c r="EG14" s="27" t="str">
        <f>VLOOKUP($A14,'[1]Raw Data'!$A$3:$FB$285,128,FALSE)</f>
        <v/>
      </c>
      <c r="EH14" t="s">
        <v>344</v>
      </c>
      <c r="EI14" s="27" t="str">
        <f>VLOOKUP($A14,'[1]Raw Data'!$A$3:$FB$285,129,FALSE)</f>
        <v/>
      </c>
      <c r="EM14" s="27" t="str">
        <f>VLOOKUP($A14,'[1]Raw Data'!$A$3:$FB$285,130,FALSE)</f>
        <v/>
      </c>
      <c r="EN14" s="27" t="str">
        <f>VLOOKUP($A14,'[1]Raw Data'!$A$3:$FB$285,131,FALSE)</f>
        <v/>
      </c>
      <c r="EO14" s="27" t="str">
        <f>VLOOKUP($A14,'[1]Raw Data'!$A$3:$FB$285,132,FALSE)</f>
        <v/>
      </c>
      <c r="EP14" s="27" t="str">
        <f>VLOOKUP($A14,'[1]Raw Data'!$A$3:$FB$285,133,FALSE)</f>
        <v/>
      </c>
      <c r="EQ14" s="27" t="str">
        <f>VLOOKUP($A14,'[1]Raw Data'!$A$3:$FB$285,134,FALSE)</f>
        <v/>
      </c>
      <c r="ER14" s="27" t="str">
        <f>VLOOKUP($A14,'[1]Raw Data'!$A$3:$FB$285,135,FALSE)</f>
        <v/>
      </c>
      <c r="ES14" s="27" t="str">
        <f>VLOOKUP($A14,'[1]Raw Data'!$A$3:$FB$285,136,FALSE)</f>
        <v/>
      </c>
      <c r="ET14" s="27" t="str">
        <f>VLOOKUP($A14,'[1]Raw Data'!$A$3:$FB$285,137,FALSE)</f>
        <v/>
      </c>
      <c r="EU14" s="27" t="str">
        <f>VLOOKUP($A14,'[1]Raw Data'!$A$3:$FB$285,138,FALSE)</f>
        <v/>
      </c>
      <c r="EV14" s="27" t="str">
        <f>VLOOKUP($A14,'[1]Raw Data'!$A$3:$FB$285,139,FALSE)</f>
        <v/>
      </c>
      <c r="EW14" s="38">
        <f>VLOOKUP($A14,[1]Training!$A$2:$I$284,5,FALSE)</f>
        <v>4.7692307692307692</v>
      </c>
      <c r="EX14" s="31">
        <f>VLOOKUP($A14,[1]Training!$A$2:$I$284,6,FALSE)</f>
        <v>0</v>
      </c>
      <c r="EY14" s="38">
        <f>VLOOKUP($A14,[1]Training!$A$2:$I$284,8,FALSE)</f>
        <v>5.6363636363636367</v>
      </c>
      <c r="EZ14" s="31">
        <f>VLOOKUP($A14,[1]Training!$A$2:$I$284,9,FALSE)</f>
        <v>0</v>
      </c>
      <c r="FA14" s="27">
        <v>1</v>
      </c>
      <c r="FB14" s="27">
        <v>2</v>
      </c>
      <c r="FC14" s="27" t="str">
        <f>VLOOKUP($A14,'[1]Raw Data'!$A$3:$FB$285,148,FALSE)</f>
        <v/>
      </c>
      <c r="FE14" s="27" t="str">
        <f>VLOOKUP($A14,'[1]Raw Data'!$A$3:$FB$285,149,FALSE)</f>
        <v>District Coordinator</v>
      </c>
      <c r="FF14" s="27" t="s">
        <v>885</v>
      </c>
      <c r="FG14" s="27" t="str">
        <f>VLOOKUP($A14,'[1]Raw Data'!$A$3:$FB$285,150,FALSE)</f>
        <v/>
      </c>
      <c r="FH14" s="27" t="str">
        <f>VLOOKUP($A14,'[1]Raw Data'!$A$3:$FB$285,156,FALSE)</f>
        <v/>
      </c>
      <c r="FJ14" s="27" t="str">
        <f>VLOOKUP($A14,'[1]Raw Data'!$A$3:$FB$285,157,FALSE)</f>
        <v>District Technical Officer</v>
      </c>
      <c r="FK14" s="27" t="s">
        <v>886</v>
      </c>
      <c r="FL14" s="27" t="str">
        <f>VLOOKUP($A14,'[1]Raw Data'!$A$3:$FB$285,158,FALSE)</f>
        <v/>
      </c>
      <c r="FM14" s="27" t="str">
        <f>VLOOKUP($A14,'[1]Raw Data'!$A$3:$FB$285,152,FALSE)</f>
        <v/>
      </c>
      <c r="FO14" s="27" t="str">
        <f>VLOOKUP($A14,'[1]Raw Data'!$A$3:$FB$285,153,FALSE)</f>
        <v>DIstrict Information Management Officer</v>
      </c>
      <c r="FP14" s="27" t="s">
        <v>887</v>
      </c>
      <c r="FQ14" s="27" t="str">
        <f>VLOOKUP($A14,'[1]Raw Data'!$A$3:$FB$285,154,FALSE)</f>
        <v/>
      </c>
    </row>
    <row r="15" spans="1:173" ht="24" x14ac:dyDescent="0.45">
      <c r="A15" s="27">
        <v>9004</v>
      </c>
      <c r="B15" s="36" t="str">
        <f ca="1">IFERROR(__xludf.DUMMYFUNCTION("""COMPUTED_VALUE"""),"Dharmadevi Nagarpalika")</f>
        <v>Dharmadevi Nagarpalika</v>
      </c>
      <c r="C15" s="37" t="str">
        <f>VLOOKUP(A15,'[1]Palika and District in Nepali '!$D$1:$F$283,3,FALSE)</f>
        <v>धर्मदेवी नगरपालिका</v>
      </c>
      <c r="D15" s="36" t="str">
        <f ca="1">IFERROR(__xludf.DUMMYFUNCTION("""COMPUTED_VALUE"""),"Sankhuwasabha")</f>
        <v>Sankhuwasabha</v>
      </c>
      <c r="E15" s="36"/>
      <c r="F15" s="27">
        <f>VLOOKUP(A15,'[1]Raw Data'!$A$3:$FB$285,4,FALSE)</f>
        <v>514</v>
      </c>
      <c r="G15" s="27">
        <f>VLOOKUP(A15,'[1]Raw Data'!$A$3:$FB$285,5,FALSE)</f>
        <v>192</v>
      </c>
      <c r="H15" s="27">
        <f>VLOOKUP(A15,'[1]Raw Data'!$A$3:$FB$285,6,FALSE)</f>
        <v>706</v>
      </c>
      <c r="I15" s="27">
        <f>VLOOKUP($A15,'[1]Raw Data'!$A$3:$FB$285,8,FALSE)</f>
        <v>0.71</v>
      </c>
      <c r="J15" s="27">
        <f>VLOOKUP($A15,'[1]Raw Data'!$A$3:$FB$285,9,FALSE)</f>
        <v>0.6</v>
      </c>
      <c r="K15" s="27">
        <f>VLOOKUP($A15,'[1]Raw Data'!$A$3:$FB$285,11,FALSE)</f>
        <v>96.74</v>
      </c>
      <c r="L15" s="27">
        <f>VLOOKUP($A15,'[1]Raw Data'!$A$3:$FB$285,12,FALSE)</f>
        <v>77</v>
      </c>
      <c r="M15" s="27">
        <f>VLOOKUP($A15,'[1]Raw Data'!$A$3:$FB$285,14,FALSE)</f>
        <v>0</v>
      </c>
      <c r="N15" s="27">
        <f>VLOOKUP($A15,'[1]Raw Data'!$A$3:$FB$285,15,FALSE)</f>
        <v>0.33</v>
      </c>
      <c r="O15" s="27">
        <f>VLOOKUP($A15,'[1]Raw Data'!$A$3:$FB$285,17,FALSE)</f>
        <v>0.14000000000000001</v>
      </c>
      <c r="P15" s="27">
        <f>VLOOKUP($A15,'[1]Raw Data'!$A$3:$FB$285,18,FALSE)</f>
        <v>0.51</v>
      </c>
      <c r="Q15" s="27">
        <f>VLOOKUP($A15,'[1]Raw Data'!$A$3:$FB$285,20,FALSE)</f>
        <v>0</v>
      </c>
      <c r="R15" s="27">
        <f>VLOOKUP($A15,'[1]Raw Data'!$A$3:$FB$285,21,FALSE)</f>
        <v>0.51</v>
      </c>
      <c r="S15" s="27">
        <f>VLOOKUP($A15,'[1]Raw Data'!$A$3:$FB$285,23,FALSE)</f>
        <v>0</v>
      </c>
      <c r="T15" s="27">
        <f>VLOOKUP($A15,'[1]Raw Data'!$A$3:$FB$285,24,FALSE)</f>
        <v>0</v>
      </c>
      <c r="U15" s="27">
        <f>VLOOKUP($A15,'[1]Raw Data'!$A$3:$FB$285,26,FALSE)</f>
        <v>0.42</v>
      </c>
      <c r="V15" s="27">
        <f>VLOOKUP($A15,'[1]Raw Data'!$A$3:$FB$285,27,FALSE)</f>
        <v>0.8</v>
      </c>
      <c r="W15" s="27">
        <f>VLOOKUP($A15,'[1]Raw Data'!$A$3:$FB$285,29,FALSE)</f>
        <v>0</v>
      </c>
      <c r="X15" s="27">
        <f>VLOOKUP($A15,'[1]Raw Data'!$A$3:$FB$285,30,FALSE)</f>
        <v>0</v>
      </c>
      <c r="Y15" s="27">
        <f>VLOOKUP($A15,'[1]Raw Data'!$A$3:$FB$285,32,FALSE)</f>
        <v>0</v>
      </c>
      <c r="Z15" s="27">
        <f>VLOOKUP($A15,'[1]Raw Data'!$A$3:$FB$285,33,FALSE)</f>
        <v>0.28999999999999998</v>
      </c>
      <c r="AA15" s="27">
        <f>VLOOKUP($A15,'[1]Raw Data'!$A$3:$FB$285,35,FALSE)</f>
        <v>0.56999999999999995</v>
      </c>
      <c r="AB15" s="27">
        <f>VLOOKUP($A15,'[1]Raw Data'!$A$3:$FB$285,36,FALSE)</f>
        <v>18.559999999999999</v>
      </c>
      <c r="AC15" s="27">
        <f>VLOOKUP($A15,'[1]Raw Data'!$A$3:$FB$285,38,FALSE)</f>
        <v>1.42</v>
      </c>
      <c r="AD15" s="27">
        <f>VLOOKUP($A15,'[1]Raw Data'!$A$3:$FB$285,39,FALSE)</f>
        <v>1.4</v>
      </c>
      <c r="AE15" s="27">
        <f>VLOOKUP($A15,'[1]Raw Data'!$A$3:$FB$285,41,FALSE)</f>
        <v>0</v>
      </c>
      <c r="AF15" s="27">
        <f>VLOOKUP($A15,'[1]Raw Data'!$A$3:$FB$285,42,FALSE)</f>
        <v>0</v>
      </c>
      <c r="AG15" s="27">
        <f>VLOOKUP($A15,'[1]Raw Data'!$A$3:$FB$285,44,FALSE)</f>
        <v>0</v>
      </c>
      <c r="AH15" s="27">
        <f>VLOOKUP($A15,'[1]Raw Data'!$A$3:$FB$285,45,FALSE)</f>
        <v>0</v>
      </c>
      <c r="AI15" s="27">
        <f>VLOOKUP($A15,'[1]Raw Data'!$A$3:$FB$285,46,FALSE)</f>
        <v>141</v>
      </c>
      <c r="AJ15" s="27">
        <f>VLOOKUP($A15,'[1]Raw Data'!$A$3:$FB$285,47,FALSE)</f>
        <v>59</v>
      </c>
      <c r="AK15" s="27">
        <f>VLOOKUP($A15,'[1]Raw Data'!$A$3:$FB$285,48,FALSE)</f>
        <v>59</v>
      </c>
      <c r="AL15" s="27">
        <f>VLOOKUP($A15,'[1]Raw Data'!$A$3:$FB$285,49,FALSE)</f>
        <v>33</v>
      </c>
      <c r="AM15" s="27">
        <f>VLOOKUP($A15,'[1]Raw Data'!$A$3:$FB$285,50,FALSE)</f>
        <v>0</v>
      </c>
      <c r="AN15" s="27" t="str">
        <f>VLOOKUP($A15,'[1]Raw Data'!$A$3:$FB$285,51,FALSE)</f>
        <v/>
      </c>
      <c r="AO15" s="27" t="str">
        <f>VLOOKUP($A15,'[1]Raw Data'!$A$3:$FB$285,52,FALSE)</f>
        <v/>
      </c>
      <c r="AP15" s="27">
        <f>VLOOKUP($A15,'[1]Raw Data'!$A$3:$FB$285,53,FALSE)</f>
        <v>37</v>
      </c>
      <c r="AQ15" s="27" t="str">
        <f>VLOOKUP($A15,'[1]Raw Data'!$A$3:$FB$285,54,FALSE)</f>
        <v/>
      </c>
      <c r="AR15" s="27" t="str">
        <f>VLOOKUP($A15,'[1]Raw Data'!$A$3:$FB$285,55,FALSE)</f>
        <v/>
      </c>
      <c r="AS15" s="27" t="str">
        <f>VLOOKUP($A15,'[1]Raw Data'!$A$3:$FB$285,56,FALSE)</f>
        <v/>
      </c>
      <c r="AT15" s="27" t="str">
        <f>VLOOKUP($A15,'[1]Raw Data'!$A$3:$FB$285,57,FALSE)</f>
        <v/>
      </c>
      <c r="AU15" s="27" t="str">
        <f>VLOOKUP($A15,'[1]Raw Data'!$A$3:$FB$285,58,FALSE)</f>
        <v/>
      </c>
      <c r="AV15" s="27" t="str">
        <f>VLOOKUP($A15,'[1]Raw Data'!$A$3:$FB$285,59,FALSE)</f>
        <v/>
      </c>
      <c r="AW15" s="27" t="str">
        <f>VLOOKUP($A15,'[1]Raw Data'!$A$3:$FB$285,60,FALSE)</f>
        <v/>
      </c>
      <c r="AX15" s="27" t="str">
        <f>VLOOKUP(A15,'[1]PO''s List'!A13:E295,4,FALSE)</f>
        <v/>
      </c>
      <c r="AZ15" s="27" t="str">
        <f>VLOOKUP(A15,'[1]PO''s List'!$A$3:$E$285,5,FALSE)</f>
        <v/>
      </c>
      <c r="BB15" s="27">
        <f>VLOOKUP($A15,'[1]Raw Data'!$A$3:$FB$285,63,FALSE)</f>
        <v>1657</v>
      </c>
      <c r="BC15" s="27" t="str">
        <f>VLOOKUP($A15,'[1]Raw Data'!$A$3:$FB$285,64,FALSE)</f>
        <v/>
      </c>
      <c r="BD15" s="27" t="str">
        <f t="shared" si="0"/>
        <v/>
      </c>
      <c r="BE15" s="27" t="str">
        <f>VLOOKUP($A15,'[1]Raw Data'!$A$3:$FB$285,65,FALSE)</f>
        <v/>
      </c>
      <c r="BF15" s="27">
        <f>VLOOKUP($A15,'[1]Raw Data'!$A$3:$FB$285,66,FALSE)</f>
        <v>1745</v>
      </c>
      <c r="BG15" s="27" t="str">
        <f>VLOOKUP($A15,'[1]Raw Data'!$A$3:$FB$285,67,FALSE)</f>
        <v/>
      </c>
      <c r="BH15" s="27" t="str">
        <f t="shared" si="1"/>
        <v/>
      </c>
      <c r="BI15" s="27" t="str">
        <f>VLOOKUP($A15,'[1]Raw Data'!$A$3:$FB$285,68,FALSE)</f>
        <v/>
      </c>
      <c r="BJ15" s="27">
        <f>VLOOKUP($A15,'[1]Raw Data'!$A$3:$FB$285,69,FALSE)</f>
        <v>177</v>
      </c>
      <c r="BK15" s="27" t="str">
        <f>VLOOKUP($A15,'[1]Raw Data'!$A$3:$FB$285,70,FALSE)</f>
        <v/>
      </c>
      <c r="BL15" s="27" t="str">
        <f t="shared" si="2"/>
        <v/>
      </c>
      <c r="BM15" s="27" t="str">
        <f>VLOOKUP($A15,'[1]Raw Data'!$A$3:$FB$285,71,FALSE)</f>
        <v/>
      </c>
      <c r="BN15" s="27">
        <f>VLOOKUP($A15,'[1]Raw Data'!$A$3:$FB$285,72,FALSE)</f>
        <v>206</v>
      </c>
      <c r="BO15" s="27" t="str">
        <f>VLOOKUP($A15,'[1]Raw Data'!$A$3:$FB$285,73,FALSE)</f>
        <v/>
      </c>
      <c r="BP15" s="27" t="str">
        <f t="shared" si="3"/>
        <v/>
      </c>
      <c r="BQ15" s="27" t="str">
        <f>VLOOKUP($A15,'[1]Raw Data'!$A$3:$FB$285,74,FALSE)</f>
        <v/>
      </c>
      <c r="BR15" s="27" t="str">
        <f>VLOOKUP($A15,'[1]Raw Data'!$A$3:$FB$285,75,FALSE)</f>
        <v/>
      </c>
      <c r="BS15" s="27" t="str">
        <f>VLOOKUP($A15,'[1]Raw Data'!$A$3:$FB$285,76,FALSE)</f>
        <v/>
      </c>
      <c r="BT15" s="27" t="str">
        <f t="shared" si="4"/>
        <v/>
      </c>
      <c r="BU15" s="27" t="str">
        <f>VLOOKUP($A15,'[1]Raw Data'!$A$3:$FB$285,77,FALSE)</f>
        <v/>
      </c>
      <c r="BV15" s="27">
        <f>VLOOKUP($A15,'[1]Raw Data'!$A$3:$FB$285,78,FALSE)</f>
        <v>5747</v>
      </c>
      <c r="BW15" s="27" t="str">
        <f>VLOOKUP($A15,'[1]Raw Data'!$A$3:$FB$285,79,FALSE)</f>
        <v/>
      </c>
      <c r="BX15" s="27" t="str">
        <f t="shared" si="5"/>
        <v/>
      </c>
      <c r="BY15" s="27" t="str">
        <f>VLOOKUP($A15,'[1]Raw Data'!$A$3:$FB$285,80,FALSE)</f>
        <v/>
      </c>
      <c r="BZ15" s="27">
        <f>VLOOKUP($A15,'[1]Raw Data'!$A$3:$FB$285,81,FALSE)</f>
        <v>17854</v>
      </c>
      <c r="CA15" s="27" t="str">
        <f>VLOOKUP($A15,'[1]Raw Data'!$A$3:$FB$285,82,FALSE)</f>
        <v/>
      </c>
      <c r="CB15" s="27" t="str">
        <f t="shared" si="6"/>
        <v/>
      </c>
      <c r="CC15" s="27" t="str">
        <f>VLOOKUP($A15,'[1]Raw Data'!$A$3:$FB$285,83,FALSE)</f>
        <v/>
      </c>
      <c r="CD15" s="27">
        <f>VLOOKUP($A15,'[1]Raw Data'!$A$3:$FB$285,84,FALSE)</f>
        <v>235</v>
      </c>
      <c r="CE15" s="27" t="str">
        <f>VLOOKUP($A15,'[1]Raw Data'!$A$3:$FB$285,85,FALSE)</f>
        <v/>
      </c>
      <c r="CF15" s="27" t="str">
        <f t="shared" si="7"/>
        <v/>
      </c>
      <c r="CG15" s="27" t="str">
        <f>VLOOKUP($A15,'[1]Raw Data'!$A$3:$FB$285,86,FALSE)</f>
        <v/>
      </c>
      <c r="CH15" s="27">
        <f>VLOOKUP($A15,'[1]Raw Data'!$A$3:$FB$285,87,FALSE)</f>
        <v>8592</v>
      </c>
      <c r="CI15" s="27" t="str">
        <f>VLOOKUP($A15,'[1]Raw Data'!$A$3:$FB$285,88,FALSE)</f>
        <v/>
      </c>
      <c r="CJ15" s="27" t="str">
        <f t="shared" si="8"/>
        <v/>
      </c>
      <c r="CK15" s="27" t="str">
        <f>VLOOKUP($A15,'[1]Raw Data'!$A$3:$FB$285,89,FALSE)</f>
        <v/>
      </c>
      <c r="CL15" s="27" t="str">
        <f>VLOOKUP($A15,'[1]Raw Data'!$A$3:$FB$285,91,FALSE)</f>
        <v/>
      </c>
      <c r="CM15" s="27" t="str">
        <f>VLOOKUP($A15,'[1]Raw Data'!$A$3:$FB$285,93,FALSE)</f>
        <v/>
      </c>
      <c r="CN15" s="27" t="str">
        <f>VLOOKUP($A15,'[1]Raw Data'!$A$3:$FB$285,94,FALSE)</f>
        <v/>
      </c>
      <c r="CO15" s="27" t="str">
        <f>VLOOKUP($A15,'[1]Raw Data'!$A$3:$FB$285,95,FALSE)</f>
        <v/>
      </c>
      <c r="CP15" s="27" t="str">
        <f>VLOOKUP($A15,'[1]Raw Data'!$A$3:$FB$285,96,FALSE)</f>
        <v/>
      </c>
      <c r="CQ15" s="27" t="str">
        <f>VLOOKUP($A15,'[1]Raw Data'!$A$3:$FB$285,97,FALSE)</f>
        <v/>
      </c>
      <c r="CR15" s="27" t="str">
        <f>VLOOKUP($A15,'[1]Raw Data'!$A$3:$FB$285,98,FALSE)</f>
        <v/>
      </c>
      <c r="CS15" s="27" t="str">
        <f>VLOOKUP($A15,'[1]Raw Data'!$A$3:$FB$285,99,FALSE)</f>
        <v/>
      </c>
      <c r="CT15" s="27" t="str">
        <f>VLOOKUP($A15,'[1]Raw Data'!$A$3:$FB$285,101,FALSE)</f>
        <v/>
      </c>
      <c r="CV15" s="27" t="str">
        <f>VLOOKUP($A15,'[1]Raw Data'!$A$3:$FB$285,102,FALSE)</f>
        <v>Mayor</v>
      </c>
      <c r="CW15" s="27" t="s">
        <v>834</v>
      </c>
      <c r="CX15" s="27" t="str">
        <f>VLOOKUP($A15,'[1]Raw Data'!$A$3:$FB$285,103,FALSE)</f>
        <v/>
      </c>
      <c r="CY15" s="27" t="str">
        <f>VLOOKUP($A15,'[1]Raw Data'!$A$3:$FB$285,105,FALSE)</f>
        <v/>
      </c>
      <c r="DA15" s="27" t="str">
        <f>VLOOKUP($A15,'[1]Raw Data'!$A$3:$FB$285,106,FALSE)</f>
        <v>Deputy Mayor</v>
      </c>
      <c r="DB15" s="27" t="s">
        <v>888</v>
      </c>
      <c r="DC15" s="27" t="str">
        <f>VLOOKUP($A15,'[1]Raw Data'!$A$3:$FB$285,107,FALSE)</f>
        <v/>
      </c>
      <c r="DD15" s="27" t="str">
        <f>VLOOKUP($A15,'[1]Raw Data'!$A$3:$FB$285,109,FALSE)</f>
        <v/>
      </c>
      <c r="DF15" s="27" t="str">
        <f>VLOOKUP($A15,'[1]Raw Data'!$A$3:$FB$285,110,FALSE)</f>
        <v>Chief Adminstration Officer</v>
      </c>
      <c r="DG15" s="27" t="s">
        <v>880</v>
      </c>
      <c r="DH15" s="27" t="str">
        <f>VLOOKUP($A15,'[1]Raw Data'!$A$3:$FB$285,111,FALSE)</f>
        <v/>
      </c>
      <c r="DI15" s="27" t="str">
        <f>VLOOKUP($A15,'[1]Raw Data'!$A$3:$FB$285,121,FALSE)</f>
        <v/>
      </c>
      <c r="DK15" s="27" t="str">
        <f>VLOOKUP($A15,'[1]Raw Data'!$A$3:$FB$285,122,FALSE)</f>
        <v>Focal Person</v>
      </c>
      <c r="DL15" s="27" t="s">
        <v>881</v>
      </c>
      <c r="DM15" s="27" t="str">
        <f>VLOOKUP($A15,'[1]Raw Data'!$A$3:$FB$285,123,FALSE)</f>
        <v/>
      </c>
      <c r="DN15" s="27" t="str">
        <f>VLOOKUP($A15,'[1]Raw Data'!$A$3:$FB$285,113,FALSE)</f>
        <v/>
      </c>
      <c r="DP15" s="27" t="str">
        <f>VLOOKUP($A15,'[1]Raw Data'!$A$3:$FB$285,114,FALSE)</f>
        <v>NRA Chief-District</v>
      </c>
      <c r="DQ15" s="27" t="s">
        <v>882</v>
      </c>
      <c r="DR15" s="27" t="str">
        <f>VLOOKUP($A15,'[1]Raw Data'!$A$3:$FB$285,115,FALSE)</f>
        <v/>
      </c>
      <c r="DS15" s="27" t="str">
        <f>VLOOKUP($A15,'[1]Raw Data'!$A$3:$FB$285,117,FALSE)</f>
        <v/>
      </c>
      <c r="DU15" s="27" t="str">
        <f>VLOOKUP($A15,'[1]Raw Data'!$A$3:$FB$285,118,FALSE)</f>
        <v>DUDBC.DLPIU Chief</v>
      </c>
      <c r="DV15" s="27" t="s">
        <v>883</v>
      </c>
      <c r="DW15" s="27" t="str">
        <f>VLOOKUP($A15,'[1]Raw Data'!$A$3:$FB$285,119,FALSE)</f>
        <v/>
      </c>
      <c r="DX15" s="27" t="s">
        <v>339</v>
      </c>
      <c r="DY15" s="27" t="str">
        <f>VLOOKUP($A15,'[1]Raw Data'!$A$3:$FB$285,124,FALSE)</f>
        <v/>
      </c>
      <c r="DZ15" s="27" t="s">
        <v>884</v>
      </c>
      <c r="EA15" s="27" t="str">
        <f>VLOOKUP($A15,'[1]Raw Data'!$A$3:$FB$285,125,FALSE)</f>
        <v/>
      </c>
      <c r="EB15" s="27" t="s">
        <v>341</v>
      </c>
      <c r="EC15" s="27" t="str">
        <f>VLOOKUP($A15,'[1]Raw Data'!$A$3:$FB$285,126,FALSE)</f>
        <v/>
      </c>
      <c r="ED15" t="s">
        <v>478</v>
      </c>
      <c r="EE15" s="27" t="str">
        <f>VLOOKUP($A15,'[1]Raw Data'!$A$3:$FB$285,127,FALSE)</f>
        <v/>
      </c>
      <c r="EF15" s="27" t="s">
        <v>343</v>
      </c>
      <c r="EG15" s="27" t="str">
        <f>VLOOKUP($A15,'[1]Raw Data'!$A$3:$FB$285,128,FALSE)</f>
        <v/>
      </c>
      <c r="EH15" t="s">
        <v>344</v>
      </c>
      <c r="EI15" s="27" t="str">
        <f>VLOOKUP($A15,'[1]Raw Data'!$A$3:$FB$285,129,FALSE)</f>
        <v/>
      </c>
      <c r="EM15" s="27" t="str">
        <f>VLOOKUP($A15,'[1]Raw Data'!$A$3:$FB$285,130,FALSE)</f>
        <v/>
      </c>
      <c r="EN15" s="27" t="str">
        <f>VLOOKUP($A15,'[1]Raw Data'!$A$3:$FB$285,131,FALSE)</f>
        <v/>
      </c>
      <c r="EO15" s="27" t="str">
        <f>VLOOKUP($A15,'[1]Raw Data'!$A$3:$FB$285,132,FALSE)</f>
        <v/>
      </c>
      <c r="EP15" s="27" t="str">
        <f>VLOOKUP($A15,'[1]Raw Data'!$A$3:$FB$285,133,FALSE)</f>
        <v/>
      </c>
      <c r="EQ15" s="27" t="str">
        <f>VLOOKUP($A15,'[1]Raw Data'!$A$3:$FB$285,134,FALSE)</f>
        <v/>
      </c>
      <c r="ER15" s="27" t="str">
        <f>VLOOKUP($A15,'[1]Raw Data'!$A$3:$FB$285,135,FALSE)</f>
        <v/>
      </c>
      <c r="ES15" s="27" t="str">
        <f>VLOOKUP($A15,'[1]Raw Data'!$A$3:$FB$285,136,FALSE)</f>
        <v/>
      </c>
      <c r="ET15" s="27" t="str">
        <f>VLOOKUP($A15,'[1]Raw Data'!$A$3:$FB$285,137,FALSE)</f>
        <v/>
      </c>
      <c r="EU15" s="27" t="str">
        <f>VLOOKUP($A15,'[1]Raw Data'!$A$3:$FB$285,138,FALSE)</f>
        <v/>
      </c>
      <c r="EV15" s="27" t="str">
        <f>VLOOKUP($A15,'[1]Raw Data'!$A$3:$FB$285,139,FALSE)</f>
        <v/>
      </c>
      <c r="EW15" s="38">
        <f>VLOOKUP($A15,[1]Training!$A$2:$I$284,5,FALSE)</f>
        <v>10.846153846153847</v>
      </c>
      <c r="EX15" s="31">
        <f>VLOOKUP($A15,[1]Training!$A$2:$I$284,6,FALSE)</f>
        <v>0</v>
      </c>
      <c r="EY15" s="38">
        <f>VLOOKUP($A15,[1]Training!$A$2:$I$284,8,FALSE)</f>
        <v>12.818181818181818</v>
      </c>
      <c r="EZ15" s="31">
        <f>VLOOKUP($A15,[1]Training!$A$2:$I$284,9,FALSE)</f>
        <v>0</v>
      </c>
      <c r="FA15" s="27">
        <v>1</v>
      </c>
      <c r="FB15" s="27">
        <v>2</v>
      </c>
      <c r="FC15" s="27" t="str">
        <f>VLOOKUP($A15,'[1]Raw Data'!$A$3:$FB$285,148,FALSE)</f>
        <v/>
      </c>
      <c r="FE15" s="27" t="str">
        <f>VLOOKUP($A15,'[1]Raw Data'!$A$3:$FB$285,149,FALSE)</f>
        <v>District Coordinator</v>
      </c>
      <c r="FF15" s="27" t="s">
        <v>885</v>
      </c>
      <c r="FG15" s="27" t="str">
        <f>VLOOKUP($A15,'[1]Raw Data'!$A$3:$FB$285,150,FALSE)</f>
        <v/>
      </c>
      <c r="FH15" s="27" t="str">
        <f>VLOOKUP($A15,'[1]Raw Data'!$A$3:$FB$285,156,FALSE)</f>
        <v/>
      </c>
      <c r="FJ15" s="27" t="str">
        <f>VLOOKUP($A15,'[1]Raw Data'!$A$3:$FB$285,157,FALSE)</f>
        <v>District Technical Officer</v>
      </c>
      <c r="FK15" s="27" t="s">
        <v>886</v>
      </c>
      <c r="FL15" s="27" t="str">
        <f>VLOOKUP($A15,'[1]Raw Data'!$A$3:$FB$285,158,FALSE)</f>
        <v/>
      </c>
      <c r="FM15" s="27" t="str">
        <f>VLOOKUP($A15,'[1]Raw Data'!$A$3:$FB$285,152,FALSE)</f>
        <v/>
      </c>
      <c r="FO15" s="27" t="str">
        <f>VLOOKUP($A15,'[1]Raw Data'!$A$3:$FB$285,153,FALSE)</f>
        <v>DIstrict Information Management Officer</v>
      </c>
      <c r="FP15" s="27" t="s">
        <v>887</v>
      </c>
      <c r="FQ15" s="27" t="str">
        <f>VLOOKUP($A15,'[1]Raw Data'!$A$3:$FB$285,154,FALSE)</f>
        <v/>
      </c>
    </row>
    <row r="16" spans="1:173" ht="24" x14ac:dyDescent="0.45">
      <c r="A16" s="27">
        <v>9005</v>
      </c>
      <c r="B16" s="36" t="str">
        <f ca="1">IFERROR(__xludf.DUMMYFUNCTION("""COMPUTED_VALUE"""),"Khandbari Nagarpalika")</f>
        <v>Khandbari Nagarpalika</v>
      </c>
      <c r="C16" s="37" t="str">
        <f>VLOOKUP(A16,'[1]Palika and District in Nepali '!$D$1:$F$283,3,FALSE)</f>
        <v>खाँदबारी नगरपालिका</v>
      </c>
      <c r="D16" s="36" t="str">
        <f ca="1">IFERROR(__xludf.DUMMYFUNCTION("""COMPUTED_VALUE"""),"Sankhuwasabha")</f>
        <v>Sankhuwasabha</v>
      </c>
      <c r="E16" s="36"/>
      <c r="F16" s="27">
        <f>VLOOKUP(A16,'[1]Raw Data'!$A$3:$FB$285,4,FALSE)</f>
        <v>1264</v>
      </c>
      <c r="G16" s="27">
        <f>VLOOKUP(A16,'[1]Raw Data'!$A$3:$FB$285,5,FALSE)</f>
        <v>902</v>
      </c>
      <c r="H16" s="27">
        <f>VLOOKUP(A16,'[1]Raw Data'!$A$3:$FB$285,6,FALSE)</f>
        <v>2166</v>
      </c>
      <c r="I16" s="27">
        <f>VLOOKUP($A16,'[1]Raw Data'!$A$3:$FB$285,8,FALSE)</f>
        <v>0.98</v>
      </c>
      <c r="J16" s="27">
        <f>VLOOKUP($A16,'[1]Raw Data'!$A$3:$FB$285,9,FALSE)</f>
        <v>0.6</v>
      </c>
      <c r="K16" s="27">
        <f>VLOOKUP($A16,'[1]Raw Data'!$A$3:$FB$285,11,FALSE)</f>
        <v>53.95</v>
      </c>
      <c r="L16" s="27">
        <f>VLOOKUP($A16,'[1]Raw Data'!$A$3:$FB$285,12,FALSE)</f>
        <v>77</v>
      </c>
      <c r="M16" s="27">
        <f>VLOOKUP($A16,'[1]Raw Data'!$A$3:$FB$285,14,FALSE)</f>
        <v>0.7</v>
      </c>
      <c r="N16" s="27">
        <f>VLOOKUP($A16,'[1]Raw Data'!$A$3:$FB$285,15,FALSE)</f>
        <v>0.33</v>
      </c>
      <c r="O16" s="27">
        <f>VLOOKUP($A16,'[1]Raw Data'!$A$3:$FB$285,17,FALSE)</f>
        <v>0.47</v>
      </c>
      <c r="P16" s="27">
        <f>VLOOKUP($A16,'[1]Raw Data'!$A$3:$FB$285,18,FALSE)</f>
        <v>0.51</v>
      </c>
      <c r="Q16" s="27">
        <f>VLOOKUP($A16,'[1]Raw Data'!$A$3:$FB$285,20,FALSE)</f>
        <v>1.17</v>
      </c>
      <c r="R16" s="27">
        <f>VLOOKUP($A16,'[1]Raw Data'!$A$3:$FB$285,21,FALSE)</f>
        <v>0.51</v>
      </c>
      <c r="S16" s="27">
        <f>VLOOKUP($A16,'[1]Raw Data'!$A$3:$FB$285,23,FALSE)</f>
        <v>0</v>
      </c>
      <c r="T16" s="27">
        <f>VLOOKUP($A16,'[1]Raw Data'!$A$3:$FB$285,24,FALSE)</f>
        <v>0</v>
      </c>
      <c r="U16" s="27">
        <f>VLOOKUP($A16,'[1]Raw Data'!$A$3:$FB$285,26,FALSE)</f>
        <v>1.45</v>
      </c>
      <c r="V16" s="27">
        <f>VLOOKUP($A16,'[1]Raw Data'!$A$3:$FB$285,27,FALSE)</f>
        <v>0.8</v>
      </c>
      <c r="W16" s="27">
        <f>VLOOKUP($A16,'[1]Raw Data'!$A$3:$FB$285,29,FALSE)</f>
        <v>0</v>
      </c>
      <c r="X16" s="27">
        <f>VLOOKUP($A16,'[1]Raw Data'!$A$3:$FB$285,30,FALSE)</f>
        <v>0</v>
      </c>
      <c r="Y16" s="27">
        <f>VLOOKUP($A16,'[1]Raw Data'!$A$3:$FB$285,32,FALSE)</f>
        <v>0.05</v>
      </c>
      <c r="Z16" s="27">
        <f>VLOOKUP($A16,'[1]Raw Data'!$A$3:$FB$285,33,FALSE)</f>
        <v>0.28999999999999998</v>
      </c>
      <c r="AA16" s="27">
        <f>VLOOKUP($A16,'[1]Raw Data'!$A$3:$FB$285,35,FALSE)</f>
        <v>38.75</v>
      </c>
      <c r="AB16" s="27">
        <f>VLOOKUP($A16,'[1]Raw Data'!$A$3:$FB$285,36,FALSE)</f>
        <v>18.559999999999999</v>
      </c>
      <c r="AC16" s="27">
        <f>VLOOKUP($A16,'[1]Raw Data'!$A$3:$FB$285,38,FALSE)</f>
        <v>2.48</v>
      </c>
      <c r="AD16" s="27">
        <f>VLOOKUP($A16,'[1]Raw Data'!$A$3:$FB$285,39,FALSE)</f>
        <v>1.4</v>
      </c>
      <c r="AE16" s="27">
        <f>VLOOKUP($A16,'[1]Raw Data'!$A$3:$FB$285,41,FALSE)</f>
        <v>0</v>
      </c>
      <c r="AF16" s="27">
        <f>VLOOKUP($A16,'[1]Raw Data'!$A$3:$FB$285,42,FALSE)</f>
        <v>0</v>
      </c>
      <c r="AG16" s="27">
        <f>VLOOKUP($A16,'[1]Raw Data'!$A$3:$FB$285,44,FALSE)</f>
        <v>0</v>
      </c>
      <c r="AH16" s="27">
        <f>VLOOKUP($A16,'[1]Raw Data'!$A$3:$FB$285,45,FALSE)</f>
        <v>0</v>
      </c>
      <c r="AI16" s="27">
        <f>VLOOKUP($A16,'[1]Raw Data'!$A$3:$FB$285,46,FALSE)</f>
        <v>745</v>
      </c>
      <c r="AJ16" s="27">
        <f>VLOOKUP($A16,'[1]Raw Data'!$A$3:$FB$285,47,FALSE)</f>
        <v>286</v>
      </c>
      <c r="AK16" s="27">
        <f>VLOOKUP($A16,'[1]Raw Data'!$A$3:$FB$285,48,FALSE)</f>
        <v>286</v>
      </c>
      <c r="AL16" s="27">
        <f>VLOOKUP($A16,'[1]Raw Data'!$A$3:$FB$285,49,FALSE)</f>
        <v>117</v>
      </c>
      <c r="AM16" s="27">
        <f>VLOOKUP($A16,'[1]Raw Data'!$A$3:$FB$285,50,FALSE)</f>
        <v>0</v>
      </c>
      <c r="AN16" s="27" t="str">
        <f>VLOOKUP($A16,'[1]Raw Data'!$A$3:$FB$285,51,FALSE)</f>
        <v/>
      </c>
      <c r="AO16" s="27" t="str">
        <f>VLOOKUP($A16,'[1]Raw Data'!$A$3:$FB$285,52,FALSE)</f>
        <v/>
      </c>
      <c r="AP16" s="27">
        <f>VLOOKUP($A16,'[1]Raw Data'!$A$3:$FB$285,53,FALSE)</f>
        <v>126</v>
      </c>
      <c r="AQ16" s="27" t="str">
        <f>VLOOKUP($A16,'[1]Raw Data'!$A$3:$FB$285,54,FALSE)</f>
        <v/>
      </c>
      <c r="AR16" s="27" t="str">
        <f>VLOOKUP($A16,'[1]Raw Data'!$A$3:$FB$285,55,FALSE)</f>
        <v/>
      </c>
      <c r="AS16" s="27" t="str">
        <f>VLOOKUP($A16,'[1]Raw Data'!$A$3:$FB$285,56,FALSE)</f>
        <v/>
      </c>
      <c r="AT16" s="27" t="str">
        <f>VLOOKUP($A16,'[1]Raw Data'!$A$3:$FB$285,57,FALSE)</f>
        <v/>
      </c>
      <c r="AU16" s="27" t="str">
        <f>VLOOKUP($A16,'[1]Raw Data'!$A$3:$FB$285,58,FALSE)</f>
        <v/>
      </c>
      <c r="AV16" s="27" t="str">
        <f>VLOOKUP($A16,'[1]Raw Data'!$A$3:$FB$285,59,FALSE)</f>
        <v/>
      </c>
      <c r="AW16" s="27" t="str">
        <f>VLOOKUP($A16,'[1]Raw Data'!$A$3:$FB$285,60,FALSE)</f>
        <v/>
      </c>
      <c r="AX16" s="27" t="str">
        <f>VLOOKUP(A16,'[1]PO''s List'!A14:E296,4,FALSE)</f>
        <v/>
      </c>
      <c r="AZ16" s="27" t="str">
        <f>VLOOKUP(A16,'[1]PO''s List'!$A$3:$E$285,5,FALSE)</f>
        <v/>
      </c>
      <c r="BB16" s="27">
        <f>VLOOKUP($A16,'[1]Raw Data'!$A$3:$FB$285,63,FALSE)</f>
        <v>7962</v>
      </c>
      <c r="BC16" s="27" t="str">
        <f>VLOOKUP($A16,'[1]Raw Data'!$A$3:$FB$285,64,FALSE)</f>
        <v/>
      </c>
      <c r="BD16" s="27" t="str">
        <f t="shared" si="0"/>
        <v/>
      </c>
      <c r="BE16" s="27" t="str">
        <f>VLOOKUP($A16,'[1]Raw Data'!$A$3:$FB$285,65,FALSE)</f>
        <v/>
      </c>
      <c r="BF16" s="27">
        <f>VLOOKUP($A16,'[1]Raw Data'!$A$3:$FB$285,66,FALSE)</f>
        <v>8161</v>
      </c>
      <c r="BG16" s="27" t="str">
        <f>VLOOKUP($A16,'[1]Raw Data'!$A$3:$FB$285,67,FALSE)</f>
        <v/>
      </c>
      <c r="BH16" s="27" t="str">
        <f t="shared" si="1"/>
        <v/>
      </c>
      <c r="BI16" s="27" t="str">
        <f>VLOOKUP($A16,'[1]Raw Data'!$A$3:$FB$285,68,FALSE)</f>
        <v/>
      </c>
      <c r="BJ16" s="27">
        <f>VLOOKUP($A16,'[1]Raw Data'!$A$3:$FB$285,69,FALSE)</f>
        <v>850</v>
      </c>
      <c r="BK16" s="27" t="str">
        <f>VLOOKUP($A16,'[1]Raw Data'!$A$3:$FB$285,70,FALSE)</f>
        <v/>
      </c>
      <c r="BL16" s="27" t="str">
        <f t="shared" si="2"/>
        <v/>
      </c>
      <c r="BM16" s="27" t="str">
        <f>VLOOKUP($A16,'[1]Raw Data'!$A$3:$FB$285,71,FALSE)</f>
        <v/>
      </c>
      <c r="BN16" s="27">
        <f>VLOOKUP($A16,'[1]Raw Data'!$A$3:$FB$285,72,FALSE)</f>
        <v>982</v>
      </c>
      <c r="BO16" s="27" t="str">
        <f>VLOOKUP($A16,'[1]Raw Data'!$A$3:$FB$285,73,FALSE)</f>
        <v/>
      </c>
      <c r="BP16" s="27" t="str">
        <f t="shared" si="3"/>
        <v/>
      </c>
      <c r="BQ16" s="27" t="str">
        <f>VLOOKUP($A16,'[1]Raw Data'!$A$3:$FB$285,74,FALSE)</f>
        <v/>
      </c>
      <c r="BR16" s="27" t="str">
        <f>VLOOKUP($A16,'[1]Raw Data'!$A$3:$FB$285,75,FALSE)</f>
        <v/>
      </c>
      <c r="BS16" s="27" t="str">
        <f>VLOOKUP($A16,'[1]Raw Data'!$A$3:$FB$285,76,FALSE)</f>
        <v/>
      </c>
      <c r="BT16" s="27" t="str">
        <f t="shared" si="4"/>
        <v/>
      </c>
      <c r="BU16" s="27" t="str">
        <f>VLOOKUP($A16,'[1]Raw Data'!$A$3:$FB$285,77,FALSE)</f>
        <v/>
      </c>
      <c r="BV16" s="27">
        <f>VLOOKUP($A16,'[1]Raw Data'!$A$3:$FB$285,78,FALSE)</f>
        <v>27221</v>
      </c>
      <c r="BW16" s="27" t="str">
        <f>VLOOKUP($A16,'[1]Raw Data'!$A$3:$FB$285,79,FALSE)</f>
        <v/>
      </c>
      <c r="BX16" s="27" t="str">
        <f t="shared" si="5"/>
        <v/>
      </c>
      <c r="BY16" s="27" t="str">
        <f>VLOOKUP($A16,'[1]Raw Data'!$A$3:$FB$285,80,FALSE)</f>
        <v/>
      </c>
      <c r="BZ16" s="27">
        <f>VLOOKUP($A16,'[1]Raw Data'!$A$3:$FB$285,81,FALSE)</f>
        <v>86561</v>
      </c>
      <c r="CA16" s="27" t="str">
        <f>VLOOKUP($A16,'[1]Raw Data'!$A$3:$FB$285,82,FALSE)</f>
        <v/>
      </c>
      <c r="CB16" s="27" t="str">
        <f t="shared" si="6"/>
        <v/>
      </c>
      <c r="CC16" s="27" t="str">
        <f>VLOOKUP($A16,'[1]Raw Data'!$A$3:$FB$285,83,FALSE)</f>
        <v/>
      </c>
      <c r="CD16" s="27">
        <f>VLOOKUP($A16,'[1]Raw Data'!$A$3:$FB$285,84,FALSE)</f>
        <v>1114</v>
      </c>
      <c r="CE16" s="27" t="str">
        <f>VLOOKUP($A16,'[1]Raw Data'!$A$3:$FB$285,85,FALSE)</f>
        <v/>
      </c>
      <c r="CF16" s="27" t="str">
        <f t="shared" si="7"/>
        <v/>
      </c>
      <c r="CG16" s="27" t="str">
        <f>VLOOKUP($A16,'[1]Raw Data'!$A$3:$FB$285,86,FALSE)</f>
        <v/>
      </c>
      <c r="CH16" s="27">
        <f>VLOOKUP($A16,'[1]Raw Data'!$A$3:$FB$285,87,FALSE)</f>
        <v>106384</v>
      </c>
      <c r="CI16" s="27" t="str">
        <f>VLOOKUP($A16,'[1]Raw Data'!$A$3:$FB$285,88,FALSE)</f>
        <v/>
      </c>
      <c r="CJ16" s="27" t="str">
        <f t="shared" si="8"/>
        <v/>
      </c>
      <c r="CK16" s="27" t="str">
        <f>VLOOKUP($A16,'[1]Raw Data'!$A$3:$FB$285,89,FALSE)</f>
        <v/>
      </c>
      <c r="CL16" s="27" t="str">
        <f>VLOOKUP($A16,'[1]Raw Data'!$A$3:$FB$285,91,FALSE)</f>
        <v/>
      </c>
      <c r="CM16" s="27" t="str">
        <f>VLOOKUP($A16,'[1]Raw Data'!$A$3:$FB$285,93,FALSE)</f>
        <v/>
      </c>
      <c r="CN16" s="27" t="str">
        <f>VLOOKUP($A16,'[1]Raw Data'!$A$3:$FB$285,94,FALSE)</f>
        <v/>
      </c>
      <c r="CO16" s="27" t="str">
        <f>VLOOKUP($A16,'[1]Raw Data'!$A$3:$FB$285,95,FALSE)</f>
        <v/>
      </c>
      <c r="CP16" s="27" t="str">
        <f>VLOOKUP($A16,'[1]Raw Data'!$A$3:$FB$285,96,FALSE)</f>
        <v/>
      </c>
      <c r="CQ16" s="27" t="str">
        <f>VLOOKUP($A16,'[1]Raw Data'!$A$3:$FB$285,97,FALSE)</f>
        <v/>
      </c>
      <c r="CR16" s="27" t="str">
        <f>VLOOKUP($A16,'[1]Raw Data'!$A$3:$FB$285,98,FALSE)</f>
        <v/>
      </c>
      <c r="CS16" s="27" t="str">
        <f>VLOOKUP($A16,'[1]Raw Data'!$A$3:$FB$285,99,FALSE)</f>
        <v/>
      </c>
      <c r="CT16" s="27" t="str">
        <f>VLOOKUP($A16,'[1]Raw Data'!$A$3:$FB$285,101,FALSE)</f>
        <v/>
      </c>
      <c r="CV16" s="27" t="str">
        <f>VLOOKUP($A16,'[1]Raw Data'!$A$3:$FB$285,102,FALSE)</f>
        <v>Mayor</v>
      </c>
      <c r="CW16" s="27" t="s">
        <v>834</v>
      </c>
      <c r="CX16" s="27" t="str">
        <f>VLOOKUP($A16,'[1]Raw Data'!$A$3:$FB$285,103,FALSE)</f>
        <v/>
      </c>
      <c r="CY16" s="27" t="str">
        <f>VLOOKUP($A16,'[1]Raw Data'!$A$3:$FB$285,105,FALSE)</f>
        <v/>
      </c>
      <c r="DA16" s="27" t="str">
        <f>VLOOKUP($A16,'[1]Raw Data'!$A$3:$FB$285,106,FALSE)</f>
        <v>Deputy Mayor</v>
      </c>
      <c r="DB16" s="27" t="s">
        <v>888</v>
      </c>
      <c r="DC16" s="27" t="str">
        <f>VLOOKUP($A16,'[1]Raw Data'!$A$3:$FB$285,107,FALSE)</f>
        <v/>
      </c>
      <c r="DD16" s="27" t="str">
        <f>VLOOKUP($A16,'[1]Raw Data'!$A$3:$FB$285,109,FALSE)</f>
        <v/>
      </c>
      <c r="DF16" s="27" t="str">
        <f>VLOOKUP($A16,'[1]Raw Data'!$A$3:$FB$285,110,FALSE)</f>
        <v>Chief Adminstration Officer</v>
      </c>
      <c r="DG16" s="27" t="s">
        <v>880</v>
      </c>
      <c r="DH16" s="27" t="str">
        <f>VLOOKUP($A16,'[1]Raw Data'!$A$3:$FB$285,111,FALSE)</f>
        <v/>
      </c>
      <c r="DI16" s="27" t="str">
        <f>VLOOKUP($A16,'[1]Raw Data'!$A$3:$FB$285,121,FALSE)</f>
        <v/>
      </c>
      <c r="DK16" s="27" t="str">
        <f>VLOOKUP($A16,'[1]Raw Data'!$A$3:$FB$285,122,FALSE)</f>
        <v>Focal Person</v>
      </c>
      <c r="DL16" s="27" t="s">
        <v>881</v>
      </c>
      <c r="DM16" s="27" t="str">
        <f>VLOOKUP($A16,'[1]Raw Data'!$A$3:$FB$285,123,FALSE)</f>
        <v/>
      </c>
      <c r="DN16" s="27" t="str">
        <f>VLOOKUP($A16,'[1]Raw Data'!$A$3:$FB$285,113,FALSE)</f>
        <v/>
      </c>
      <c r="DP16" s="27" t="str">
        <f>VLOOKUP($A16,'[1]Raw Data'!$A$3:$FB$285,114,FALSE)</f>
        <v>NRA Chief-District</v>
      </c>
      <c r="DQ16" s="27" t="s">
        <v>882</v>
      </c>
      <c r="DR16" s="27" t="str">
        <f>VLOOKUP($A16,'[1]Raw Data'!$A$3:$FB$285,115,FALSE)</f>
        <v/>
      </c>
      <c r="DS16" s="27" t="str">
        <f>VLOOKUP($A16,'[1]Raw Data'!$A$3:$FB$285,117,FALSE)</f>
        <v/>
      </c>
      <c r="DU16" s="27" t="str">
        <f>VLOOKUP($A16,'[1]Raw Data'!$A$3:$FB$285,118,FALSE)</f>
        <v>DUDBC.DLPIU Chief</v>
      </c>
      <c r="DV16" s="27" t="s">
        <v>883</v>
      </c>
      <c r="DW16" s="27" t="str">
        <f>VLOOKUP($A16,'[1]Raw Data'!$A$3:$FB$285,119,FALSE)</f>
        <v/>
      </c>
      <c r="DX16" s="27" t="s">
        <v>339</v>
      </c>
      <c r="DY16" s="27" t="str">
        <f>VLOOKUP($A16,'[1]Raw Data'!$A$3:$FB$285,124,FALSE)</f>
        <v/>
      </c>
      <c r="DZ16" s="27" t="s">
        <v>884</v>
      </c>
      <c r="EA16" s="27" t="str">
        <f>VLOOKUP($A16,'[1]Raw Data'!$A$3:$FB$285,125,FALSE)</f>
        <v/>
      </c>
      <c r="EB16" s="27" t="s">
        <v>341</v>
      </c>
      <c r="EC16" s="27" t="str">
        <f>VLOOKUP($A16,'[1]Raw Data'!$A$3:$FB$285,126,FALSE)</f>
        <v/>
      </c>
      <c r="ED16" t="s">
        <v>478</v>
      </c>
      <c r="EE16" s="27" t="str">
        <f>VLOOKUP($A16,'[1]Raw Data'!$A$3:$FB$285,127,FALSE)</f>
        <v/>
      </c>
      <c r="EF16" s="27" t="s">
        <v>343</v>
      </c>
      <c r="EG16" s="27" t="str">
        <f>VLOOKUP($A16,'[1]Raw Data'!$A$3:$FB$285,128,FALSE)</f>
        <v/>
      </c>
      <c r="EH16" t="s">
        <v>344</v>
      </c>
      <c r="EI16" s="27" t="str">
        <f>VLOOKUP($A16,'[1]Raw Data'!$A$3:$FB$285,129,FALSE)</f>
        <v/>
      </c>
      <c r="EM16" s="27" t="str">
        <f>VLOOKUP($A16,'[1]Raw Data'!$A$3:$FB$285,130,FALSE)</f>
        <v/>
      </c>
      <c r="EN16" s="27" t="str">
        <f>VLOOKUP($A16,'[1]Raw Data'!$A$3:$FB$285,131,FALSE)</f>
        <v/>
      </c>
      <c r="EO16" s="27" t="str">
        <f>VLOOKUP($A16,'[1]Raw Data'!$A$3:$FB$285,132,FALSE)</f>
        <v/>
      </c>
      <c r="EP16" s="27" t="str">
        <f>VLOOKUP($A16,'[1]Raw Data'!$A$3:$FB$285,133,FALSE)</f>
        <v/>
      </c>
      <c r="EQ16" s="27" t="str">
        <f>VLOOKUP($A16,'[1]Raw Data'!$A$3:$FB$285,134,FALSE)</f>
        <v/>
      </c>
      <c r="ER16" s="27" t="str">
        <f>VLOOKUP($A16,'[1]Raw Data'!$A$3:$FB$285,135,FALSE)</f>
        <v/>
      </c>
      <c r="ES16" s="27" t="str">
        <f>VLOOKUP($A16,'[1]Raw Data'!$A$3:$FB$285,136,FALSE)</f>
        <v/>
      </c>
      <c r="ET16" s="27" t="str">
        <f>VLOOKUP($A16,'[1]Raw Data'!$A$3:$FB$285,137,FALSE)</f>
        <v/>
      </c>
      <c r="EU16" s="27" t="str">
        <f>VLOOKUP($A16,'[1]Raw Data'!$A$3:$FB$285,138,FALSE)</f>
        <v/>
      </c>
      <c r="EV16" s="27" t="str">
        <f>VLOOKUP($A16,'[1]Raw Data'!$A$3:$FB$285,139,FALSE)</f>
        <v/>
      </c>
      <c r="EW16" s="38">
        <f>VLOOKUP($A16,[1]Training!$A$2:$I$284,5,FALSE)</f>
        <v>57.307692307692307</v>
      </c>
      <c r="EX16" s="31">
        <f>VLOOKUP($A16,[1]Training!$A$2:$I$284,6,FALSE)</f>
        <v>0</v>
      </c>
      <c r="EY16" s="38">
        <f>VLOOKUP($A16,[1]Training!$A$2:$I$284,8,FALSE)</f>
        <v>67.727272727272734</v>
      </c>
      <c r="EZ16" s="31">
        <f>VLOOKUP($A16,[1]Training!$A$2:$I$284,9,FALSE)</f>
        <v>0</v>
      </c>
      <c r="FA16" s="27">
        <v>1</v>
      </c>
      <c r="FB16" s="27">
        <v>2</v>
      </c>
      <c r="FC16" s="27" t="str">
        <f>VLOOKUP($A16,'[1]Raw Data'!$A$3:$FB$285,148,FALSE)</f>
        <v/>
      </c>
      <c r="FE16" s="27" t="str">
        <f>VLOOKUP($A16,'[1]Raw Data'!$A$3:$FB$285,149,FALSE)</f>
        <v>District Coordinator</v>
      </c>
      <c r="FF16" s="27" t="s">
        <v>885</v>
      </c>
      <c r="FG16" s="27" t="str">
        <f>VLOOKUP($A16,'[1]Raw Data'!$A$3:$FB$285,150,FALSE)</f>
        <v/>
      </c>
      <c r="FH16" s="27" t="str">
        <f>VLOOKUP($A16,'[1]Raw Data'!$A$3:$FB$285,156,FALSE)</f>
        <v/>
      </c>
      <c r="FJ16" s="27" t="str">
        <f>VLOOKUP($A16,'[1]Raw Data'!$A$3:$FB$285,157,FALSE)</f>
        <v>District Technical Officer</v>
      </c>
      <c r="FK16" s="27" t="s">
        <v>886</v>
      </c>
      <c r="FL16" s="27" t="str">
        <f>VLOOKUP($A16,'[1]Raw Data'!$A$3:$FB$285,158,FALSE)</f>
        <v/>
      </c>
      <c r="FM16" s="27" t="str">
        <f>VLOOKUP($A16,'[1]Raw Data'!$A$3:$FB$285,152,FALSE)</f>
        <v/>
      </c>
      <c r="FO16" s="27" t="str">
        <f>VLOOKUP($A16,'[1]Raw Data'!$A$3:$FB$285,153,FALSE)</f>
        <v>DIstrict Information Management Officer</v>
      </c>
      <c r="FP16" s="27" t="s">
        <v>887</v>
      </c>
      <c r="FQ16" s="27" t="str">
        <f>VLOOKUP($A16,'[1]Raw Data'!$A$3:$FB$285,154,FALSE)</f>
        <v/>
      </c>
    </row>
    <row r="17" spans="1:173" ht="24" x14ac:dyDescent="0.45">
      <c r="A17" s="27">
        <v>9006</v>
      </c>
      <c r="B17" s="36" t="str">
        <f ca="1">IFERROR(__xludf.DUMMYFUNCTION("""COMPUTED_VALUE"""),"Madi Nagarpalika")</f>
        <v>Madi Nagarpalika</v>
      </c>
      <c r="C17" s="37" t="str">
        <f>VLOOKUP(A17,'[1]Palika and District in Nepali '!$D$1:$F$283,3,FALSE)</f>
        <v>मादी नगरपालिका</v>
      </c>
      <c r="D17" s="36" t="str">
        <f ca="1">IFERROR(__xludf.DUMMYFUNCTION("""COMPUTED_VALUE"""),"Sankhuwasabha")</f>
        <v>Sankhuwasabha</v>
      </c>
      <c r="E17" s="36"/>
      <c r="F17" s="27">
        <f>VLOOKUP(A17,'[1]Raw Data'!$A$3:$FB$285,4,FALSE)</f>
        <v>532</v>
      </c>
      <c r="G17" s="27">
        <f>VLOOKUP(A17,'[1]Raw Data'!$A$3:$FB$285,5,FALSE)</f>
        <v>297</v>
      </c>
      <c r="H17" s="27">
        <f>VLOOKUP(A17,'[1]Raw Data'!$A$3:$FB$285,6,FALSE)</f>
        <v>829</v>
      </c>
      <c r="I17" s="27">
        <f>VLOOKUP($A17,'[1]Raw Data'!$A$3:$FB$285,8,FALSE)</f>
        <v>0.24</v>
      </c>
      <c r="J17" s="27">
        <f>VLOOKUP($A17,'[1]Raw Data'!$A$3:$FB$285,9,FALSE)</f>
        <v>0.6</v>
      </c>
      <c r="K17" s="27">
        <f>VLOOKUP($A17,'[1]Raw Data'!$A$3:$FB$285,11,FALSE)</f>
        <v>98.31</v>
      </c>
      <c r="L17" s="27">
        <f>VLOOKUP($A17,'[1]Raw Data'!$A$3:$FB$285,12,FALSE)</f>
        <v>77</v>
      </c>
      <c r="M17" s="27">
        <f>VLOOKUP($A17,'[1]Raw Data'!$A$3:$FB$285,14,FALSE)</f>
        <v>0</v>
      </c>
      <c r="N17" s="27">
        <f>VLOOKUP($A17,'[1]Raw Data'!$A$3:$FB$285,15,FALSE)</f>
        <v>0.33</v>
      </c>
      <c r="O17" s="27">
        <f>VLOOKUP($A17,'[1]Raw Data'!$A$3:$FB$285,17,FALSE)</f>
        <v>0.24</v>
      </c>
      <c r="P17" s="27">
        <f>VLOOKUP($A17,'[1]Raw Data'!$A$3:$FB$285,18,FALSE)</f>
        <v>0.51</v>
      </c>
      <c r="Q17" s="27">
        <f>VLOOKUP($A17,'[1]Raw Data'!$A$3:$FB$285,20,FALSE)</f>
        <v>0</v>
      </c>
      <c r="R17" s="27">
        <f>VLOOKUP($A17,'[1]Raw Data'!$A$3:$FB$285,21,FALSE)</f>
        <v>0.51</v>
      </c>
      <c r="S17" s="27">
        <f>VLOOKUP($A17,'[1]Raw Data'!$A$3:$FB$285,23,FALSE)</f>
        <v>0</v>
      </c>
      <c r="T17" s="27">
        <f>VLOOKUP($A17,'[1]Raw Data'!$A$3:$FB$285,24,FALSE)</f>
        <v>0</v>
      </c>
      <c r="U17" s="27">
        <f>VLOOKUP($A17,'[1]Raw Data'!$A$3:$FB$285,26,FALSE)</f>
        <v>0</v>
      </c>
      <c r="V17" s="27">
        <f>VLOOKUP($A17,'[1]Raw Data'!$A$3:$FB$285,27,FALSE)</f>
        <v>0.8</v>
      </c>
      <c r="W17" s="27">
        <f>VLOOKUP($A17,'[1]Raw Data'!$A$3:$FB$285,29,FALSE)</f>
        <v>0</v>
      </c>
      <c r="X17" s="27">
        <f>VLOOKUP($A17,'[1]Raw Data'!$A$3:$FB$285,30,FALSE)</f>
        <v>0</v>
      </c>
      <c r="Y17" s="27">
        <f>VLOOKUP($A17,'[1]Raw Data'!$A$3:$FB$285,32,FALSE)</f>
        <v>0</v>
      </c>
      <c r="Z17" s="27">
        <f>VLOOKUP($A17,'[1]Raw Data'!$A$3:$FB$285,33,FALSE)</f>
        <v>0.28999999999999998</v>
      </c>
      <c r="AA17" s="27">
        <f>VLOOKUP($A17,'[1]Raw Data'!$A$3:$FB$285,35,FALSE)</f>
        <v>0.84</v>
      </c>
      <c r="AB17" s="27">
        <f>VLOOKUP($A17,'[1]Raw Data'!$A$3:$FB$285,36,FALSE)</f>
        <v>18.559999999999999</v>
      </c>
      <c r="AC17" s="27">
        <f>VLOOKUP($A17,'[1]Raw Data'!$A$3:$FB$285,38,FALSE)</f>
        <v>0.36</v>
      </c>
      <c r="AD17" s="27">
        <f>VLOOKUP($A17,'[1]Raw Data'!$A$3:$FB$285,39,FALSE)</f>
        <v>1.4</v>
      </c>
      <c r="AE17" s="27">
        <f>VLOOKUP($A17,'[1]Raw Data'!$A$3:$FB$285,41,FALSE)</f>
        <v>0</v>
      </c>
      <c r="AF17" s="27">
        <f>VLOOKUP($A17,'[1]Raw Data'!$A$3:$FB$285,42,FALSE)</f>
        <v>0</v>
      </c>
      <c r="AG17" s="27">
        <f>VLOOKUP($A17,'[1]Raw Data'!$A$3:$FB$285,44,FALSE)</f>
        <v>0</v>
      </c>
      <c r="AH17" s="27">
        <f>VLOOKUP($A17,'[1]Raw Data'!$A$3:$FB$285,45,FALSE)</f>
        <v>0</v>
      </c>
      <c r="AI17" s="27">
        <f>VLOOKUP($A17,'[1]Raw Data'!$A$3:$FB$285,46,FALSE)</f>
        <v>232</v>
      </c>
      <c r="AJ17" s="27">
        <f>VLOOKUP($A17,'[1]Raw Data'!$A$3:$FB$285,47,FALSE)</f>
        <v>104</v>
      </c>
      <c r="AK17" s="27">
        <f>VLOOKUP($A17,'[1]Raw Data'!$A$3:$FB$285,48,FALSE)</f>
        <v>104</v>
      </c>
      <c r="AL17" s="27">
        <f>VLOOKUP($A17,'[1]Raw Data'!$A$3:$FB$285,49,FALSE)</f>
        <v>45</v>
      </c>
      <c r="AM17" s="27">
        <f>VLOOKUP($A17,'[1]Raw Data'!$A$3:$FB$285,50,FALSE)</f>
        <v>0</v>
      </c>
      <c r="AN17" s="27" t="str">
        <f>VLOOKUP($A17,'[1]Raw Data'!$A$3:$FB$285,51,FALSE)</f>
        <v/>
      </c>
      <c r="AO17" s="27" t="str">
        <f>VLOOKUP($A17,'[1]Raw Data'!$A$3:$FB$285,52,FALSE)</f>
        <v/>
      </c>
      <c r="AP17" s="27">
        <f>VLOOKUP($A17,'[1]Raw Data'!$A$3:$FB$285,53,FALSE)</f>
        <v>67</v>
      </c>
      <c r="AQ17" s="27" t="str">
        <f>VLOOKUP($A17,'[1]Raw Data'!$A$3:$FB$285,54,FALSE)</f>
        <v/>
      </c>
      <c r="AR17" s="27" t="str">
        <f>VLOOKUP($A17,'[1]Raw Data'!$A$3:$FB$285,55,FALSE)</f>
        <v/>
      </c>
      <c r="AS17" s="27" t="str">
        <f>VLOOKUP($A17,'[1]Raw Data'!$A$3:$FB$285,56,FALSE)</f>
        <v/>
      </c>
      <c r="AT17" s="27" t="str">
        <f>VLOOKUP($A17,'[1]Raw Data'!$A$3:$FB$285,57,FALSE)</f>
        <v/>
      </c>
      <c r="AU17" s="27" t="str">
        <f>VLOOKUP($A17,'[1]Raw Data'!$A$3:$FB$285,58,FALSE)</f>
        <v/>
      </c>
      <c r="AV17" s="27" t="str">
        <f>VLOOKUP($A17,'[1]Raw Data'!$A$3:$FB$285,59,FALSE)</f>
        <v/>
      </c>
      <c r="AW17" s="27" t="str">
        <f>VLOOKUP($A17,'[1]Raw Data'!$A$3:$FB$285,60,FALSE)</f>
        <v/>
      </c>
      <c r="AX17" s="27" t="str">
        <f>VLOOKUP(A17,'[1]PO''s List'!A15:E297,4,FALSE)</f>
        <v/>
      </c>
      <c r="AZ17" s="27" t="str">
        <f>VLOOKUP(A17,'[1]PO''s List'!$A$3:$E$285,5,FALSE)</f>
        <v/>
      </c>
      <c r="BB17" s="27">
        <f>VLOOKUP($A17,'[1]Raw Data'!$A$3:$FB$285,63,FALSE)</f>
        <v>2943</v>
      </c>
      <c r="BC17" s="27" t="str">
        <f>VLOOKUP($A17,'[1]Raw Data'!$A$3:$FB$285,64,FALSE)</f>
        <v/>
      </c>
      <c r="BD17" s="27" t="str">
        <f t="shared" si="0"/>
        <v/>
      </c>
      <c r="BE17" s="27" t="str">
        <f>VLOOKUP($A17,'[1]Raw Data'!$A$3:$FB$285,65,FALSE)</f>
        <v/>
      </c>
      <c r="BF17" s="27">
        <f>VLOOKUP($A17,'[1]Raw Data'!$A$3:$FB$285,66,FALSE)</f>
        <v>3085</v>
      </c>
      <c r="BG17" s="27" t="str">
        <f>VLOOKUP($A17,'[1]Raw Data'!$A$3:$FB$285,67,FALSE)</f>
        <v/>
      </c>
      <c r="BH17" s="27" t="str">
        <f t="shared" si="1"/>
        <v/>
      </c>
      <c r="BI17" s="27" t="str">
        <f>VLOOKUP($A17,'[1]Raw Data'!$A$3:$FB$285,68,FALSE)</f>
        <v/>
      </c>
      <c r="BJ17" s="27">
        <f>VLOOKUP($A17,'[1]Raw Data'!$A$3:$FB$285,69,FALSE)</f>
        <v>315</v>
      </c>
      <c r="BK17" s="27" t="str">
        <f>VLOOKUP($A17,'[1]Raw Data'!$A$3:$FB$285,70,FALSE)</f>
        <v/>
      </c>
      <c r="BL17" s="27" t="str">
        <f t="shared" si="2"/>
        <v/>
      </c>
      <c r="BM17" s="27" t="str">
        <f>VLOOKUP($A17,'[1]Raw Data'!$A$3:$FB$285,71,FALSE)</f>
        <v/>
      </c>
      <c r="BN17" s="27">
        <f>VLOOKUP($A17,'[1]Raw Data'!$A$3:$FB$285,72,FALSE)</f>
        <v>365</v>
      </c>
      <c r="BO17" s="27" t="str">
        <f>VLOOKUP($A17,'[1]Raw Data'!$A$3:$FB$285,73,FALSE)</f>
        <v/>
      </c>
      <c r="BP17" s="27" t="str">
        <f t="shared" si="3"/>
        <v/>
      </c>
      <c r="BQ17" s="27" t="str">
        <f>VLOOKUP($A17,'[1]Raw Data'!$A$3:$FB$285,74,FALSE)</f>
        <v/>
      </c>
      <c r="BR17" s="27" t="str">
        <f>VLOOKUP($A17,'[1]Raw Data'!$A$3:$FB$285,75,FALSE)</f>
        <v/>
      </c>
      <c r="BS17" s="27" t="str">
        <f>VLOOKUP($A17,'[1]Raw Data'!$A$3:$FB$285,76,FALSE)</f>
        <v/>
      </c>
      <c r="BT17" s="27" t="str">
        <f t="shared" si="4"/>
        <v/>
      </c>
      <c r="BU17" s="27" t="str">
        <f>VLOOKUP($A17,'[1]Raw Data'!$A$3:$FB$285,77,FALSE)</f>
        <v/>
      </c>
      <c r="BV17" s="27">
        <f>VLOOKUP($A17,'[1]Raw Data'!$A$3:$FB$285,78,FALSE)</f>
        <v>10181</v>
      </c>
      <c r="BW17" s="27" t="str">
        <f>VLOOKUP($A17,'[1]Raw Data'!$A$3:$FB$285,79,FALSE)</f>
        <v/>
      </c>
      <c r="BX17" s="27" t="str">
        <f t="shared" si="5"/>
        <v/>
      </c>
      <c r="BY17" s="27" t="str">
        <f>VLOOKUP($A17,'[1]Raw Data'!$A$3:$FB$285,80,FALSE)</f>
        <v/>
      </c>
      <c r="BZ17" s="27">
        <f>VLOOKUP($A17,'[1]Raw Data'!$A$3:$FB$285,81,FALSE)</f>
        <v>31760</v>
      </c>
      <c r="CA17" s="27" t="str">
        <f>VLOOKUP($A17,'[1]Raw Data'!$A$3:$FB$285,82,FALSE)</f>
        <v/>
      </c>
      <c r="CB17" s="27" t="str">
        <f t="shared" si="6"/>
        <v/>
      </c>
      <c r="CC17" s="27" t="str">
        <f>VLOOKUP($A17,'[1]Raw Data'!$A$3:$FB$285,83,FALSE)</f>
        <v/>
      </c>
      <c r="CD17" s="27">
        <f>VLOOKUP($A17,'[1]Raw Data'!$A$3:$FB$285,84,FALSE)</f>
        <v>416</v>
      </c>
      <c r="CE17" s="27" t="str">
        <f>VLOOKUP($A17,'[1]Raw Data'!$A$3:$FB$285,85,FALSE)</f>
        <v/>
      </c>
      <c r="CF17" s="27" t="str">
        <f t="shared" si="7"/>
        <v/>
      </c>
      <c r="CG17" s="27" t="str">
        <f>VLOOKUP($A17,'[1]Raw Data'!$A$3:$FB$285,86,FALSE)</f>
        <v/>
      </c>
      <c r="CH17" s="27">
        <f>VLOOKUP($A17,'[1]Raw Data'!$A$3:$FB$285,87,FALSE)</f>
        <v>19581</v>
      </c>
      <c r="CI17" s="27" t="str">
        <f>VLOOKUP($A17,'[1]Raw Data'!$A$3:$FB$285,88,FALSE)</f>
        <v/>
      </c>
      <c r="CJ17" s="27" t="str">
        <f t="shared" si="8"/>
        <v/>
      </c>
      <c r="CK17" s="27" t="str">
        <f>VLOOKUP($A17,'[1]Raw Data'!$A$3:$FB$285,89,FALSE)</f>
        <v/>
      </c>
      <c r="CL17" s="27" t="str">
        <f>VLOOKUP($A17,'[1]Raw Data'!$A$3:$FB$285,91,FALSE)</f>
        <v/>
      </c>
      <c r="CM17" s="27" t="str">
        <f>VLOOKUP($A17,'[1]Raw Data'!$A$3:$FB$285,93,FALSE)</f>
        <v/>
      </c>
      <c r="CN17" s="27" t="str">
        <f>VLOOKUP($A17,'[1]Raw Data'!$A$3:$FB$285,94,FALSE)</f>
        <v/>
      </c>
      <c r="CO17" s="27" t="str">
        <f>VLOOKUP($A17,'[1]Raw Data'!$A$3:$FB$285,95,FALSE)</f>
        <v/>
      </c>
      <c r="CP17" s="27" t="str">
        <f>VLOOKUP($A17,'[1]Raw Data'!$A$3:$FB$285,96,FALSE)</f>
        <v/>
      </c>
      <c r="CQ17" s="27" t="str">
        <f>VLOOKUP($A17,'[1]Raw Data'!$A$3:$FB$285,97,FALSE)</f>
        <v/>
      </c>
      <c r="CR17" s="27" t="str">
        <f>VLOOKUP($A17,'[1]Raw Data'!$A$3:$FB$285,98,FALSE)</f>
        <v/>
      </c>
      <c r="CS17" s="27" t="str">
        <f>VLOOKUP($A17,'[1]Raw Data'!$A$3:$FB$285,99,FALSE)</f>
        <v/>
      </c>
      <c r="CT17" s="27" t="str">
        <f>VLOOKUP($A17,'[1]Raw Data'!$A$3:$FB$285,101,FALSE)</f>
        <v/>
      </c>
      <c r="CV17" s="27" t="str">
        <f>VLOOKUP($A17,'[1]Raw Data'!$A$3:$FB$285,102,FALSE)</f>
        <v>Mayor</v>
      </c>
      <c r="CW17" s="27" t="s">
        <v>834</v>
      </c>
      <c r="CX17" s="27" t="str">
        <f>VLOOKUP($A17,'[1]Raw Data'!$A$3:$FB$285,103,FALSE)</f>
        <v/>
      </c>
      <c r="CY17" s="27" t="str">
        <f>VLOOKUP($A17,'[1]Raw Data'!$A$3:$FB$285,105,FALSE)</f>
        <v/>
      </c>
      <c r="DA17" s="27" t="str">
        <f>VLOOKUP($A17,'[1]Raw Data'!$A$3:$FB$285,106,FALSE)</f>
        <v>Deputy Mayor</v>
      </c>
      <c r="DB17" s="27" t="s">
        <v>888</v>
      </c>
      <c r="DC17" s="27" t="str">
        <f>VLOOKUP($A17,'[1]Raw Data'!$A$3:$FB$285,107,FALSE)</f>
        <v/>
      </c>
      <c r="DD17" s="27" t="str">
        <f>VLOOKUP($A17,'[1]Raw Data'!$A$3:$FB$285,109,FALSE)</f>
        <v/>
      </c>
      <c r="DF17" s="27" t="str">
        <f>VLOOKUP($A17,'[1]Raw Data'!$A$3:$FB$285,110,FALSE)</f>
        <v>Chief Adminstration Officer</v>
      </c>
      <c r="DG17" s="27" t="s">
        <v>880</v>
      </c>
      <c r="DH17" s="27" t="str">
        <f>VLOOKUP($A17,'[1]Raw Data'!$A$3:$FB$285,111,FALSE)</f>
        <v/>
      </c>
      <c r="DI17" s="27" t="str">
        <f>VLOOKUP($A17,'[1]Raw Data'!$A$3:$FB$285,121,FALSE)</f>
        <v/>
      </c>
      <c r="DK17" s="27" t="str">
        <f>VLOOKUP($A17,'[1]Raw Data'!$A$3:$FB$285,122,FALSE)</f>
        <v>Focal Person</v>
      </c>
      <c r="DL17" s="27" t="s">
        <v>881</v>
      </c>
      <c r="DM17" s="27" t="str">
        <f>VLOOKUP($A17,'[1]Raw Data'!$A$3:$FB$285,123,FALSE)</f>
        <v/>
      </c>
      <c r="DN17" s="27" t="str">
        <f>VLOOKUP($A17,'[1]Raw Data'!$A$3:$FB$285,113,FALSE)</f>
        <v/>
      </c>
      <c r="DP17" s="27" t="str">
        <f>VLOOKUP($A17,'[1]Raw Data'!$A$3:$FB$285,114,FALSE)</f>
        <v>NRA Chief-District</v>
      </c>
      <c r="DQ17" s="27" t="s">
        <v>882</v>
      </c>
      <c r="DR17" s="27" t="str">
        <f>VLOOKUP($A17,'[1]Raw Data'!$A$3:$FB$285,115,FALSE)</f>
        <v/>
      </c>
      <c r="DS17" s="27" t="str">
        <f>VLOOKUP($A17,'[1]Raw Data'!$A$3:$FB$285,117,FALSE)</f>
        <v/>
      </c>
      <c r="DU17" s="27" t="str">
        <f>VLOOKUP($A17,'[1]Raw Data'!$A$3:$FB$285,118,FALSE)</f>
        <v>DUDBC.DLPIU Chief</v>
      </c>
      <c r="DV17" s="27" t="s">
        <v>883</v>
      </c>
      <c r="DW17" s="27" t="str">
        <f>VLOOKUP($A17,'[1]Raw Data'!$A$3:$FB$285,119,FALSE)</f>
        <v/>
      </c>
      <c r="DX17" s="27" t="s">
        <v>339</v>
      </c>
      <c r="DY17" s="27" t="str">
        <f>VLOOKUP($A17,'[1]Raw Data'!$A$3:$FB$285,124,FALSE)</f>
        <v/>
      </c>
      <c r="DZ17" s="27" t="s">
        <v>884</v>
      </c>
      <c r="EA17" s="27" t="str">
        <f>VLOOKUP($A17,'[1]Raw Data'!$A$3:$FB$285,125,FALSE)</f>
        <v/>
      </c>
      <c r="EB17" s="27" t="s">
        <v>341</v>
      </c>
      <c r="EC17" s="27" t="str">
        <f>VLOOKUP($A17,'[1]Raw Data'!$A$3:$FB$285,126,FALSE)</f>
        <v/>
      </c>
      <c r="ED17" t="s">
        <v>478</v>
      </c>
      <c r="EE17" s="27" t="str">
        <f>VLOOKUP($A17,'[1]Raw Data'!$A$3:$FB$285,127,FALSE)</f>
        <v/>
      </c>
      <c r="EF17" s="27" t="s">
        <v>343</v>
      </c>
      <c r="EG17" s="27" t="str">
        <f>VLOOKUP($A17,'[1]Raw Data'!$A$3:$FB$285,128,FALSE)</f>
        <v/>
      </c>
      <c r="EH17" t="s">
        <v>344</v>
      </c>
      <c r="EI17" s="27" t="str">
        <f>VLOOKUP($A17,'[1]Raw Data'!$A$3:$FB$285,129,FALSE)</f>
        <v/>
      </c>
      <c r="EM17" s="27" t="str">
        <f>VLOOKUP($A17,'[1]Raw Data'!$A$3:$FB$285,130,FALSE)</f>
        <v/>
      </c>
      <c r="EN17" s="27" t="str">
        <f>VLOOKUP($A17,'[1]Raw Data'!$A$3:$FB$285,131,FALSE)</f>
        <v/>
      </c>
      <c r="EO17" s="27" t="str">
        <f>VLOOKUP($A17,'[1]Raw Data'!$A$3:$FB$285,132,FALSE)</f>
        <v/>
      </c>
      <c r="EP17" s="27" t="str">
        <f>VLOOKUP($A17,'[1]Raw Data'!$A$3:$FB$285,133,FALSE)</f>
        <v/>
      </c>
      <c r="EQ17" s="27" t="str">
        <f>VLOOKUP($A17,'[1]Raw Data'!$A$3:$FB$285,134,FALSE)</f>
        <v/>
      </c>
      <c r="ER17" s="27" t="str">
        <f>VLOOKUP($A17,'[1]Raw Data'!$A$3:$FB$285,135,FALSE)</f>
        <v/>
      </c>
      <c r="ES17" s="27" t="str">
        <f>VLOOKUP($A17,'[1]Raw Data'!$A$3:$FB$285,136,FALSE)</f>
        <v/>
      </c>
      <c r="ET17" s="27" t="str">
        <f>VLOOKUP($A17,'[1]Raw Data'!$A$3:$FB$285,137,FALSE)</f>
        <v/>
      </c>
      <c r="EU17" s="27" t="str">
        <f>VLOOKUP($A17,'[1]Raw Data'!$A$3:$FB$285,138,FALSE)</f>
        <v/>
      </c>
      <c r="EV17" s="27" t="str">
        <f>VLOOKUP($A17,'[1]Raw Data'!$A$3:$FB$285,139,FALSE)</f>
        <v/>
      </c>
      <c r="EW17" s="38">
        <f>VLOOKUP($A17,[1]Training!$A$2:$I$284,5,FALSE)</f>
        <v>17.846153846153847</v>
      </c>
      <c r="EX17" s="31">
        <f>VLOOKUP($A17,[1]Training!$A$2:$I$284,6,FALSE)</f>
        <v>0</v>
      </c>
      <c r="EY17" s="38">
        <f>VLOOKUP($A17,[1]Training!$A$2:$I$284,8,FALSE)</f>
        <v>21.09090909090909</v>
      </c>
      <c r="EZ17" s="31">
        <f>VLOOKUP($A17,[1]Training!$A$2:$I$284,9,FALSE)</f>
        <v>0</v>
      </c>
      <c r="FA17" s="27">
        <v>1</v>
      </c>
      <c r="FB17" s="27">
        <v>2</v>
      </c>
      <c r="FC17" s="27" t="str">
        <f>VLOOKUP($A17,'[1]Raw Data'!$A$3:$FB$285,148,FALSE)</f>
        <v/>
      </c>
      <c r="FE17" s="27" t="str">
        <f>VLOOKUP($A17,'[1]Raw Data'!$A$3:$FB$285,149,FALSE)</f>
        <v>District Coordinator</v>
      </c>
      <c r="FF17" s="27" t="s">
        <v>885</v>
      </c>
      <c r="FG17" s="27" t="str">
        <f>VLOOKUP($A17,'[1]Raw Data'!$A$3:$FB$285,150,FALSE)</f>
        <v/>
      </c>
      <c r="FH17" s="27" t="str">
        <f>VLOOKUP($A17,'[1]Raw Data'!$A$3:$FB$285,156,FALSE)</f>
        <v/>
      </c>
      <c r="FJ17" s="27" t="str">
        <f>VLOOKUP($A17,'[1]Raw Data'!$A$3:$FB$285,157,FALSE)</f>
        <v>District Technical Officer</v>
      </c>
      <c r="FK17" s="27" t="s">
        <v>886</v>
      </c>
      <c r="FL17" s="27" t="str">
        <f>VLOOKUP($A17,'[1]Raw Data'!$A$3:$FB$285,158,FALSE)</f>
        <v/>
      </c>
      <c r="FM17" s="27" t="str">
        <f>VLOOKUP($A17,'[1]Raw Data'!$A$3:$FB$285,152,FALSE)</f>
        <v/>
      </c>
      <c r="FO17" s="27" t="str">
        <f>VLOOKUP($A17,'[1]Raw Data'!$A$3:$FB$285,153,FALSE)</f>
        <v>DIstrict Information Management Officer</v>
      </c>
      <c r="FP17" s="27" t="s">
        <v>887</v>
      </c>
      <c r="FQ17" s="27" t="str">
        <f>VLOOKUP($A17,'[1]Raw Data'!$A$3:$FB$285,154,FALSE)</f>
        <v/>
      </c>
    </row>
    <row r="18" spans="1:173" ht="24" x14ac:dyDescent="0.45">
      <c r="A18" s="27">
        <v>9007</v>
      </c>
      <c r="B18" s="36" t="str">
        <f ca="1">IFERROR(__xludf.DUMMYFUNCTION("""COMPUTED_VALUE"""),"Makalu Gaunpalika")</f>
        <v>Makalu Gaunpalika</v>
      </c>
      <c r="C18" s="37" t="str">
        <f>VLOOKUP(A18,'[1]Palika and District in Nepali '!$D$1:$F$283,3,FALSE)</f>
        <v>मकालु नगरपालिका</v>
      </c>
      <c r="D18" s="36" t="str">
        <f ca="1">IFERROR(__xludf.DUMMYFUNCTION("""COMPUTED_VALUE"""),"Sankhuwasabha")</f>
        <v>Sankhuwasabha</v>
      </c>
      <c r="E18" s="36"/>
      <c r="F18" s="27">
        <f>VLOOKUP(A18,'[1]Raw Data'!$A$3:$FB$285,4,FALSE)</f>
        <v>73</v>
      </c>
      <c r="G18" s="27">
        <f>VLOOKUP(A18,'[1]Raw Data'!$A$3:$FB$285,5,FALSE)</f>
        <v>207</v>
      </c>
      <c r="H18" s="27">
        <f>VLOOKUP(A18,'[1]Raw Data'!$A$3:$FB$285,6,FALSE)</f>
        <v>280</v>
      </c>
      <c r="I18" s="27">
        <f>VLOOKUP($A18,'[1]Raw Data'!$A$3:$FB$285,8,FALSE)</f>
        <v>0</v>
      </c>
      <c r="J18" s="27">
        <f>VLOOKUP($A18,'[1]Raw Data'!$A$3:$FB$285,9,FALSE)</f>
        <v>0.6</v>
      </c>
      <c r="K18" s="27">
        <f>VLOOKUP($A18,'[1]Raw Data'!$A$3:$FB$285,11,FALSE)</f>
        <v>99.29</v>
      </c>
      <c r="L18" s="27">
        <f>VLOOKUP($A18,'[1]Raw Data'!$A$3:$FB$285,12,FALSE)</f>
        <v>77</v>
      </c>
      <c r="M18" s="27">
        <f>VLOOKUP($A18,'[1]Raw Data'!$A$3:$FB$285,14,FALSE)</f>
        <v>0</v>
      </c>
      <c r="N18" s="27">
        <f>VLOOKUP($A18,'[1]Raw Data'!$A$3:$FB$285,15,FALSE)</f>
        <v>0.33</v>
      </c>
      <c r="O18" s="27">
        <f>VLOOKUP($A18,'[1]Raw Data'!$A$3:$FB$285,17,FALSE)</f>
        <v>0</v>
      </c>
      <c r="P18" s="27">
        <f>VLOOKUP($A18,'[1]Raw Data'!$A$3:$FB$285,18,FALSE)</f>
        <v>0.51</v>
      </c>
      <c r="Q18" s="27">
        <f>VLOOKUP($A18,'[1]Raw Data'!$A$3:$FB$285,20,FALSE)</f>
        <v>0</v>
      </c>
      <c r="R18" s="27">
        <f>VLOOKUP($A18,'[1]Raw Data'!$A$3:$FB$285,21,FALSE)</f>
        <v>0.51</v>
      </c>
      <c r="S18" s="27">
        <f>VLOOKUP($A18,'[1]Raw Data'!$A$3:$FB$285,23,FALSE)</f>
        <v>0</v>
      </c>
      <c r="T18" s="27">
        <f>VLOOKUP($A18,'[1]Raw Data'!$A$3:$FB$285,24,FALSE)</f>
        <v>0</v>
      </c>
      <c r="U18" s="27">
        <f>VLOOKUP($A18,'[1]Raw Data'!$A$3:$FB$285,26,FALSE)</f>
        <v>0.36</v>
      </c>
      <c r="V18" s="27">
        <f>VLOOKUP($A18,'[1]Raw Data'!$A$3:$FB$285,27,FALSE)</f>
        <v>0.8</v>
      </c>
      <c r="W18" s="27">
        <f>VLOOKUP($A18,'[1]Raw Data'!$A$3:$FB$285,29,FALSE)</f>
        <v>0</v>
      </c>
      <c r="X18" s="27">
        <f>VLOOKUP($A18,'[1]Raw Data'!$A$3:$FB$285,30,FALSE)</f>
        <v>0</v>
      </c>
      <c r="Y18" s="27">
        <f>VLOOKUP($A18,'[1]Raw Data'!$A$3:$FB$285,32,FALSE)</f>
        <v>0</v>
      </c>
      <c r="Z18" s="27">
        <f>VLOOKUP($A18,'[1]Raw Data'!$A$3:$FB$285,33,FALSE)</f>
        <v>0.28999999999999998</v>
      </c>
      <c r="AA18" s="27">
        <f>VLOOKUP($A18,'[1]Raw Data'!$A$3:$FB$285,35,FALSE)</f>
        <v>0</v>
      </c>
      <c r="AB18" s="27">
        <f>VLOOKUP($A18,'[1]Raw Data'!$A$3:$FB$285,36,FALSE)</f>
        <v>18.559999999999999</v>
      </c>
      <c r="AC18" s="27">
        <f>VLOOKUP($A18,'[1]Raw Data'!$A$3:$FB$285,38,FALSE)</f>
        <v>0.36</v>
      </c>
      <c r="AD18" s="27">
        <f>VLOOKUP($A18,'[1]Raw Data'!$A$3:$FB$285,39,FALSE)</f>
        <v>1.4</v>
      </c>
      <c r="AE18" s="27">
        <f>VLOOKUP($A18,'[1]Raw Data'!$A$3:$FB$285,41,FALSE)</f>
        <v>0</v>
      </c>
      <c r="AF18" s="27">
        <f>VLOOKUP($A18,'[1]Raw Data'!$A$3:$FB$285,42,FALSE)</f>
        <v>0</v>
      </c>
      <c r="AG18" s="27">
        <f>VLOOKUP($A18,'[1]Raw Data'!$A$3:$FB$285,44,FALSE)</f>
        <v>0</v>
      </c>
      <c r="AH18" s="27">
        <f>VLOOKUP($A18,'[1]Raw Data'!$A$3:$FB$285,45,FALSE)</f>
        <v>0</v>
      </c>
      <c r="AI18" s="27">
        <f>VLOOKUP($A18,'[1]Raw Data'!$A$3:$FB$285,46,FALSE)</f>
        <v>188</v>
      </c>
      <c r="AJ18" s="27">
        <f>VLOOKUP($A18,'[1]Raw Data'!$A$3:$FB$285,47,FALSE)</f>
        <v>39</v>
      </c>
      <c r="AK18" s="27">
        <f>VLOOKUP($A18,'[1]Raw Data'!$A$3:$FB$285,48,FALSE)</f>
        <v>39</v>
      </c>
      <c r="AL18" s="27">
        <f>VLOOKUP($A18,'[1]Raw Data'!$A$3:$FB$285,49,FALSE)</f>
        <v>1</v>
      </c>
      <c r="AM18" s="27">
        <f>VLOOKUP($A18,'[1]Raw Data'!$A$3:$FB$285,50,FALSE)</f>
        <v>0</v>
      </c>
      <c r="AN18" s="27" t="str">
        <f>VLOOKUP($A18,'[1]Raw Data'!$A$3:$FB$285,51,FALSE)</f>
        <v/>
      </c>
      <c r="AO18" s="27" t="str">
        <f>VLOOKUP($A18,'[1]Raw Data'!$A$3:$FB$285,52,FALSE)</f>
        <v/>
      </c>
      <c r="AP18" s="27">
        <f>VLOOKUP($A18,'[1]Raw Data'!$A$3:$FB$285,53,FALSE)</f>
        <v>13</v>
      </c>
      <c r="AQ18" s="27" t="str">
        <f>VLOOKUP($A18,'[1]Raw Data'!$A$3:$FB$285,54,FALSE)</f>
        <v/>
      </c>
      <c r="AR18" s="27" t="str">
        <f>VLOOKUP($A18,'[1]Raw Data'!$A$3:$FB$285,55,FALSE)</f>
        <v/>
      </c>
      <c r="AS18" s="27" t="str">
        <f>VLOOKUP($A18,'[1]Raw Data'!$A$3:$FB$285,56,FALSE)</f>
        <v/>
      </c>
      <c r="AT18" s="27" t="str">
        <f>VLOOKUP($A18,'[1]Raw Data'!$A$3:$FB$285,57,FALSE)</f>
        <v/>
      </c>
      <c r="AU18" s="27" t="str">
        <f>VLOOKUP($A18,'[1]Raw Data'!$A$3:$FB$285,58,FALSE)</f>
        <v/>
      </c>
      <c r="AV18" s="27" t="str">
        <f>VLOOKUP($A18,'[1]Raw Data'!$A$3:$FB$285,59,FALSE)</f>
        <v/>
      </c>
      <c r="AW18" s="27" t="str">
        <f>VLOOKUP($A18,'[1]Raw Data'!$A$3:$FB$285,60,FALSE)</f>
        <v/>
      </c>
      <c r="AX18" s="27" t="str">
        <f>VLOOKUP(A18,'[1]PO''s List'!A16:E298,4,FALSE)</f>
        <v/>
      </c>
      <c r="AZ18" s="27" t="str">
        <f>VLOOKUP(A18,'[1]PO''s List'!$A$3:$E$285,5,FALSE)</f>
        <v/>
      </c>
      <c r="BB18" s="27">
        <f>VLOOKUP($A18,'[1]Raw Data'!$A$3:$FB$285,63,FALSE)</f>
        <v>1096</v>
      </c>
      <c r="BC18" s="27" t="str">
        <f>VLOOKUP($A18,'[1]Raw Data'!$A$3:$FB$285,64,FALSE)</f>
        <v/>
      </c>
      <c r="BD18" s="27" t="str">
        <f t="shared" si="0"/>
        <v/>
      </c>
      <c r="BE18" s="27" t="str">
        <f>VLOOKUP($A18,'[1]Raw Data'!$A$3:$FB$285,65,FALSE)</f>
        <v/>
      </c>
      <c r="BF18" s="27">
        <f>VLOOKUP($A18,'[1]Raw Data'!$A$3:$FB$285,66,FALSE)</f>
        <v>1165</v>
      </c>
      <c r="BG18" s="27" t="str">
        <f>VLOOKUP($A18,'[1]Raw Data'!$A$3:$FB$285,67,FALSE)</f>
        <v/>
      </c>
      <c r="BH18" s="27" t="str">
        <f t="shared" si="1"/>
        <v/>
      </c>
      <c r="BI18" s="27" t="str">
        <f>VLOOKUP($A18,'[1]Raw Data'!$A$3:$FB$285,68,FALSE)</f>
        <v/>
      </c>
      <c r="BJ18" s="27">
        <f>VLOOKUP($A18,'[1]Raw Data'!$A$3:$FB$285,69,FALSE)</f>
        <v>117</v>
      </c>
      <c r="BK18" s="27" t="str">
        <f>VLOOKUP($A18,'[1]Raw Data'!$A$3:$FB$285,70,FALSE)</f>
        <v/>
      </c>
      <c r="BL18" s="27" t="str">
        <f t="shared" si="2"/>
        <v/>
      </c>
      <c r="BM18" s="27" t="str">
        <f>VLOOKUP($A18,'[1]Raw Data'!$A$3:$FB$285,71,FALSE)</f>
        <v/>
      </c>
      <c r="BN18" s="27">
        <f>VLOOKUP($A18,'[1]Raw Data'!$A$3:$FB$285,72,FALSE)</f>
        <v>137</v>
      </c>
      <c r="BO18" s="27" t="str">
        <f>VLOOKUP($A18,'[1]Raw Data'!$A$3:$FB$285,73,FALSE)</f>
        <v/>
      </c>
      <c r="BP18" s="27" t="str">
        <f t="shared" si="3"/>
        <v/>
      </c>
      <c r="BQ18" s="27" t="str">
        <f>VLOOKUP($A18,'[1]Raw Data'!$A$3:$FB$285,74,FALSE)</f>
        <v/>
      </c>
      <c r="BR18" s="27" t="str">
        <f>VLOOKUP($A18,'[1]Raw Data'!$A$3:$FB$285,75,FALSE)</f>
        <v/>
      </c>
      <c r="BS18" s="27" t="str">
        <f>VLOOKUP($A18,'[1]Raw Data'!$A$3:$FB$285,76,FALSE)</f>
        <v/>
      </c>
      <c r="BT18" s="27" t="str">
        <f t="shared" si="4"/>
        <v/>
      </c>
      <c r="BU18" s="27" t="str">
        <f>VLOOKUP($A18,'[1]Raw Data'!$A$3:$FB$285,77,FALSE)</f>
        <v/>
      </c>
      <c r="BV18" s="27">
        <f>VLOOKUP($A18,'[1]Raw Data'!$A$3:$FB$285,78,FALSE)</f>
        <v>3820</v>
      </c>
      <c r="BW18" s="27" t="str">
        <f>VLOOKUP($A18,'[1]Raw Data'!$A$3:$FB$285,79,FALSE)</f>
        <v/>
      </c>
      <c r="BX18" s="27" t="str">
        <f t="shared" si="5"/>
        <v/>
      </c>
      <c r="BY18" s="27" t="str">
        <f>VLOOKUP($A18,'[1]Raw Data'!$A$3:$FB$285,80,FALSE)</f>
        <v/>
      </c>
      <c r="BZ18" s="27">
        <f>VLOOKUP($A18,'[1]Raw Data'!$A$3:$FB$285,81,FALSE)</f>
        <v>11775</v>
      </c>
      <c r="CA18" s="27" t="str">
        <f>VLOOKUP($A18,'[1]Raw Data'!$A$3:$FB$285,82,FALSE)</f>
        <v/>
      </c>
      <c r="CB18" s="27" t="str">
        <f t="shared" si="6"/>
        <v/>
      </c>
      <c r="CC18" s="27" t="str">
        <f>VLOOKUP($A18,'[1]Raw Data'!$A$3:$FB$285,83,FALSE)</f>
        <v/>
      </c>
      <c r="CD18" s="27">
        <f>VLOOKUP($A18,'[1]Raw Data'!$A$3:$FB$285,84,FALSE)</f>
        <v>156</v>
      </c>
      <c r="CE18" s="27" t="str">
        <f>VLOOKUP($A18,'[1]Raw Data'!$A$3:$FB$285,85,FALSE)</f>
        <v/>
      </c>
      <c r="CF18" s="27" t="str">
        <f t="shared" si="7"/>
        <v/>
      </c>
      <c r="CG18" s="27" t="str">
        <f>VLOOKUP($A18,'[1]Raw Data'!$A$3:$FB$285,86,FALSE)</f>
        <v/>
      </c>
      <c r="CH18" s="27">
        <f>VLOOKUP($A18,'[1]Raw Data'!$A$3:$FB$285,87,FALSE)</f>
        <v>2634</v>
      </c>
      <c r="CI18" s="27" t="str">
        <f>VLOOKUP($A18,'[1]Raw Data'!$A$3:$FB$285,88,FALSE)</f>
        <v/>
      </c>
      <c r="CJ18" s="27" t="str">
        <f t="shared" si="8"/>
        <v/>
      </c>
      <c r="CK18" s="27" t="str">
        <f>VLOOKUP($A18,'[1]Raw Data'!$A$3:$FB$285,89,FALSE)</f>
        <v/>
      </c>
      <c r="CL18" s="27" t="str">
        <f>VLOOKUP($A18,'[1]Raw Data'!$A$3:$FB$285,91,FALSE)</f>
        <v/>
      </c>
      <c r="CM18" s="27" t="str">
        <f>VLOOKUP($A18,'[1]Raw Data'!$A$3:$FB$285,93,FALSE)</f>
        <v/>
      </c>
      <c r="CN18" s="27" t="str">
        <f>VLOOKUP($A18,'[1]Raw Data'!$A$3:$FB$285,94,FALSE)</f>
        <v/>
      </c>
      <c r="CO18" s="27" t="str">
        <f>VLOOKUP($A18,'[1]Raw Data'!$A$3:$FB$285,95,FALSE)</f>
        <v/>
      </c>
      <c r="CP18" s="27" t="str">
        <f>VLOOKUP($A18,'[1]Raw Data'!$A$3:$FB$285,96,FALSE)</f>
        <v/>
      </c>
      <c r="CQ18" s="27" t="str">
        <f>VLOOKUP($A18,'[1]Raw Data'!$A$3:$FB$285,97,FALSE)</f>
        <v/>
      </c>
      <c r="CR18" s="27" t="str">
        <f>VLOOKUP($A18,'[1]Raw Data'!$A$3:$FB$285,98,FALSE)</f>
        <v/>
      </c>
      <c r="CS18" s="27" t="str">
        <f>VLOOKUP($A18,'[1]Raw Data'!$A$3:$FB$285,99,FALSE)</f>
        <v/>
      </c>
      <c r="CT18" s="27" t="str">
        <f>VLOOKUP($A18,'[1]Raw Data'!$A$3:$FB$285,101,FALSE)</f>
        <v/>
      </c>
      <c r="CV18" s="27" t="str">
        <f>VLOOKUP($A18,'[1]Raw Data'!$A$3:$FB$285,102,FALSE)</f>
        <v>Chairman</v>
      </c>
      <c r="CW18" s="27" t="s">
        <v>878</v>
      </c>
      <c r="CX18" s="27" t="str">
        <f>VLOOKUP($A18,'[1]Raw Data'!$A$3:$FB$285,103,FALSE)</f>
        <v/>
      </c>
      <c r="CY18" s="27" t="str">
        <f>VLOOKUP($A18,'[1]Raw Data'!$A$3:$FB$285,105,FALSE)</f>
        <v/>
      </c>
      <c r="DA18" s="27" t="str">
        <f>VLOOKUP($A18,'[1]Raw Data'!$A$3:$FB$285,106,FALSE)</f>
        <v>Deputy Chairman</v>
      </c>
      <c r="DB18" s="27" t="s">
        <v>879</v>
      </c>
      <c r="DC18" s="27" t="str">
        <f>VLOOKUP($A18,'[1]Raw Data'!$A$3:$FB$285,107,FALSE)</f>
        <v/>
      </c>
      <c r="DD18" s="27" t="str">
        <f>VLOOKUP($A18,'[1]Raw Data'!$A$3:$FB$285,109,FALSE)</f>
        <v/>
      </c>
      <c r="DF18" s="27" t="str">
        <f>VLOOKUP($A18,'[1]Raw Data'!$A$3:$FB$285,110,FALSE)</f>
        <v>Chief Adminstration Officer</v>
      </c>
      <c r="DG18" s="27" t="s">
        <v>880</v>
      </c>
      <c r="DH18" s="27" t="str">
        <f>VLOOKUP($A18,'[1]Raw Data'!$A$3:$FB$285,111,FALSE)</f>
        <v/>
      </c>
      <c r="DI18" s="27" t="str">
        <f>VLOOKUP($A18,'[1]Raw Data'!$A$3:$FB$285,121,FALSE)</f>
        <v/>
      </c>
      <c r="DK18" s="27" t="str">
        <f>VLOOKUP($A18,'[1]Raw Data'!$A$3:$FB$285,122,FALSE)</f>
        <v>Focal Person</v>
      </c>
      <c r="DL18" s="27" t="s">
        <v>881</v>
      </c>
      <c r="DM18" s="27" t="str">
        <f>VLOOKUP($A18,'[1]Raw Data'!$A$3:$FB$285,123,FALSE)</f>
        <v/>
      </c>
      <c r="DN18" s="27" t="str">
        <f>VLOOKUP($A18,'[1]Raw Data'!$A$3:$FB$285,113,FALSE)</f>
        <v/>
      </c>
      <c r="DP18" s="27" t="str">
        <f>VLOOKUP($A18,'[1]Raw Data'!$A$3:$FB$285,114,FALSE)</f>
        <v>NRA Chief-District</v>
      </c>
      <c r="DQ18" s="27" t="s">
        <v>882</v>
      </c>
      <c r="DR18" s="27" t="str">
        <f>VLOOKUP($A18,'[1]Raw Data'!$A$3:$FB$285,115,FALSE)</f>
        <v/>
      </c>
      <c r="DS18" s="27" t="str">
        <f>VLOOKUP($A18,'[1]Raw Data'!$A$3:$FB$285,117,FALSE)</f>
        <v/>
      </c>
      <c r="DU18" s="27" t="str">
        <f>VLOOKUP($A18,'[1]Raw Data'!$A$3:$FB$285,118,FALSE)</f>
        <v>DUDBC.DLPIU Chief</v>
      </c>
      <c r="DV18" s="27" t="s">
        <v>883</v>
      </c>
      <c r="DW18" s="27" t="str">
        <f>VLOOKUP($A18,'[1]Raw Data'!$A$3:$FB$285,119,FALSE)</f>
        <v/>
      </c>
      <c r="DX18" s="27" t="s">
        <v>339</v>
      </c>
      <c r="DY18" s="27" t="str">
        <f>VLOOKUP($A18,'[1]Raw Data'!$A$3:$FB$285,124,FALSE)</f>
        <v/>
      </c>
      <c r="DZ18" s="27" t="s">
        <v>884</v>
      </c>
      <c r="EA18" s="27" t="str">
        <f>VLOOKUP($A18,'[1]Raw Data'!$A$3:$FB$285,125,FALSE)</f>
        <v/>
      </c>
      <c r="EB18" s="27" t="s">
        <v>341</v>
      </c>
      <c r="EC18" s="27" t="str">
        <f>VLOOKUP($A18,'[1]Raw Data'!$A$3:$FB$285,126,FALSE)</f>
        <v/>
      </c>
      <c r="ED18" t="s">
        <v>478</v>
      </c>
      <c r="EE18" s="27" t="str">
        <f>VLOOKUP($A18,'[1]Raw Data'!$A$3:$FB$285,127,FALSE)</f>
        <v/>
      </c>
      <c r="EF18" s="27" t="s">
        <v>343</v>
      </c>
      <c r="EG18" s="27" t="str">
        <f>VLOOKUP($A18,'[1]Raw Data'!$A$3:$FB$285,128,FALSE)</f>
        <v/>
      </c>
      <c r="EH18" t="s">
        <v>344</v>
      </c>
      <c r="EI18" s="27" t="str">
        <f>VLOOKUP($A18,'[1]Raw Data'!$A$3:$FB$285,129,FALSE)</f>
        <v/>
      </c>
      <c r="EM18" s="27" t="str">
        <f>VLOOKUP($A18,'[1]Raw Data'!$A$3:$FB$285,130,FALSE)</f>
        <v/>
      </c>
      <c r="EN18" s="27" t="str">
        <f>VLOOKUP($A18,'[1]Raw Data'!$A$3:$FB$285,131,FALSE)</f>
        <v/>
      </c>
      <c r="EO18" s="27" t="str">
        <f>VLOOKUP($A18,'[1]Raw Data'!$A$3:$FB$285,132,FALSE)</f>
        <v/>
      </c>
      <c r="EP18" s="27" t="str">
        <f>VLOOKUP($A18,'[1]Raw Data'!$A$3:$FB$285,133,FALSE)</f>
        <v/>
      </c>
      <c r="EQ18" s="27" t="str">
        <f>VLOOKUP($A18,'[1]Raw Data'!$A$3:$FB$285,134,FALSE)</f>
        <v/>
      </c>
      <c r="ER18" s="27" t="str">
        <f>VLOOKUP($A18,'[1]Raw Data'!$A$3:$FB$285,135,FALSE)</f>
        <v/>
      </c>
      <c r="ES18" s="27" t="str">
        <f>VLOOKUP($A18,'[1]Raw Data'!$A$3:$FB$285,136,FALSE)</f>
        <v/>
      </c>
      <c r="ET18" s="27" t="str">
        <f>VLOOKUP($A18,'[1]Raw Data'!$A$3:$FB$285,137,FALSE)</f>
        <v/>
      </c>
      <c r="EU18" s="27" t="str">
        <f>VLOOKUP($A18,'[1]Raw Data'!$A$3:$FB$285,138,FALSE)</f>
        <v/>
      </c>
      <c r="EV18" s="27" t="str">
        <f>VLOOKUP($A18,'[1]Raw Data'!$A$3:$FB$285,139,FALSE)</f>
        <v/>
      </c>
      <c r="EW18" s="38">
        <f>VLOOKUP($A18,[1]Training!$A$2:$I$284,5,FALSE)</f>
        <v>14.461538461538462</v>
      </c>
      <c r="EX18" s="31">
        <f>VLOOKUP($A18,[1]Training!$A$2:$I$284,6,FALSE)</f>
        <v>0</v>
      </c>
      <c r="EY18" s="38">
        <f>VLOOKUP($A18,[1]Training!$A$2:$I$284,8,FALSE)</f>
        <v>17.09090909090909</v>
      </c>
      <c r="EZ18" s="31">
        <f>VLOOKUP($A18,[1]Training!$A$2:$I$284,9,FALSE)</f>
        <v>0</v>
      </c>
      <c r="FA18" s="27">
        <v>1</v>
      </c>
      <c r="FB18" s="27">
        <v>2</v>
      </c>
      <c r="FC18" s="27" t="str">
        <f>VLOOKUP($A18,'[1]Raw Data'!$A$3:$FB$285,148,FALSE)</f>
        <v/>
      </c>
      <c r="FE18" s="27" t="str">
        <f>VLOOKUP($A18,'[1]Raw Data'!$A$3:$FB$285,149,FALSE)</f>
        <v>District Coordinator</v>
      </c>
      <c r="FF18" s="27" t="s">
        <v>885</v>
      </c>
      <c r="FG18" s="27" t="str">
        <f>VLOOKUP($A18,'[1]Raw Data'!$A$3:$FB$285,150,FALSE)</f>
        <v/>
      </c>
      <c r="FH18" s="27" t="str">
        <f>VLOOKUP($A18,'[1]Raw Data'!$A$3:$FB$285,156,FALSE)</f>
        <v/>
      </c>
      <c r="FJ18" s="27" t="str">
        <f>VLOOKUP($A18,'[1]Raw Data'!$A$3:$FB$285,157,FALSE)</f>
        <v>District Technical Officer</v>
      </c>
      <c r="FK18" s="27" t="s">
        <v>886</v>
      </c>
      <c r="FL18" s="27" t="str">
        <f>VLOOKUP($A18,'[1]Raw Data'!$A$3:$FB$285,158,FALSE)</f>
        <v/>
      </c>
      <c r="FM18" s="27" t="str">
        <f>VLOOKUP($A18,'[1]Raw Data'!$A$3:$FB$285,152,FALSE)</f>
        <v/>
      </c>
      <c r="FO18" s="27" t="str">
        <f>VLOOKUP($A18,'[1]Raw Data'!$A$3:$FB$285,153,FALSE)</f>
        <v>DIstrict Information Management Officer</v>
      </c>
      <c r="FP18" s="27" t="s">
        <v>887</v>
      </c>
      <c r="FQ18" s="27" t="str">
        <f>VLOOKUP($A18,'[1]Raw Data'!$A$3:$FB$285,154,FALSE)</f>
        <v/>
      </c>
    </row>
    <row r="19" spans="1:173" ht="24" x14ac:dyDescent="0.45">
      <c r="A19" s="27">
        <v>9008</v>
      </c>
      <c r="B19" s="36" t="str">
        <f ca="1">IFERROR(__xludf.DUMMYFUNCTION("""COMPUTED_VALUE"""),"Panchakhapan Nagarpalika")</f>
        <v>Panchakhapan Nagarpalika</v>
      </c>
      <c r="C19" s="37" t="str">
        <f>VLOOKUP(A19,'[1]Palika and District in Nepali '!$D$1:$F$283,3,FALSE)</f>
        <v>पाँचखापन नगरपालिका</v>
      </c>
      <c r="D19" s="36" t="str">
        <f ca="1">IFERROR(__xludf.DUMMYFUNCTION("""COMPUTED_VALUE"""),"Sankhuwasabha")</f>
        <v>Sankhuwasabha</v>
      </c>
      <c r="E19" s="36"/>
      <c r="F19" s="27">
        <f>VLOOKUP(A19,'[1]Raw Data'!$A$3:$FB$285,4,FALSE)</f>
        <v>187</v>
      </c>
      <c r="G19" s="27">
        <f>VLOOKUP(A19,'[1]Raw Data'!$A$3:$FB$285,5,FALSE)</f>
        <v>230</v>
      </c>
      <c r="H19" s="27">
        <f>VLOOKUP(A19,'[1]Raw Data'!$A$3:$FB$285,6,FALSE)</f>
        <v>417</v>
      </c>
      <c r="I19" s="27">
        <f>VLOOKUP($A19,'[1]Raw Data'!$A$3:$FB$285,8,FALSE)</f>
        <v>0</v>
      </c>
      <c r="J19" s="27">
        <f>VLOOKUP($A19,'[1]Raw Data'!$A$3:$FB$285,9,FALSE)</f>
        <v>0.6</v>
      </c>
      <c r="K19" s="27">
        <f>VLOOKUP($A19,'[1]Raw Data'!$A$3:$FB$285,11,FALSE)</f>
        <v>89.69</v>
      </c>
      <c r="L19" s="27">
        <f>VLOOKUP($A19,'[1]Raw Data'!$A$3:$FB$285,12,FALSE)</f>
        <v>77</v>
      </c>
      <c r="M19" s="27">
        <f>VLOOKUP($A19,'[1]Raw Data'!$A$3:$FB$285,14,FALSE)</f>
        <v>0</v>
      </c>
      <c r="N19" s="27">
        <f>VLOOKUP($A19,'[1]Raw Data'!$A$3:$FB$285,15,FALSE)</f>
        <v>0.33</v>
      </c>
      <c r="O19" s="27">
        <f>VLOOKUP($A19,'[1]Raw Data'!$A$3:$FB$285,17,FALSE)</f>
        <v>1.92</v>
      </c>
      <c r="P19" s="27">
        <f>VLOOKUP($A19,'[1]Raw Data'!$A$3:$FB$285,18,FALSE)</f>
        <v>0.51</v>
      </c>
      <c r="Q19" s="27">
        <f>VLOOKUP($A19,'[1]Raw Data'!$A$3:$FB$285,20,FALSE)</f>
        <v>0.24</v>
      </c>
      <c r="R19" s="27">
        <f>VLOOKUP($A19,'[1]Raw Data'!$A$3:$FB$285,21,FALSE)</f>
        <v>0.51</v>
      </c>
      <c r="S19" s="27">
        <f>VLOOKUP($A19,'[1]Raw Data'!$A$3:$FB$285,23,FALSE)</f>
        <v>0</v>
      </c>
      <c r="T19" s="27">
        <f>VLOOKUP($A19,'[1]Raw Data'!$A$3:$FB$285,24,FALSE)</f>
        <v>0</v>
      </c>
      <c r="U19" s="27">
        <f>VLOOKUP($A19,'[1]Raw Data'!$A$3:$FB$285,26,FALSE)</f>
        <v>0.24</v>
      </c>
      <c r="V19" s="27">
        <f>VLOOKUP($A19,'[1]Raw Data'!$A$3:$FB$285,27,FALSE)</f>
        <v>0.8</v>
      </c>
      <c r="W19" s="27">
        <f>VLOOKUP($A19,'[1]Raw Data'!$A$3:$FB$285,29,FALSE)</f>
        <v>0</v>
      </c>
      <c r="X19" s="27">
        <f>VLOOKUP($A19,'[1]Raw Data'!$A$3:$FB$285,30,FALSE)</f>
        <v>0</v>
      </c>
      <c r="Y19" s="27">
        <f>VLOOKUP($A19,'[1]Raw Data'!$A$3:$FB$285,32,FALSE)</f>
        <v>0</v>
      </c>
      <c r="Z19" s="27">
        <f>VLOOKUP($A19,'[1]Raw Data'!$A$3:$FB$285,33,FALSE)</f>
        <v>0.28999999999999998</v>
      </c>
      <c r="AA19" s="27">
        <f>VLOOKUP($A19,'[1]Raw Data'!$A$3:$FB$285,35,FALSE)</f>
        <v>6.95</v>
      </c>
      <c r="AB19" s="27">
        <f>VLOOKUP($A19,'[1]Raw Data'!$A$3:$FB$285,36,FALSE)</f>
        <v>18.559999999999999</v>
      </c>
      <c r="AC19" s="27">
        <f>VLOOKUP($A19,'[1]Raw Data'!$A$3:$FB$285,38,FALSE)</f>
        <v>0.96</v>
      </c>
      <c r="AD19" s="27">
        <f>VLOOKUP($A19,'[1]Raw Data'!$A$3:$FB$285,39,FALSE)</f>
        <v>1.4</v>
      </c>
      <c r="AE19" s="27">
        <f>VLOOKUP($A19,'[1]Raw Data'!$A$3:$FB$285,41,FALSE)</f>
        <v>0</v>
      </c>
      <c r="AF19" s="27">
        <f>VLOOKUP($A19,'[1]Raw Data'!$A$3:$FB$285,42,FALSE)</f>
        <v>0</v>
      </c>
      <c r="AG19" s="27">
        <f>VLOOKUP($A19,'[1]Raw Data'!$A$3:$FB$285,44,FALSE)</f>
        <v>0</v>
      </c>
      <c r="AH19" s="27">
        <f>VLOOKUP($A19,'[1]Raw Data'!$A$3:$FB$285,45,FALSE)</f>
        <v>0</v>
      </c>
      <c r="AI19" s="27">
        <f>VLOOKUP($A19,'[1]Raw Data'!$A$3:$FB$285,46,FALSE)</f>
        <v>157</v>
      </c>
      <c r="AJ19" s="27">
        <f>VLOOKUP($A19,'[1]Raw Data'!$A$3:$FB$285,47,FALSE)</f>
        <v>55</v>
      </c>
      <c r="AK19" s="27">
        <f>VLOOKUP($A19,'[1]Raw Data'!$A$3:$FB$285,48,FALSE)</f>
        <v>55</v>
      </c>
      <c r="AL19" s="27">
        <f>VLOOKUP($A19,'[1]Raw Data'!$A$3:$FB$285,49,FALSE)</f>
        <v>29</v>
      </c>
      <c r="AM19" s="27">
        <f>VLOOKUP($A19,'[1]Raw Data'!$A$3:$FB$285,50,FALSE)</f>
        <v>0</v>
      </c>
      <c r="AN19" s="27" t="str">
        <f>VLOOKUP($A19,'[1]Raw Data'!$A$3:$FB$285,51,FALSE)</f>
        <v/>
      </c>
      <c r="AO19" s="27" t="str">
        <f>VLOOKUP($A19,'[1]Raw Data'!$A$3:$FB$285,52,FALSE)</f>
        <v/>
      </c>
      <c r="AP19" s="27">
        <f>VLOOKUP($A19,'[1]Raw Data'!$A$3:$FB$285,53,FALSE)</f>
        <v>56</v>
      </c>
      <c r="AQ19" s="27" t="str">
        <f>VLOOKUP($A19,'[1]Raw Data'!$A$3:$FB$285,54,FALSE)</f>
        <v/>
      </c>
      <c r="AR19" s="27" t="str">
        <f>VLOOKUP($A19,'[1]Raw Data'!$A$3:$FB$285,55,FALSE)</f>
        <v/>
      </c>
      <c r="AS19" s="27" t="str">
        <f>VLOOKUP($A19,'[1]Raw Data'!$A$3:$FB$285,56,FALSE)</f>
        <v/>
      </c>
      <c r="AT19" s="27" t="str">
        <f>VLOOKUP($A19,'[1]Raw Data'!$A$3:$FB$285,57,FALSE)</f>
        <v/>
      </c>
      <c r="AU19" s="27" t="str">
        <f>VLOOKUP($A19,'[1]Raw Data'!$A$3:$FB$285,58,FALSE)</f>
        <v/>
      </c>
      <c r="AV19" s="27" t="str">
        <f>VLOOKUP($A19,'[1]Raw Data'!$A$3:$FB$285,59,FALSE)</f>
        <v/>
      </c>
      <c r="AW19" s="27" t="str">
        <f>VLOOKUP($A19,'[1]Raw Data'!$A$3:$FB$285,60,FALSE)</f>
        <v/>
      </c>
      <c r="AX19" s="27" t="str">
        <f>VLOOKUP(A19,'[1]PO''s List'!A17:E299,4,FALSE)</f>
        <v/>
      </c>
      <c r="AZ19" s="27" t="str">
        <f>VLOOKUP(A19,'[1]PO''s List'!$A$3:$E$285,5,FALSE)</f>
        <v/>
      </c>
      <c r="BB19" s="27">
        <f>VLOOKUP($A19,'[1]Raw Data'!$A$3:$FB$285,63,FALSE)</f>
        <v>1545</v>
      </c>
      <c r="BC19" s="27" t="str">
        <f>VLOOKUP($A19,'[1]Raw Data'!$A$3:$FB$285,64,FALSE)</f>
        <v/>
      </c>
      <c r="BD19" s="27" t="str">
        <f t="shared" si="0"/>
        <v/>
      </c>
      <c r="BE19" s="27" t="str">
        <f>VLOOKUP($A19,'[1]Raw Data'!$A$3:$FB$285,65,FALSE)</f>
        <v/>
      </c>
      <c r="BF19" s="27">
        <f>VLOOKUP($A19,'[1]Raw Data'!$A$3:$FB$285,66,FALSE)</f>
        <v>1585</v>
      </c>
      <c r="BG19" s="27" t="str">
        <f>VLOOKUP($A19,'[1]Raw Data'!$A$3:$FB$285,67,FALSE)</f>
        <v/>
      </c>
      <c r="BH19" s="27" t="str">
        <f t="shared" si="1"/>
        <v/>
      </c>
      <c r="BI19" s="27" t="str">
        <f>VLOOKUP($A19,'[1]Raw Data'!$A$3:$FB$285,68,FALSE)</f>
        <v/>
      </c>
      <c r="BJ19" s="27">
        <f>VLOOKUP($A19,'[1]Raw Data'!$A$3:$FB$285,69,FALSE)</f>
        <v>165</v>
      </c>
      <c r="BK19" s="27" t="str">
        <f>VLOOKUP($A19,'[1]Raw Data'!$A$3:$FB$285,70,FALSE)</f>
        <v/>
      </c>
      <c r="BL19" s="27" t="str">
        <f t="shared" si="2"/>
        <v/>
      </c>
      <c r="BM19" s="27" t="str">
        <f>VLOOKUP($A19,'[1]Raw Data'!$A$3:$FB$285,71,FALSE)</f>
        <v/>
      </c>
      <c r="BN19" s="27">
        <f>VLOOKUP($A19,'[1]Raw Data'!$A$3:$FB$285,72,FALSE)</f>
        <v>191</v>
      </c>
      <c r="BO19" s="27" t="str">
        <f>VLOOKUP($A19,'[1]Raw Data'!$A$3:$FB$285,73,FALSE)</f>
        <v/>
      </c>
      <c r="BP19" s="27" t="str">
        <f t="shared" si="3"/>
        <v/>
      </c>
      <c r="BQ19" s="27" t="str">
        <f>VLOOKUP($A19,'[1]Raw Data'!$A$3:$FB$285,74,FALSE)</f>
        <v/>
      </c>
      <c r="BR19" s="27" t="str">
        <f>VLOOKUP($A19,'[1]Raw Data'!$A$3:$FB$285,75,FALSE)</f>
        <v/>
      </c>
      <c r="BS19" s="27" t="str">
        <f>VLOOKUP($A19,'[1]Raw Data'!$A$3:$FB$285,76,FALSE)</f>
        <v/>
      </c>
      <c r="BT19" s="27" t="str">
        <f t="shared" si="4"/>
        <v/>
      </c>
      <c r="BU19" s="27" t="str">
        <f>VLOOKUP($A19,'[1]Raw Data'!$A$3:$FB$285,77,FALSE)</f>
        <v/>
      </c>
      <c r="BV19" s="27">
        <f>VLOOKUP($A19,'[1]Raw Data'!$A$3:$FB$285,78,FALSE)</f>
        <v>5285</v>
      </c>
      <c r="BW19" s="27" t="str">
        <f>VLOOKUP($A19,'[1]Raw Data'!$A$3:$FB$285,79,FALSE)</f>
        <v/>
      </c>
      <c r="BX19" s="27" t="str">
        <f t="shared" si="5"/>
        <v/>
      </c>
      <c r="BY19" s="27" t="str">
        <f>VLOOKUP($A19,'[1]Raw Data'!$A$3:$FB$285,80,FALSE)</f>
        <v/>
      </c>
      <c r="BZ19" s="27">
        <f>VLOOKUP($A19,'[1]Raw Data'!$A$3:$FB$285,81,FALSE)</f>
        <v>16787</v>
      </c>
      <c r="CA19" s="27" t="str">
        <f>VLOOKUP($A19,'[1]Raw Data'!$A$3:$FB$285,82,FALSE)</f>
        <v/>
      </c>
      <c r="CB19" s="27" t="str">
        <f t="shared" si="6"/>
        <v/>
      </c>
      <c r="CC19" s="27" t="str">
        <f>VLOOKUP($A19,'[1]Raw Data'!$A$3:$FB$285,83,FALSE)</f>
        <v/>
      </c>
      <c r="CD19" s="27">
        <f>VLOOKUP($A19,'[1]Raw Data'!$A$3:$FB$285,84,FALSE)</f>
        <v>216</v>
      </c>
      <c r="CE19" s="27" t="str">
        <f>VLOOKUP($A19,'[1]Raw Data'!$A$3:$FB$285,85,FALSE)</f>
        <v/>
      </c>
      <c r="CF19" s="27" t="str">
        <f t="shared" si="7"/>
        <v/>
      </c>
      <c r="CG19" s="27" t="str">
        <f>VLOOKUP($A19,'[1]Raw Data'!$A$3:$FB$285,86,FALSE)</f>
        <v/>
      </c>
      <c r="CH19" s="27">
        <f>VLOOKUP($A19,'[1]Raw Data'!$A$3:$FB$285,87,FALSE)</f>
        <v>20058</v>
      </c>
      <c r="CI19" s="27" t="str">
        <f>VLOOKUP($A19,'[1]Raw Data'!$A$3:$FB$285,88,FALSE)</f>
        <v/>
      </c>
      <c r="CJ19" s="27" t="str">
        <f t="shared" si="8"/>
        <v/>
      </c>
      <c r="CK19" s="27" t="str">
        <f>VLOOKUP($A19,'[1]Raw Data'!$A$3:$FB$285,89,FALSE)</f>
        <v/>
      </c>
      <c r="CL19" s="27" t="str">
        <f>VLOOKUP($A19,'[1]Raw Data'!$A$3:$FB$285,91,FALSE)</f>
        <v/>
      </c>
      <c r="CM19" s="27" t="str">
        <f>VLOOKUP($A19,'[1]Raw Data'!$A$3:$FB$285,93,FALSE)</f>
        <v/>
      </c>
      <c r="CN19" s="27" t="str">
        <f>VLOOKUP($A19,'[1]Raw Data'!$A$3:$FB$285,94,FALSE)</f>
        <v/>
      </c>
      <c r="CO19" s="27" t="str">
        <f>VLOOKUP($A19,'[1]Raw Data'!$A$3:$FB$285,95,FALSE)</f>
        <v/>
      </c>
      <c r="CP19" s="27" t="str">
        <f>VLOOKUP($A19,'[1]Raw Data'!$A$3:$FB$285,96,FALSE)</f>
        <v/>
      </c>
      <c r="CQ19" s="27" t="str">
        <f>VLOOKUP($A19,'[1]Raw Data'!$A$3:$FB$285,97,FALSE)</f>
        <v/>
      </c>
      <c r="CR19" s="27" t="str">
        <f>VLOOKUP($A19,'[1]Raw Data'!$A$3:$FB$285,98,FALSE)</f>
        <v/>
      </c>
      <c r="CS19" s="27" t="str">
        <f>VLOOKUP($A19,'[1]Raw Data'!$A$3:$FB$285,99,FALSE)</f>
        <v/>
      </c>
      <c r="CT19" s="27" t="str">
        <f>VLOOKUP($A19,'[1]Raw Data'!$A$3:$FB$285,101,FALSE)</f>
        <v/>
      </c>
      <c r="CV19" s="27" t="str">
        <f>VLOOKUP($A19,'[1]Raw Data'!$A$3:$FB$285,102,FALSE)</f>
        <v>Mayor</v>
      </c>
      <c r="CW19" s="27" t="s">
        <v>834</v>
      </c>
      <c r="CX19" s="27" t="str">
        <f>VLOOKUP($A19,'[1]Raw Data'!$A$3:$FB$285,103,FALSE)</f>
        <v/>
      </c>
      <c r="CY19" s="27" t="str">
        <f>VLOOKUP($A19,'[1]Raw Data'!$A$3:$FB$285,105,FALSE)</f>
        <v/>
      </c>
      <c r="DA19" s="27" t="str">
        <f>VLOOKUP($A19,'[1]Raw Data'!$A$3:$FB$285,106,FALSE)</f>
        <v>Deputy Mayor</v>
      </c>
      <c r="DB19" s="27" t="s">
        <v>888</v>
      </c>
      <c r="DC19" s="27" t="str">
        <f>VLOOKUP($A19,'[1]Raw Data'!$A$3:$FB$285,107,FALSE)</f>
        <v/>
      </c>
      <c r="DD19" s="27" t="str">
        <f>VLOOKUP($A19,'[1]Raw Data'!$A$3:$FB$285,109,FALSE)</f>
        <v/>
      </c>
      <c r="DF19" s="27" t="str">
        <f>VLOOKUP($A19,'[1]Raw Data'!$A$3:$FB$285,110,FALSE)</f>
        <v>Chief Adminstration Officer</v>
      </c>
      <c r="DG19" s="27" t="s">
        <v>880</v>
      </c>
      <c r="DH19" s="27" t="str">
        <f>VLOOKUP($A19,'[1]Raw Data'!$A$3:$FB$285,111,FALSE)</f>
        <v/>
      </c>
      <c r="DI19" s="27" t="str">
        <f>VLOOKUP($A19,'[1]Raw Data'!$A$3:$FB$285,121,FALSE)</f>
        <v/>
      </c>
      <c r="DK19" s="27" t="str">
        <f>VLOOKUP($A19,'[1]Raw Data'!$A$3:$FB$285,122,FALSE)</f>
        <v>Focal Person</v>
      </c>
      <c r="DL19" s="27" t="s">
        <v>881</v>
      </c>
      <c r="DM19" s="27" t="str">
        <f>VLOOKUP($A19,'[1]Raw Data'!$A$3:$FB$285,123,FALSE)</f>
        <v/>
      </c>
      <c r="DN19" s="27" t="str">
        <f>VLOOKUP($A19,'[1]Raw Data'!$A$3:$FB$285,113,FALSE)</f>
        <v/>
      </c>
      <c r="DP19" s="27" t="str">
        <f>VLOOKUP($A19,'[1]Raw Data'!$A$3:$FB$285,114,FALSE)</f>
        <v>NRA Chief-District</v>
      </c>
      <c r="DQ19" s="27" t="s">
        <v>882</v>
      </c>
      <c r="DR19" s="27" t="str">
        <f>VLOOKUP($A19,'[1]Raw Data'!$A$3:$FB$285,115,FALSE)</f>
        <v/>
      </c>
      <c r="DS19" s="27" t="str">
        <f>VLOOKUP($A19,'[1]Raw Data'!$A$3:$FB$285,117,FALSE)</f>
        <v/>
      </c>
      <c r="DU19" s="27" t="str">
        <f>VLOOKUP($A19,'[1]Raw Data'!$A$3:$FB$285,118,FALSE)</f>
        <v>DUDBC.DLPIU Chief</v>
      </c>
      <c r="DV19" s="27" t="s">
        <v>883</v>
      </c>
      <c r="DW19" s="27" t="str">
        <f>VLOOKUP($A19,'[1]Raw Data'!$A$3:$FB$285,119,FALSE)</f>
        <v/>
      </c>
      <c r="DX19" s="27" t="s">
        <v>339</v>
      </c>
      <c r="DY19" s="27" t="str">
        <f>VLOOKUP($A19,'[1]Raw Data'!$A$3:$FB$285,124,FALSE)</f>
        <v/>
      </c>
      <c r="DZ19" s="27" t="s">
        <v>884</v>
      </c>
      <c r="EA19" s="27" t="str">
        <f>VLOOKUP($A19,'[1]Raw Data'!$A$3:$FB$285,125,FALSE)</f>
        <v/>
      </c>
      <c r="EB19" s="27" t="s">
        <v>341</v>
      </c>
      <c r="EC19" s="27" t="str">
        <f>VLOOKUP($A19,'[1]Raw Data'!$A$3:$FB$285,126,FALSE)</f>
        <v/>
      </c>
      <c r="ED19" t="s">
        <v>478</v>
      </c>
      <c r="EE19" s="27" t="str">
        <f>VLOOKUP($A19,'[1]Raw Data'!$A$3:$FB$285,127,FALSE)</f>
        <v/>
      </c>
      <c r="EF19" s="27" t="s">
        <v>343</v>
      </c>
      <c r="EG19" s="27" t="str">
        <f>VLOOKUP($A19,'[1]Raw Data'!$A$3:$FB$285,128,FALSE)</f>
        <v/>
      </c>
      <c r="EH19" t="s">
        <v>344</v>
      </c>
      <c r="EI19" s="27" t="str">
        <f>VLOOKUP($A19,'[1]Raw Data'!$A$3:$FB$285,129,FALSE)</f>
        <v/>
      </c>
      <c r="EM19" s="27" t="str">
        <f>VLOOKUP($A19,'[1]Raw Data'!$A$3:$FB$285,130,FALSE)</f>
        <v/>
      </c>
      <c r="EN19" s="27" t="str">
        <f>VLOOKUP($A19,'[1]Raw Data'!$A$3:$FB$285,131,FALSE)</f>
        <v/>
      </c>
      <c r="EO19" s="27" t="str">
        <f>VLOOKUP($A19,'[1]Raw Data'!$A$3:$FB$285,132,FALSE)</f>
        <v/>
      </c>
      <c r="EP19" s="27" t="str">
        <f>VLOOKUP($A19,'[1]Raw Data'!$A$3:$FB$285,133,FALSE)</f>
        <v/>
      </c>
      <c r="EQ19" s="27" t="str">
        <f>VLOOKUP($A19,'[1]Raw Data'!$A$3:$FB$285,134,FALSE)</f>
        <v/>
      </c>
      <c r="ER19" s="27" t="str">
        <f>VLOOKUP($A19,'[1]Raw Data'!$A$3:$FB$285,135,FALSE)</f>
        <v/>
      </c>
      <c r="ES19" s="27" t="str">
        <f>VLOOKUP($A19,'[1]Raw Data'!$A$3:$FB$285,136,FALSE)</f>
        <v/>
      </c>
      <c r="ET19" s="27" t="str">
        <f>VLOOKUP($A19,'[1]Raw Data'!$A$3:$FB$285,137,FALSE)</f>
        <v/>
      </c>
      <c r="EU19" s="27" t="str">
        <f>VLOOKUP($A19,'[1]Raw Data'!$A$3:$FB$285,138,FALSE)</f>
        <v/>
      </c>
      <c r="EV19" s="27" t="str">
        <f>VLOOKUP($A19,'[1]Raw Data'!$A$3:$FB$285,139,FALSE)</f>
        <v/>
      </c>
      <c r="EW19" s="38">
        <f>VLOOKUP($A19,[1]Training!$A$2:$I$284,5,FALSE)</f>
        <v>12.076923076923077</v>
      </c>
      <c r="EX19" s="31">
        <f>VLOOKUP($A19,[1]Training!$A$2:$I$284,6,FALSE)</f>
        <v>0</v>
      </c>
      <c r="EY19" s="38">
        <f>VLOOKUP($A19,[1]Training!$A$2:$I$284,8,FALSE)</f>
        <v>14.272727272727273</v>
      </c>
      <c r="EZ19" s="31">
        <f>VLOOKUP($A19,[1]Training!$A$2:$I$284,9,FALSE)</f>
        <v>0</v>
      </c>
      <c r="FA19" s="27">
        <v>1</v>
      </c>
      <c r="FB19" s="27">
        <v>2</v>
      </c>
      <c r="FC19" s="27" t="str">
        <f>VLOOKUP($A19,'[1]Raw Data'!$A$3:$FB$285,148,FALSE)</f>
        <v/>
      </c>
      <c r="FE19" s="27" t="str">
        <f>VLOOKUP($A19,'[1]Raw Data'!$A$3:$FB$285,149,FALSE)</f>
        <v>District Coordinator</v>
      </c>
      <c r="FF19" s="27" t="s">
        <v>885</v>
      </c>
      <c r="FG19" s="27" t="str">
        <f>VLOOKUP($A19,'[1]Raw Data'!$A$3:$FB$285,150,FALSE)</f>
        <v/>
      </c>
      <c r="FH19" s="27" t="str">
        <f>VLOOKUP($A19,'[1]Raw Data'!$A$3:$FB$285,156,FALSE)</f>
        <v/>
      </c>
      <c r="FJ19" s="27" t="str">
        <f>VLOOKUP($A19,'[1]Raw Data'!$A$3:$FB$285,157,FALSE)</f>
        <v>District Technical Officer</v>
      </c>
      <c r="FK19" s="27" t="s">
        <v>886</v>
      </c>
      <c r="FL19" s="27" t="str">
        <f>VLOOKUP($A19,'[1]Raw Data'!$A$3:$FB$285,158,FALSE)</f>
        <v/>
      </c>
      <c r="FM19" s="27" t="str">
        <f>VLOOKUP($A19,'[1]Raw Data'!$A$3:$FB$285,152,FALSE)</f>
        <v/>
      </c>
      <c r="FO19" s="27" t="str">
        <f>VLOOKUP($A19,'[1]Raw Data'!$A$3:$FB$285,153,FALSE)</f>
        <v>DIstrict Information Management Officer</v>
      </c>
      <c r="FP19" s="27" t="s">
        <v>887</v>
      </c>
      <c r="FQ19" s="27" t="str">
        <f>VLOOKUP($A19,'[1]Raw Data'!$A$3:$FB$285,154,FALSE)</f>
        <v/>
      </c>
    </row>
    <row r="20" spans="1:173" ht="24" x14ac:dyDescent="0.45">
      <c r="A20" s="27">
        <v>9009</v>
      </c>
      <c r="B20" s="36" t="str">
        <f ca="1">IFERROR(__xludf.DUMMYFUNCTION("""COMPUTED_VALUE"""),"Sabhapokhari Gaunpalika")</f>
        <v>Sabhapokhari Gaunpalika</v>
      </c>
      <c r="C20" s="37" t="str">
        <f>VLOOKUP(A20,'[1]Palika and District in Nepali '!$D$1:$F$283,3,FALSE)</f>
        <v>सभापोखरी गाउँपालिका</v>
      </c>
      <c r="D20" s="36" t="str">
        <f ca="1">IFERROR(__xludf.DUMMYFUNCTION("""COMPUTED_VALUE"""),"Sankhuwasabha")</f>
        <v>Sankhuwasabha</v>
      </c>
      <c r="E20" s="36"/>
      <c r="F20" s="27">
        <f>VLOOKUP(A20,'[1]Raw Data'!$A$3:$FB$285,4,FALSE)</f>
        <v>31</v>
      </c>
      <c r="G20" s="27">
        <f>VLOOKUP(A20,'[1]Raw Data'!$A$3:$FB$285,5,FALSE)</f>
        <v>127</v>
      </c>
      <c r="H20" s="27">
        <f>VLOOKUP(A20,'[1]Raw Data'!$A$3:$FB$285,6,FALSE)</f>
        <v>158</v>
      </c>
      <c r="I20" s="27">
        <f>VLOOKUP($A20,'[1]Raw Data'!$A$3:$FB$285,8,FALSE)</f>
        <v>0</v>
      </c>
      <c r="J20" s="27">
        <f>VLOOKUP($A20,'[1]Raw Data'!$A$3:$FB$285,9,FALSE)</f>
        <v>0.6</v>
      </c>
      <c r="K20" s="27">
        <f>VLOOKUP($A20,'[1]Raw Data'!$A$3:$FB$285,11,FALSE)</f>
        <v>72.150000000000006</v>
      </c>
      <c r="L20" s="27">
        <f>VLOOKUP($A20,'[1]Raw Data'!$A$3:$FB$285,12,FALSE)</f>
        <v>77</v>
      </c>
      <c r="M20" s="27">
        <f>VLOOKUP($A20,'[1]Raw Data'!$A$3:$FB$285,14,FALSE)</f>
        <v>0</v>
      </c>
      <c r="N20" s="27">
        <f>VLOOKUP($A20,'[1]Raw Data'!$A$3:$FB$285,15,FALSE)</f>
        <v>0.33</v>
      </c>
      <c r="O20" s="27">
        <f>VLOOKUP($A20,'[1]Raw Data'!$A$3:$FB$285,17,FALSE)</f>
        <v>0</v>
      </c>
      <c r="P20" s="27">
        <f>VLOOKUP($A20,'[1]Raw Data'!$A$3:$FB$285,18,FALSE)</f>
        <v>0.51</v>
      </c>
      <c r="Q20" s="27">
        <f>VLOOKUP($A20,'[1]Raw Data'!$A$3:$FB$285,20,FALSE)</f>
        <v>0</v>
      </c>
      <c r="R20" s="27">
        <f>VLOOKUP($A20,'[1]Raw Data'!$A$3:$FB$285,21,FALSE)</f>
        <v>0.51</v>
      </c>
      <c r="S20" s="27">
        <f>VLOOKUP($A20,'[1]Raw Data'!$A$3:$FB$285,23,FALSE)</f>
        <v>0</v>
      </c>
      <c r="T20" s="27">
        <f>VLOOKUP($A20,'[1]Raw Data'!$A$3:$FB$285,24,FALSE)</f>
        <v>0</v>
      </c>
      <c r="U20" s="27">
        <f>VLOOKUP($A20,'[1]Raw Data'!$A$3:$FB$285,26,FALSE)</f>
        <v>0</v>
      </c>
      <c r="V20" s="27">
        <f>VLOOKUP($A20,'[1]Raw Data'!$A$3:$FB$285,27,FALSE)</f>
        <v>0.8</v>
      </c>
      <c r="W20" s="27">
        <f>VLOOKUP($A20,'[1]Raw Data'!$A$3:$FB$285,29,FALSE)</f>
        <v>0</v>
      </c>
      <c r="X20" s="27">
        <f>VLOOKUP($A20,'[1]Raw Data'!$A$3:$FB$285,30,FALSE)</f>
        <v>0</v>
      </c>
      <c r="Y20" s="27">
        <f>VLOOKUP($A20,'[1]Raw Data'!$A$3:$FB$285,32,FALSE)</f>
        <v>0</v>
      </c>
      <c r="Z20" s="27">
        <f>VLOOKUP($A20,'[1]Raw Data'!$A$3:$FB$285,33,FALSE)</f>
        <v>0.28999999999999998</v>
      </c>
      <c r="AA20" s="27">
        <f>VLOOKUP($A20,'[1]Raw Data'!$A$3:$FB$285,35,FALSE)</f>
        <v>27.85</v>
      </c>
      <c r="AB20" s="27">
        <f>VLOOKUP($A20,'[1]Raw Data'!$A$3:$FB$285,36,FALSE)</f>
        <v>18.559999999999999</v>
      </c>
      <c r="AC20" s="27">
        <f>VLOOKUP($A20,'[1]Raw Data'!$A$3:$FB$285,38,FALSE)</f>
        <v>0</v>
      </c>
      <c r="AD20" s="27">
        <f>VLOOKUP($A20,'[1]Raw Data'!$A$3:$FB$285,39,FALSE)</f>
        <v>1.4</v>
      </c>
      <c r="AE20" s="27">
        <f>VLOOKUP($A20,'[1]Raw Data'!$A$3:$FB$285,41,FALSE)</f>
        <v>0</v>
      </c>
      <c r="AF20" s="27">
        <f>VLOOKUP($A20,'[1]Raw Data'!$A$3:$FB$285,42,FALSE)</f>
        <v>0</v>
      </c>
      <c r="AG20" s="27">
        <f>VLOOKUP($A20,'[1]Raw Data'!$A$3:$FB$285,44,FALSE)</f>
        <v>0</v>
      </c>
      <c r="AH20" s="27">
        <f>VLOOKUP($A20,'[1]Raw Data'!$A$3:$FB$285,45,FALSE)</f>
        <v>0</v>
      </c>
      <c r="AI20" s="27">
        <f>VLOOKUP($A20,'[1]Raw Data'!$A$3:$FB$285,46,FALSE)</f>
        <v>73</v>
      </c>
      <c r="AJ20" s="27">
        <f>VLOOKUP($A20,'[1]Raw Data'!$A$3:$FB$285,47,FALSE)</f>
        <v>17</v>
      </c>
      <c r="AK20" s="27">
        <f>VLOOKUP($A20,'[1]Raw Data'!$A$3:$FB$285,48,FALSE)</f>
        <v>17</v>
      </c>
      <c r="AL20" s="27">
        <f>VLOOKUP($A20,'[1]Raw Data'!$A$3:$FB$285,49,FALSE)</f>
        <v>6</v>
      </c>
      <c r="AM20" s="27">
        <f>VLOOKUP($A20,'[1]Raw Data'!$A$3:$FB$285,50,FALSE)</f>
        <v>0</v>
      </c>
      <c r="AN20" s="27" t="str">
        <f>VLOOKUP($A20,'[1]Raw Data'!$A$3:$FB$285,51,FALSE)</f>
        <v/>
      </c>
      <c r="AO20" s="27" t="str">
        <f>VLOOKUP($A20,'[1]Raw Data'!$A$3:$FB$285,52,FALSE)</f>
        <v/>
      </c>
      <c r="AP20" s="27">
        <f>VLOOKUP($A20,'[1]Raw Data'!$A$3:$FB$285,53,FALSE)</f>
        <v>41</v>
      </c>
      <c r="AQ20" s="27" t="str">
        <f>VLOOKUP($A20,'[1]Raw Data'!$A$3:$FB$285,54,FALSE)</f>
        <v/>
      </c>
      <c r="AR20" s="27" t="str">
        <f>VLOOKUP($A20,'[1]Raw Data'!$A$3:$FB$285,55,FALSE)</f>
        <v/>
      </c>
      <c r="AS20" s="27" t="str">
        <f>VLOOKUP($A20,'[1]Raw Data'!$A$3:$FB$285,56,FALSE)</f>
        <v/>
      </c>
      <c r="AT20" s="27" t="str">
        <f>VLOOKUP($A20,'[1]Raw Data'!$A$3:$FB$285,57,FALSE)</f>
        <v/>
      </c>
      <c r="AU20" s="27" t="str">
        <f>VLOOKUP($A20,'[1]Raw Data'!$A$3:$FB$285,58,FALSE)</f>
        <v/>
      </c>
      <c r="AV20" s="27" t="str">
        <f>VLOOKUP($A20,'[1]Raw Data'!$A$3:$FB$285,59,FALSE)</f>
        <v/>
      </c>
      <c r="AW20" s="27" t="str">
        <f>VLOOKUP($A20,'[1]Raw Data'!$A$3:$FB$285,60,FALSE)</f>
        <v/>
      </c>
      <c r="AX20" s="27" t="str">
        <f>VLOOKUP(A20,'[1]PO''s List'!A18:E300,4,FALSE)</f>
        <v/>
      </c>
      <c r="AZ20" s="27" t="str">
        <f>VLOOKUP(A20,'[1]PO''s List'!$A$3:$E$285,5,FALSE)</f>
        <v/>
      </c>
      <c r="BB20" s="27">
        <f>VLOOKUP($A20,'[1]Raw Data'!$A$3:$FB$285,63,FALSE)</f>
        <v>485</v>
      </c>
      <c r="BC20" s="27" t="str">
        <f>VLOOKUP($A20,'[1]Raw Data'!$A$3:$FB$285,64,FALSE)</f>
        <v/>
      </c>
      <c r="BD20" s="27" t="str">
        <f t="shared" si="0"/>
        <v/>
      </c>
      <c r="BE20" s="27" t="str">
        <f>VLOOKUP($A20,'[1]Raw Data'!$A$3:$FB$285,65,FALSE)</f>
        <v/>
      </c>
      <c r="BF20" s="27">
        <f>VLOOKUP($A20,'[1]Raw Data'!$A$3:$FB$285,66,FALSE)</f>
        <v>500</v>
      </c>
      <c r="BG20" s="27" t="str">
        <f>VLOOKUP($A20,'[1]Raw Data'!$A$3:$FB$285,67,FALSE)</f>
        <v/>
      </c>
      <c r="BH20" s="27" t="str">
        <f t="shared" si="1"/>
        <v/>
      </c>
      <c r="BI20" s="27" t="str">
        <f>VLOOKUP($A20,'[1]Raw Data'!$A$3:$FB$285,68,FALSE)</f>
        <v/>
      </c>
      <c r="BJ20" s="27">
        <f>VLOOKUP($A20,'[1]Raw Data'!$A$3:$FB$285,69,FALSE)</f>
        <v>52</v>
      </c>
      <c r="BK20" s="27" t="str">
        <f>VLOOKUP($A20,'[1]Raw Data'!$A$3:$FB$285,70,FALSE)</f>
        <v/>
      </c>
      <c r="BL20" s="27" t="str">
        <f t="shared" si="2"/>
        <v/>
      </c>
      <c r="BM20" s="27" t="str">
        <f>VLOOKUP($A20,'[1]Raw Data'!$A$3:$FB$285,71,FALSE)</f>
        <v/>
      </c>
      <c r="BN20" s="27">
        <f>VLOOKUP($A20,'[1]Raw Data'!$A$3:$FB$285,72,FALSE)</f>
        <v>60</v>
      </c>
      <c r="BO20" s="27" t="str">
        <f>VLOOKUP($A20,'[1]Raw Data'!$A$3:$FB$285,73,FALSE)</f>
        <v/>
      </c>
      <c r="BP20" s="27" t="str">
        <f t="shared" si="3"/>
        <v/>
      </c>
      <c r="BQ20" s="27" t="str">
        <f>VLOOKUP($A20,'[1]Raw Data'!$A$3:$FB$285,74,FALSE)</f>
        <v/>
      </c>
      <c r="BR20" s="27" t="str">
        <f>VLOOKUP($A20,'[1]Raw Data'!$A$3:$FB$285,75,FALSE)</f>
        <v/>
      </c>
      <c r="BS20" s="27" t="str">
        <f>VLOOKUP($A20,'[1]Raw Data'!$A$3:$FB$285,76,FALSE)</f>
        <v/>
      </c>
      <c r="BT20" s="27" t="str">
        <f t="shared" si="4"/>
        <v/>
      </c>
      <c r="BU20" s="27" t="str">
        <f>VLOOKUP($A20,'[1]Raw Data'!$A$3:$FB$285,77,FALSE)</f>
        <v/>
      </c>
      <c r="BV20" s="27">
        <f>VLOOKUP($A20,'[1]Raw Data'!$A$3:$FB$285,78,FALSE)</f>
        <v>1663</v>
      </c>
      <c r="BW20" s="27" t="str">
        <f>VLOOKUP($A20,'[1]Raw Data'!$A$3:$FB$285,79,FALSE)</f>
        <v/>
      </c>
      <c r="BX20" s="27" t="str">
        <f t="shared" si="5"/>
        <v/>
      </c>
      <c r="BY20" s="27" t="str">
        <f>VLOOKUP($A20,'[1]Raw Data'!$A$3:$FB$285,80,FALSE)</f>
        <v/>
      </c>
      <c r="BZ20" s="27">
        <f>VLOOKUP($A20,'[1]Raw Data'!$A$3:$FB$285,81,FALSE)</f>
        <v>5261</v>
      </c>
      <c r="CA20" s="27" t="str">
        <f>VLOOKUP($A20,'[1]Raw Data'!$A$3:$FB$285,82,FALSE)</f>
        <v/>
      </c>
      <c r="CB20" s="27" t="str">
        <f t="shared" si="6"/>
        <v/>
      </c>
      <c r="CC20" s="27" t="str">
        <f>VLOOKUP($A20,'[1]Raw Data'!$A$3:$FB$285,83,FALSE)</f>
        <v/>
      </c>
      <c r="CD20" s="27">
        <f>VLOOKUP($A20,'[1]Raw Data'!$A$3:$FB$285,84,FALSE)</f>
        <v>68</v>
      </c>
      <c r="CE20" s="27" t="str">
        <f>VLOOKUP($A20,'[1]Raw Data'!$A$3:$FB$285,85,FALSE)</f>
        <v/>
      </c>
      <c r="CF20" s="27" t="str">
        <f t="shared" si="7"/>
        <v/>
      </c>
      <c r="CG20" s="27" t="str">
        <f>VLOOKUP($A20,'[1]Raw Data'!$A$3:$FB$285,86,FALSE)</f>
        <v/>
      </c>
      <c r="CH20" s="27">
        <f>VLOOKUP($A20,'[1]Raw Data'!$A$3:$FB$285,87,FALSE)</f>
        <v>5614</v>
      </c>
      <c r="CI20" s="27" t="str">
        <f>VLOOKUP($A20,'[1]Raw Data'!$A$3:$FB$285,88,FALSE)</f>
        <v/>
      </c>
      <c r="CJ20" s="27" t="str">
        <f t="shared" si="8"/>
        <v/>
      </c>
      <c r="CK20" s="27" t="str">
        <f>VLOOKUP($A20,'[1]Raw Data'!$A$3:$FB$285,89,FALSE)</f>
        <v/>
      </c>
      <c r="CL20" s="27" t="str">
        <f>VLOOKUP($A20,'[1]Raw Data'!$A$3:$FB$285,91,FALSE)</f>
        <v/>
      </c>
      <c r="CM20" s="27" t="str">
        <f>VLOOKUP($A20,'[1]Raw Data'!$A$3:$FB$285,93,FALSE)</f>
        <v/>
      </c>
      <c r="CN20" s="27" t="str">
        <f>VLOOKUP($A20,'[1]Raw Data'!$A$3:$FB$285,94,FALSE)</f>
        <v/>
      </c>
      <c r="CO20" s="27" t="str">
        <f>VLOOKUP($A20,'[1]Raw Data'!$A$3:$FB$285,95,FALSE)</f>
        <v/>
      </c>
      <c r="CP20" s="27" t="str">
        <f>VLOOKUP($A20,'[1]Raw Data'!$A$3:$FB$285,96,FALSE)</f>
        <v/>
      </c>
      <c r="CQ20" s="27" t="str">
        <f>VLOOKUP($A20,'[1]Raw Data'!$A$3:$FB$285,97,FALSE)</f>
        <v/>
      </c>
      <c r="CR20" s="27" t="str">
        <f>VLOOKUP($A20,'[1]Raw Data'!$A$3:$FB$285,98,FALSE)</f>
        <v/>
      </c>
      <c r="CS20" s="27" t="str">
        <f>VLOOKUP($A20,'[1]Raw Data'!$A$3:$FB$285,99,FALSE)</f>
        <v/>
      </c>
      <c r="CT20" s="27" t="str">
        <f>VLOOKUP($A20,'[1]Raw Data'!$A$3:$FB$285,101,FALSE)</f>
        <v/>
      </c>
      <c r="CV20" s="27" t="str">
        <f>VLOOKUP($A20,'[1]Raw Data'!$A$3:$FB$285,102,FALSE)</f>
        <v>Chairman</v>
      </c>
      <c r="CW20" s="27" t="s">
        <v>878</v>
      </c>
      <c r="CX20" s="27" t="str">
        <f>VLOOKUP($A20,'[1]Raw Data'!$A$3:$FB$285,103,FALSE)</f>
        <v/>
      </c>
      <c r="CY20" s="27" t="str">
        <f>VLOOKUP($A20,'[1]Raw Data'!$A$3:$FB$285,105,FALSE)</f>
        <v/>
      </c>
      <c r="DA20" s="27" t="str">
        <f>VLOOKUP($A20,'[1]Raw Data'!$A$3:$FB$285,106,FALSE)</f>
        <v>Deputy Chairman</v>
      </c>
      <c r="DB20" s="27" t="s">
        <v>879</v>
      </c>
      <c r="DC20" s="27" t="str">
        <f>VLOOKUP($A20,'[1]Raw Data'!$A$3:$FB$285,107,FALSE)</f>
        <v/>
      </c>
      <c r="DD20" s="27" t="str">
        <f>VLOOKUP($A20,'[1]Raw Data'!$A$3:$FB$285,109,FALSE)</f>
        <v/>
      </c>
      <c r="DF20" s="27" t="str">
        <f>VLOOKUP($A20,'[1]Raw Data'!$A$3:$FB$285,110,FALSE)</f>
        <v>Chief Adminstration Officer</v>
      </c>
      <c r="DG20" s="27" t="s">
        <v>880</v>
      </c>
      <c r="DH20" s="27" t="str">
        <f>VLOOKUP($A20,'[1]Raw Data'!$A$3:$FB$285,111,FALSE)</f>
        <v/>
      </c>
      <c r="DI20" s="27" t="str">
        <f>VLOOKUP($A20,'[1]Raw Data'!$A$3:$FB$285,121,FALSE)</f>
        <v/>
      </c>
      <c r="DK20" s="27" t="str">
        <f>VLOOKUP($A20,'[1]Raw Data'!$A$3:$FB$285,122,FALSE)</f>
        <v>Focal Person</v>
      </c>
      <c r="DL20" s="27" t="s">
        <v>881</v>
      </c>
      <c r="DM20" s="27" t="str">
        <f>VLOOKUP($A20,'[1]Raw Data'!$A$3:$FB$285,123,FALSE)</f>
        <v/>
      </c>
      <c r="DN20" s="27" t="str">
        <f>VLOOKUP($A20,'[1]Raw Data'!$A$3:$FB$285,113,FALSE)</f>
        <v/>
      </c>
      <c r="DP20" s="27" t="str">
        <f>VLOOKUP($A20,'[1]Raw Data'!$A$3:$FB$285,114,FALSE)</f>
        <v>NRA Chief-District</v>
      </c>
      <c r="DQ20" s="27" t="s">
        <v>882</v>
      </c>
      <c r="DR20" s="27" t="str">
        <f>VLOOKUP($A20,'[1]Raw Data'!$A$3:$FB$285,115,FALSE)</f>
        <v/>
      </c>
      <c r="DS20" s="27" t="str">
        <f>VLOOKUP($A20,'[1]Raw Data'!$A$3:$FB$285,117,FALSE)</f>
        <v/>
      </c>
      <c r="DU20" s="27" t="str">
        <f>VLOOKUP($A20,'[1]Raw Data'!$A$3:$FB$285,118,FALSE)</f>
        <v>DUDBC.DLPIU Chief</v>
      </c>
      <c r="DV20" s="27" t="s">
        <v>883</v>
      </c>
      <c r="DW20" s="27" t="str">
        <f>VLOOKUP($A20,'[1]Raw Data'!$A$3:$FB$285,119,FALSE)</f>
        <v/>
      </c>
      <c r="DX20" s="27" t="s">
        <v>339</v>
      </c>
      <c r="DY20" s="27" t="str">
        <f>VLOOKUP($A20,'[1]Raw Data'!$A$3:$FB$285,124,FALSE)</f>
        <v/>
      </c>
      <c r="DZ20" s="27" t="s">
        <v>884</v>
      </c>
      <c r="EA20" s="27" t="str">
        <f>VLOOKUP($A20,'[1]Raw Data'!$A$3:$FB$285,125,FALSE)</f>
        <v/>
      </c>
      <c r="EB20" s="27" t="s">
        <v>341</v>
      </c>
      <c r="EC20" s="27" t="str">
        <f>VLOOKUP($A20,'[1]Raw Data'!$A$3:$FB$285,126,FALSE)</f>
        <v/>
      </c>
      <c r="ED20" t="s">
        <v>478</v>
      </c>
      <c r="EE20" s="27" t="str">
        <f>VLOOKUP($A20,'[1]Raw Data'!$A$3:$FB$285,127,FALSE)</f>
        <v/>
      </c>
      <c r="EF20" s="27" t="s">
        <v>343</v>
      </c>
      <c r="EG20" s="27" t="str">
        <f>VLOOKUP($A20,'[1]Raw Data'!$A$3:$FB$285,128,FALSE)</f>
        <v/>
      </c>
      <c r="EH20" t="s">
        <v>344</v>
      </c>
      <c r="EI20" s="27" t="str">
        <f>VLOOKUP($A20,'[1]Raw Data'!$A$3:$FB$285,129,FALSE)</f>
        <v/>
      </c>
      <c r="EM20" s="27" t="str">
        <f>VLOOKUP($A20,'[1]Raw Data'!$A$3:$FB$285,130,FALSE)</f>
        <v/>
      </c>
      <c r="EN20" s="27" t="str">
        <f>VLOOKUP($A20,'[1]Raw Data'!$A$3:$FB$285,131,FALSE)</f>
        <v/>
      </c>
      <c r="EO20" s="27" t="str">
        <f>VLOOKUP($A20,'[1]Raw Data'!$A$3:$FB$285,132,FALSE)</f>
        <v/>
      </c>
      <c r="EP20" s="27" t="str">
        <f>VLOOKUP($A20,'[1]Raw Data'!$A$3:$FB$285,133,FALSE)</f>
        <v/>
      </c>
      <c r="EQ20" s="27" t="str">
        <f>VLOOKUP($A20,'[1]Raw Data'!$A$3:$FB$285,134,FALSE)</f>
        <v/>
      </c>
      <c r="ER20" s="27" t="str">
        <f>VLOOKUP($A20,'[1]Raw Data'!$A$3:$FB$285,135,FALSE)</f>
        <v/>
      </c>
      <c r="ES20" s="27" t="str">
        <f>VLOOKUP($A20,'[1]Raw Data'!$A$3:$FB$285,136,FALSE)</f>
        <v/>
      </c>
      <c r="ET20" s="27" t="str">
        <f>VLOOKUP($A20,'[1]Raw Data'!$A$3:$FB$285,137,FALSE)</f>
        <v/>
      </c>
      <c r="EU20" s="27" t="str">
        <f>VLOOKUP($A20,'[1]Raw Data'!$A$3:$FB$285,138,FALSE)</f>
        <v/>
      </c>
      <c r="EV20" s="27" t="str">
        <f>VLOOKUP($A20,'[1]Raw Data'!$A$3:$FB$285,139,FALSE)</f>
        <v/>
      </c>
      <c r="EW20" s="38">
        <f>VLOOKUP($A20,[1]Training!$A$2:$I$284,5,FALSE)</f>
        <v>5.615384615384615</v>
      </c>
      <c r="EX20" s="31">
        <f>VLOOKUP($A20,[1]Training!$A$2:$I$284,6,FALSE)</f>
        <v>0</v>
      </c>
      <c r="EY20" s="38">
        <f>VLOOKUP($A20,[1]Training!$A$2:$I$284,8,FALSE)</f>
        <v>6.6363636363636367</v>
      </c>
      <c r="EZ20" s="31">
        <f>VLOOKUP($A20,[1]Training!$A$2:$I$284,9,FALSE)</f>
        <v>0</v>
      </c>
      <c r="FA20" s="27">
        <v>1</v>
      </c>
      <c r="FB20" s="27">
        <v>2</v>
      </c>
      <c r="FC20" s="27" t="str">
        <f>VLOOKUP($A20,'[1]Raw Data'!$A$3:$FB$285,148,FALSE)</f>
        <v/>
      </c>
      <c r="FE20" s="27" t="str">
        <f>VLOOKUP($A20,'[1]Raw Data'!$A$3:$FB$285,149,FALSE)</f>
        <v>District Coordinator</v>
      </c>
      <c r="FF20" s="27" t="s">
        <v>885</v>
      </c>
      <c r="FG20" s="27" t="str">
        <f>VLOOKUP($A20,'[1]Raw Data'!$A$3:$FB$285,150,FALSE)</f>
        <v/>
      </c>
      <c r="FH20" s="27" t="str">
        <f>VLOOKUP($A20,'[1]Raw Data'!$A$3:$FB$285,156,FALSE)</f>
        <v/>
      </c>
      <c r="FJ20" s="27" t="str">
        <f>VLOOKUP($A20,'[1]Raw Data'!$A$3:$FB$285,157,FALSE)</f>
        <v>District Technical Officer</v>
      </c>
      <c r="FK20" s="27" t="s">
        <v>886</v>
      </c>
      <c r="FL20" s="27" t="str">
        <f>VLOOKUP($A20,'[1]Raw Data'!$A$3:$FB$285,158,FALSE)</f>
        <v/>
      </c>
      <c r="FM20" s="27" t="str">
        <f>VLOOKUP($A20,'[1]Raw Data'!$A$3:$FB$285,152,FALSE)</f>
        <v/>
      </c>
      <c r="FO20" s="27" t="str">
        <f>VLOOKUP($A20,'[1]Raw Data'!$A$3:$FB$285,153,FALSE)</f>
        <v>DIstrict Information Management Officer</v>
      </c>
      <c r="FP20" s="27" t="s">
        <v>887</v>
      </c>
      <c r="FQ20" s="27" t="str">
        <f>VLOOKUP($A20,'[1]Raw Data'!$A$3:$FB$285,154,FALSE)</f>
        <v/>
      </c>
    </row>
    <row r="21" spans="1:173" ht="24" x14ac:dyDescent="0.45">
      <c r="A21" s="27">
        <v>9010</v>
      </c>
      <c r="B21" s="36" t="str">
        <f ca="1">IFERROR(__xludf.DUMMYFUNCTION("""COMPUTED_VALUE"""),"Silichong Gaunpalika")</f>
        <v>Silichong Gaunpalika</v>
      </c>
      <c r="C21" s="37" t="str">
        <f>VLOOKUP(A21,'[1]Palika and District in Nepali '!$D$1:$F$283,3,FALSE)</f>
        <v>सिलिचोंङ गाउँपालिका</v>
      </c>
      <c r="D21" s="36" t="str">
        <f ca="1">IFERROR(__xludf.DUMMYFUNCTION("""COMPUTED_VALUE"""),"Sankhuwasabha")</f>
        <v>Sankhuwasabha</v>
      </c>
      <c r="E21" s="36"/>
      <c r="F21" s="27">
        <f>VLOOKUP(A21,'[1]Raw Data'!$A$3:$FB$285,4,FALSE)</f>
        <v>40</v>
      </c>
      <c r="G21" s="27">
        <f>VLOOKUP(A21,'[1]Raw Data'!$A$3:$FB$285,5,FALSE)</f>
        <v>200</v>
      </c>
      <c r="H21" s="27">
        <f>VLOOKUP(A21,'[1]Raw Data'!$A$3:$FB$285,6,FALSE)</f>
        <v>240</v>
      </c>
      <c r="I21" s="27">
        <f>VLOOKUP($A21,'[1]Raw Data'!$A$3:$FB$285,8,FALSE)</f>
        <v>0</v>
      </c>
      <c r="J21" s="27">
        <f>VLOOKUP($A21,'[1]Raw Data'!$A$3:$FB$285,9,FALSE)</f>
        <v>0.6</v>
      </c>
      <c r="K21" s="27">
        <f>VLOOKUP($A21,'[1]Raw Data'!$A$3:$FB$285,11,FALSE)</f>
        <v>98.33</v>
      </c>
      <c r="L21" s="27">
        <f>VLOOKUP($A21,'[1]Raw Data'!$A$3:$FB$285,12,FALSE)</f>
        <v>77</v>
      </c>
      <c r="M21" s="27">
        <f>VLOOKUP($A21,'[1]Raw Data'!$A$3:$FB$285,14,FALSE)</f>
        <v>0</v>
      </c>
      <c r="N21" s="27">
        <f>VLOOKUP($A21,'[1]Raw Data'!$A$3:$FB$285,15,FALSE)</f>
        <v>0.33</v>
      </c>
      <c r="O21" s="27">
        <f>VLOOKUP($A21,'[1]Raw Data'!$A$3:$FB$285,17,FALSE)</f>
        <v>0</v>
      </c>
      <c r="P21" s="27">
        <f>VLOOKUP($A21,'[1]Raw Data'!$A$3:$FB$285,18,FALSE)</f>
        <v>0.51</v>
      </c>
      <c r="Q21" s="27">
        <f>VLOOKUP($A21,'[1]Raw Data'!$A$3:$FB$285,20,FALSE)</f>
        <v>0</v>
      </c>
      <c r="R21" s="27">
        <f>VLOOKUP($A21,'[1]Raw Data'!$A$3:$FB$285,21,FALSE)</f>
        <v>0.51</v>
      </c>
      <c r="S21" s="27">
        <f>VLOOKUP($A21,'[1]Raw Data'!$A$3:$FB$285,23,FALSE)</f>
        <v>0</v>
      </c>
      <c r="T21" s="27">
        <f>VLOOKUP($A21,'[1]Raw Data'!$A$3:$FB$285,24,FALSE)</f>
        <v>0</v>
      </c>
      <c r="U21" s="27">
        <f>VLOOKUP($A21,'[1]Raw Data'!$A$3:$FB$285,26,FALSE)</f>
        <v>1.25</v>
      </c>
      <c r="V21" s="27">
        <f>VLOOKUP($A21,'[1]Raw Data'!$A$3:$FB$285,27,FALSE)</f>
        <v>0.8</v>
      </c>
      <c r="W21" s="27">
        <f>VLOOKUP($A21,'[1]Raw Data'!$A$3:$FB$285,29,FALSE)</f>
        <v>0</v>
      </c>
      <c r="X21" s="27">
        <f>VLOOKUP($A21,'[1]Raw Data'!$A$3:$FB$285,30,FALSE)</f>
        <v>0</v>
      </c>
      <c r="Y21" s="27">
        <f>VLOOKUP($A21,'[1]Raw Data'!$A$3:$FB$285,32,FALSE)</f>
        <v>0.42</v>
      </c>
      <c r="Z21" s="27">
        <f>VLOOKUP($A21,'[1]Raw Data'!$A$3:$FB$285,33,FALSE)</f>
        <v>0.28999999999999998</v>
      </c>
      <c r="AA21" s="27">
        <f>VLOOKUP($A21,'[1]Raw Data'!$A$3:$FB$285,35,FALSE)</f>
        <v>0</v>
      </c>
      <c r="AB21" s="27">
        <f>VLOOKUP($A21,'[1]Raw Data'!$A$3:$FB$285,36,FALSE)</f>
        <v>18.559999999999999</v>
      </c>
      <c r="AC21" s="27">
        <f>VLOOKUP($A21,'[1]Raw Data'!$A$3:$FB$285,38,FALSE)</f>
        <v>0</v>
      </c>
      <c r="AD21" s="27">
        <f>VLOOKUP($A21,'[1]Raw Data'!$A$3:$FB$285,39,FALSE)</f>
        <v>1.4</v>
      </c>
      <c r="AE21" s="27">
        <f>VLOOKUP($A21,'[1]Raw Data'!$A$3:$FB$285,41,FALSE)</f>
        <v>0</v>
      </c>
      <c r="AF21" s="27">
        <f>VLOOKUP($A21,'[1]Raw Data'!$A$3:$FB$285,42,FALSE)</f>
        <v>0</v>
      </c>
      <c r="AG21" s="27">
        <f>VLOOKUP($A21,'[1]Raw Data'!$A$3:$FB$285,44,FALSE)</f>
        <v>0</v>
      </c>
      <c r="AH21" s="27">
        <f>VLOOKUP($A21,'[1]Raw Data'!$A$3:$FB$285,45,FALSE)</f>
        <v>0</v>
      </c>
      <c r="AI21" s="27">
        <f>VLOOKUP($A21,'[1]Raw Data'!$A$3:$FB$285,46,FALSE)</f>
        <v>188</v>
      </c>
      <c r="AJ21" s="27">
        <f>VLOOKUP($A21,'[1]Raw Data'!$A$3:$FB$285,47,FALSE)</f>
        <v>51</v>
      </c>
      <c r="AK21" s="27">
        <f>VLOOKUP($A21,'[1]Raw Data'!$A$3:$FB$285,48,FALSE)</f>
        <v>51</v>
      </c>
      <c r="AL21" s="27">
        <f>VLOOKUP($A21,'[1]Raw Data'!$A$3:$FB$285,49,FALSE)</f>
        <v>12</v>
      </c>
      <c r="AM21" s="27">
        <f>VLOOKUP($A21,'[1]Raw Data'!$A$3:$FB$285,50,FALSE)</f>
        <v>0</v>
      </c>
      <c r="AN21" s="27" t="str">
        <f>VLOOKUP($A21,'[1]Raw Data'!$A$3:$FB$285,51,FALSE)</f>
        <v/>
      </c>
      <c r="AO21" s="27" t="str">
        <f>VLOOKUP($A21,'[1]Raw Data'!$A$3:$FB$285,52,FALSE)</f>
        <v/>
      </c>
      <c r="AP21" s="27">
        <f>VLOOKUP($A21,'[1]Raw Data'!$A$3:$FB$285,53,FALSE)</f>
        <v>5</v>
      </c>
      <c r="AQ21" s="27" t="str">
        <f>VLOOKUP($A21,'[1]Raw Data'!$A$3:$FB$285,54,FALSE)</f>
        <v/>
      </c>
      <c r="AR21" s="27" t="str">
        <f>VLOOKUP($A21,'[1]Raw Data'!$A$3:$FB$285,55,FALSE)</f>
        <v/>
      </c>
      <c r="AS21" s="27" t="str">
        <f>VLOOKUP($A21,'[1]Raw Data'!$A$3:$FB$285,56,FALSE)</f>
        <v/>
      </c>
      <c r="AT21" s="27" t="str">
        <f>VLOOKUP($A21,'[1]Raw Data'!$A$3:$FB$285,57,FALSE)</f>
        <v/>
      </c>
      <c r="AU21" s="27" t="str">
        <f>VLOOKUP($A21,'[1]Raw Data'!$A$3:$FB$285,58,FALSE)</f>
        <v/>
      </c>
      <c r="AV21" s="27" t="str">
        <f>VLOOKUP($A21,'[1]Raw Data'!$A$3:$FB$285,59,FALSE)</f>
        <v/>
      </c>
      <c r="AW21" s="27" t="str">
        <f>VLOOKUP($A21,'[1]Raw Data'!$A$3:$FB$285,60,FALSE)</f>
        <v/>
      </c>
      <c r="AX21" s="27" t="str">
        <f>VLOOKUP(A21,'[1]PO''s List'!A19:E301,4,FALSE)</f>
        <v/>
      </c>
      <c r="AZ21" s="27" t="str">
        <f>VLOOKUP(A21,'[1]PO''s List'!$A$3:$E$285,5,FALSE)</f>
        <v/>
      </c>
      <c r="BB21" s="27">
        <f>VLOOKUP($A21,'[1]Raw Data'!$A$3:$FB$285,63,FALSE)</f>
        <v>1445</v>
      </c>
      <c r="BC21" s="27" t="str">
        <f>VLOOKUP($A21,'[1]Raw Data'!$A$3:$FB$285,64,FALSE)</f>
        <v/>
      </c>
      <c r="BD21" s="27" t="str">
        <f t="shared" si="0"/>
        <v/>
      </c>
      <c r="BE21" s="27" t="str">
        <f>VLOOKUP($A21,'[1]Raw Data'!$A$3:$FB$285,65,FALSE)</f>
        <v/>
      </c>
      <c r="BF21" s="27">
        <f>VLOOKUP($A21,'[1]Raw Data'!$A$3:$FB$285,66,FALSE)</f>
        <v>1511</v>
      </c>
      <c r="BG21" s="27" t="str">
        <f>VLOOKUP($A21,'[1]Raw Data'!$A$3:$FB$285,67,FALSE)</f>
        <v/>
      </c>
      <c r="BH21" s="27" t="str">
        <f t="shared" si="1"/>
        <v/>
      </c>
      <c r="BI21" s="27" t="str">
        <f>VLOOKUP($A21,'[1]Raw Data'!$A$3:$FB$285,68,FALSE)</f>
        <v/>
      </c>
      <c r="BJ21" s="27">
        <f>VLOOKUP($A21,'[1]Raw Data'!$A$3:$FB$285,69,FALSE)</f>
        <v>155</v>
      </c>
      <c r="BK21" s="27" t="str">
        <f>VLOOKUP($A21,'[1]Raw Data'!$A$3:$FB$285,70,FALSE)</f>
        <v/>
      </c>
      <c r="BL21" s="27" t="str">
        <f t="shared" si="2"/>
        <v/>
      </c>
      <c r="BM21" s="27" t="str">
        <f>VLOOKUP($A21,'[1]Raw Data'!$A$3:$FB$285,71,FALSE)</f>
        <v/>
      </c>
      <c r="BN21" s="27">
        <f>VLOOKUP($A21,'[1]Raw Data'!$A$3:$FB$285,72,FALSE)</f>
        <v>179</v>
      </c>
      <c r="BO21" s="27" t="str">
        <f>VLOOKUP($A21,'[1]Raw Data'!$A$3:$FB$285,73,FALSE)</f>
        <v/>
      </c>
      <c r="BP21" s="27" t="str">
        <f t="shared" si="3"/>
        <v/>
      </c>
      <c r="BQ21" s="27" t="str">
        <f>VLOOKUP($A21,'[1]Raw Data'!$A$3:$FB$285,74,FALSE)</f>
        <v/>
      </c>
      <c r="BR21" s="27" t="str">
        <f>VLOOKUP($A21,'[1]Raw Data'!$A$3:$FB$285,75,FALSE)</f>
        <v/>
      </c>
      <c r="BS21" s="27" t="str">
        <f>VLOOKUP($A21,'[1]Raw Data'!$A$3:$FB$285,76,FALSE)</f>
        <v/>
      </c>
      <c r="BT21" s="27" t="str">
        <f t="shared" si="4"/>
        <v/>
      </c>
      <c r="BU21" s="27" t="str">
        <f>VLOOKUP($A21,'[1]Raw Data'!$A$3:$FB$285,77,FALSE)</f>
        <v/>
      </c>
      <c r="BV21" s="27">
        <f>VLOOKUP($A21,'[1]Raw Data'!$A$3:$FB$285,78,FALSE)</f>
        <v>4992</v>
      </c>
      <c r="BW21" s="27" t="str">
        <f>VLOOKUP($A21,'[1]Raw Data'!$A$3:$FB$285,79,FALSE)</f>
        <v/>
      </c>
      <c r="BX21" s="27" t="str">
        <f t="shared" si="5"/>
        <v/>
      </c>
      <c r="BY21" s="27" t="str">
        <f>VLOOKUP($A21,'[1]Raw Data'!$A$3:$FB$285,80,FALSE)</f>
        <v/>
      </c>
      <c r="BZ21" s="27">
        <f>VLOOKUP($A21,'[1]Raw Data'!$A$3:$FB$285,81,FALSE)</f>
        <v>15606</v>
      </c>
      <c r="CA21" s="27" t="str">
        <f>VLOOKUP($A21,'[1]Raw Data'!$A$3:$FB$285,82,FALSE)</f>
        <v/>
      </c>
      <c r="CB21" s="27" t="str">
        <f t="shared" si="6"/>
        <v/>
      </c>
      <c r="CC21" s="27" t="str">
        <f>VLOOKUP($A21,'[1]Raw Data'!$A$3:$FB$285,83,FALSE)</f>
        <v/>
      </c>
      <c r="CD21" s="27">
        <f>VLOOKUP($A21,'[1]Raw Data'!$A$3:$FB$285,84,FALSE)</f>
        <v>204</v>
      </c>
      <c r="CE21" s="27" t="str">
        <f>VLOOKUP($A21,'[1]Raw Data'!$A$3:$FB$285,85,FALSE)</f>
        <v/>
      </c>
      <c r="CF21" s="27" t="str">
        <f t="shared" si="7"/>
        <v/>
      </c>
      <c r="CG21" s="27" t="str">
        <f>VLOOKUP($A21,'[1]Raw Data'!$A$3:$FB$285,86,FALSE)</f>
        <v/>
      </c>
      <c r="CH21" s="27">
        <f>VLOOKUP($A21,'[1]Raw Data'!$A$3:$FB$285,87,FALSE)</f>
        <v>10695</v>
      </c>
      <c r="CI21" s="27" t="str">
        <f>VLOOKUP($A21,'[1]Raw Data'!$A$3:$FB$285,88,FALSE)</f>
        <v/>
      </c>
      <c r="CJ21" s="27" t="str">
        <f t="shared" si="8"/>
        <v/>
      </c>
      <c r="CK21" s="27" t="str">
        <f>VLOOKUP($A21,'[1]Raw Data'!$A$3:$FB$285,89,FALSE)</f>
        <v/>
      </c>
      <c r="CL21" s="27" t="str">
        <f>VLOOKUP($A21,'[1]Raw Data'!$A$3:$FB$285,91,FALSE)</f>
        <v/>
      </c>
      <c r="CM21" s="27" t="str">
        <f>VLOOKUP($A21,'[1]Raw Data'!$A$3:$FB$285,93,FALSE)</f>
        <v/>
      </c>
      <c r="CN21" s="27" t="str">
        <f>VLOOKUP($A21,'[1]Raw Data'!$A$3:$FB$285,94,FALSE)</f>
        <v/>
      </c>
      <c r="CO21" s="27" t="str">
        <f>VLOOKUP($A21,'[1]Raw Data'!$A$3:$FB$285,95,FALSE)</f>
        <v/>
      </c>
      <c r="CP21" s="27" t="str">
        <f>VLOOKUP($A21,'[1]Raw Data'!$A$3:$FB$285,96,FALSE)</f>
        <v/>
      </c>
      <c r="CQ21" s="27" t="str">
        <f>VLOOKUP($A21,'[1]Raw Data'!$A$3:$FB$285,97,FALSE)</f>
        <v/>
      </c>
      <c r="CR21" s="27" t="str">
        <f>VLOOKUP($A21,'[1]Raw Data'!$A$3:$FB$285,98,FALSE)</f>
        <v/>
      </c>
      <c r="CS21" s="27" t="str">
        <f>VLOOKUP($A21,'[1]Raw Data'!$A$3:$FB$285,99,FALSE)</f>
        <v/>
      </c>
      <c r="CT21" s="27" t="str">
        <f>VLOOKUP($A21,'[1]Raw Data'!$A$3:$FB$285,101,FALSE)</f>
        <v/>
      </c>
      <c r="CV21" s="27" t="str">
        <f>VLOOKUP($A21,'[1]Raw Data'!$A$3:$FB$285,102,FALSE)</f>
        <v>Chairman</v>
      </c>
      <c r="CW21" s="27" t="s">
        <v>878</v>
      </c>
      <c r="CX21" s="27" t="str">
        <f>VLOOKUP($A21,'[1]Raw Data'!$A$3:$FB$285,103,FALSE)</f>
        <v/>
      </c>
      <c r="CY21" s="27" t="str">
        <f>VLOOKUP($A21,'[1]Raw Data'!$A$3:$FB$285,105,FALSE)</f>
        <v/>
      </c>
      <c r="DA21" s="27" t="str">
        <f>VLOOKUP($A21,'[1]Raw Data'!$A$3:$FB$285,106,FALSE)</f>
        <v>Deputy Chairman</v>
      </c>
      <c r="DB21" s="27" t="s">
        <v>879</v>
      </c>
      <c r="DC21" s="27" t="str">
        <f>VLOOKUP($A21,'[1]Raw Data'!$A$3:$FB$285,107,FALSE)</f>
        <v/>
      </c>
      <c r="DD21" s="27" t="str">
        <f>VLOOKUP($A21,'[1]Raw Data'!$A$3:$FB$285,109,FALSE)</f>
        <v/>
      </c>
      <c r="DF21" s="27" t="str">
        <f>VLOOKUP($A21,'[1]Raw Data'!$A$3:$FB$285,110,FALSE)</f>
        <v>Chief Adminstration Officer</v>
      </c>
      <c r="DG21" s="27" t="s">
        <v>880</v>
      </c>
      <c r="DH21" s="27" t="str">
        <f>VLOOKUP($A21,'[1]Raw Data'!$A$3:$FB$285,111,FALSE)</f>
        <v/>
      </c>
      <c r="DI21" s="27" t="str">
        <f>VLOOKUP($A21,'[1]Raw Data'!$A$3:$FB$285,121,FALSE)</f>
        <v/>
      </c>
      <c r="DK21" s="27" t="str">
        <f>VLOOKUP($A21,'[1]Raw Data'!$A$3:$FB$285,122,FALSE)</f>
        <v>Focal Person</v>
      </c>
      <c r="DL21" s="27" t="s">
        <v>881</v>
      </c>
      <c r="DM21" s="27" t="str">
        <f>VLOOKUP($A21,'[1]Raw Data'!$A$3:$FB$285,123,FALSE)</f>
        <v/>
      </c>
      <c r="DN21" s="27" t="str">
        <f>VLOOKUP($A21,'[1]Raw Data'!$A$3:$FB$285,113,FALSE)</f>
        <v/>
      </c>
      <c r="DP21" s="27" t="str">
        <f>VLOOKUP($A21,'[1]Raw Data'!$A$3:$FB$285,114,FALSE)</f>
        <v>NRA Chief-District</v>
      </c>
      <c r="DQ21" s="27" t="s">
        <v>882</v>
      </c>
      <c r="DR21" s="27" t="str">
        <f>VLOOKUP($A21,'[1]Raw Data'!$A$3:$FB$285,115,FALSE)</f>
        <v/>
      </c>
      <c r="DS21" s="27" t="str">
        <f>VLOOKUP($A21,'[1]Raw Data'!$A$3:$FB$285,117,FALSE)</f>
        <v/>
      </c>
      <c r="DU21" s="27" t="str">
        <f>VLOOKUP($A21,'[1]Raw Data'!$A$3:$FB$285,118,FALSE)</f>
        <v>DUDBC.DLPIU Chief</v>
      </c>
      <c r="DV21" s="27" t="s">
        <v>883</v>
      </c>
      <c r="DW21" s="27" t="str">
        <f>VLOOKUP($A21,'[1]Raw Data'!$A$3:$FB$285,119,FALSE)</f>
        <v/>
      </c>
      <c r="DX21" s="27" t="s">
        <v>339</v>
      </c>
      <c r="DY21" s="27" t="str">
        <f>VLOOKUP($A21,'[1]Raw Data'!$A$3:$FB$285,124,FALSE)</f>
        <v/>
      </c>
      <c r="DZ21" s="27" t="s">
        <v>884</v>
      </c>
      <c r="EA21" s="27" t="str">
        <f>VLOOKUP($A21,'[1]Raw Data'!$A$3:$FB$285,125,FALSE)</f>
        <v/>
      </c>
      <c r="EB21" s="27" t="s">
        <v>341</v>
      </c>
      <c r="EC21" s="27" t="str">
        <f>VLOOKUP($A21,'[1]Raw Data'!$A$3:$FB$285,126,FALSE)</f>
        <v/>
      </c>
      <c r="ED21" t="s">
        <v>478</v>
      </c>
      <c r="EE21" s="27" t="str">
        <f>VLOOKUP($A21,'[1]Raw Data'!$A$3:$FB$285,127,FALSE)</f>
        <v/>
      </c>
      <c r="EF21" s="27" t="s">
        <v>343</v>
      </c>
      <c r="EG21" s="27" t="str">
        <f>VLOOKUP($A21,'[1]Raw Data'!$A$3:$FB$285,128,FALSE)</f>
        <v/>
      </c>
      <c r="EH21" t="s">
        <v>344</v>
      </c>
      <c r="EI21" s="27" t="str">
        <f>VLOOKUP($A21,'[1]Raw Data'!$A$3:$FB$285,129,FALSE)</f>
        <v/>
      </c>
      <c r="EM21" s="27" t="str">
        <f>VLOOKUP($A21,'[1]Raw Data'!$A$3:$FB$285,130,FALSE)</f>
        <v/>
      </c>
      <c r="EN21" s="27" t="str">
        <f>VLOOKUP($A21,'[1]Raw Data'!$A$3:$FB$285,131,FALSE)</f>
        <v/>
      </c>
      <c r="EO21" s="27" t="str">
        <f>VLOOKUP($A21,'[1]Raw Data'!$A$3:$FB$285,132,FALSE)</f>
        <v/>
      </c>
      <c r="EP21" s="27" t="str">
        <f>VLOOKUP($A21,'[1]Raw Data'!$A$3:$FB$285,133,FALSE)</f>
        <v/>
      </c>
      <c r="EQ21" s="27" t="str">
        <f>VLOOKUP($A21,'[1]Raw Data'!$A$3:$FB$285,134,FALSE)</f>
        <v/>
      </c>
      <c r="ER21" s="27" t="str">
        <f>VLOOKUP($A21,'[1]Raw Data'!$A$3:$FB$285,135,FALSE)</f>
        <v/>
      </c>
      <c r="ES21" s="27" t="str">
        <f>VLOOKUP($A21,'[1]Raw Data'!$A$3:$FB$285,136,FALSE)</f>
        <v/>
      </c>
      <c r="ET21" s="27" t="str">
        <f>VLOOKUP($A21,'[1]Raw Data'!$A$3:$FB$285,137,FALSE)</f>
        <v/>
      </c>
      <c r="EU21" s="27" t="str">
        <f>VLOOKUP($A21,'[1]Raw Data'!$A$3:$FB$285,138,FALSE)</f>
        <v/>
      </c>
      <c r="EV21" s="27" t="str">
        <f>VLOOKUP($A21,'[1]Raw Data'!$A$3:$FB$285,139,FALSE)</f>
        <v/>
      </c>
      <c r="EW21" s="38">
        <f>VLOOKUP($A21,[1]Training!$A$2:$I$284,5,FALSE)</f>
        <v>14.461538461538462</v>
      </c>
      <c r="EX21" s="31">
        <f>VLOOKUP($A21,[1]Training!$A$2:$I$284,6,FALSE)</f>
        <v>0</v>
      </c>
      <c r="EY21" s="38">
        <f>VLOOKUP($A21,[1]Training!$A$2:$I$284,8,FALSE)</f>
        <v>17.09090909090909</v>
      </c>
      <c r="EZ21" s="31">
        <f>VLOOKUP($A21,[1]Training!$A$2:$I$284,9,FALSE)</f>
        <v>0</v>
      </c>
      <c r="FA21" s="27">
        <v>1</v>
      </c>
      <c r="FB21" s="27">
        <v>2</v>
      </c>
      <c r="FC21" s="27" t="str">
        <f>VLOOKUP($A21,'[1]Raw Data'!$A$3:$FB$285,148,FALSE)</f>
        <v/>
      </c>
      <c r="FE21" s="27" t="str">
        <f>VLOOKUP($A21,'[1]Raw Data'!$A$3:$FB$285,149,FALSE)</f>
        <v>District Coordinator</v>
      </c>
      <c r="FF21" s="27" t="s">
        <v>885</v>
      </c>
      <c r="FG21" s="27" t="str">
        <f>VLOOKUP($A21,'[1]Raw Data'!$A$3:$FB$285,150,FALSE)</f>
        <v/>
      </c>
      <c r="FH21" s="27" t="str">
        <f>VLOOKUP($A21,'[1]Raw Data'!$A$3:$FB$285,156,FALSE)</f>
        <v/>
      </c>
      <c r="FJ21" s="27" t="str">
        <f>VLOOKUP($A21,'[1]Raw Data'!$A$3:$FB$285,157,FALSE)</f>
        <v>District Technical Officer</v>
      </c>
      <c r="FK21" s="27" t="s">
        <v>886</v>
      </c>
      <c r="FL21" s="27" t="str">
        <f>VLOOKUP($A21,'[1]Raw Data'!$A$3:$FB$285,158,FALSE)</f>
        <v/>
      </c>
      <c r="FM21" s="27" t="str">
        <f>VLOOKUP($A21,'[1]Raw Data'!$A$3:$FB$285,152,FALSE)</f>
        <v/>
      </c>
      <c r="FO21" s="27" t="str">
        <f>VLOOKUP($A21,'[1]Raw Data'!$A$3:$FB$285,153,FALSE)</f>
        <v>DIstrict Information Management Officer</v>
      </c>
      <c r="FP21" s="27" t="s">
        <v>887</v>
      </c>
      <c r="FQ21" s="27" t="str">
        <f>VLOOKUP($A21,'[1]Raw Data'!$A$3:$FB$285,154,FALSE)</f>
        <v/>
      </c>
    </row>
    <row r="22" spans="1:173" ht="24" x14ac:dyDescent="0.45">
      <c r="A22" s="27">
        <v>10001</v>
      </c>
      <c r="B22" s="36" t="str">
        <f ca="1">IFERROR(__xludf.DUMMYFUNCTION("""COMPUTED_VALUE"""),"Aamchowk Gaunpalika")</f>
        <v>Aamchowk Gaunpalika</v>
      </c>
      <c r="C22" s="37" t="str">
        <f>VLOOKUP(A22,'[1]Palika and District in Nepali '!$D$1:$F$283,3,FALSE)</f>
        <v xml:space="preserve">आमचोक गाउपालिका </v>
      </c>
      <c r="D22" s="36" t="str">
        <f ca="1">IFERROR(__xludf.DUMMYFUNCTION("""COMPUTED_VALUE"""),"Bhojpur")</f>
        <v>Bhojpur</v>
      </c>
      <c r="E22" s="36"/>
      <c r="F22" s="27">
        <f>VLOOKUP(A22,'[1]Raw Data'!$A$3:$FB$285,4,FALSE)</f>
        <v>279</v>
      </c>
      <c r="G22" s="27">
        <f>VLOOKUP(A22,'[1]Raw Data'!$A$3:$FB$285,5,FALSE)</f>
        <v>413</v>
      </c>
      <c r="H22" s="27">
        <f>VLOOKUP(A22,'[1]Raw Data'!$A$3:$FB$285,6,FALSE)</f>
        <v>692</v>
      </c>
      <c r="I22" s="27">
        <f>VLOOKUP($A22,'[1]Raw Data'!$A$3:$FB$285,8,FALSE)</f>
        <v>0.57999999999999996</v>
      </c>
      <c r="J22" s="27">
        <f>VLOOKUP($A22,'[1]Raw Data'!$A$3:$FB$285,9,FALSE)</f>
        <v>7.0000000000000007E-2</v>
      </c>
      <c r="K22" s="27">
        <f>VLOOKUP($A22,'[1]Raw Data'!$A$3:$FB$285,11,FALSE)</f>
        <v>97.98</v>
      </c>
      <c r="L22" s="27">
        <f>VLOOKUP($A22,'[1]Raw Data'!$A$3:$FB$285,12,FALSE)</f>
        <v>74.7</v>
      </c>
      <c r="M22" s="27">
        <f>VLOOKUP($A22,'[1]Raw Data'!$A$3:$FB$285,14,FALSE)</f>
        <v>0</v>
      </c>
      <c r="N22" s="27">
        <f>VLOOKUP($A22,'[1]Raw Data'!$A$3:$FB$285,15,FALSE)</f>
        <v>0.02</v>
      </c>
      <c r="O22" s="27">
        <f>VLOOKUP($A22,'[1]Raw Data'!$A$3:$FB$285,17,FALSE)</f>
        <v>0</v>
      </c>
      <c r="P22" s="27">
        <f>VLOOKUP($A22,'[1]Raw Data'!$A$3:$FB$285,18,FALSE)</f>
        <v>0.06</v>
      </c>
      <c r="Q22" s="27">
        <f>VLOOKUP($A22,'[1]Raw Data'!$A$3:$FB$285,20,FALSE)</f>
        <v>0</v>
      </c>
      <c r="R22" s="27">
        <f>VLOOKUP($A22,'[1]Raw Data'!$A$3:$FB$285,21,FALSE)</f>
        <v>0</v>
      </c>
      <c r="S22" s="27">
        <f>VLOOKUP($A22,'[1]Raw Data'!$A$3:$FB$285,23,FALSE)</f>
        <v>0</v>
      </c>
      <c r="T22" s="27">
        <f>VLOOKUP($A22,'[1]Raw Data'!$A$3:$FB$285,24,FALSE)</f>
        <v>0</v>
      </c>
      <c r="U22" s="27">
        <f>VLOOKUP($A22,'[1]Raw Data'!$A$3:$FB$285,26,FALSE)</f>
        <v>1.3</v>
      </c>
      <c r="V22" s="27">
        <f>VLOOKUP($A22,'[1]Raw Data'!$A$3:$FB$285,27,FALSE)</f>
        <v>0.73</v>
      </c>
      <c r="W22" s="27">
        <f>VLOOKUP($A22,'[1]Raw Data'!$A$3:$FB$285,29,FALSE)</f>
        <v>0</v>
      </c>
      <c r="X22" s="27">
        <f>VLOOKUP($A22,'[1]Raw Data'!$A$3:$FB$285,30,FALSE)</f>
        <v>0</v>
      </c>
      <c r="Y22" s="27">
        <f>VLOOKUP($A22,'[1]Raw Data'!$A$3:$FB$285,32,FALSE)</f>
        <v>0</v>
      </c>
      <c r="Z22" s="27">
        <f>VLOOKUP($A22,'[1]Raw Data'!$A$3:$FB$285,33,FALSE)</f>
        <v>0.03</v>
      </c>
      <c r="AA22" s="27">
        <f>VLOOKUP($A22,'[1]Raw Data'!$A$3:$FB$285,35,FALSE)</f>
        <v>0.14000000000000001</v>
      </c>
      <c r="AB22" s="27">
        <f>VLOOKUP($A22,'[1]Raw Data'!$A$3:$FB$285,36,FALSE)</f>
        <v>24.05</v>
      </c>
      <c r="AC22" s="27">
        <f>VLOOKUP($A22,'[1]Raw Data'!$A$3:$FB$285,38,FALSE)</f>
        <v>0</v>
      </c>
      <c r="AD22" s="27">
        <f>VLOOKUP($A22,'[1]Raw Data'!$A$3:$FB$285,39,FALSE)</f>
        <v>0.33</v>
      </c>
      <c r="AE22" s="27">
        <f>VLOOKUP($A22,'[1]Raw Data'!$A$3:$FB$285,41,FALSE)</f>
        <v>0</v>
      </c>
      <c r="AF22" s="27">
        <f>VLOOKUP($A22,'[1]Raw Data'!$A$3:$FB$285,42,FALSE)</f>
        <v>0</v>
      </c>
      <c r="AG22" s="27">
        <f>VLOOKUP($A22,'[1]Raw Data'!$A$3:$FB$285,44,FALSE)</f>
        <v>0</v>
      </c>
      <c r="AH22" s="27">
        <f>VLOOKUP($A22,'[1]Raw Data'!$A$3:$FB$285,45,FALSE)</f>
        <v>0</v>
      </c>
      <c r="AI22" s="27">
        <f>VLOOKUP($A22,'[1]Raw Data'!$A$3:$FB$285,46,FALSE)</f>
        <v>407</v>
      </c>
      <c r="AJ22" s="27">
        <f>VLOOKUP($A22,'[1]Raw Data'!$A$3:$FB$285,47,FALSE)</f>
        <v>316</v>
      </c>
      <c r="AK22" s="27">
        <f>VLOOKUP($A22,'[1]Raw Data'!$A$3:$FB$285,48,FALSE)</f>
        <v>316</v>
      </c>
      <c r="AL22" s="27">
        <f>VLOOKUP($A22,'[1]Raw Data'!$A$3:$FB$285,49,FALSE)</f>
        <v>0</v>
      </c>
      <c r="AM22" s="27">
        <f>VLOOKUP($A22,'[1]Raw Data'!$A$3:$FB$285,50,FALSE)</f>
        <v>0</v>
      </c>
      <c r="AN22" s="27" t="str">
        <f>VLOOKUP($A22,'[1]Raw Data'!$A$3:$FB$285,51,FALSE)</f>
        <v/>
      </c>
      <c r="AO22" s="27" t="str">
        <f>VLOOKUP($A22,'[1]Raw Data'!$A$3:$FB$285,52,FALSE)</f>
        <v/>
      </c>
      <c r="AP22" s="27">
        <f>VLOOKUP($A22,'[1]Raw Data'!$A$3:$FB$285,53,FALSE)</f>
        <v>7</v>
      </c>
      <c r="AQ22" s="27" t="str">
        <f>VLOOKUP($A22,'[1]Raw Data'!$A$3:$FB$285,54,FALSE)</f>
        <v/>
      </c>
      <c r="AR22" s="27" t="str">
        <f>VLOOKUP($A22,'[1]Raw Data'!$A$3:$FB$285,55,FALSE)</f>
        <v/>
      </c>
      <c r="AS22" s="27" t="str">
        <f>VLOOKUP($A22,'[1]Raw Data'!$A$3:$FB$285,56,FALSE)</f>
        <v/>
      </c>
      <c r="AT22" s="27" t="str">
        <f>VLOOKUP($A22,'[1]Raw Data'!$A$3:$FB$285,57,FALSE)</f>
        <v/>
      </c>
      <c r="AU22" s="27" t="str">
        <f>VLOOKUP($A22,'[1]Raw Data'!$A$3:$FB$285,58,FALSE)</f>
        <v/>
      </c>
      <c r="AV22" s="27" t="str">
        <f>VLOOKUP($A22,'[1]Raw Data'!$A$3:$FB$285,59,FALSE)</f>
        <v/>
      </c>
      <c r="AW22" s="27" t="str">
        <f>VLOOKUP($A22,'[1]Raw Data'!$A$3:$FB$285,60,FALSE)</f>
        <v/>
      </c>
      <c r="AX22" s="27" t="str">
        <f>VLOOKUP(A22,'[1]PO''s List'!A20:E302,4,FALSE)</f>
        <v/>
      </c>
      <c r="AZ22" s="27" t="str">
        <f>VLOOKUP(A22,'[1]PO''s List'!$A$3:$E$285,5,FALSE)</f>
        <v/>
      </c>
      <c r="BB22" s="27">
        <f>VLOOKUP($A22,'[1]Raw Data'!$A$3:$FB$285,63,FALSE)</f>
        <v>8822</v>
      </c>
      <c r="BC22" s="27" t="str">
        <f>VLOOKUP($A22,'[1]Raw Data'!$A$3:$FB$285,64,FALSE)</f>
        <v/>
      </c>
      <c r="BD22" s="27" t="str">
        <f t="shared" si="0"/>
        <v/>
      </c>
      <c r="BE22" s="27" t="str">
        <f>VLOOKUP($A22,'[1]Raw Data'!$A$3:$FB$285,65,FALSE)</f>
        <v/>
      </c>
      <c r="BF22" s="27">
        <f>VLOOKUP($A22,'[1]Raw Data'!$A$3:$FB$285,66,FALSE)</f>
        <v>9415</v>
      </c>
      <c r="BG22" s="27" t="str">
        <f>VLOOKUP($A22,'[1]Raw Data'!$A$3:$FB$285,67,FALSE)</f>
        <v/>
      </c>
      <c r="BH22" s="27" t="str">
        <f t="shared" si="1"/>
        <v/>
      </c>
      <c r="BI22" s="27" t="str">
        <f>VLOOKUP($A22,'[1]Raw Data'!$A$3:$FB$285,68,FALSE)</f>
        <v/>
      </c>
      <c r="BJ22" s="27">
        <f>VLOOKUP($A22,'[1]Raw Data'!$A$3:$FB$285,69,FALSE)</f>
        <v>945</v>
      </c>
      <c r="BK22" s="27" t="str">
        <f>VLOOKUP($A22,'[1]Raw Data'!$A$3:$FB$285,70,FALSE)</f>
        <v/>
      </c>
      <c r="BL22" s="27" t="str">
        <f t="shared" si="2"/>
        <v/>
      </c>
      <c r="BM22" s="27" t="str">
        <f>VLOOKUP($A22,'[1]Raw Data'!$A$3:$FB$285,71,FALSE)</f>
        <v/>
      </c>
      <c r="BN22" s="27">
        <f>VLOOKUP($A22,'[1]Raw Data'!$A$3:$FB$285,72,FALSE)</f>
        <v>1101</v>
      </c>
      <c r="BO22" s="27" t="str">
        <f>VLOOKUP($A22,'[1]Raw Data'!$A$3:$FB$285,73,FALSE)</f>
        <v/>
      </c>
      <c r="BP22" s="27" t="str">
        <f t="shared" si="3"/>
        <v/>
      </c>
      <c r="BQ22" s="27" t="str">
        <f>VLOOKUP($A22,'[1]Raw Data'!$A$3:$FB$285,74,FALSE)</f>
        <v/>
      </c>
      <c r="BR22" s="27" t="str">
        <f>VLOOKUP($A22,'[1]Raw Data'!$A$3:$FB$285,75,FALSE)</f>
        <v/>
      </c>
      <c r="BS22" s="27" t="str">
        <f>VLOOKUP($A22,'[1]Raw Data'!$A$3:$FB$285,76,FALSE)</f>
        <v/>
      </c>
      <c r="BT22" s="27" t="str">
        <f t="shared" si="4"/>
        <v/>
      </c>
      <c r="BU22" s="27" t="str">
        <f>VLOOKUP($A22,'[1]Raw Data'!$A$3:$FB$285,77,FALSE)</f>
        <v/>
      </c>
      <c r="BV22" s="27">
        <f>VLOOKUP($A22,'[1]Raw Data'!$A$3:$FB$285,78,FALSE)</f>
        <v>30812</v>
      </c>
      <c r="BW22" s="27" t="str">
        <f>VLOOKUP($A22,'[1]Raw Data'!$A$3:$FB$285,79,FALSE)</f>
        <v/>
      </c>
      <c r="BX22" s="27" t="str">
        <f t="shared" si="5"/>
        <v/>
      </c>
      <c r="BY22" s="27" t="str">
        <f>VLOOKUP($A22,'[1]Raw Data'!$A$3:$FB$285,80,FALSE)</f>
        <v/>
      </c>
      <c r="BZ22" s="27">
        <f>VLOOKUP($A22,'[1]Raw Data'!$A$3:$FB$285,81,FALSE)</f>
        <v>94647</v>
      </c>
      <c r="CA22" s="27" t="str">
        <f>VLOOKUP($A22,'[1]Raw Data'!$A$3:$FB$285,82,FALSE)</f>
        <v/>
      </c>
      <c r="CB22" s="27" t="str">
        <f t="shared" si="6"/>
        <v/>
      </c>
      <c r="CC22" s="27" t="str">
        <f>VLOOKUP($A22,'[1]Raw Data'!$A$3:$FB$285,83,FALSE)</f>
        <v/>
      </c>
      <c r="CD22" s="27">
        <f>VLOOKUP($A22,'[1]Raw Data'!$A$3:$FB$285,84,FALSE)</f>
        <v>1258</v>
      </c>
      <c r="CE22" s="27" t="str">
        <f>VLOOKUP($A22,'[1]Raw Data'!$A$3:$FB$285,85,FALSE)</f>
        <v/>
      </c>
      <c r="CF22" s="27" t="str">
        <f t="shared" si="7"/>
        <v/>
      </c>
      <c r="CG22" s="27" t="str">
        <f>VLOOKUP($A22,'[1]Raw Data'!$A$3:$FB$285,86,FALSE)</f>
        <v/>
      </c>
      <c r="CH22" s="27">
        <f>VLOOKUP($A22,'[1]Raw Data'!$A$3:$FB$285,87,FALSE)</f>
        <v>10697</v>
      </c>
      <c r="CI22" s="27" t="str">
        <f>VLOOKUP($A22,'[1]Raw Data'!$A$3:$FB$285,88,FALSE)</f>
        <v/>
      </c>
      <c r="CJ22" s="27" t="str">
        <f t="shared" si="8"/>
        <v/>
      </c>
      <c r="CK22" s="27" t="str">
        <f>VLOOKUP($A22,'[1]Raw Data'!$A$3:$FB$285,89,FALSE)</f>
        <v/>
      </c>
      <c r="CL22" s="27" t="str">
        <f>VLOOKUP($A22,'[1]Raw Data'!$A$3:$FB$285,91,FALSE)</f>
        <v/>
      </c>
      <c r="CM22" s="27" t="str">
        <f>VLOOKUP($A22,'[1]Raw Data'!$A$3:$FB$285,93,FALSE)</f>
        <v/>
      </c>
      <c r="CN22" s="27" t="str">
        <f>VLOOKUP($A22,'[1]Raw Data'!$A$3:$FB$285,94,FALSE)</f>
        <v/>
      </c>
      <c r="CO22" s="27" t="str">
        <f>VLOOKUP($A22,'[1]Raw Data'!$A$3:$FB$285,95,FALSE)</f>
        <v/>
      </c>
      <c r="CP22" s="27" t="str">
        <f>VLOOKUP($A22,'[1]Raw Data'!$A$3:$FB$285,96,FALSE)</f>
        <v/>
      </c>
      <c r="CQ22" s="27" t="str">
        <f>VLOOKUP($A22,'[1]Raw Data'!$A$3:$FB$285,97,FALSE)</f>
        <v/>
      </c>
      <c r="CR22" s="27" t="str">
        <f>VLOOKUP($A22,'[1]Raw Data'!$A$3:$FB$285,98,FALSE)</f>
        <v/>
      </c>
      <c r="CS22" s="27" t="str">
        <f>VLOOKUP($A22,'[1]Raw Data'!$A$3:$FB$285,99,FALSE)</f>
        <v/>
      </c>
      <c r="CT22" s="27" t="str">
        <f>VLOOKUP($A22,'[1]Raw Data'!$A$3:$FB$285,101,FALSE)</f>
        <v/>
      </c>
      <c r="CV22" s="27" t="str">
        <f>VLOOKUP($A22,'[1]Raw Data'!$A$3:$FB$285,102,FALSE)</f>
        <v>Chairman</v>
      </c>
      <c r="CW22" s="27" t="s">
        <v>878</v>
      </c>
      <c r="CX22" s="27" t="str">
        <f>VLOOKUP($A22,'[1]Raw Data'!$A$3:$FB$285,103,FALSE)</f>
        <v/>
      </c>
      <c r="CY22" s="27" t="str">
        <f>VLOOKUP($A22,'[1]Raw Data'!$A$3:$FB$285,105,FALSE)</f>
        <v/>
      </c>
      <c r="DA22" s="27" t="str">
        <f>VLOOKUP($A22,'[1]Raw Data'!$A$3:$FB$285,106,FALSE)</f>
        <v>Deputy Chairman</v>
      </c>
      <c r="DB22" s="27" t="s">
        <v>879</v>
      </c>
      <c r="DC22" s="27" t="str">
        <f>VLOOKUP($A22,'[1]Raw Data'!$A$3:$FB$285,107,FALSE)</f>
        <v/>
      </c>
      <c r="DD22" s="27" t="str">
        <f>VLOOKUP($A22,'[1]Raw Data'!$A$3:$FB$285,109,FALSE)</f>
        <v/>
      </c>
      <c r="DF22" s="27" t="str">
        <f>VLOOKUP($A22,'[1]Raw Data'!$A$3:$FB$285,110,FALSE)</f>
        <v>Chief Adminstration Officer</v>
      </c>
      <c r="DG22" s="27" t="s">
        <v>880</v>
      </c>
      <c r="DH22" s="27" t="str">
        <f>VLOOKUP($A22,'[1]Raw Data'!$A$3:$FB$285,111,FALSE)</f>
        <v/>
      </c>
      <c r="DI22" s="27" t="str">
        <f>VLOOKUP($A22,'[1]Raw Data'!$A$3:$FB$285,121,FALSE)</f>
        <v/>
      </c>
      <c r="DK22" s="27" t="str">
        <f>VLOOKUP($A22,'[1]Raw Data'!$A$3:$FB$285,122,FALSE)</f>
        <v>Focal Person</v>
      </c>
      <c r="DL22" s="27" t="s">
        <v>881</v>
      </c>
      <c r="DM22" s="27" t="str">
        <f>VLOOKUP($A22,'[1]Raw Data'!$A$3:$FB$285,123,FALSE)</f>
        <v/>
      </c>
      <c r="DN22" s="27" t="str">
        <f>VLOOKUP($A22,'[1]Raw Data'!$A$3:$FB$285,113,FALSE)</f>
        <v/>
      </c>
      <c r="DP22" s="27" t="str">
        <f>VLOOKUP($A22,'[1]Raw Data'!$A$3:$FB$285,114,FALSE)</f>
        <v>NRA Chief-District</v>
      </c>
      <c r="DQ22" s="27" t="s">
        <v>882</v>
      </c>
      <c r="DR22" s="27" t="str">
        <f>VLOOKUP($A22,'[1]Raw Data'!$A$3:$FB$285,115,FALSE)</f>
        <v/>
      </c>
      <c r="DS22" s="27" t="str">
        <f>VLOOKUP($A22,'[1]Raw Data'!$A$3:$FB$285,117,FALSE)</f>
        <v/>
      </c>
      <c r="DU22" s="27" t="str">
        <f>VLOOKUP($A22,'[1]Raw Data'!$A$3:$FB$285,118,FALSE)</f>
        <v>DUDBC.DLPIU Chief</v>
      </c>
      <c r="DV22" s="27" t="s">
        <v>883</v>
      </c>
      <c r="DW22" s="27" t="str">
        <f>VLOOKUP($A22,'[1]Raw Data'!$A$3:$FB$285,119,FALSE)</f>
        <v/>
      </c>
      <c r="DX22" s="27" t="s">
        <v>339</v>
      </c>
      <c r="DY22" s="27" t="str">
        <f>VLOOKUP($A22,'[1]Raw Data'!$A$3:$FB$285,124,FALSE)</f>
        <v/>
      </c>
      <c r="DZ22" s="27" t="s">
        <v>884</v>
      </c>
      <c r="EA22" s="27" t="str">
        <f>VLOOKUP($A22,'[1]Raw Data'!$A$3:$FB$285,125,FALSE)</f>
        <v/>
      </c>
      <c r="EB22" s="27" t="s">
        <v>341</v>
      </c>
      <c r="EC22" s="27" t="str">
        <f>VLOOKUP($A22,'[1]Raw Data'!$A$3:$FB$285,126,FALSE)</f>
        <v/>
      </c>
      <c r="ED22" t="s">
        <v>478</v>
      </c>
      <c r="EE22" s="27" t="str">
        <f>VLOOKUP($A22,'[1]Raw Data'!$A$3:$FB$285,127,FALSE)</f>
        <v/>
      </c>
      <c r="EF22" s="27" t="s">
        <v>343</v>
      </c>
      <c r="EG22" s="27" t="str">
        <f>VLOOKUP($A22,'[1]Raw Data'!$A$3:$FB$285,128,FALSE)</f>
        <v/>
      </c>
      <c r="EH22" t="s">
        <v>344</v>
      </c>
      <c r="EI22" s="27" t="str">
        <f>VLOOKUP($A22,'[1]Raw Data'!$A$3:$FB$285,129,FALSE)</f>
        <v/>
      </c>
      <c r="EM22" s="27" t="str">
        <f>VLOOKUP($A22,'[1]Raw Data'!$A$3:$FB$285,130,FALSE)</f>
        <v/>
      </c>
      <c r="EN22" s="27" t="str">
        <f>VLOOKUP($A22,'[1]Raw Data'!$A$3:$FB$285,131,FALSE)</f>
        <v/>
      </c>
      <c r="EO22" s="27" t="str">
        <f>VLOOKUP($A22,'[1]Raw Data'!$A$3:$FB$285,132,FALSE)</f>
        <v/>
      </c>
      <c r="EP22" s="27" t="str">
        <f>VLOOKUP($A22,'[1]Raw Data'!$A$3:$FB$285,133,FALSE)</f>
        <v/>
      </c>
      <c r="EQ22" s="27" t="str">
        <f>VLOOKUP($A22,'[1]Raw Data'!$A$3:$FB$285,134,FALSE)</f>
        <v/>
      </c>
      <c r="ER22" s="27" t="str">
        <f>VLOOKUP($A22,'[1]Raw Data'!$A$3:$FB$285,135,FALSE)</f>
        <v/>
      </c>
      <c r="ES22" s="27" t="str">
        <f>VLOOKUP($A22,'[1]Raw Data'!$A$3:$FB$285,136,FALSE)</f>
        <v/>
      </c>
      <c r="ET22" s="27" t="str">
        <f>VLOOKUP($A22,'[1]Raw Data'!$A$3:$FB$285,137,FALSE)</f>
        <v/>
      </c>
      <c r="EU22" s="27" t="str">
        <f>VLOOKUP($A22,'[1]Raw Data'!$A$3:$FB$285,138,FALSE)</f>
        <v/>
      </c>
      <c r="EV22" s="27" t="str">
        <f>VLOOKUP($A22,'[1]Raw Data'!$A$3:$FB$285,139,FALSE)</f>
        <v/>
      </c>
      <c r="EW22" s="38">
        <f>VLOOKUP($A22,[1]Training!$A$2:$I$284,5,FALSE)</f>
        <v>31.307692307692307</v>
      </c>
      <c r="EX22" s="31">
        <f>VLOOKUP($A22,[1]Training!$A$2:$I$284,6,FALSE)</f>
        <v>0</v>
      </c>
      <c r="EY22" s="38">
        <f>VLOOKUP($A22,[1]Training!$A$2:$I$284,8,FALSE)</f>
        <v>37</v>
      </c>
      <c r="EZ22" s="31">
        <f>VLOOKUP($A22,[1]Training!$A$2:$I$284,9,FALSE)</f>
        <v>0</v>
      </c>
      <c r="FA22" s="27">
        <v>1</v>
      </c>
      <c r="FB22" s="27">
        <v>2</v>
      </c>
      <c r="FC22" s="27" t="str">
        <f>VLOOKUP($A22,'[1]Raw Data'!$A$3:$FB$285,148,FALSE)</f>
        <v/>
      </c>
      <c r="FE22" s="27" t="str">
        <f>VLOOKUP($A22,'[1]Raw Data'!$A$3:$FB$285,149,FALSE)</f>
        <v>District Coordinator</v>
      </c>
      <c r="FF22" s="27" t="s">
        <v>885</v>
      </c>
      <c r="FG22" s="27" t="str">
        <f>VLOOKUP($A22,'[1]Raw Data'!$A$3:$FB$285,150,FALSE)</f>
        <v/>
      </c>
      <c r="FH22" s="27" t="str">
        <f>VLOOKUP($A22,'[1]Raw Data'!$A$3:$FB$285,156,FALSE)</f>
        <v/>
      </c>
      <c r="FJ22" s="27" t="str">
        <f>VLOOKUP($A22,'[1]Raw Data'!$A$3:$FB$285,157,FALSE)</f>
        <v>District Technical Officer</v>
      </c>
      <c r="FK22" s="27" t="s">
        <v>886</v>
      </c>
      <c r="FL22" s="27" t="str">
        <f>VLOOKUP($A22,'[1]Raw Data'!$A$3:$FB$285,158,FALSE)</f>
        <v/>
      </c>
      <c r="FM22" s="27" t="str">
        <f>VLOOKUP($A22,'[1]Raw Data'!$A$3:$FB$285,152,FALSE)</f>
        <v/>
      </c>
      <c r="FO22" s="27" t="str">
        <f>VLOOKUP($A22,'[1]Raw Data'!$A$3:$FB$285,153,FALSE)</f>
        <v>DIstrict Information Management Officer</v>
      </c>
      <c r="FP22" s="27" t="s">
        <v>887</v>
      </c>
      <c r="FQ22" s="27" t="str">
        <f>VLOOKUP($A22,'[1]Raw Data'!$A$3:$FB$285,154,FALSE)</f>
        <v/>
      </c>
    </row>
    <row r="23" spans="1:173" ht="24" x14ac:dyDescent="0.45">
      <c r="A23" s="27">
        <v>10002</v>
      </c>
      <c r="B23" s="36" t="str">
        <f ca="1">IFERROR(__xludf.DUMMYFUNCTION("""COMPUTED_VALUE"""),"Arun Gaunpalika")</f>
        <v>Arun Gaunpalika</v>
      </c>
      <c r="C23" s="37" t="str">
        <f>VLOOKUP(A23,'[1]Palika and District in Nepali '!$D$1:$F$283,3,FALSE)</f>
        <v>अरूण गाउँपालिका</v>
      </c>
      <c r="D23" s="36" t="str">
        <f ca="1">IFERROR(__xludf.DUMMYFUNCTION("""COMPUTED_VALUE"""),"Bhojpur")</f>
        <v>Bhojpur</v>
      </c>
      <c r="E23" s="36"/>
      <c r="F23" s="27">
        <f>VLOOKUP(A23,'[1]Raw Data'!$A$3:$FB$285,4,FALSE)</f>
        <v>306</v>
      </c>
      <c r="G23" s="27">
        <f>VLOOKUP(A23,'[1]Raw Data'!$A$3:$FB$285,5,FALSE)</f>
        <v>415</v>
      </c>
      <c r="H23" s="27">
        <f>VLOOKUP(A23,'[1]Raw Data'!$A$3:$FB$285,6,FALSE)</f>
        <v>721</v>
      </c>
      <c r="I23" s="27">
        <f>VLOOKUP($A23,'[1]Raw Data'!$A$3:$FB$285,8,FALSE)</f>
        <v>0</v>
      </c>
      <c r="J23" s="27">
        <f>VLOOKUP($A23,'[1]Raw Data'!$A$3:$FB$285,9,FALSE)</f>
        <v>7.0000000000000007E-2</v>
      </c>
      <c r="K23" s="27">
        <f>VLOOKUP($A23,'[1]Raw Data'!$A$3:$FB$285,11,FALSE)</f>
        <v>99.58</v>
      </c>
      <c r="L23" s="27">
        <f>VLOOKUP($A23,'[1]Raw Data'!$A$3:$FB$285,12,FALSE)</f>
        <v>74.7</v>
      </c>
      <c r="M23" s="27">
        <f>VLOOKUP($A23,'[1]Raw Data'!$A$3:$FB$285,14,FALSE)</f>
        <v>0</v>
      </c>
      <c r="N23" s="27">
        <f>VLOOKUP($A23,'[1]Raw Data'!$A$3:$FB$285,15,FALSE)</f>
        <v>0.02</v>
      </c>
      <c r="O23" s="27">
        <f>VLOOKUP($A23,'[1]Raw Data'!$A$3:$FB$285,17,FALSE)</f>
        <v>0.28000000000000003</v>
      </c>
      <c r="P23" s="27">
        <f>VLOOKUP($A23,'[1]Raw Data'!$A$3:$FB$285,18,FALSE)</f>
        <v>0.06</v>
      </c>
      <c r="Q23" s="27">
        <f>VLOOKUP($A23,'[1]Raw Data'!$A$3:$FB$285,20,FALSE)</f>
        <v>0</v>
      </c>
      <c r="R23" s="27">
        <f>VLOOKUP($A23,'[1]Raw Data'!$A$3:$FB$285,21,FALSE)</f>
        <v>0</v>
      </c>
      <c r="S23" s="27">
        <f>VLOOKUP($A23,'[1]Raw Data'!$A$3:$FB$285,23,FALSE)</f>
        <v>0</v>
      </c>
      <c r="T23" s="27">
        <f>VLOOKUP($A23,'[1]Raw Data'!$A$3:$FB$285,24,FALSE)</f>
        <v>0</v>
      </c>
      <c r="U23" s="27">
        <f>VLOOKUP($A23,'[1]Raw Data'!$A$3:$FB$285,26,FALSE)</f>
        <v>0.14000000000000001</v>
      </c>
      <c r="V23" s="27">
        <f>VLOOKUP($A23,'[1]Raw Data'!$A$3:$FB$285,27,FALSE)</f>
        <v>0.73</v>
      </c>
      <c r="W23" s="27">
        <f>VLOOKUP($A23,'[1]Raw Data'!$A$3:$FB$285,29,FALSE)</f>
        <v>0</v>
      </c>
      <c r="X23" s="27">
        <f>VLOOKUP($A23,'[1]Raw Data'!$A$3:$FB$285,30,FALSE)</f>
        <v>0</v>
      </c>
      <c r="Y23" s="27">
        <f>VLOOKUP($A23,'[1]Raw Data'!$A$3:$FB$285,32,FALSE)</f>
        <v>0</v>
      </c>
      <c r="Z23" s="27">
        <f>VLOOKUP($A23,'[1]Raw Data'!$A$3:$FB$285,33,FALSE)</f>
        <v>0.03</v>
      </c>
      <c r="AA23" s="27">
        <f>VLOOKUP($A23,'[1]Raw Data'!$A$3:$FB$285,35,FALSE)</f>
        <v>0</v>
      </c>
      <c r="AB23" s="27">
        <f>VLOOKUP($A23,'[1]Raw Data'!$A$3:$FB$285,36,FALSE)</f>
        <v>24.05</v>
      </c>
      <c r="AC23" s="27">
        <f>VLOOKUP($A23,'[1]Raw Data'!$A$3:$FB$285,38,FALSE)</f>
        <v>0</v>
      </c>
      <c r="AD23" s="27">
        <f>VLOOKUP($A23,'[1]Raw Data'!$A$3:$FB$285,39,FALSE)</f>
        <v>0.33</v>
      </c>
      <c r="AE23" s="27">
        <f>VLOOKUP($A23,'[1]Raw Data'!$A$3:$FB$285,41,FALSE)</f>
        <v>0</v>
      </c>
      <c r="AF23" s="27">
        <f>VLOOKUP($A23,'[1]Raw Data'!$A$3:$FB$285,42,FALSE)</f>
        <v>0</v>
      </c>
      <c r="AG23" s="27">
        <f>VLOOKUP($A23,'[1]Raw Data'!$A$3:$FB$285,44,FALSE)</f>
        <v>0</v>
      </c>
      <c r="AH23" s="27">
        <f>VLOOKUP($A23,'[1]Raw Data'!$A$3:$FB$285,45,FALSE)</f>
        <v>0</v>
      </c>
      <c r="AI23" s="27">
        <f>VLOOKUP($A23,'[1]Raw Data'!$A$3:$FB$285,46,FALSE)</f>
        <v>341</v>
      </c>
      <c r="AJ23" s="27">
        <f>VLOOKUP($A23,'[1]Raw Data'!$A$3:$FB$285,47,FALSE)</f>
        <v>219</v>
      </c>
      <c r="AK23" s="27">
        <f>VLOOKUP($A23,'[1]Raw Data'!$A$3:$FB$285,48,FALSE)</f>
        <v>219</v>
      </c>
      <c r="AL23" s="27">
        <f>VLOOKUP($A23,'[1]Raw Data'!$A$3:$FB$285,49,FALSE)</f>
        <v>108</v>
      </c>
      <c r="AM23" s="27">
        <f>VLOOKUP($A23,'[1]Raw Data'!$A$3:$FB$285,50,FALSE)</f>
        <v>0</v>
      </c>
      <c r="AN23" s="27" t="str">
        <f>VLOOKUP($A23,'[1]Raw Data'!$A$3:$FB$285,51,FALSE)</f>
        <v/>
      </c>
      <c r="AO23" s="27" t="str">
        <f>VLOOKUP($A23,'[1]Raw Data'!$A$3:$FB$285,52,FALSE)</f>
        <v/>
      </c>
      <c r="AP23" s="27">
        <f>VLOOKUP($A23,'[1]Raw Data'!$A$3:$FB$285,53,FALSE)</f>
        <v>69</v>
      </c>
      <c r="AQ23" s="27" t="str">
        <f>VLOOKUP($A23,'[1]Raw Data'!$A$3:$FB$285,54,FALSE)</f>
        <v/>
      </c>
      <c r="AR23" s="27" t="str">
        <f>VLOOKUP($A23,'[1]Raw Data'!$A$3:$FB$285,55,FALSE)</f>
        <v/>
      </c>
      <c r="AS23" s="27" t="str">
        <f>VLOOKUP($A23,'[1]Raw Data'!$A$3:$FB$285,56,FALSE)</f>
        <v/>
      </c>
      <c r="AT23" s="27" t="str">
        <f>VLOOKUP($A23,'[1]Raw Data'!$A$3:$FB$285,57,FALSE)</f>
        <v/>
      </c>
      <c r="AU23" s="27" t="str">
        <f>VLOOKUP($A23,'[1]Raw Data'!$A$3:$FB$285,58,FALSE)</f>
        <v/>
      </c>
      <c r="AV23" s="27" t="str">
        <f>VLOOKUP($A23,'[1]Raw Data'!$A$3:$FB$285,59,FALSE)</f>
        <v/>
      </c>
      <c r="AW23" s="27" t="str">
        <f>VLOOKUP($A23,'[1]Raw Data'!$A$3:$FB$285,60,FALSE)</f>
        <v/>
      </c>
      <c r="AX23" s="27" t="str">
        <f>VLOOKUP(A23,'[1]PO''s List'!A21:E303,4,FALSE)</f>
        <v/>
      </c>
      <c r="AZ23" s="27" t="str">
        <f>VLOOKUP(A23,'[1]PO''s List'!$A$3:$E$285,5,FALSE)</f>
        <v/>
      </c>
      <c r="BB23" s="27">
        <f>VLOOKUP($A23,'[1]Raw Data'!$A$3:$FB$285,63,FALSE)</f>
        <v>6144</v>
      </c>
      <c r="BC23" s="27" t="str">
        <f>VLOOKUP($A23,'[1]Raw Data'!$A$3:$FB$285,64,FALSE)</f>
        <v/>
      </c>
      <c r="BD23" s="27" t="str">
        <f t="shared" si="0"/>
        <v/>
      </c>
      <c r="BE23" s="27" t="str">
        <f>VLOOKUP($A23,'[1]Raw Data'!$A$3:$FB$285,65,FALSE)</f>
        <v/>
      </c>
      <c r="BF23" s="27">
        <f>VLOOKUP($A23,'[1]Raw Data'!$A$3:$FB$285,66,FALSE)</f>
        <v>6557</v>
      </c>
      <c r="BG23" s="27" t="str">
        <f>VLOOKUP($A23,'[1]Raw Data'!$A$3:$FB$285,67,FALSE)</f>
        <v/>
      </c>
      <c r="BH23" s="27" t="str">
        <f t="shared" si="1"/>
        <v/>
      </c>
      <c r="BI23" s="27" t="str">
        <f>VLOOKUP($A23,'[1]Raw Data'!$A$3:$FB$285,68,FALSE)</f>
        <v/>
      </c>
      <c r="BJ23" s="27">
        <f>VLOOKUP($A23,'[1]Raw Data'!$A$3:$FB$285,69,FALSE)</f>
        <v>658</v>
      </c>
      <c r="BK23" s="27" t="str">
        <f>VLOOKUP($A23,'[1]Raw Data'!$A$3:$FB$285,70,FALSE)</f>
        <v/>
      </c>
      <c r="BL23" s="27" t="str">
        <f t="shared" si="2"/>
        <v/>
      </c>
      <c r="BM23" s="27" t="str">
        <f>VLOOKUP($A23,'[1]Raw Data'!$A$3:$FB$285,71,FALSE)</f>
        <v/>
      </c>
      <c r="BN23" s="27">
        <f>VLOOKUP($A23,'[1]Raw Data'!$A$3:$FB$285,72,FALSE)</f>
        <v>767</v>
      </c>
      <c r="BO23" s="27" t="str">
        <f>VLOOKUP($A23,'[1]Raw Data'!$A$3:$FB$285,73,FALSE)</f>
        <v/>
      </c>
      <c r="BP23" s="27" t="str">
        <f t="shared" si="3"/>
        <v/>
      </c>
      <c r="BQ23" s="27" t="str">
        <f>VLOOKUP($A23,'[1]Raw Data'!$A$3:$FB$285,74,FALSE)</f>
        <v/>
      </c>
      <c r="BR23" s="27" t="str">
        <f>VLOOKUP($A23,'[1]Raw Data'!$A$3:$FB$285,75,FALSE)</f>
        <v/>
      </c>
      <c r="BS23" s="27" t="str">
        <f>VLOOKUP($A23,'[1]Raw Data'!$A$3:$FB$285,76,FALSE)</f>
        <v/>
      </c>
      <c r="BT23" s="27" t="str">
        <f t="shared" si="4"/>
        <v/>
      </c>
      <c r="BU23" s="27" t="str">
        <f>VLOOKUP($A23,'[1]Raw Data'!$A$3:$FB$285,77,FALSE)</f>
        <v/>
      </c>
      <c r="BV23" s="27">
        <f>VLOOKUP($A23,'[1]Raw Data'!$A$3:$FB$285,78,FALSE)</f>
        <v>21458</v>
      </c>
      <c r="BW23" s="27" t="str">
        <f>VLOOKUP($A23,'[1]Raw Data'!$A$3:$FB$285,79,FALSE)</f>
        <v/>
      </c>
      <c r="BX23" s="27" t="str">
        <f t="shared" si="5"/>
        <v/>
      </c>
      <c r="BY23" s="27" t="str">
        <f>VLOOKUP($A23,'[1]Raw Data'!$A$3:$FB$285,80,FALSE)</f>
        <v/>
      </c>
      <c r="BZ23" s="27">
        <f>VLOOKUP($A23,'[1]Raw Data'!$A$3:$FB$285,81,FALSE)</f>
        <v>65911</v>
      </c>
      <c r="CA23" s="27" t="str">
        <f>VLOOKUP($A23,'[1]Raw Data'!$A$3:$FB$285,82,FALSE)</f>
        <v/>
      </c>
      <c r="CB23" s="27" t="str">
        <f t="shared" si="6"/>
        <v/>
      </c>
      <c r="CC23" s="27" t="str">
        <f>VLOOKUP($A23,'[1]Raw Data'!$A$3:$FB$285,83,FALSE)</f>
        <v/>
      </c>
      <c r="CD23" s="27">
        <f>VLOOKUP($A23,'[1]Raw Data'!$A$3:$FB$285,84,FALSE)</f>
        <v>876</v>
      </c>
      <c r="CE23" s="27" t="str">
        <f>VLOOKUP($A23,'[1]Raw Data'!$A$3:$FB$285,85,FALSE)</f>
        <v/>
      </c>
      <c r="CF23" s="27" t="str">
        <f t="shared" si="7"/>
        <v/>
      </c>
      <c r="CG23" s="27" t="str">
        <f>VLOOKUP($A23,'[1]Raw Data'!$A$3:$FB$285,86,FALSE)</f>
        <v/>
      </c>
      <c r="CH23" s="27">
        <f>VLOOKUP($A23,'[1]Raw Data'!$A$3:$FB$285,87,FALSE)</f>
        <v>7377</v>
      </c>
      <c r="CI23" s="27" t="str">
        <f>VLOOKUP($A23,'[1]Raw Data'!$A$3:$FB$285,88,FALSE)</f>
        <v/>
      </c>
      <c r="CJ23" s="27" t="str">
        <f t="shared" si="8"/>
        <v/>
      </c>
      <c r="CK23" s="27" t="str">
        <f>VLOOKUP($A23,'[1]Raw Data'!$A$3:$FB$285,89,FALSE)</f>
        <v/>
      </c>
      <c r="CL23" s="27" t="str">
        <f>VLOOKUP($A23,'[1]Raw Data'!$A$3:$FB$285,91,FALSE)</f>
        <v/>
      </c>
      <c r="CM23" s="27" t="str">
        <f>VLOOKUP($A23,'[1]Raw Data'!$A$3:$FB$285,93,FALSE)</f>
        <v/>
      </c>
      <c r="CN23" s="27" t="str">
        <f>VLOOKUP($A23,'[1]Raw Data'!$A$3:$FB$285,94,FALSE)</f>
        <v/>
      </c>
      <c r="CO23" s="27" t="str">
        <f>VLOOKUP($A23,'[1]Raw Data'!$A$3:$FB$285,95,FALSE)</f>
        <v/>
      </c>
      <c r="CP23" s="27" t="str">
        <f>VLOOKUP($A23,'[1]Raw Data'!$A$3:$FB$285,96,FALSE)</f>
        <v/>
      </c>
      <c r="CQ23" s="27" t="str">
        <f>VLOOKUP($A23,'[1]Raw Data'!$A$3:$FB$285,97,FALSE)</f>
        <v/>
      </c>
      <c r="CR23" s="27" t="str">
        <f>VLOOKUP($A23,'[1]Raw Data'!$A$3:$FB$285,98,FALSE)</f>
        <v/>
      </c>
      <c r="CS23" s="27" t="str">
        <f>VLOOKUP($A23,'[1]Raw Data'!$A$3:$FB$285,99,FALSE)</f>
        <v/>
      </c>
      <c r="CT23" s="27" t="str">
        <f>VLOOKUP($A23,'[1]Raw Data'!$A$3:$FB$285,101,FALSE)</f>
        <v/>
      </c>
      <c r="CV23" s="27" t="str">
        <f>VLOOKUP($A23,'[1]Raw Data'!$A$3:$FB$285,102,FALSE)</f>
        <v>Chairman</v>
      </c>
      <c r="CW23" s="27" t="s">
        <v>878</v>
      </c>
      <c r="CX23" s="27" t="str">
        <f>VLOOKUP($A23,'[1]Raw Data'!$A$3:$FB$285,103,FALSE)</f>
        <v/>
      </c>
      <c r="CY23" s="27" t="str">
        <f>VLOOKUP($A23,'[1]Raw Data'!$A$3:$FB$285,105,FALSE)</f>
        <v/>
      </c>
      <c r="DA23" s="27" t="str">
        <f>VLOOKUP($A23,'[1]Raw Data'!$A$3:$FB$285,106,FALSE)</f>
        <v>Deputy Chairman</v>
      </c>
      <c r="DB23" s="27" t="s">
        <v>879</v>
      </c>
      <c r="DC23" s="27" t="str">
        <f>VLOOKUP($A23,'[1]Raw Data'!$A$3:$FB$285,107,FALSE)</f>
        <v/>
      </c>
      <c r="DD23" s="27" t="str">
        <f>VLOOKUP($A23,'[1]Raw Data'!$A$3:$FB$285,109,FALSE)</f>
        <v/>
      </c>
      <c r="DF23" s="27" t="str">
        <f>VLOOKUP($A23,'[1]Raw Data'!$A$3:$FB$285,110,FALSE)</f>
        <v>Chief Adminstration Officer</v>
      </c>
      <c r="DG23" s="27" t="s">
        <v>880</v>
      </c>
      <c r="DH23" s="27" t="str">
        <f>VLOOKUP($A23,'[1]Raw Data'!$A$3:$FB$285,111,FALSE)</f>
        <v/>
      </c>
      <c r="DI23" s="27" t="str">
        <f>VLOOKUP($A23,'[1]Raw Data'!$A$3:$FB$285,121,FALSE)</f>
        <v/>
      </c>
      <c r="DK23" s="27" t="str">
        <f>VLOOKUP($A23,'[1]Raw Data'!$A$3:$FB$285,122,FALSE)</f>
        <v>Focal Person</v>
      </c>
      <c r="DL23" s="27" t="s">
        <v>881</v>
      </c>
      <c r="DM23" s="27" t="str">
        <f>VLOOKUP($A23,'[1]Raw Data'!$A$3:$FB$285,123,FALSE)</f>
        <v/>
      </c>
      <c r="DN23" s="27" t="str">
        <f>VLOOKUP($A23,'[1]Raw Data'!$A$3:$FB$285,113,FALSE)</f>
        <v/>
      </c>
      <c r="DP23" s="27" t="str">
        <f>VLOOKUP($A23,'[1]Raw Data'!$A$3:$FB$285,114,FALSE)</f>
        <v>NRA Chief-District</v>
      </c>
      <c r="DQ23" s="27" t="s">
        <v>882</v>
      </c>
      <c r="DR23" s="27" t="str">
        <f>VLOOKUP($A23,'[1]Raw Data'!$A$3:$FB$285,115,FALSE)</f>
        <v/>
      </c>
      <c r="DS23" s="27" t="str">
        <f>VLOOKUP($A23,'[1]Raw Data'!$A$3:$FB$285,117,FALSE)</f>
        <v/>
      </c>
      <c r="DU23" s="27" t="str">
        <f>VLOOKUP($A23,'[1]Raw Data'!$A$3:$FB$285,118,FALSE)</f>
        <v>DUDBC.DLPIU Chief</v>
      </c>
      <c r="DV23" s="27" t="s">
        <v>883</v>
      </c>
      <c r="DW23" s="27" t="str">
        <f>VLOOKUP($A23,'[1]Raw Data'!$A$3:$FB$285,119,FALSE)</f>
        <v/>
      </c>
      <c r="DX23" s="27" t="s">
        <v>339</v>
      </c>
      <c r="DY23" s="27" t="str">
        <f>VLOOKUP($A23,'[1]Raw Data'!$A$3:$FB$285,124,FALSE)</f>
        <v/>
      </c>
      <c r="DZ23" s="27" t="s">
        <v>884</v>
      </c>
      <c r="EA23" s="27" t="str">
        <f>VLOOKUP($A23,'[1]Raw Data'!$A$3:$FB$285,125,FALSE)</f>
        <v/>
      </c>
      <c r="EB23" s="27" t="s">
        <v>341</v>
      </c>
      <c r="EC23" s="27" t="str">
        <f>VLOOKUP($A23,'[1]Raw Data'!$A$3:$FB$285,126,FALSE)</f>
        <v/>
      </c>
      <c r="ED23" t="s">
        <v>478</v>
      </c>
      <c r="EE23" s="27" t="str">
        <f>VLOOKUP($A23,'[1]Raw Data'!$A$3:$FB$285,127,FALSE)</f>
        <v/>
      </c>
      <c r="EF23" s="27" t="s">
        <v>343</v>
      </c>
      <c r="EG23" s="27" t="str">
        <f>VLOOKUP($A23,'[1]Raw Data'!$A$3:$FB$285,128,FALSE)</f>
        <v/>
      </c>
      <c r="EH23" t="s">
        <v>344</v>
      </c>
      <c r="EI23" s="27" t="str">
        <f>VLOOKUP($A23,'[1]Raw Data'!$A$3:$FB$285,129,FALSE)</f>
        <v/>
      </c>
      <c r="EM23" s="27" t="str">
        <f>VLOOKUP($A23,'[1]Raw Data'!$A$3:$FB$285,130,FALSE)</f>
        <v/>
      </c>
      <c r="EN23" s="27" t="str">
        <f>VLOOKUP($A23,'[1]Raw Data'!$A$3:$FB$285,131,FALSE)</f>
        <v/>
      </c>
      <c r="EO23" s="27" t="str">
        <f>VLOOKUP($A23,'[1]Raw Data'!$A$3:$FB$285,132,FALSE)</f>
        <v/>
      </c>
      <c r="EP23" s="27" t="str">
        <f>VLOOKUP($A23,'[1]Raw Data'!$A$3:$FB$285,133,FALSE)</f>
        <v/>
      </c>
      <c r="EQ23" s="27" t="str">
        <f>VLOOKUP($A23,'[1]Raw Data'!$A$3:$FB$285,134,FALSE)</f>
        <v/>
      </c>
      <c r="ER23" s="27" t="str">
        <f>VLOOKUP($A23,'[1]Raw Data'!$A$3:$FB$285,135,FALSE)</f>
        <v/>
      </c>
      <c r="ES23" s="27" t="str">
        <f>VLOOKUP($A23,'[1]Raw Data'!$A$3:$FB$285,136,FALSE)</f>
        <v/>
      </c>
      <c r="ET23" s="27" t="str">
        <f>VLOOKUP($A23,'[1]Raw Data'!$A$3:$FB$285,137,FALSE)</f>
        <v/>
      </c>
      <c r="EU23" s="27" t="str">
        <f>VLOOKUP($A23,'[1]Raw Data'!$A$3:$FB$285,138,FALSE)</f>
        <v/>
      </c>
      <c r="EV23" s="27" t="str">
        <f>VLOOKUP($A23,'[1]Raw Data'!$A$3:$FB$285,139,FALSE)</f>
        <v/>
      </c>
      <c r="EW23" s="38">
        <f>VLOOKUP($A23,[1]Training!$A$2:$I$284,5,FALSE)</f>
        <v>26.23076923076923</v>
      </c>
      <c r="EX23" s="31">
        <f>VLOOKUP($A23,[1]Training!$A$2:$I$284,6,FALSE)</f>
        <v>0</v>
      </c>
      <c r="EY23" s="38">
        <f>VLOOKUP($A23,[1]Training!$A$2:$I$284,8,FALSE)</f>
        <v>31</v>
      </c>
      <c r="EZ23" s="31">
        <f>VLOOKUP($A23,[1]Training!$A$2:$I$284,9,FALSE)</f>
        <v>0</v>
      </c>
      <c r="FA23" s="27">
        <v>1</v>
      </c>
      <c r="FB23" s="27">
        <v>2</v>
      </c>
      <c r="FC23" s="27" t="str">
        <f>VLOOKUP($A23,'[1]Raw Data'!$A$3:$FB$285,148,FALSE)</f>
        <v/>
      </c>
      <c r="FE23" s="27" t="str">
        <f>VLOOKUP($A23,'[1]Raw Data'!$A$3:$FB$285,149,FALSE)</f>
        <v>District Coordinator</v>
      </c>
      <c r="FF23" s="27" t="s">
        <v>885</v>
      </c>
      <c r="FG23" s="27" t="str">
        <f>VLOOKUP($A23,'[1]Raw Data'!$A$3:$FB$285,150,FALSE)</f>
        <v/>
      </c>
      <c r="FH23" s="27" t="str">
        <f>VLOOKUP($A23,'[1]Raw Data'!$A$3:$FB$285,156,FALSE)</f>
        <v/>
      </c>
      <c r="FJ23" s="27" t="str">
        <f>VLOOKUP($A23,'[1]Raw Data'!$A$3:$FB$285,157,FALSE)</f>
        <v>District Technical Officer</v>
      </c>
      <c r="FK23" s="27" t="s">
        <v>886</v>
      </c>
      <c r="FL23" s="27" t="str">
        <f>VLOOKUP($A23,'[1]Raw Data'!$A$3:$FB$285,158,FALSE)</f>
        <v/>
      </c>
      <c r="FM23" s="27" t="str">
        <f>VLOOKUP($A23,'[1]Raw Data'!$A$3:$FB$285,152,FALSE)</f>
        <v/>
      </c>
      <c r="FO23" s="27" t="str">
        <f>VLOOKUP($A23,'[1]Raw Data'!$A$3:$FB$285,153,FALSE)</f>
        <v>DIstrict Information Management Officer</v>
      </c>
      <c r="FP23" s="27" t="s">
        <v>887</v>
      </c>
      <c r="FQ23" s="27" t="str">
        <f>VLOOKUP($A23,'[1]Raw Data'!$A$3:$FB$285,154,FALSE)</f>
        <v/>
      </c>
    </row>
    <row r="24" spans="1:173" ht="24" x14ac:dyDescent="0.45">
      <c r="A24" s="27">
        <v>10003</v>
      </c>
      <c r="B24" s="36" t="str">
        <f ca="1">IFERROR(__xludf.DUMMYFUNCTION("""COMPUTED_VALUE"""),"Bhojpur Nagarpalika")</f>
        <v>Bhojpur Nagarpalika</v>
      </c>
      <c r="C24" s="37" t="str">
        <f>VLOOKUP(A24,'[1]Palika and District in Nepali '!$D$1:$F$283,3,FALSE)</f>
        <v>भोजपुर नगरपालिका</v>
      </c>
      <c r="D24" s="36" t="str">
        <f ca="1">IFERROR(__xludf.DUMMYFUNCTION("""COMPUTED_VALUE"""),"Bhojpur")</f>
        <v>Bhojpur</v>
      </c>
      <c r="E24" s="36"/>
      <c r="F24" s="27">
        <f>VLOOKUP(A24,'[1]Raw Data'!$A$3:$FB$285,4,FALSE)</f>
        <v>756</v>
      </c>
      <c r="G24" s="27">
        <f>VLOOKUP(A24,'[1]Raw Data'!$A$3:$FB$285,5,FALSE)</f>
        <v>1170</v>
      </c>
      <c r="H24" s="27">
        <f>VLOOKUP(A24,'[1]Raw Data'!$A$3:$FB$285,6,FALSE)</f>
        <v>1926</v>
      </c>
      <c r="I24" s="27">
        <f>VLOOKUP($A24,'[1]Raw Data'!$A$3:$FB$285,8,FALSE)</f>
        <v>0</v>
      </c>
      <c r="J24" s="27">
        <f>VLOOKUP($A24,'[1]Raw Data'!$A$3:$FB$285,9,FALSE)</f>
        <v>7.0000000000000007E-2</v>
      </c>
      <c r="K24" s="27">
        <f>VLOOKUP($A24,'[1]Raw Data'!$A$3:$FB$285,11,FALSE)</f>
        <v>15.47</v>
      </c>
      <c r="L24" s="27">
        <f>VLOOKUP($A24,'[1]Raw Data'!$A$3:$FB$285,12,FALSE)</f>
        <v>74.7</v>
      </c>
      <c r="M24" s="27">
        <f>VLOOKUP($A24,'[1]Raw Data'!$A$3:$FB$285,14,FALSE)</f>
        <v>0.1</v>
      </c>
      <c r="N24" s="27">
        <f>VLOOKUP($A24,'[1]Raw Data'!$A$3:$FB$285,15,FALSE)</f>
        <v>0.02</v>
      </c>
      <c r="O24" s="27">
        <f>VLOOKUP($A24,'[1]Raw Data'!$A$3:$FB$285,17,FALSE)</f>
        <v>0.05</v>
      </c>
      <c r="P24" s="27">
        <f>VLOOKUP($A24,'[1]Raw Data'!$A$3:$FB$285,18,FALSE)</f>
        <v>0.06</v>
      </c>
      <c r="Q24" s="27">
        <f>VLOOKUP($A24,'[1]Raw Data'!$A$3:$FB$285,20,FALSE)</f>
        <v>0</v>
      </c>
      <c r="R24" s="27">
        <f>VLOOKUP($A24,'[1]Raw Data'!$A$3:$FB$285,21,FALSE)</f>
        <v>0</v>
      </c>
      <c r="S24" s="27">
        <f>VLOOKUP($A24,'[1]Raw Data'!$A$3:$FB$285,23,FALSE)</f>
        <v>0</v>
      </c>
      <c r="T24" s="27">
        <f>VLOOKUP($A24,'[1]Raw Data'!$A$3:$FB$285,24,FALSE)</f>
        <v>0</v>
      </c>
      <c r="U24" s="27">
        <f>VLOOKUP($A24,'[1]Raw Data'!$A$3:$FB$285,26,FALSE)</f>
        <v>0.05</v>
      </c>
      <c r="V24" s="27">
        <f>VLOOKUP($A24,'[1]Raw Data'!$A$3:$FB$285,27,FALSE)</f>
        <v>0.73</v>
      </c>
      <c r="W24" s="27">
        <f>VLOOKUP($A24,'[1]Raw Data'!$A$3:$FB$285,29,FALSE)</f>
        <v>0</v>
      </c>
      <c r="X24" s="27">
        <f>VLOOKUP($A24,'[1]Raw Data'!$A$3:$FB$285,30,FALSE)</f>
        <v>0</v>
      </c>
      <c r="Y24" s="27">
        <f>VLOOKUP($A24,'[1]Raw Data'!$A$3:$FB$285,32,FALSE)</f>
        <v>0</v>
      </c>
      <c r="Z24" s="27">
        <f>VLOOKUP($A24,'[1]Raw Data'!$A$3:$FB$285,33,FALSE)</f>
        <v>0.03</v>
      </c>
      <c r="AA24" s="27">
        <f>VLOOKUP($A24,'[1]Raw Data'!$A$3:$FB$285,35,FALSE)</f>
        <v>84.16</v>
      </c>
      <c r="AB24" s="27">
        <f>VLOOKUP($A24,'[1]Raw Data'!$A$3:$FB$285,36,FALSE)</f>
        <v>24.05</v>
      </c>
      <c r="AC24" s="27">
        <f>VLOOKUP($A24,'[1]Raw Data'!$A$3:$FB$285,38,FALSE)</f>
        <v>0.16</v>
      </c>
      <c r="AD24" s="27">
        <f>VLOOKUP($A24,'[1]Raw Data'!$A$3:$FB$285,39,FALSE)</f>
        <v>0.33</v>
      </c>
      <c r="AE24" s="27">
        <f>VLOOKUP($A24,'[1]Raw Data'!$A$3:$FB$285,41,FALSE)</f>
        <v>0</v>
      </c>
      <c r="AF24" s="27">
        <f>VLOOKUP($A24,'[1]Raw Data'!$A$3:$FB$285,42,FALSE)</f>
        <v>0</v>
      </c>
      <c r="AG24" s="27">
        <f>VLOOKUP($A24,'[1]Raw Data'!$A$3:$FB$285,44,FALSE)</f>
        <v>0</v>
      </c>
      <c r="AH24" s="27">
        <f>VLOOKUP($A24,'[1]Raw Data'!$A$3:$FB$285,45,FALSE)</f>
        <v>0</v>
      </c>
      <c r="AI24" s="27">
        <f>VLOOKUP($A24,'[1]Raw Data'!$A$3:$FB$285,46,FALSE)</f>
        <v>1071</v>
      </c>
      <c r="AJ24" s="27">
        <f>VLOOKUP($A24,'[1]Raw Data'!$A$3:$FB$285,47,FALSE)</f>
        <v>359</v>
      </c>
      <c r="AK24" s="27">
        <f>VLOOKUP($A24,'[1]Raw Data'!$A$3:$FB$285,48,FALSE)</f>
        <v>359</v>
      </c>
      <c r="AL24" s="27">
        <f>VLOOKUP($A24,'[1]Raw Data'!$A$3:$FB$285,49,FALSE)</f>
        <v>107</v>
      </c>
      <c r="AM24" s="27">
        <f>VLOOKUP($A24,'[1]Raw Data'!$A$3:$FB$285,50,FALSE)</f>
        <v>0</v>
      </c>
      <c r="AN24" s="27" t="str">
        <f>VLOOKUP($A24,'[1]Raw Data'!$A$3:$FB$285,51,FALSE)</f>
        <v/>
      </c>
      <c r="AO24" s="27" t="str">
        <f>VLOOKUP($A24,'[1]Raw Data'!$A$3:$FB$285,52,FALSE)</f>
        <v/>
      </c>
      <c r="AP24" s="27">
        <f>VLOOKUP($A24,'[1]Raw Data'!$A$3:$FB$285,53,FALSE)</f>
        <v>68</v>
      </c>
      <c r="AQ24" s="27" t="str">
        <f>VLOOKUP($A24,'[1]Raw Data'!$A$3:$FB$285,54,FALSE)</f>
        <v/>
      </c>
      <c r="AR24" s="27" t="str">
        <f>VLOOKUP($A24,'[1]Raw Data'!$A$3:$FB$285,55,FALSE)</f>
        <v/>
      </c>
      <c r="AS24" s="27" t="str">
        <f>VLOOKUP($A24,'[1]Raw Data'!$A$3:$FB$285,56,FALSE)</f>
        <v/>
      </c>
      <c r="AT24" s="27" t="str">
        <f>VLOOKUP($A24,'[1]Raw Data'!$A$3:$FB$285,57,FALSE)</f>
        <v/>
      </c>
      <c r="AU24" s="27" t="str">
        <f>VLOOKUP($A24,'[1]Raw Data'!$A$3:$FB$285,58,FALSE)</f>
        <v/>
      </c>
      <c r="AV24" s="27" t="str">
        <f>VLOOKUP($A24,'[1]Raw Data'!$A$3:$FB$285,59,FALSE)</f>
        <v/>
      </c>
      <c r="AW24" s="27" t="str">
        <f>VLOOKUP($A24,'[1]Raw Data'!$A$3:$FB$285,60,FALSE)</f>
        <v/>
      </c>
      <c r="AX24" s="27" t="str">
        <f>VLOOKUP(A24,'[1]PO''s List'!A22:E304,4,FALSE)</f>
        <v/>
      </c>
      <c r="AZ24" s="27" t="str">
        <f>VLOOKUP(A24,'[1]PO''s List'!$A$3:$E$285,5,FALSE)</f>
        <v/>
      </c>
      <c r="BB24" s="27">
        <f>VLOOKUP($A24,'[1]Raw Data'!$A$3:$FB$285,63,FALSE)</f>
        <v>7368</v>
      </c>
      <c r="BC24" s="27" t="str">
        <f>VLOOKUP($A24,'[1]Raw Data'!$A$3:$FB$285,64,FALSE)</f>
        <v/>
      </c>
      <c r="BD24" s="27" t="str">
        <f t="shared" si="0"/>
        <v/>
      </c>
      <c r="BE24" s="27" t="str">
        <f>VLOOKUP($A24,'[1]Raw Data'!$A$3:$FB$285,65,FALSE)</f>
        <v/>
      </c>
      <c r="BF24" s="27">
        <f>VLOOKUP($A24,'[1]Raw Data'!$A$3:$FB$285,66,FALSE)</f>
        <v>7522</v>
      </c>
      <c r="BG24" s="27" t="str">
        <f>VLOOKUP($A24,'[1]Raw Data'!$A$3:$FB$285,67,FALSE)</f>
        <v/>
      </c>
      <c r="BH24" s="27" t="str">
        <f t="shared" si="1"/>
        <v/>
      </c>
      <c r="BI24" s="27" t="str">
        <f>VLOOKUP($A24,'[1]Raw Data'!$A$3:$FB$285,68,FALSE)</f>
        <v/>
      </c>
      <c r="BJ24" s="27">
        <f>VLOOKUP($A24,'[1]Raw Data'!$A$3:$FB$285,69,FALSE)</f>
        <v>787</v>
      </c>
      <c r="BK24" s="27" t="str">
        <f>VLOOKUP($A24,'[1]Raw Data'!$A$3:$FB$285,70,FALSE)</f>
        <v/>
      </c>
      <c r="BL24" s="27" t="str">
        <f t="shared" si="2"/>
        <v/>
      </c>
      <c r="BM24" s="27" t="str">
        <f>VLOOKUP($A24,'[1]Raw Data'!$A$3:$FB$285,71,FALSE)</f>
        <v/>
      </c>
      <c r="BN24" s="27">
        <f>VLOOKUP($A24,'[1]Raw Data'!$A$3:$FB$285,72,FALSE)</f>
        <v>908</v>
      </c>
      <c r="BO24" s="27" t="str">
        <f>VLOOKUP($A24,'[1]Raw Data'!$A$3:$FB$285,73,FALSE)</f>
        <v/>
      </c>
      <c r="BP24" s="27" t="str">
        <f t="shared" si="3"/>
        <v/>
      </c>
      <c r="BQ24" s="27" t="str">
        <f>VLOOKUP($A24,'[1]Raw Data'!$A$3:$FB$285,74,FALSE)</f>
        <v/>
      </c>
      <c r="BR24" s="27" t="str">
        <f>VLOOKUP($A24,'[1]Raw Data'!$A$3:$FB$285,75,FALSE)</f>
        <v/>
      </c>
      <c r="BS24" s="27" t="str">
        <f>VLOOKUP($A24,'[1]Raw Data'!$A$3:$FB$285,76,FALSE)</f>
        <v/>
      </c>
      <c r="BT24" s="27" t="str">
        <f t="shared" si="4"/>
        <v/>
      </c>
      <c r="BU24" s="27" t="str">
        <f>VLOOKUP($A24,'[1]Raw Data'!$A$3:$FB$285,77,FALSE)</f>
        <v/>
      </c>
      <c r="BV24" s="27">
        <f>VLOOKUP($A24,'[1]Raw Data'!$A$3:$FB$285,78,FALSE)</f>
        <v>25137</v>
      </c>
      <c r="BW24" s="27" t="str">
        <f>VLOOKUP($A24,'[1]Raw Data'!$A$3:$FB$285,79,FALSE)</f>
        <v/>
      </c>
      <c r="BX24" s="27" t="str">
        <f t="shared" si="5"/>
        <v/>
      </c>
      <c r="BY24" s="27" t="str">
        <f>VLOOKUP($A24,'[1]Raw Data'!$A$3:$FB$285,80,FALSE)</f>
        <v/>
      </c>
      <c r="BZ24" s="27">
        <f>VLOOKUP($A24,'[1]Raw Data'!$A$3:$FB$285,81,FALSE)</f>
        <v>80207</v>
      </c>
      <c r="CA24" s="27" t="str">
        <f>VLOOKUP($A24,'[1]Raw Data'!$A$3:$FB$285,82,FALSE)</f>
        <v/>
      </c>
      <c r="CB24" s="27" t="str">
        <f t="shared" si="6"/>
        <v/>
      </c>
      <c r="CC24" s="27" t="str">
        <f>VLOOKUP($A24,'[1]Raw Data'!$A$3:$FB$285,83,FALSE)</f>
        <v/>
      </c>
      <c r="CD24" s="27">
        <f>VLOOKUP($A24,'[1]Raw Data'!$A$3:$FB$285,84,FALSE)</f>
        <v>1029</v>
      </c>
      <c r="CE24" s="27" t="str">
        <f>VLOOKUP($A24,'[1]Raw Data'!$A$3:$FB$285,85,FALSE)</f>
        <v/>
      </c>
      <c r="CF24" s="27" t="str">
        <f t="shared" si="7"/>
        <v/>
      </c>
      <c r="CG24" s="27" t="str">
        <f>VLOOKUP($A24,'[1]Raw Data'!$A$3:$FB$285,86,FALSE)</f>
        <v/>
      </c>
      <c r="CH24" s="27">
        <f>VLOOKUP($A24,'[1]Raw Data'!$A$3:$FB$285,87,FALSE)</f>
        <v>107240</v>
      </c>
      <c r="CI24" s="27" t="str">
        <f>VLOOKUP($A24,'[1]Raw Data'!$A$3:$FB$285,88,FALSE)</f>
        <v/>
      </c>
      <c r="CJ24" s="27" t="str">
        <f t="shared" si="8"/>
        <v/>
      </c>
      <c r="CK24" s="27" t="str">
        <f>VLOOKUP($A24,'[1]Raw Data'!$A$3:$FB$285,89,FALSE)</f>
        <v/>
      </c>
      <c r="CL24" s="27" t="str">
        <f>VLOOKUP($A24,'[1]Raw Data'!$A$3:$FB$285,91,FALSE)</f>
        <v/>
      </c>
      <c r="CM24" s="27" t="str">
        <f>VLOOKUP($A24,'[1]Raw Data'!$A$3:$FB$285,93,FALSE)</f>
        <v/>
      </c>
      <c r="CN24" s="27" t="str">
        <f>VLOOKUP($A24,'[1]Raw Data'!$A$3:$FB$285,94,FALSE)</f>
        <v/>
      </c>
      <c r="CO24" s="27" t="str">
        <f>VLOOKUP($A24,'[1]Raw Data'!$A$3:$FB$285,95,FALSE)</f>
        <v/>
      </c>
      <c r="CP24" s="27" t="str">
        <f>VLOOKUP($A24,'[1]Raw Data'!$A$3:$FB$285,96,FALSE)</f>
        <v/>
      </c>
      <c r="CQ24" s="27" t="str">
        <f>VLOOKUP($A24,'[1]Raw Data'!$A$3:$FB$285,97,FALSE)</f>
        <v/>
      </c>
      <c r="CR24" s="27" t="str">
        <f>VLOOKUP($A24,'[1]Raw Data'!$A$3:$FB$285,98,FALSE)</f>
        <v/>
      </c>
      <c r="CS24" s="27" t="str">
        <f>VLOOKUP($A24,'[1]Raw Data'!$A$3:$FB$285,99,FALSE)</f>
        <v/>
      </c>
      <c r="CT24" s="27" t="str">
        <f>VLOOKUP($A24,'[1]Raw Data'!$A$3:$FB$285,101,FALSE)</f>
        <v/>
      </c>
      <c r="CV24" s="27" t="str">
        <f>VLOOKUP($A24,'[1]Raw Data'!$A$3:$FB$285,102,FALSE)</f>
        <v>Mayor</v>
      </c>
      <c r="CW24" s="27" t="s">
        <v>834</v>
      </c>
      <c r="CX24" s="27" t="str">
        <f>VLOOKUP($A24,'[1]Raw Data'!$A$3:$FB$285,103,FALSE)</f>
        <v/>
      </c>
      <c r="CY24" s="27" t="str">
        <f>VLOOKUP($A24,'[1]Raw Data'!$A$3:$FB$285,105,FALSE)</f>
        <v/>
      </c>
      <c r="DA24" s="27" t="str">
        <f>VLOOKUP($A24,'[1]Raw Data'!$A$3:$FB$285,106,FALSE)</f>
        <v>Deputy Mayor</v>
      </c>
      <c r="DB24" s="27" t="s">
        <v>888</v>
      </c>
      <c r="DC24" s="27" t="str">
        <f>VLOOKUP($A24,'[1]Raw Data'!$A$3:$FB$285,107,FALSE)</f>
        <v/>
      </c>
      <c r="DD24" s="27" t="str">
        <f>VLOOKUP($A24,'[1]Raw Data'!$A$3:$FB$285,109,FALSE)</f>
        <v/>
      </c>
      <c r="DF24" s="27" t="str">
        <f>VLOOKUP($A24,'[1]Raw Data'!$A$3:$FB$285,110,FALSE)</f>
        <v>Chief Adminstration Officer</v>
      </c>
      <c r="DG24" s="27" t="s">
        <v>880</v>
      </c>
      <c r="DH24" s="27" t="str">
        <f>VLOOKUP($A24,'[1]Raw Data'!$A$3:$FB$285,111,FALSE)</f>
        <v/>
      </c>
      <c r="DI24" s="27" t="str">
        <f>VLOOKUP($A24,'[1]Raw Data'!$A$3:$FB$285,121,FALSE)</f>
        <v/>
      </c>
      <c r="DK24" s="27" t="str">
        <f>VLOOKUP($A24,'[1]Raw Data'!$A$3:$FB$285,122,FALSE)</f>
        <v>Focal Person</v>
      </c>
      <c r="DL24" s="27" t="s">
        <v>881</v>
      </c>
      <c r="DM24" s="27" t="str">
        <f>VLOOKUP($A24,'[1]Raw Data'!$A$3:$FB$285,123,FALSE)</f>
        <v/>
      </c>
      <c r="DN24" s="27" t="str">
        <f>VLOOKUP($A24,'[1]Raw Data'!$A$3:$FB$285,113,FALSE)</f>
        <v/>
      </c>
      <c r="DP24" s="27" t="str">
        <f>VLOOKUP($A24,'[1]Raw Data'!$A$3:$FB$285,114,FALSE)</f>
        <v>NRA Chief-District</v>
      </c>
      <c r="DQ24" s="27" t="s">
        <v>882</v>
      </c>
      <c r="DR24" s="27" t="str">
        <f>VLOOKUP($A24,'[1]Raw Data'!$A$3:$FB$285,115,FALSE)</f>
        <v/>
      </c>
      <c r="DS24" s="27" t="str">
        <f>VLOOKUP($A24,'[1]Raw Data'!$A$3:$FB$285,117,FALSE)</f>
        <v/>
      </c>
      <c r="DU24" s="27" t="str">
        <f>VLOOKUP($A24,'[1]Raw Data'!$A$3:$FB$285,118,FALSE)</f>
        <v>DUDBC.DLPIU Chief</v>
      </c>
      <c r="DV24" s="27" t="s">
        <v>883</v>
      </c>
      <c r="DW24" s="27" t="str">
        <f>VLOOKUP($A24,'[1]Raw Data'!$A$3:$FB$285,119,FALSE)</f>
        <v/>
      </c>
      <c r="DX24" s="27" t="s">
        <v>339</v>
      </c>
      <c r="DY24" s="27" t="str">
        <f>VLOOKUP($A24,'[1]Raw Data'!$A$3:$FB$285,124,FALSE)</f>
        <v/>
      </c>
      <c r="DZ24" s="27" t="s">
        <v>884</v>
      </c>
      <c r="EA24" s="27" t="str">
        <f>VLOOKUP($A24,'[1]Raw Data'!$A$3:$FB$285,125,FALSE)</f>
        <v/>
      </c>
      <c r="EB24" s="27" t="s">
        <v>341</v>
      </c>
      <c r="EC24" s="27" t="str">
        <f>VLOOKUP($A24,'[1]Raw Data'!$A$3:$FB$285,126,FALSE)</f>
        <v/>
      </c>
      <c r="ED24" t="s">
        <v>478</v>
      </c>
      <c r="EE24" s="27" t="str">
        <f>VLOOKUP($A24,'[1]Raw Data'!$A$3:$FB$285,127,FALSE)</f>
        <v/>
      </c>
      <c r="EF24" s="27" t="s">
        <v>343</v>
      </c>
      <c r="EG24" s="27" t="str">
        <f>VLOOKUP($A24,'[1]Raw Data'!$A$3:$FB$285,128,FALSE)</f>
        <v/>
      </c>
      <c r="EH24" t="s">
        <v>344</v>
      </c>
      <c r="EI24" s="27" t="str">
        <f>VLOOKUP($A24,'[1]Raw Data'!$A$3:$FB$285,129,FALSE)</f>
        <v/>
      </c>
      <c r="EM24" s="27" t="str">
        <f>VLOOKUP($A24,'[1]Raw Data'!$A$3:$FB$285,130,FALSE)</f>
        <v/>
      </c>
      <c r="EN24" s="27" t="str">
        <f>VLOOKUP($A24,'[1]Raw Data'!$A$3:$FB$285,131,FALSE)</f>
        <v/>
      </c>
      <c r="EO24" s="27" t="str">
        <f>VLOOKUP($A24,'[1]Raw Data'!$A$3:$FB$285,132,FALSE)</f>
        <v/>
      </c>
      <c r="EP24" s="27" t="str">
        <f>VLOOKUP($A24,'[1]Raw Data'!$A$3:$FB$285,133,FALSE)</f>
        <v/>
      </c>
      <c r="EQ24" s="27" t="str">
        <f>VLOOKUP($A24,'[1]Raw Data'!$A$3:$FB$285,134,FALSE)</f>
        <v/>
      </c>
      <c r="ER24" s="27" t="str">
        <f>VLOOKUP($A24,'[1]Raw Data'!$A$3:$FB$285,135,FALSE)</f>
        <v/>
      </c>
      <c r="ES24" s="27" t="str">
        <f>VLOOKUP($A24,'[1]Raw Data'!$A$3:$FB$285,136,FALSE)</f>
        <v/>
      </c>
      <c r="ET24" s="27" t="str">
        <f>VLOOKUP($A24,'[1]Raw Data'!$A$3:$FB$285,137,FALSE)</f>
        <v/>
      </c>
      <c r="EU24" s="27" t="str">
        <f>VLOOKUP($A24,'[1]Raw Data'!$A$3:$FB$285,138,FALSE)</f>
        <v/>
      </c>
      <c r="EV24" s="27" t="str">
        <f>VLOOKUP($A24,'[1]Raw Data'!$A$3:$FB$285,139,FALSE)</f>
        <v/>
      </c>
      <c r="EW24" s="38">
        <f>VLOOKUP($A24,[1]Training!$A$2:$I$284,5,FALSE)</f>
        <v>82.384615384615387</v>
      </c>
      <c r="EX24" s="31">
        <f>VLOOKUP($A24,[1]Training!$A$2:$I$284,6,FALSE)</f>
        <v>0</v>
      </c>
      <c r="EY24" s="38">
        <f>VLOOKUP($A24,[1]Training!$A$2:$I$284,8,FALSE)</f>
        <v>97.36363636363636</v>
      </c>
      <c r="EZ24" s="31">
        <f>VLOOKUP($A24,[1]Training!$A$2:$I$284,9,FALSE)</f>
        <v>190</v>
      </c>
      <c r="FA24" s="27">
        <v>1</v>
      </c>
      <c r="FB24" s="27">
        <v>2</v>
      </c>
      <c r="FC24" s="27" t="str">
        <f>VLOOKUP($A24,'[1]Raw Data'!$A$3:$FB$285,148,FALSE)</f>
        <v/>
      </c>
      <c r="FE24" s="27" t="str">
        <f>VLOOKUP($A24,'[1]Raw Data'!$A$3:$FB$285,149,FALSE)</f>
        <v>District Coordinator</v>
      </c>
      <c r="FF24" s="27" t="s">
        <v>885</v>
      </c>
      <c r="FG24" s="27" t="str">
        <f>VLOOKUP($A24,'[1]Raw Data'!$A$3:$FB$285,150,FALSE)</f>
        <v/>
      </c>
      <c r="FH24" s="27" t="str">
        <f>VLOOKUP($A24,'[1]Raw Data'!$A$3:$FB$285,156,FALSE)</f>
        <v/>
      </c>
      <c r="FJ24" s="27" t="str">
        <f>VLOOKUP($A24,'[1]Raw Data'!$A$3:$FB$285,157,FALSE)</f>
        <v>District Technical Officer</v>
      </c>
      <c r="FK24" s="27" t="s">
        <v>886</v>
      </c>
      <c r="FL24" s="27" t="str">
        <f>VLOOKUP($A24,'[1]Raw Data'!$A$3:$FB$285,158,FALSE)</f>
        <v/>
      </c>
      <c r="FM24" s="27" t="str">
        <f>VLOOKUP($A24,'[1]Raw Data'!$A$3:$FB$285,152,FALSE)</f>
        <v/>
      </c>
      <c r="FO24" s="27" t="str">
        <f>VLOOKUP($A24,'[1]Raw Data'!$A$3:$FB$285,153,FALSE)</f>
        <v>DIstrict Information Management Officer</v>
      </c>
      <c r="FP24" s="27" t="s">
        <v>887</v>
      </c>
      <c r="FQ24" s="27" t="str">
        <f>VLOOKUP($A24,'[1]Raw Data'!$A$3:$FB$285,154,FALSE)</f>
        <v/>
      </c>
    </row>
    <row r="25" spans="1:173" ht="24" x14ac:dyDescent="0.45">
      <c r="A25" s="27">
        <v>10004</v>
      </c>
      <c r="B25" s="36" t="str">
        <f ca="1">IFERROR(__xludf.DUMMYFUNCTION("""COMPUTED_VALUE"""),"Hatuwagadhi Gaunpalika")</f>
        <v>Hatuwagadhi Gaunpalika</v>
      </c>
      <c r="C25" s="37" t="str">
        <f>VLOOKUP(A25,'[1]Palika and District in Nepali '!$D$1:$F$283,3,FALSE)</f>
        <v>हटुवागढी गाउँपालिका</v>
      </c>
      <c r="D25" s="36" t="str">
        <f ca="1">IFERROR(__xludf.DUMMYFUNCTION("""COMPUTED_VALUE"""),"Bhojpur")</f>
        <v>Bhojpur</v>
      </c>
      <c r="E25" s="36"/>
      <c r="F25" s="27">
        <f>VLOOKUP(A25,'[1]Raw Data'!$A$3:$FB$285,4,FALSE)</f>
        <v>217</v>
      </c>
      <c r="G25" s="27">
        <f>VLOOKUP(A25,'[1]Raw Data'!$A$3:$FB$285,5,FALSE)</f>
        <v>263</v>
      </c>
      <c r="H25" s="27">
        <f>VLOOKUP(A25,'[1]Raw Data'!$A$3:$FB$285,6,FALSE)</f>
        <v>480</v>
      </c>
      <c r="I25" s="27">
        <f>VLOOKUP($A25,'[1]Raw Data'!$A$3:$FB$285,8,FALSE)</f>
        <v>0.63</v>
      </c>
      <c r="J25" s="27">
        <f>VLOOKUP($A25,'[1]Raw Data'!$A$3:$FB$285,9,FALSE)</f>
        <v>7.0000000000000007E-2</v>
      </c>
      <c r="K25" s="27">
        <f>VLOOKUP($A25,'[1]Raw Data'!$A$3:$FB$285,11,FALSE)</f>
        <v>32.08</v>
      </c>
      <c r="L25" s="27">
        <f>VLOOKUP($A25,'[1]Raw Data'!$A$3:$FB$285,12,FALSE)</f>
        <v>74.7</v>
      </c>
      <c r="M25" s="27">
        <f>VLOOKUP($A25,'[1]Raw Data'!$A$3:$FB$285,14,FALSE)</f>
        <v>0</v>
      </c>
      <c r="N25" s="27">
        <f>VLOOKUP($A25,'[1]Raw Data'!$A$3:$FB$285,15,FALSE)</f>
        <v>0.02</v>
      </c>
      <c r="O25" s="27">
        <f>VLOOKUP($A25,'[1]Raw Data'!$A$3:$FB$285,17,FALSE)</f>
        <v>0</v>
      </c>
      <c r="P25" s="27">
        <f>VLOOKUP($A25,'[1]Raw Data'!$A$3:$FB$285,18,FALSE)</f>
        <v>0.06</v>
      </c>
      <c r="Q25" s="27">
        <f>VLOOKUP($A25,'[1]Raw Data'!$A$3:$FB$285,20,FALSE)</f>
        <v>0</v>
      </c>
      <c r="R25" s="27">
        <f>VLOOKUP($A25,'[1]Raw Data'!$A$3:$FB$285,21,FALSE)</f>
        <v>0</v>
      </c>
      <c r="S25" s="27">
        <f>VLOOKUP($A25,'[1]Raw Data'!$A$3:$FB$285,23,FALSE)</f>
        <v>0</v>
      </c>
      <c r="T25" s="27">
        <f>VLOOKUP($A25,'[1]Raw Data'!$A$3:$FB$285,24,FALSE)</f>
        <v>0</v>
      </c>
      <c r="U25" s="27">
        <f>VLOOKUP($A25,'[1]Raw Data'!$A$3:$FB$285,26,FALSE)</f>
        <v>0</v>
      </c>
      <c r="V25" s="27">
        <f>VLOOKUP($A25,'[1]Raw Data'!$A$3:$FB$285,27,FALSE)</f>
        <v>0.73</v>
      </c>
      <c r="W25" s="27">
        <f>VLOOKUP($A25,'[1]Raw Data'!$A$3:$FB$285,29,FALSE)</f>
        <v>0</v>
      </c>
      <c r="X25" s="27">
        <f>VLOOKUP($A25,'[1]Raw Data'!$A$3:$FB$285,30,FALSE)</f>
        <v>0</v>
      </c>
      <c r="Y25" s="27">
        <f>VLOOKUP($A25,'[1]Raw Data'!$A$3:$FB$285,32,FALSE)</f>
        <v>0</v>
      </c>
      <c r="Z25" s="27">
        <f>VLOOKUP($A25,'[1]Raw Data'!$A$3:$FB$285,33,FALSE)</f>
        <v>0.03</v>
      </c>
      <c r="AA25" s="27">
        <f>VLOOKUP($A25,'[1]Raw Data'!$A$3:$FB$285,35,FALSE)</f>
        <v>67.290000000000006</v>
      </c>
      <c r="AB25" s="27">
        <f>VLOOKUP($A25,'[1]Raw Data'!$A$3:$FB$285,36,FALSE)</f>
        <v>24.05</v>
      </c>
      <c r="AC25" s="27">
        <f>VLOOKUP($A25,'[1]Raw Data'!$A$3:$FB$285,38,FALSE)</f>
        <v>0</v>
      </c>
      <c r="AD25" s="27">
        <f>VLOOKUP($A25,'[1]Raw Data'!$A$3:$FB$285,39,FALSE)</f>
        <v>0.33</v>
      </c>
      <c r="AE25" s="27">
        <f>VLOOKUP($A25,'[1]Raw Data'!$A$3:$FB$285,41,FALSE)</f>
        <v>0</v>
      </c>
      <c r="AF25" s="27">
        <f>VLOOKUP($A25,'[1]Raw Data'!$A$3:$FB$285,42,FALSE)</f>
        <v>0</v>
      </c>
      <c r="AG25" s="27">
        <f>VLOOKUP($A25,'[1]Raw Data'!$A$3:$FB$285,44,FALSE)</f>
        <v>0</v>
      </c>
      <c r="AH25" s="27">
        <f>VLOOKUP($A25,'[1]Raw Data'!$A$3:$FB$285,45,FALSE)</f>
        <v>0</v>
      </c>
      <c r="AI25" s="27">
        <f>VLOOKUP($A25,'[1]Raw Data'!$A$3:$FB$285,46,FALSE)</f>
        <v>265</v>
      </c>
      <c r="AJ25" s="27">
        <f>VLOOKUP($A25,'[1]Raw Data'!$A$3:$FB$285,47,FALSE)</f>
        <v>173</v>
      </c>
      <c r="AK25" s="27">
        <f>VLOOKUP($A25,'[1]Raw Data'!$A$3:$FB$285,48,FALSE)</f>
        <v>173</v>
      </c>
      <c r="AL25" s="27">
        <f>VLOOKUP($A25,'[1]Raw Data'!$A$3:$FB$285,49,FALSE)</f>
        <v>32</v>
      </c>
      <c r="AM25" s="27">
        <f>VLOOKUP($A25,'[1]Raw Data'!$A$3:$FB$285,50,FALSE)</f>
        <v>0</v>
      </c>
      <c r="AN25" s="27" t="str">
        <f>VLOOKUP($A25,'[1]Raw Data'!$A$3:$FB$285,51,FALSE)</f>
        <v/>
      </c>
      <c r="AO25" s="27" t="str">
        <f>VLOOKUP($A25,'[1]Raw Data'!$A$3:$FB$285,52,FALSE)</f>
        <v/>
      </c>
      <c r="AP25" s="27">
        <f>VLOOKUP($A25,'[1]Raw Data'!$A$3:$FB$285,53,FALSE)</f>
        <v>0</v>
      </c>
      <c r="AQ25" s="27" t="str">
        <f>VLOOKUP($A25,'[1]Raw Data'!$A$3:$FB$285,54,FALSE)</f>
        <v/>
      </c>
      <c r="AR25" s="27" t="str">
        <f>VLOOKUP($A25,'[1]Raw Data'!$A$3:$FB$285,55,FALSE)</f>
        <v/>
      </c>
      <c r="AS25" s="27" t="str">
        <f>VLOOKUP($A25,'[1]Raw Data'!$A$3:$FB$285,56,FALSE)</f>
        <v/>
      </c>
      <c r="AT25" s="27" t="str">
        <f>VLOOKUP($A25,'[1]Raw Data'!$A$3:$FB$285,57,FALSE)</f>
        <v/>
      </c>
      <c r="AU25" s="27" t="str">
        <f>VLOOKUP($A25,'[1]Raw Data'!$A$3:$FB$285,58,FALSE)</f>
        <v/>
      </c>
      <c r="AV25" s="27" t="str">
        <f>VLOOKUP($A25,'[1]Raw Data'!$A$3:$FB$285,59,FALSE)</f>
        <v/>
      </c>
      <c r="AW25" s="27" t="str">
        <f>VLOOKUP($A25,'[1]Raw Data'!$A$3:$FB$285,60,FALSE)</f>
        <v/>
      </c>
      <c r="AX25" s="27" t="str">
        <f>VLOOKUP(A25,'[1]PO''s List'!A23:E305,4,FALSE)</f>
        <v/>
      </c>
      <c r="AZ25" s="27" t="str">
        <f>VLOOKUP(A25,'[1]PO''s List'!$A$3:$E$285,5,FALSE)</f>
        <v/>
      </c>
      <c r="BB25" s="27">
        <f>VLOOKUP($A25,'[1]Raw Data'!$A$3:$FB$285,63,FALSE)</f>
        <v>4869</v>
      </c>
      <c r="BC25" s="27" t="str">
        <f>VLOOKUP($A25,'[1]Raw Data'!$A$3:$FB$285,64,FALSE)</f>
        <v/>
      </c>
      <c r="BD25" s="27" t="str">
        <f t="shared" si="0"/>
        <v/>
      </c>
      <c r="BE25" s="27" t="str">
        <f>VLOOKUP($A25,'[1]Raw Data'!$A$3:$FB$285,65,FALSE)</f>
        <v/>
      </c>
      <c r="BF25" s="27">
        <f>VLOOKUP($A25,'[1]Raw Data'!$A$3:$FB$285,66,FALSE)</f>
        <v>5121</v>
      </c>
      <c r="BG25" s="27" t="str">
        <f>VLOOKUP($A25,'[1]Raw Data'!$A$3:$FB$285,67,FALSE)</f>
        <v/>
      </c>
      <c r="BH25" s="27" t="str">
        <f t="shared" si="1"/>
        <v/>
      </c>
      <c r="BI25" s="27" t="str">
        <f>VLOOKUP($A25,'[1]Raw Data'!$A$3:$FB$285,68,FALSE)</f>
        <v/>
      </c>
      <c r="BJ25" s="27">
        <f>VLOOKUP($A25,'[1]Raw Data'!$A$3:$FB$285,69,FALSE)</f>
        <v>521</v>
      </c>
      <c r="BK25" s="27" t="str">
        <f>VLOOKUP($A25,'[1]Raw Data'!$A$3:$FB$285,70,FALSE)</f>
        <v/>
      </c>
      <c r="BL25" s="27" t="str">
        <f t="shared" si="2"/>
        <v/>
      </c>
      <c r="BM25" s="27" t="str">
        <f>VLOOKUP($A25,'[1]Raw Data'!$A$3:$FB$285,71,FALSE)</f>
        <v/>
      </c>
      <c r="BN25" s="27">
        <f>VLOOKUP($A25,'[1]Raw Data'!$A$3:$FB$285,72,FALSE)</f>
        <v>605</v>
      </c>
      <c r="BO25" s="27" t="str">
        <f>VLOOKUP($A25,'[1]Raw Data'!$A$3:$FB$285,73,FALSE)</f>
        <v/>
      </c>
      <c r="BP25" s="27" t="str">
        <f t="shared" si="3"/>
        <v/>
      </c>
      <c r="BQ25" s="27" t="str">
        <f>VLOOKUP($A25,'[1]Raw Data'!$A$3:$FB$285,74,FALSE)</f>
        <v/>
      </c>
      <c r="BR25" s="27" t="str">
        <f>VLOOKUP($A25,'[1]Raw Data'!$A$3:$FB$285,75,FALSE)</f>
        <v/>
      </c>
      <c r="BS25" s="27" t="str">
        <f>VLOOKUP($A25,'[1]Raw Data'!$A$3:$FB$285,76,FALSE)</f>
        <v/>
      </c>
      <c r="BT25" s="27" t="str">
        <f t="shared" si="4"/>
        <v/>
      </c>
      <c r="BU25" s="27" t="str">
        <f>VLOOKUP($A25,'[1]Raw Data'!$A$3:$FB$285,77,FALSE)</f>
        <v/>
      </c>
      <c r="BV25" s="27">
        <f>VLOOKUP($A25,'[1]Raw Data'!$A$3:$FB$285,78,FALSE)</f>
        <v>16874</v>
      </c>
      <c r="BW25" s="27" t="str">
        <f>VLOOKUP($A25,'[1]Raw Data'!$A$3:$FB$285,79,FALSE)</f>
        <v/>
      </c>
      <c r="BX25" s="27" t="str">
        <f t="shared" si="5"/>
        <v/>
      </c>
      <c r="BY25" s="27" t="str">
        <f>VLOOKUP($A25,'[1]Raw Data'!$A$3:$FB$285,80,FALSE)</f>
        <v/>
      </c>
      <c r="BZ25" s="27">
        <f>VLOOKUP($A25,'[1]Raw Data'!$A$3:$FB$285,81,FALSE)</f>
        <v>52492</v>
      </c>
      <c r="CA25" s="27" t="str">
        <f>VLOOKUP($A25,'[1]Raw Data'!$A$3:$FB$285,82,FALSE)</f>
        <v/>
      </c>
      <c r="CB25" s="27" t="str">
        <f t="shared" si="6"/>
        <v/>
      </c>
      <c r="CC25" s="27" t="str">
        <f>VLOOKUP($A25,'[1]Raw Data'!$A$3:$FB$285,83,FALSE)</f>
        <v/>
      </c>
      <c r="CD25" s="27">
        <f>VLOOKUP($A25,'[1]Raw Data'!$A$3:$FB$285,84,FALSE)</f>
        <v>689</v>
      </c>
      <c r="CE25" s="27" t="str">
        <f>VLOOKUP($A25,'[1]Raw Data'!$A$3:$FB$285,85,FALSE)</f>
        <v/>
      </c>
      <c r="CF25" s="27" t="str">
        <f t="shared" si="7"/>
        <v/>
      </c>
      <c r="CG25" s="27" t="str">
        <f>VLOOKUP($A25,'[1]Raw Data'!$A$3:$FB$285,86,FALSE)</f>
        <v/>
      </c>
      <c r="CH25" s="27">
        <f>VLOOKUP($A25,'[1]Raw Data'!$A$3:$FB$285,87,FALSE)</f>
        <v>27588</v>
      </c>
      <c r="CI25" s="27" t="str">
        <f>VLOOKUP($A25,'[1]Raw Data'!$A$3:$FB$285,88,FALSE)</f>
        <v/>
      </c>
      <c r="CJ25" s="27" t="str">
        <f t="shared" si="8"/>
        <v/>
      </c>
      <c r="CK25" s="27" t="str">
        <f>VLOOKUP($A25,'[1]Raw Data'!$A$3:$FB$285,89,FALSE)</f>
        <v/>
      </c>
      <c r="CL25" s="27" t="str">
        <f>VLOOKUP($A25,'[1]Raw Data'!$A$3:$FB$285,91,FALSE)</f>
        <v/>
      </c>
      <c r="CM25" s="27" t="str">
        <f>VLOOKUP($A25,'[1]Raw Data'!$A$3:$FB$285,93,FALSE)</f>
        <v/>
      </c>
      <c r="CN25" s="27" t="str">
        <f>VLOOKUP($A25,'[1]Raw Data'!$A$3:$FB$285,94,FALSE)</f>
        <v/>
      </c>
      <c r="CO25" s="27" t="str">
        <f>VLOOKUP($A25,'[1]Raw Data'!$A$3:$FB$285,95,FALSE)</f>
        <v/>
      </c>
      <c r="CP25" s="27" t="str">
        <f>VLOOKUP($A25,'[1]Raw Data'!$A$3:$FB$285,96,FALSE)</f>
        <v/>
      </c>
      <c r="CQ25" s="27" t="str">
        <f>VLOOKUP($A25,'[1]Raw Data'!$A$3:$FB$285,97,FALSE)</f>
        <v/>
      </c>
      <c r="CR25" s="27" t="str">
        <f>VLOOKUP($A25,'[1]Raw Data'!$A$3:$FB$285,98,FALSE)</f>
        <v/>
      </c>
      <c r="CS25" s="27" t="str">
        <f>VLOOKUP($A25,'[1]Raw Data'!$A$3:$FB$285,99,FALSE)</f>
        <v/>
      </c>
      <c r="CT25" s="27" t="str">
        <f>VLOOKUP($A25,'[1]Raw Data'!$A$3:$FB$285,101,FALSE)</f>
        <v/>
      </c>
      <c r="CV25" s="27" t="str">
        <f>VLOOKUP($A25,'[1]Raw Data'!$A$3:$FB$285,102,FALSE)</f>
        <v>Chairman</v>
      </c>
      <c r="CW25" s="27" t="s">
        <v>878</v>
      </c>
      <c r="CX25" s="27" t="str">
        <f>VLOOKUP($A25,'[1]Raw Data'!$A$3:$FB$285,103,FALSE)</f>
        <v/>
      </c>
      <c r="CY25" s="27" t="str">
        <f>VLOOKUP($A25,'[1]Raw Data'!$A$3:$FB$285,105,FALSE)</f>
        <v/>
      </c>
      <c r="DA25" s="27" t="str">
        <f>VLOOKUP($A25,'[1]Raw Data'!$A$3:$FB$285,106,FALSE)</f>
        <v>Deputy Chairman</v>
      </c>
      <c r="DB25" s="27" t="s">
        <v>879</v>
      </c>
      <c r="DC25" s="27" t="str">
        <f>VLOOKUP($A25,'[1]Raw Data'!$A$3:$FB$285,107,FALSE)</f>
        <v/>
      </c>
      <c r="DD25" s="27" t="str">
        <f>VLOOKUP($A25,'[1]Raw Data'!$A$3:$FB$285,109,FALSE)</f>
        <v/>
      </c>
      <c r="DF25" s="27" t="str">
        <f>VLOOKUP($A25,'[1]Raw Data'!$A$3:$FB$285,110,FALSE)</f>
        <v>Chief Adminstration Officer</v>
      </c>
      <c r="DG25" s="27" t="s">
        <v>880</v>
      </c>
      <c r="DH25" s="27" t="str">
        <f>VLOOKUP($A25,'[1]Raw Data'!$A$3:$FB$285,111,FALSE)</f>
        <v/>
      </c>
      <c r="DI25" s="27" t="str">
        <f>VLOOKUP($A25,'[1]Raw Data'!$A$3:$FB$285,121,FALSE)</f>
        <v/>
      </c>
      <c r="DK25" s="27" t="str">
        <f>VLOOKUP($A25,'[1]Raw Data'!$A$3:$FB$285,122,FALSE)</f>
        <v>Focal Person</v>
      </c>
      <c r="DL25" s="27" t="s">
        <v>881</v>
      </c>
      <c r="DM25" s="27" t="str">
        <f>VLOOKUP($A25,'[1]Raw Data'!$A$3:$FB$285,123,FALSE)</f>
        <v/>
      </c>
      <c r="DN25" s="27" t="str">
        <f>VLOOKUP($A25,'[1]Raw Data'!$A$3:$FB$285,113,FALSE)</f>
        <v/>
      </c>
      <c r="DP25" s="27" t="str">
        <f>VLOOKUP($A25,'[1]Raw Data'!$A$3:$FB$285,114,FALSE)</f>
        <v>NRA Chief-District</v>
      </c>
      <c r="DQ25" s="27" t="s">
        <v>882</v>
      </c>
      <c r="DR25" s="27" t="str">
        <f>VLOOKUP($A25,'[1]Raw Data'!$A$3:$FB$285,115,FALSE)</f>
        <v/>
      </c>
      <c r="DS25" s="27" t="str">
        <f>VLOOKUP($A25,'[1]Raw Data'!$A$3:$FB$285,117,FALSE)</f>
        <v/>
      </c>
      <c r="DU25" s="27" t="str">
        <f>VLOOKUP($A25,'[1]Raw Data'!$A$3:$FB$285,118,FALSE)</f>
        <v>DUDBC.DLPIU Chief</v>
      </c>
      <c r="DV25" s="27" t="s">
        <v>883</v>
      </c>
      <c r="DW25" s="27" t="str">
        <f>VLOOKUP($A25,'[1]Raw Data'!$A$3:$FB$285,119,FALSE)</f>
        <v/>
      </c>
      <c r="DX25" s="27" t="s">
        <v>339</v>
      </c>
      <c r="DY25" s="27" t="str">
        <f>VLOOKUP($A25,'[1]Raw Data'!$A$3:$FB$285,124,FALSE)</f>
        <v/>
      </c>
      <c r="DZ25" s="27" t="s">
        <v>884</v>
      </c>
      <c r="EA25" s="27" t="str">
        <f>VLOOKUP($A25,'[1]Raw Data'!$A$3:$FB$285,125,FALSE)</f>
        <v/>
      </c>
      <c r="EB25" s="27" t="s">
        <v>341</v>
      </c>
      <c r="EC25" s="27" t="str">
        <f>VLOOKUP($A25,'[1]Raw Data'!$A$3:$FB$285,126,FALSE)</f>
        <v/>
      </c>
      <c r="ED25" t="s">
        <v>478</v>
      </c>
      <c r="EE25" s="27" t="str">
        <f>VLOOKUP($A25,'[1]Raw Data'!$A$3:$FB$285,127,FALSE)</f>
        <v/>
      </c>
      <c r="EF25" s="27" t="s">
        <v>343</v>
      </c>
      <c r="EG25" s="27" t="str">
        <f>VLOOKUP($A25,'[1]Raw Data'!$A$3:$FB$285,128,FALSE)</f>
        <v/>
      </c>
      <c r="EH25" t="s">
        <v>344</v>
      </c>
      <c r="EI25" s="27" t="str">
        <f>VLOOKUP($A25,'[1]Raw Data'!$A$3:$FB$285,129,FALSE)</f>
        <v/>
      </c>
      <c r="EM25" s="27" t="str">
        <f>VLOOKUP($A25,'[1]Raw Data'!$A$3:$FB$285,130,FALSE)</f>
        <v/>
      </c>
      <c r="EN25" s="27" t="str">
        <f>VLOOKUP($A25,'[1]Raw Data'!$A$3:$FB$285,131,FALSE)</f>
        <v/>
      </c>
      <c r="EO25" s="27" t="str">
        <f>VLOOKUP($A25,'[1]Raw Data'!$A$3:$FB$285,132,FALSE)</f>
        <v/>
      </c>
      <c r="EP25" s="27" t="str">
        <f>VLOOKUP($A25,'[1]Raw Data'!$A$3:$FB$285,133,FALSE)</f>
        <v/>
      </c>
      <c r="EQ25" s="27" t="str">
        <f>VLOOKUP($A25,'[1]Raw Data'!$A$3:$FB$285,134,FALSE)</f>
        <v/>
      </c>
      <c r="ER25" s="27" t="str">
        <f>VLOOKUP($A25,'[1]Raw Data'!$A$3:$FB$285,135,FALSE)</f>
        <v/>
      </c>
      <c r="ES25" s="27" t="str">
        <f>VLOOKUP($A25,'[1]Raw Data'!$A$3:$FB$285,136,FALSE)</f>
        <v/>
      </c>
      <c r="ET25" s="27" t="str">
        <f>VLOOKUP($A25,'[1]Raw Data'!$A$3:$FB$285,137,FALSE)</f>
        <v/>
      </c>
      <c r="EU25" s="27" t="str">
        <f>VLOOKUP($A25,'[1]Raw Data'!$A$3:$FB$285,138,FALSE)</f>
        <v/>
      </c>
      <c r="EV25" s="27" t="str">
        <f>VLOOKUP($A25,'[1]Raw Data'!$A$3:$FB$285,139,FALSE)</f>
        <v/>
      </c>
      <c r="EW25" s="38">
        <f>VLOOKUP($A25,[1]Training!$A$2:$I$284,5,FALSE)</f>
        <v>20.384615384615383</v>
      </c>
      <c r="EX25" s="31">
        <f>VLOOKUP($A25,[1]Training!$A$2:$I$284,6,FALSE)</f>
        <v>0</v>
      </c>
      <c r="EY25" s="38">
        <f>VLOOKUP($A25,[1]Training!$A$2:$I$284,8,FALSE)</f>
        <v>24.09090909090909</v>
      </c>
      <c r="EZ25" s="31">
        <f>VLOOKUP($A25,[1]Training!$A$2:$I$284,9,FALSE)</f>
        <v>320</v>
      </c>
      <c r="FA25" s="27">
        <v>1</v>
      </c>
      <c r="FB25" s="27">
        <v>2</v>
      </c>
      <c r="FC25" s="27" t="str">
        <f>VLOOKUP($A25,'[1]Raw Data'!$A$3:$FB$285,148,FALSE)</f>
        <v/>
      </c>
      <c r="FE25" s="27" t="str">
        <f>VLOOKUP($A25,'[1]Raw Data'!$A$3:$FB$285,149,FALSE)</f>
        <v>District Coordinator</v>
      </c>
      <c r="FF25" s="27" t="s">
        <v>885</v>
      </c>
      <c r="FG25" s="27" t="str">
        <f>VLOOKUP($A25,'[1]Raw Data'!$A$3:$FB$285,150,FALSE)</f>
        <v/>
      </c>
      <c r="FH25" s="27" t="str">
        <f>VLOOKUP($A25,'[1]Raw Data'!$A$3:$FB$285,156,FALSE)</f>
        <v/>
      </c>
      <c r="FJ25" s="27" t="str">
        <f>VLOOKUP($A25,'[1]Raw Data'!$A$3:$FB$285,157,FALSE)</f>
        <v>District Technical Officer</v>
      </c>
      <c r="FK25" s="27" t="s">
        <v>886</v>
      </c>
      <c r="FL25" s="27" t="str">
        <f>VLOOKUP($A25,'[1]Raw Data'!$A$3:$FB$285,158,FALSE)</f>
        <v/>
      </c>
      <c r="FM25" s="27" t="str">
        <f>VLOOKUP($A25,'[1]Raw Data'!$A$3:$FB$285,152,FALSE)</f>
        <v/>
      </c>
      <c r="FO25" s="27" t="str">
        <f>VLOOKUP($A25,'[1]Raw Data'!$A$3:$FB$285,153,FALSE)</f>
        <v>DIstrict Information Management Officer</v>
      </c>
      <c r="FP25" s="27" t="s">
        <v>887</v>
      </c>
      <c r="FQ25" s="27" t="str">
        <f>VLOOKUP($A25,'[1]Raw Data'!$A$3:$FB$285,154,FALSE)</f>
        <v/>
      </c>
    </row>
    <row r="26" spans="1:173" ht="24" x14ac:dyDescent="0.45">
      <c r="A26" s="27">
        <v>10005</v>
      </c>
      <c r="B26" s="36" t="str">
        <f ca="1">IFERROR(__xludf.DUMMYFUNCTION("""COMPUTED_VALUE"""),"Pauwadungma Gaunpalika")</f>
        <v>Pauwadungma Gaunpalika</v>
      </c>
      <c r="C26" s="37" t="str">
        <f>VLOOKUP(A26,'[1]Palika and District in Nepali '!$D$1:$F$283,3,FALSE)</f>
        <v>पौवाढुंगामा गाउँपालिका</v>
      </c>
      <c r="D26" s="36" t="str">
        <f ca="1">IFERROR(__xludf.DUMMYFUNCTION("""COMPUTED_VALUE"""),"Bhojpur")</f>
        <v>Bhojpur</v>
      </c>
      <c r="E26" s="36"/>
      <c r="F26" s="27">
        <f>VLOOKUP(A26,'[1]Raw Data'!$A$3:$FB$285,4,FALSE)</f>
        <v>104</v>
      </c>
      <c r="G26" s="27">
        <f>VLOOKUP(A26,'[1]Raw Data'!$A$3:$FB$285,5,FALSE)</f>
        <v>406</v>
      </c>
      <c r="H26" s="27">
        <f>VLOOKUP(A26,'[1]Raw Data'!$A$3:$FB$285,6,FALSE)</f>
        <v>510</v>
      </c>
      <c r="I26" s="27">
        <f>VLOOKUP($A26,'[1]Raw Data'!$A$3:$FB$285,8,FALSE)</f>
        <v>0</v>
      </c>
      <c r="J26" s="27">
        <f>VLOOKUP($A26,'[1]Raw Data'!$A$3:$FB$285,9,FALSE)</f>
        <v>7.0000000000000007E-2</v>
      </c>
      <c r="K26" s="27">
        <f>VLOOKUP($A26,'[1]Raw Data'!$A$3:$FB$285,11,FALSE)</f>
        <v>99.02</v>
      </c>
      <c r="L26" s="27">
        <f>VLOOKUP($A26,'[1]Raw Data'!$A$3:$FB$285,12,FALSE)</f>
        <v>74.7</v>
      </c>
      <c r="M26" s="27">
        <f>VLOOKUP($A26,'[1]Raw Data'!$A$3:$FB$285,14,FALSE)</f>
        <v>0</v>
      </c>
      <c r="N26" s="27">
        <f>VLOOKUP($A26,'[1]Raw Data'!$A$3:$FB$285,15,FALSE)</f>
        <v>0.02</v>
      </c>
      <c r="O26" s="27">
        <f>VLOOKUP($A26,'[1]Raw Data'!$A$3:$FB$285,17,FALSE)</f>
        <v>0</v>
      </c>
      <c r="P26" s="27">
        <f>VLOOKUP($A26,'[1]Raw Data'!$A$3:$FB$285,18,FALSE)</f>
        <v>0.06</v>
      </c>
      <c r="Q26" s="27">
        <f>VLOOKUP($A26,'[1]Raw Data'!$A$3:$FB$285,20,FALSE)</f>
        <v>0</v>
      </c>
      <c r="R26" s="27">
        <f>VLOOKUP($A26,'[1]Raw Data'!$A$3:$FB$285,21,FALSE)</f>
        <v>0</v>
      </c>
      <c r="S26" s="27">
        <f>VLOOKUP($A26,'[1]Raw Data'!$A$3:$FB$285,23,FALSE)</f>
        <v>0</v>
      </c>
      <c r="T26" s="27">
        <f>VLOOKUP($A26,'[1]Raw Data'!$A$3:$FB$285,24,FALSE)</f>
        <v>0</v>
      </c>
      <c r="U26" s="27">
        <f>VLOOKUP($A26,'[1]Raw Data'!$A$3:$FB$285,26,FALSE)</f>
        <v>0</v>
      </c>
      <c r="V26" s="27">
        <f>VLOOKUP($A26,'[1]Raw Data'!$A$3:$FB$285,27,FALSE)</f>
        <v>0.73</v>
      </c>
      <c r="W26" s="27">
        <f>VLOOKUP($A26,'[1]Raw Data'!$A$3:$FB$285,29,FALSE)</f>
        <v>0</v>
      </c>
      <c r="X26" s="27">
        <f>VLOOKUP($A26,'[1]Raw Data'!$A$3:$FB$285,30,FALSE)</f>
        <v>0</v>
      </c>
      <c r="Y26" s="27">
        <f>VLOOKUP($A26,'[1]Raw Data'!$A$3:$FB$285,32,FALSE)</f>
        <v>0.2</v>
      </c>
      <c r="Z26" s="27">
        <f>VLOOKUP($A26,'[1]Raw Data'!$A$3:$FB$285,33,FALSE)</f>
        <v>0.03</v>
      </c>
      <c r="AA26" s="27">
        <f>VLOOKUP($A26,'[1]Raw Data'!$A$3:$FB$285,35,FALSE)</f>
        <v>0.59</v>
      </c>
      <c r="AB26" s="27">
        <f>VLOOKUP($A26,'[1]Raw Data'!$A$3:$FB$285,36,FALSE)</f>
        <v>24.05</v>
      </c>
      <c r="AC26" s="27">
        <f>VLOOKUP($A26,'[1]Raw Data'!$A$3:$FB$285,38,FALSE)</f>
        <v>0.2</v>
      </c>
      <c r="AD26" s="27">
        <f>VLOOKUP($A26,'[1]Raw Data'!$A$3:$FB$285,39,FALSE)</f>
        <v>0.33</v>
      </c>
      <c r="AE26" s="27">
        <f>VLOOKUP($A26,'[1]Raw Data'!$A$3:$FB$285,41,FALSE)</f>
        <v>0</v>
      </c>
      <c r="AF26" s="27">
        <f>VLOOKUP($A26,'[1]Raw Data'!$A$3:$FB$285,42,FALSE)</f>
        <v>0</v>
      </c>
      <c r="AG26" s="27">
        <f>VLOOKUP($A26,'[1]Raw Data'!$A$3:$FB$285,44,FALSE)</f>
        <v>0</v>
      </c>
      <c r="AH26" s="27">
        <f>VLOOKUP($A26,'[1]Raw Data'!$A$3:$FB$285,45,FALSE)</f>
        <v>0</v>
      </c>
      <c r="AI26" s="27">
        <f>VLOOKUP($A26,'[1]Raw Data'!$A$3:$FB$285,46,FALSE)</f>
        <v>340</v>
      </c>
      <c r="AJ26" s="27">
        <f>VLOOKUP($A26,'[1]Raw Data'!$A$3:$FB$285,47,FALSE)</f>
        <v>188</v>
      </c>
      <c r="AK26" s="27">
        <f>VLOOKUP($A26,'[1]Raw Data'!$A$3:$FB$285,48,FALSE)</f>
        <v>188</v>
      </c>
      <c r="AL26" s="27">
        <f>VLOOKUP($A26,'[1]Raw Data'!$A$3:$FB$285,49,FALSE)</f>
        <v>101</v>
      </c>
      <c r="AM26" s="27">
        <f>VLOOKUP($A26,'[1]Raw Data'!$A$3:$FB$285,50,FALSE)</f>
        <v>0</v>
      </c>
      <c r="AN26" s="27" t="str">
        <f>VLOOKUP($A26,'[1]Raw Data'!$A$3:$FB$285,51,FALSE)</f>
        <v/>
      </c>
      <c r="AO26" s="27" t="str">
        <f>VLOOKUP($A26,'[1]Raw Data'!$A$3:$FB$285,52,FALSE)</f>
        <v/>
      </c>
      <c r="AP26" s="27">
        <f>VLOOKUP($A26,'[1]Raw Data'!$A$3:$FB$285,53,FALSE)</f>
        <v>56</v>
      </c>
      <c r="AQ26" s="27" t="str">
        <f>VLOOKUP($A26,'[1]Raw Data'!$A$3:$FB$285,54,FALSE)</f>
        <v/>
      </c>
      <c r="AR26" s="27" t="str">
        <f>VLOOKUP($A26,'[1]Raw Data'!$A$3:$FB$285,55,FALSE)</f>
        <v/>
      </c>
      <c r="AS26" s="27" t="str">
        <f>VLOOKUP($A26,'[1]Raw Data'!$A$3:$FB$285,56,FALSE)</f>
        <v/>
      </c>
      <c r="AT26" s="27" t="str">
        <f>VLOOKUP($A26,'[1]Raw Data'!$A$3:$FB$285,57,FALSE)</f>
        <v/>
      </c>
      <c r="AU26" s="27" t="str">
        <f>VLOOKUP($A26,'[1]Raw Data'!$A$3:$FB$285,58,FALSE)</f>
        <v/>
      </c>
      <c r="AV26" s="27" t="str">
        <f>VLOOKUP($A26,'[1]Raw Data'!$A$3:$FB$285,59,FALSE)</f>
        <v/>
      </c>
      <c r="AW26" s="27" t="str">
        <f>VLOOKUP($A26,'[1]Raw Data'!$A$3:$FB$285,60,FALSE)</f>
        <v/>
      </c>
      <c r="AX26" s="27" t="str">
        <f>VLOOKUP(A26,'[1]PO''s List'!A24:E306,4,FALSE)</f>
        <v/>
      </c>
      <c r="AZ26" s="27" t="str">
        <f>VLOOKUP(A26,'[1]PO''s List'!$A$3:$E$285,5,FALSE)</f>
        <v/>
      </c>
      <c r="BB26" s="27">
        <f>VLOOKUP($A26,'[1]Raw Data'!$A$3:$FB$285,63,FALSE)</f>
        <v>5271</v>
      </c>
      <c r="BC26" s="27" t="str">
        <f>VLOOKUP($A26,'[1]Raw Data'!$A$3:$FB$285,64,FALSE)</f>
        <v/>
      </c>
      <c r="BD26" s="27" t="str">
        <f t="shared" si="0"/>
        <v/>
      </c>
      <c r="BE26" s="27" t="str">
        <f>VLOOKUP($A26,'[1]Raw Data'!$A$3:$FB$285,65,FALSE)</f>
        <v/>
      </c>
      <c r="BF26" s="27">
        <f>VLOOKUP($A26,'[1]Raw Data'!$A$3:$FB$285,66,FALSE)</f>
        <v>5603</v>
      </c>
      <c r="BG26" s="27" t="str">
        <f>VLOOKUP($A26,'[1]Raw Data'!$A$3:$FB$285,67,FALSE)</f>
        <v/>
      </c>
      <c r="BH26" s="27" t="str">
        <f t="shared" si="1"/>
        <v/>
      </c>
      <c r="BI26" s="27" t="str">
        <f>VLOOKUP($A26,'[1]Raw Data'!$A$3:$FB$285,68,FALSE)</f>
        <v/>
      </c>
      <c r="BJ26" s="27">
        <f>VLOOKUP($A26,'[1]Raw Data'!$A$3:$FB$285,69,FALSE)</f>
        <v>564</v>
      </c>
      <c r="BK26" s="27" t="str">
        <f>VLOOKUP($A26,'[1]Raw Data'!$A$3:$FB$285,70,FALSE)</f>
        <v/>
      </c>
      <c r="BL26" s="27" t="str">
        <f t="shared" si="2"/>
        <v/>
      </c>
      <c r="BM26" s="27" t="str">
        <f>VLOOKUP($A26,'[1]Raw Data'!$A$3:$FB$285,71,FALSE)</f>
        <v/>
      </c>
      <c r="BN26" s="27">
        <f>VLOOKUP($A26,'[1]Raw Data'!$A$3:$FB$285,72,FALSE)</f>
        <v>657</v>
      </c>
      <c r="BO26" s="27" t="str">
        <f>VLOOKUP($A26,'[1]Raw Data'!$A$3:$FB$285,73,FALSE)</f>
        <v/>
      </c>
      <c r="BP26" s="27" t="str">
        <f t="shared" si="3"/>
        <v/>
      </c>
      <c r="BQ26" s="27" t="str">
        <f>VLOOKUP($A26,'[1]Raw Data'!$A$3:$FB$285,74,FALSE)</f>
        <v/>
      </c>
      <c r="BR26" s="27" t="str">
        <f>VLOOKUP($A26,'[1]Raw Data'!$A$3:$FB$285,75,FALSE)</f>
        <v/>
      </c>
      <c r="BS26" s="27" t="str">
        <f>VLOOKUP($A26,'[1]Raw Data'!$A$3:$FB$285,76,FALSE)</f>
        <v/>
      </c>
      <c r="BT26" s="27" t="str">
        <f t="shared" si="4"/>
        <v/>
      </c>
      <c r="BU26" s="27" t="str">
        <f>VLOOKUP($A26,'[1]Raw Data'!$A$3:$FB$285,77,FALSE)</f>
        <v/>
      </c>
      <c r="BV26" s="27">
        <f>VLOOKUP($A26,'[1]Raw Data'!$A$3:$FB$285,78,FALSE)</f>
        <v>18371</v>
      </c>
      <c r="BW26" s="27" t="str">
        <f>VLOOKUP($A26,'[1]Raw Data'!$A$3:$FB$285,79,FALSE)</f>
        <v/>
      </c>
      <c r="BX26" s="27" t="str">
        <f t="shared" si="5"/>
        <v/>
      </c>
      <c r="BY26" s="27" t="str">
        <f>VLOOKUP($A26,'[1]Raw Data'!$A$3:$FB$285,80,FALSE)</f>
        <v/>
      </c>
      <c r="BZ26" s="27">
        <f>VLOOKUP($A26,'[1]Raw Data'!$A$3:$FB$285,81,FALSE)</f>
        <v>56632</v>
      </c>
      <c r="CA26" s="27" t="str">
        <f>VLOOKUP($A26,'[1]Raw Data'!$A$3:$FB$285,82,FALSE)</f>
        <v/>
      </c>
      <c r="CB26" s="27" t="str">
        <f t="shared" si="6"/>
        <v/>
      </c>
      <c r="CC26" s="27" t="str">
        <f>VLOOKUP($A26,'[1]Raw Data'!$A$3:$FB$285,83,FALSE)</f>
        <v/>
      </c>
      <c r="CD26" s="27">
        <f>VLOOKUP($A26,'[1]Raw Data'!$A$3:$FB$285,84,FALSE)</f>
        <v>750</v>
      </c>
      <c r="CE26" s="27" t="str">
        <f>VLOOKUP($A26,'[1]Raw Data'!$A$3:$FB$285,85,FALSE)</f>
        <v/>
      </c>
      <c r="CF26" s="27" t="str">
        <f t="shared" si="7"/>
        <v/>
      </c>
      <c r="CG26" s="27" t="str">
        <f>VLOOKUP($A26,'[1]Raw Data'!$A$3:$FB$285,86,FALSE)</f>
        <v/>
      </c>
      <c r="CH26" s="27">
        <f>VLOOKUP($A26,'[1]Raw Data'!$A$3:$FB$285,87,FALSE)</f>
        <v>12947</v>
      </c>
      <c r="CI26" s="27" t="str">
        <f>VLOOKUP($A26,'[1]Raw Data'!$A$3:$FB$285,88,FALSE)</f>
        <v/>
      </c>
      <c r="CJ26" s="27" t="str">
        <f t="shared" si="8"/>
        <v/>
      </c>
      <c r="CK26" s="27" t="str">
        <f>VLOOKUP($A26,'[1]Raw Data'!$A$3:$FB$285,89,FALSE)</f>
        <v/>
      </c>
      <c r="CL26" s="27" t="str">
        <f>VLOOKUP($A26,'[1]Raw Data'!$A$3:$FB$285,91,FALSE)</f>
        <v/>
      </c>
      <c r="CM26" s="27" t="str">
        <f>VLOOKUP($A26,'[1]Raw Data'!$A$3:$FB$285,93,FALSE)</f>
        <v/>
      </c>
      <c r="CN26" s="27" t="str">
        <f>VLOOKUP($A26,'[1]Raw Data'!$A$3:$FB$285,94,FALSE)</f>
        <v/>
      </c>
      <c r="CO26" s="27" t="str">
        <f>VLOOKUP($A26,'[1]Raw Data'!$A$3:$FB$285,95,FALSE)</f>
        <v/>
      </c>
      <c r="CP26" s="27" t="str">
        <f>VLOOKUP($A26,'[1]Raw Data'!$A$3:$FB$285,96,FALSE)</f>
        <v/>
      </c>
      <c r="CQ26" s="27" t="str">
        <f>VLOOKUP($A26,'[1]Raw Data'!$A$3:$FB$285,97,FALSE)</f>
        <v/>
      </c>
      <c r="CR26" s="27" t="str">
        <f>VLOOKUP($A26,'[1]Raw Data'!$A$3:$FB$285,98,FALSE)</f>
        <v/>
      </c>
      <c r="CS26" s="27" t="str">
        <f>VLOOKUP($A26,'[1]Raw Data'!$A$3:$FB$285,99,FALSE)</f>
        <v/>
      </c>
      <c r="CT26" s="27" t="str">
        <f>VLOOKUP($A26,'[1]Raw Data'!$A$3:$FB$285,101,FALSE)</f>
        <v/>
      </c>
      <c r="CV26" s="27" t="str">
        <f>VLOOKUP($A26,'[1]Raw Data'!$A$3:$FB$285,102,FALSE)</f>
        <v>Chairman</v>
      </c>
      <c r="CW26" s="27" t="s">
        <v>878</v>
      </c>
      <c r="CX26" s="27" t="str">
        <f>VLOOKUP($A26,'[1]Raw Data'!$A$3:$FB$285,103,FALSE)</f>
        <v/>
      </c>
      <c r="CY26" s="27" t="str">
        <f>VLOOKUP($A26,'[1]Raw Data'!$A$3:$FB$285,105,FALSE)</f>
        <v/>
      </c>
      <c r="DA26" s="27" t="str">
        <f>VLOOKUP($A26,'[1]Raw Data'!$A$3:$FB$285,106,FALSE)</f>
        <v>Deputy Chairman</v>
      </c>
      <c r="DB26" s="27" t="s">
        <v>879</v>
      </c>
      <c r="DC26" s="27" t="str">
        <f>VLOOKUP($A26,'[1]Raw Data'!$A$3:$FB$285,107,FALSE)</f>
        <v/>
      </c>
      <c r="DD26" s="27" t="str">
        <f>VLOOKUP($A26,'[1]Raw Data'!$A$3:$FB$285,109,FALSE)</f>
        <v/>
      </c>
      <c r="DF26" s="27" t="str">
        <f>VLOOKUP($A26,'[1]Raw Data'!$A$3:$FB$285,110,FALSE)</f>
        <v>Chief Adminstration Officer</v>
      </c>
      <c r="DG26" s="27" t="s">
        <v>880</v>
      </c>
      <c r="DH26" s="27" t="str">
        <f>VLOOKUP($A26,'[1]Raw Data'!$A$3:$FB$285,111,FALSE)</f>
        <v/>
      </c>
      <c r="DI26" s="27" t="str">
        <f>VLOOKUP($A26,'[1]Raw Data'!$A$3:$FB$285,121,FALSE)</f>
        <v/>
      </c>
      <c r="DK26" s="27" t="str">
        <f>VLOOKUP($A26,'[1]Raw Data'!$A$3:$FB$285,122,FALSE)</f>
        <v>Focal Person</v>
      </c>
      <c r="DL26" s="27" t="s">
        <v>881</v>
      </c>
      <c r="DM26" s="27" t="str">
        <f>VLOOKUP($A26,'[1]Raw Data'!$A$3:$FB$285,123,FALSE)</f>
        <v/>
      </c>
      <c r="DN26" s="27" t="str">
        <f>VLOOKUP($A26,'[1]Raw Data'!$A$3:$FB$285,113,FALSE)</f>
        <v/>
      </c>
      <c r="DP26" s="27" t="str">
        <f>VLOOKUP($A26,'[1]Raw Data'!$A$3:$FB$285,114,FALSE)</f>
        <v>NRA Chief-District</v>
      </c>
      <c r="DQ26" s="27" t="s">
        <v>882</v>
      </c>
      <c r="DR26" s="27" t="str">
        <f>VLOOKUP($A26,'[1]Raw Data'!$A$3:$FB$285,115,FALSE)</f>
        <v/>
      </c>
      <c r="DS26" s="27" t="str">
        <f>VLOOKUP($A26,'[1]Raw Data'!$A$3:$FB$285,117,FALSE)</f>
        <v/>
      </c>
      <c r="DU26" s="27" t="str">
        <f>VLOOKUP($A26,'[1]Raw Data'!$A$3:$FB$285,118,FALSE)</f>
        <v>DUDBC.DLPIU Chief</v>
      </c>
      <c r="DV26" s="27" t="s">
        <v>883</v>
      </c>
      <c r="DW26" s="27" t="str">
        <f>VLOOKUP($A26,'[1]Raw Data'!$A$3:$FB$285,119,FALSE)</f>
        <v/>
      </c>
      <c r="DX26" s="27" t="s">
        <v>339</v>
      </c>
      <c r="DY26" s="27" t="str">
        <f>VLOOKUP($A26,'[1]Raw Data'!$A$3:$FB$285,124,FALSE)</f>
        <v/>
      </c>
      <c r="DZ26" s="27" t="s">
        <v>884</v>
      </c>
      <c r="EA26" s="27" t="str">
        <f>VLOOKUP($A26,'[1]Raw Data'!$A$3:$FB$285,125,FALSE)</f>
        <v/>
      </c>
      <c r="EB26" s="27" t="s">
        <v>341</v>
      </c>
      <c r="EC26" s="27" t="str">
        <f>VLOOKUP($A26,'[1]Raw Data'!$A$3:$FB$285,126,FALSE)</f>
        <v/>
      </c>
      <c r="ED26" t="s">
        <v>478</v>
      </c>
      <c r="EE26" s="27" t="str">
        <f>VLOOKUP($A26,'[1]Raw Data'!$A$3:$FB$285,127,FALSE)</f>
        <v/>
      </c>
      <c r="EF26" s="27" t="s">
        <v>343</v>
      </c>
      <c r="EG26" s="27" t="str">
        <f>VLOOKUP($A26,'[1]Raw Data'!$A$3:$FB$285,128,FALSE)</f>
        <v/>
      </c>
      <c r="EH26" t="s">
        <v>344</v>
      </c>
      <c r="EI26" s="27" t="str">
        <f>VLOOKUP($A26,'[1]Raw Data'!$A$3:$FB$285,129,FALSE)</f>
        <v/>
      </c>
      <c r="EM26" s="27" t="str">
        <f>VLOOKUP($A26,'[1]Raw Data'!$A$3:$FB$285,130,FALSE)</f>
        <v/>
      </c>
      <c r="EN26" s="27" t="str">
        <f>VLOOKUP($A26,'[1]Raw Data'!$A$3:$FB$285,131,FALSE)</f>
        <v/>
      </c>
      <c r="EO26" s="27" t="str">
        <f>VLOOKUP($A26,'[1]Raw Data'!$A$3:$FB$285,132,FALSE)</f>
        <v/>
      </c>
      <c r="EP26" s="27" t="str">
        <f>VLOOKUP($A26,'[1]Raw Data'!$A$3:$FB$285,133,FALSE)</f>
        <v/>
      </c>
      <c r="EQ26" s="27" t="str">
        <f>VLOOKUP($A26,'[1]Raw Data'!$A$3:$FB$285,134,FALSE)</f>
        <v/>
      </c>
      <c r="ER26" s="27" t="str">
        <f>VLOOKUP($A26,'[1]Raw Data'!$A$3:$FB$285,135,FALSE)</f>
        <v/>
      </c>
      <c r="ES26" s="27" t="str">
        <f>VLOOKUP($A26,'[1]Raw Data'!$A$3:$FB$285,136,FALSE)</f>
        <v/>
      </c>
      <c r="ET26" s="27" t="str">
        <f>VLOOKUP($A26,'[1]Raw Data'!$A$3:$FB$285,137,FALSE)</f>
        <v/>
      </c>
      <c r="EU26" s="27" t="str">
        <f>VLOOKUP($A26,'[1]Raw Data'!$A$3:$FB$285,138,FALSE)</f>
        <v/>
      </c>
      <c r="EV26" s="27" t="str">
        <f>VLOOKUP($A26,'[1]Raw Data'!$A$3:$FB$285,139,FALSE)</f>
        <v/>
      </c>
      <c r="EW26" s="38">
        <f>VLOOKUP($A26,[1]Training!$A$2:$I$284,5,FALSE)</f>
        <v>26.153846153846153</v>
      </c>
      <c r="EX26" s="31">
        <f>VLOOKUP($A26,[1]Training!$A$2:$I$284,6,FALSE)</f>
        <v>0</v>
      </c>
      <c r="EY26" s="38">
        <f>VLOOKUP($A26,[1]Training!$A$2:$I$284,8,FALSE)</f>
        <v>30.90909090909091</v>
      </c>
      <c r="EZ26" s="31">
        <f>VLOOKUP($A26,[1]Training!$A$2:$I$284,9,FALSE)</f>
        <v>140</v>
      </c>
      <c r="FA26" s="27">
        <v>1</v>
      </c>
      <c r="FB26" s="27">
        <v>2</v>
      </c>
      <c r="FC26" s="27" t="str">
        <f>VLOOKUP($A26,'[1]Raw Data'!$A$3:$FB$285,148,FALSE)</f>
        <v/>
      </c>
      <c r="FE26" s="27" t="str">
        <f>VLOOKUP($A26,'[1]Raw Data'!$A$3:$FB$285,149,FALSE)</f>
        <v>District Coordinator</v>
      </c>
      <c r="FF26" s="27" t="s">
        <v>885</v>
      </c>
      <c r="FG26" s="27" t="str">
        <f>VLOOKUP($A26,'[1]Raw Data'!$A$3:$FB$285,150,FALSE)</f>
        <v/>
      </c>
      <c r="FH26" s="27" t="str">
        <f>VLOOKUP($A26,'[1]Raw Data'!$A$3:$FB$285,156,FALSE)</f>
        <v/>
      </c>
      <c r="FJ26" s="27" t="str">
        <f>VLOOKUP($A26,'[1]Raw Data'!$A$3:$FB$285,157,FALSE)</f>
        <v>District Technical Officer</v>
      </c>
      <c r="FK26" s="27" t="s">
        <v>886</v>
      </c>
      <c r="FL26" s="27" t="str">
        <f>VLOOKUP($A26,'[1]Raw Data'!$A$3:$FB$285,158,FALSE)</f>
        <v/>
      </c>
      <c r="FM26" s="27" t="str">
        <f>VLOOKUP($A26,'[1]Raw Data'!$A$3:$FB$285,152,FALSE)</f>
        <v/>
      </c>
      <c r="FO26" s="27" t="str">
        <f>VLOOKUP($A26,'[1]Raw Data'!$A$3:$FB$285,153,FALSE)</f>
        <v>DIstrict Information Management Officer</v>
      </c>
      <c r="FP26" s="27" t="s">
        <v>887</v>
      </c>
      <c r="FQ26" s="27" t="str">
        <f>VLOOKUP($A26,'[1]Raw Data'!$A$3:$FB$285,154,FALSE)</f>
        <v/>
      </c>
    </row>
    <row r="27" spans="1:173" ht="24" x14ac:dyDescent="0.45">
      <c r="A27" s="27">
        <v>10006</v>
      </c>
      <c r="B27" s="36" t="str">
        <f ca="1">IFERROR(__xludf.DUMMYFUNCTION("""COMPUTED_VALUE"""),"Ramprasad Rai Gaunpalika")</f>
        <v>Ramprasad Rai Gaunpalika</v>
      </c>
      <c r="C27" s="37" t="str">
        <f>VLOOKUP(A27,'[1]Palika and District in Nepali '!$D$1:$F$283,3,FALSE)</f>
        <v>रामप्रसादराई गाउँपालिका</v>
      </c>
      <c r="D27" s="36" t="str">
        <f ca="1">IFERROR(__xludf.DUMMYFUNCTION("""COMPUTED_VALUE"""),"Bhojpur")</f>
        <v>Bhojpur</v>
      </c>
      <c r="E27" s="36"/>
      <c r="F27" s="27">
        <f>VLOOKUP(A27,'[1]Raw Data'!$A$3:$FB$285,4,FALSE)</f>
        <v>500</v>
      </c>
      <c r="G27" s="27">
        <f>VLOOKUP(A27,'[1]Raw Data'!$A$3:$FB$285,5,FALSE)</f>
        <v>693</v>
      </c>
      <c r="H27" s="27">
        <f>VLOOKUP(A27,'[1]Raw Data'!$A$3:$FB$285,6,FALSE)</f>
        <v>1193</v>
      </c>
      <c r="I27" s="27">
        <f>VLOOKUP($A27,'[1]Raw Data'!$A$3:$FB$285,8,FALSE)</f>
        <v>0</v>
      </c>
      <c r="J27" s="27">
        <f>VLOOKUP($A27,'[1]Raw Data'!$A$3:$FB$285,9,FALSE)</f>
        <v>7.0000000000000007E-2</v>
      </c>
      <c r="K27" s="27">
        <f>VLOOKUP($A27,'[1]Raw Data'!$A$3:$FB$285,11,FALSE)</f>
        <v>96.14</v>
      </c>
      <c r="L27" s="27">
        <f>VLOOKUP($A27,'[1]Raw Data'!$A$3:$FB$285,12,FALSE)</f>
        <v>74.7</v>
      </c>
      <c r="M27" s="27">
        <f>VLOOKUP($A27,'[1]Raw Data'!$A$3:$FB$285,14,FALSE)</f>
        <v>0</v>
      </c>
      <c r="N27" s="27">
        <f>VLOOKUP($A27,'[1]Raw Data'!$A$3:$FB$285,15,FALSE)</f>
        <v>0.02</v>
      </c>
      <c r="O27" s="27">
        <f>VLOOKUP($A27,'[1]Raw Data'!$A$3:$FB$285,17,FALSE)</f>
        <v>0</v>
      </c>
      <c r="P27" s="27">
        <f>VLOOKUP($A27,'[1]Raw Data'!$A$3:$FB$285,18,FALSE)</f>
        <v>0.06</v>
      </c>
      <c r="Q27" s="27">
        <f>VLOOKUP($A27,'[1]Raw Data'!$A$3:$FB$285,20,FALSE)</f>
        <v>0</v>
      </c>
      <c r="R27" s="27">
        <f>VLOOKUP($A27,'[1]Raw Data'!$A$3:$FB$285,21,FALSE)</f>
        <v>0</v>
      </c>
      <c r="S27" s="27">
        <f>VLOOKUP($A27,'[1]Raw Data'!$A$3:$FB$285,23,FALSE)</f>
        <v>0</v>
      </c>
      <c r="T27" s="27">
        <f>VLOOKUP($A27,'[1]Raw Data'!$A$3:$FB$285,24,FALSE)</f>
        <v>0</v>
      </c>
      <c r="U27" s="27">
        <f>VLOOKUP($A27,'[1]Raw Data'!$A$3:$FB$285,26,FALSE)</f>
        <v>0.17</v>
      </c>
      <c r="V27" s="27">
        <f>VLOOKUP($A27,'[1]Raw Data'!$A$3:$FB$285,27,FALSE)</f>
        <v>0.73</v>
      </c>
      <c r="W27" s="27">
        <f>VLOOKUP($A27,'[1]Raw Data'!$A$3:$FB$285,29,FALSE)</f>
        <v>0</v>
      </c>
      <c r="X27" s="27">
        <f>VLOOKUP($A27,'[1]Raw Data'!$A$3:$FB$285,30,FALSE)</f>
        <v>0</v>
      </c>
      <c r="Y27" s="27">
        <f>VLOOKUP($A27,'[1]Raw Data'!$A$3:$FB$285,32,FALSE)</f>
        <v>0.08</v>
      </c>
      <c r="Z27" s="27">
        <f>VLOOKUP($A27,'[1]Raw Data'!$A$3:$FB$285,33,FALSE)</f>
        <v>0.03</v>
      </c>
      <c r="AA27" s="27">
        <f>VLOOKUP($A27,'[1]Raw Data'!$A$3:$FB$285,35,FALSE)</f>
        <v>3.52</v>
      </c>
      <c r="AB27" s="27">
        <f>VLOOKUP($A27,'[1]Raw Data'!$A$3:$FB$285,36,FALSE)</f>
        <v>24.05</v>
      </c>
      <c r="AC27" s="27">
        <f>VLOOKUP($A27,'[1]Raw Data'!$A$3:$FB$285,38,FALSE)</f>
        <v>0.08</v>
      </c>
      <c r="AD27" s="27">
        <f>VLOOKUP($A27,'[1]Raw Data'!$A$3:$FB$285,39,FALSE)</f>
        <v>0.33</v>
      </c>
      <c r="AE27" s="27">
        <f>VLOOKUP($A27,'[1]Raw Data'!$A$3:$FB$285,41,FALSE)</f>
        <v>0</v>
      </c>
      <c r="AF27" s="27">
        <f>VLOOKUP($A27,'[1]Raw Data'!$A$3:$FB$285,42,FALSE)</f>
        <v>0</v>
      </c>
      <c r="AG27" s="27">
        <f>VLOOKUP($A27,'[1]Raw Data'!$A$3:$FB$285,44,FALSE)</f>
        <v>0</v>
      </c>
      <c r="AH27" s="27">
        <f>VLOOKUP($A27,'[1]Raw Data'!$A$3:$FB$285,45,FALSE)</f>
        <v>0</v>
      </c>
      <c r="AI27" s="27">
        <f>VLOOKUP($A27,'[1]Raw Data'!$A$3:$FB$285,46,FALSE)</f>
        <v>616</v>
      </c>
      <c r="AJ27" s="27">
        <f>VLOOKUP($A27,'[1]Raw Data'!$A$3:$FB$285,47,FALSE)</f>
        <v>181</v>
      </c>
      <c r="AK27" s="27">
        <f>VLOOKUP($A27,'[1]Raw Data'!$A$3:$FB$285,48,FALSE)</f>
        <v>181</v>
      </c>
      <c r="AL27" s="27">
        <f>VLOOKUP($A27,'[1]Raw Data'!$A$3:$FB$285,49,FALSE)</f>
        <v>97</v>
      </c>
      <c r="AM27" s="27">
        <f>VLOOKUP($A27,'[1]Raw Data'!$A$3:$FB$285,50,FALSE)</f>
        <v>0</v>
      </c>
      <c r="AN27" s="27" t="str">
        <f>VLOOKUP($A27,'[1]Raw Data'!$A$3:$FB$285,51,FALSE)</f>
        <v/>
      </c>
      <c r="AO27" s="27" t="str">
        <f>VLOOKUP($A27,'[1]Raw Data'!$A$3:$FB$285,52,FALSE)</f>
        <v/>
      </c>
      <c r="AP27" s="27">
        <f>VLOOKUP($A27,'[1]Raw Data'!$A$3:$FB$285,53,FALSE)</f>
        <v>62</v>
      </c>
      <c r="AQ27" s="27" t="str">
        <f>VLOOKUP($A27,'[1]Raw Data'!$A$3:$FB$285,54,FALSE)</f>
        <v/>
      </c>
      <c r="AR27" s="27" t="str">
        <f>VLOOKUP($A27,'[1]Raw Data'!$A$3:$FB$285,55,FALSE)</f>
        <v/>
      </c>
      <c r="AS27" s="27" t="str">
        <f>VLOOKUP($A27,'[1]Raw Data'!$A$3:$FB$285,56,FALSE)</f>
        <v/>
      </c>
      <c r="AT27" s="27" t="str">
        <f>VLOOKUP($A27,'[1]Raw Data'!$A$3:$FB$285,57,FALSE)</f>
        <v/>
      </c>
      <c r="AU27" s="27" t="str">
        <f>VLOOKUP($A27,'[1]Raw Data'!$A$3:$FB$285,58,FALSE)</f>
        <v/>
      </c>
      <c r="AV27" s="27" t="str">
        <f>VLOOKUP($A27,'[1]Raw Data'!$A$3:$FB$285,59,FALSE)</f>
        <v/>
      </c>
      <c r="AW27" s="27" t="str">
        <f>VLOOKUP($A27,'[1]Raw Data'!$A$3:$FB$285,60,FALSE)</f>
        <v/>
      </c>
      <c r="AX27" s="27" t="str">
        <f>VLOOKUP(A27,'[1]PO''s List'!A25:E307,4,FALSE)</f>
        <v/>
      </c>
      <c r="AZ27" s="27" t="str">
        <f>VLOOKUP(A27,'[1]PO''s List'!$A$3:$E$285,5,FALSE)</f>
        <v/>
      </c>
      <c r="BB27" s="27">
        <f>VLOOKUP($A27,'[1]Raw Data'!$A$3:$FB$285,63,FALSE)</f>
        <v>5097</v>
      </c>
      <c r="BC27" s="27" t="str">
        <f>VLOOKUP($A27,'[1]Raw Data'!$A$3:$FB$285,64,FALSE)</f>
        <v/>
      </c>
      <c r="BD27" s="27" t="str">
        <f t="shared" si="0"/>
        <v/>
      </c>
      <c r="BE27" s="27" t="str">
        <f>VLOOKUP($A27,'[1]Raw Data'!$A$3:$FB$285,65,FALSE)</f>
        <v/>
      </c>
      <c r="BF27" s="27">
        <f>VLOOKUP($A27,'[1]Raw Data'!$A$3:$FB$285,66,FALSE)</f>
        <v>5397</v>
      </c>
      <c r="BG27" s="27" t="str">
        <f>VLOOKUP($A27,'[1]Raw Data'!$A$3:$FB$285,67,FALSE)</f>
        <v/>
      </c>
      <c r="BH27" s="27" t="str">
        <f t="shared" si="1"/>
        <v/>
      </c>
      <c r="BI27" s="27" t="str">
        <f>VLOOKUP($A27,'[1]Raw Data'!$A$3:$FB$285,68,FALSE)</f>
        <v/>
      </c>
      <c r="BJ27" s="27">
        <f>VLOOKUP($A27,'[1]Raw Data'!$A$3:$FB$285,69,FALSE)</f>
        <v>546</v>
      </c>
      <c r="BK27" s="27" t="str">
        <f>VLOOKUP($A27,'[1]Raw Data'!$A$3:$FB$285,70,FALSE)</f>
        <v/>
      </c>
      <c r="BL27" s="27" t="str">
        <f t="shared" si="2"/>
        <v/>
      </c>
      <c r="BM27" s="27" t="str">
        <f>VLOOKUP($A27,'[1]Raw Data'!$A$3:$FB$285,71,FALSE)</f>
        <v/>
      </c>
      <c r="BN27" s="27">
        <f>VLOOKUP($A27,'[1]Raw Data'!$A$3:$FB$285,72,FALSE)</f>
        <v>635</v>
      </c>
      <c r="BO27" s="27" t="str">
        <f>VLOOKUP($A27,'[1]Raw Data'!$A$3:$FB$285,73,FALSE)</f>
        <v/>
      </c>
      <c r="BP27" s="27" t="str">
        <f t="shared" si="3"/>
        <v/>
      </c>
      <c r="BQ27" s="27" t="str">
        <f>VLOOKUP($A27,'[1]Raw Data'!$A$3:$FB$285,74,FALSE)</f>
        <v/>
      </c>
      <c r="BR27" s="27" t="str">
        <f>VLOOKUP($A27,'[1]Raw Data'!$A$3:$FB$285,75,FALSE)</f>
        <v/>
      </c>
      <c r="BS27" s="27" t="str">
        <f>VLOOKUP($A27,'[1]Raw Data'!$A$3:$FB$285,76,FALSE)</f>
        <v/>
      </c>
      <c r="BT27" s="27" t="str">
        <f t="shared" si="4"/>
        <v/>
      </c>
      <c r="BU27" s="27" t="str">
        <f>VLOOKUP($A27,'[1]Raw Data'!$A$3:$FB$285,77,FALSE)</f>
        <v/>
      </c>
      <c r="BV27" s="27">
        <f>VLOOKUP($A27,'[1]Raw Data'!$A$3:$FB$285,78,FALSE)</f>
        <v>17728</v>
      </c>
      <c r="BW27" s="27" t="str">
        <f>VLOOKUP($A27,'[1]Raw Data'!$A$3:$FB$285,79,FALSE)</f>
        <v/>
      </c>
      <c r="BX27" s="27" t="str">
        <f t="shared" si="5"/>
        <v/>
      </c>
      <c r="BY27" s="27" t="str">
        <f>VLOOKUP($A27,'[1]Raw Data'!$A$3:$FB$285,80,FALSE)</f>
        <v/>
      </c>
      <c r="BZ27" s="27">
        <f>VLOOKUP($A27,'[1]Raw Data'!$A$3:$FB$285,81,FALSE)</f>
        <v>54822</v>
      </c>
      <c r="CA27" s="27" t="str">
        <f>VLOOKUP($A27,'[1]Raw Data'!$A$3:$FB$285,82,FALSE)</f>
        <v/>
      </c>
      <c r="CB27" s="27" t="str">
        <f t="shared" si="6"/>
        <v/>
      </c>
      <c r="CC27" s="27" t="str">
        <f>VLOOKUP($A27,'[1]Raw Data'!$A$3:$FB$285,83,FALSE)</f>
        <v/>
      </c>
      <c r="CD27" s="27">
        <f>VLOOKUP($A27,'[1]Raw Data'!$A$3:$FB$285,84,FALSE)</f>
        <v>724</v>
      </c>
      <c r="CE27" s="27" t="str">
        <f>VLOOKUP($A27,'[1]Raw Data'!$A$3:$FB$285,85,FALSE)</f>
        <v/>
      </c>
      <c r="CF27" s="27" t="str">
        <f t="shared" si="7"/>
        <v/>
      </c>
      <c r="CG27" s="27" t="str">
        <f>VLOOKUP($A27,'[1]Raw Data'!$A$3:$FB$285,86,FALSE)</f>
        <v/>
      </c>
      <c r="CH27" s="27">
        <f>VLOOKUP($A27,'[1]Raw Data'!$A$3:$FB$285,87,FALSE)</f>
        <v>18257</v>
      </c>
      <c r="CI27" s="27" t="str">
        <f>VLOOKUP($A27,'[1]Raw Data'!$A$3:$FB$285,88,FALSE)</f>
        <v/>
      </c>
      <c r="CJ27" s="27" t="str">
        <f t="shared" si="8"/>
        <v/>
      </c>
      <c r="CK27" s="27" t="str">
        <f>VLOOKUP($A27,'[1]Raw Data'!$A$3:$FB$285,89,FALSE)</f>
        <v/>
      </c>
      <c r="CL27" s="27" t="str">
        <f>VLOOKUP($A27,'[1]Raw Data'!$A$3:$FB$285,91,FALSE)</f>
        <v/>
      </c>
      <c r="CM27" s="27" t="str">
        <f>VLOOKUP($A27,'[1]Raw Data'!$A$3:$FB$285,93,FALSE)</f>
        <v/>
      </c>
      <c r="CN27" s="27" t="str">
        <f>VLOOKUP($A27,'[1]Raw Data'!$A$3:$FB$285,94,FALSE)</f>
        <v/>
      </c>
      <c r="CO27" s="27" t="str">
        <f>VLOOKUP($A27,'[1]Raw Data'!$A$3:$FB$285,95,FALSE)</f>
        <v/>
      </c>
      <c r="CP27" s="27" t="str">
        <f>VLOOKUP($A27,'[1]Raw Data'!$A$3:$FB$285,96,FALSE)</f>
        <v/>
      </c>
      <c r="CQ27" s="27" t="str">
        <f>VLOOKUP($A27,'[1]Raw Data'!$A$3:$FB$285,97,FALSE)</f>
        <v/>
      </c>
      <c r="CR27" s="27" t="str">
        <f>VLOOKUP($A27,'[1]Raw Data'!$A$3:$FB$285,98,FALSE)</f>
        <v/>
      </c>
      <c r="CS27" s="27" t="str">
        <f>VLOOKUP($A27,'[1]Raw Data'!$A$3:$FB$285,99,FALSE)</f>
        <v/>
      </c>
      <c r="CT27" s="27" t="str">
        <f>VLOOKUP($A27,'[1]Raw Data'!$A$3:$FB$285,101,FALSE)</f>
        <v/>
      </c>
      <c r="CV27" s="27" t="str">
        <f>VLOOKUP($A27,'[1]Raw Data'!$A$3:$FB$285,102,FALSE)</f>
        <v>Chairman</v>
      </c>
      <c r="CW27" s="27" t="s">
        <v>878</v>
      </c>
      <c r="CX27" s="27" t="str">
        <f>VLOOKUP($A27,'[1]Raw Data'!$A$3:$FB$285,103,FALSE)</f>
        <v/>
      </c>
      <c r="CY27" s="27" t="str">
        <f>VLOOKUP($A27,'[1]Raw Data'!$A$3:$FB$285,105,FALSE)</f>
        <v/>
      </c>
      <c r="DA27" s="27" t="str">
        <f>VLOOKUP($A27,'[1]Raw Data'!$A$3:$FB$285,106,FALSE)</f>
        <v>Deputy Chairman</v>
      </c>
      <c r="DB27" s="27" t="s">
        <v>879</v>
      </c>
      <c r="DC27" s="27" t="str">
        <f>VLOOKUP($A27,'[1]Raw Data'!$A$3:$FB$285,107,FALSE)</f>
        <v/>
      </c>
      <c r="DD27" s="27" t="str">
        <f>VLOOKUP($A27,'[1]Raw Data'!$A$3:$FB$285,109,FALSE)</f>
        <v/>
      </c>
      <c r="DF27" s="27" t="str">
        <f>VLOOKUP($A27,'[1]Raw Data'!$A$3:$FB$285,110,FALSE)</f>
        <v>Chief Adminstration Officer</v>
      </c>
      <c r="DG27" s="27" t="s">
        <v>880</v>
      </c>
      <c r="DH27" s="27" t="str">
        <f>VLOOKUP($A27,'[1]Raw Data'!$A$3:$FB$285,111,FALSE)</f>
        <v/>
      </c>
      <c r="DI27" s="27" t="str">
        <f>VLOOKUP($A27,'[1]Raw Data'!$A$3:$FB$285,121,FALSE)</f>
        <v/>
      </c>
      <c r="DK27" s="27" t="str">
        <f>VLOOKUP($A27,'[1]Raw Data'!$A$3:$FB$285,122,FALSE)</f>
        <v>Focal Person</v>
      </c>
      <c r="DL27" s="27" t="s">
        <v>881</v>
      </c>
      <c r="DM27" s="27" t="str">
        <f>VLOOKUP($A27,'[1]Raw Data'!$A$3:$FB$285,123,FALSE)</f>
        <v/>
      </c>
      <c r="DN27" s="27" t="str">
        <f>VLOOKUP($A27,'[1]Raw Data'!$A$3:$FB$285,113,FALSE)</f>
        <v/>
      </c>
      <c r="DP27" s="27" t="str">
        <f>VLOOKUP($A27,'[1]Raw Data'!$A$3:$FB$285,114,FALSE)</f>
        <v>NRA Chief-District</v>
      </c>
      <c r="DQ27" s="27" t="s">
        <v>882</v>
      </c>
      <c r="DR27" s="27" t="str">
        <f>VLOOKUP($A27,'[1]Raw Data'!$A$3:$FB$285,115,FALSE)</f>
        <v/>
      </c>
      <c r="DS27" s="27" t="str">
        <f>VLOOKUP($A27,'[1]Raw Data'!$A$3:$FB$285,117,FALSE)</f>
        <v/>
      </c>
      <c r="DU27" s="27" t="str">
        <f>VLOOKUP($A27,'[1]Raw Data'!$A$3:$FB$285,118,FALSE)</f>
        <v>DUDBC.DLPIU Chief</v>
      </c>
      <c r="DV27" s="27" t="s">
        <v>883</v>
      </c>
      <c r="DW27" s="27" t="str">
        <f>VLOOKUP($A27,'[1]Raw Data'!$A$3:$FB$285,119,FALSE)</f>
        <v/>
      </c>
      <c r="DX27" s="27" t="s">
        <v>339</v>
      </c>
      <c r="DY27" s="27" t="str">
        <f>VLOOKUP($A27,'[1]Raw Data'!$A$3:$FB$285,124,FALSE)</f>
        <v/>
      </c>
      <c r="DZ27" s="27" t="s">
        <v>884</v>
      </c>
      <c r="EA27" s="27" t="str">
        <f>VLOOKUP($A27,'[1]Raw Data'!$A$3:$FB$285,125,FALSE)</f>
        <v/>
      </c>
      <c r="EB27" s="27" t="s">
        <v>341</v>
      </c>
      <c r="EC27" s="27" t="str">
        <f>VLOOKUP($A27,'[1]Raw Data'!$A$3:$FB$285,126,FALSE)</f>
        <v/>
      </c>
      <c r="ED27" t="s">
        <v>478</v>
      </c>
      <c r="EE27" s="27" t="str">
        <f>VLOOKUP($A27,'[1]Raw Data'!$A$3:$FB$285,127,FALSE)</f>
        <v/>
      </c>
      <c r="EF27" s="27" t="s">
        <v>343</v>
      </c>
      <c r="EG27" s="27" t="str">
        <f>VLOOKUP($A27,'[1]Raw Data'!$A$3:$FB$285,128,FALSE)</f>
        <v/>
      </c>
      <c r="EH27" t="s">
        <v>344</v>
      </c>
      <c r="EI27" s="27" t="str">
        <f>VLOOKUP($A27,'[1]Raw Data'!$A$3:$FB$285,129,FALSE)</f>
        <v/>
      </c>
      <c r="EM27" s="27" t="str">
        <f>VLOOKUP($A27,'[1]Raw Data'!$A$3:$FB$285,130,FALSE)</f>
        <v/>
      </c>
      <c r="EN27" s="27" t="str">
        <f>VLOOKUP($A27,'[1]Raw Data'!$A$3:$FB$285,131,FALSE)</f>
        <v/>
      </c>
      <c r="EO27" s="27" t="str">
        <f>VLOOKUP($A27,'[1]Raw Data'!$A$3:$FB$285,132,FALSE)</f>
        <v/>
      </c>
      <c r="EP27" s="27" t="str">
        <f>VLOOKUP($A27,'[1]Raw Data'!$A$3:$FB$285,133,FALSE)</f>
        <v/>
      </c>
      <c r="EQ27" s="27" t="str">
        <f>VLOOKUP($A27,'[1]Raw Data'!$A$3:$FB$285,134,FALSE)</f>
        <v/>
      </c>
      <c r="ER27" s="27" t="str">
        <f>VLOOKUP($A27,'[1]Raw Data'!$A$3:$FB$285,135,FALSE)</f>
        <v/>
      </c>
      <c r="ES27" s="27" t="str">
        <f>VLOOKUP($A27,'[1]Raw Data'!$A$3:$FB$285,136,FALSE)</f>
        <v/>
      </c>
      <c r="ET27" s="27" t="str">
        <f>VLOOKUP($A27,'[1]Raw Data'!$A$3:$FB$285,137,FALSE)</f>
        <v/>
      </c>
      <c r="EU27" s="27" t="str">
        <f>VLOOKUP($A27,'[1]Raw Data'!$A$3:$FB$285,138,FALSE)</f>
        <v/>
      </c>
      <c r="EV27" s="27" t="str">
        <f>VLOOKUP($A27,'[1]Raw Data'!$A$3:$FB$285,139,FALSE)</f>
        <v/>
      </c>
      <c r="EW27" s="38">
        <f>VLOOKUP($A27,[1]Training!$A$2:$I$284,5,FALSE)</f>
        <v>47.384615384615387</v>
      </c>
      <c r="EX27" s="31">
        <f>VLOOKUP($A27,[1]Training!$A$2:$I$284,6,FALSE)</f>
        <v>0</v>
      </c>
      <c r="EY27" s="38">
        <f>VLOOKUP($A27,[1]Training!$A$2:$I$284,8,FALSE)</f>
        <v>56</v>
      </c>
      <c r="EZ27" s="31">
        <f>VLOOKUP($A27,[1]Training!$A$2:$I$284,9,FALSE)</f>
        <v>220</v>
      </c>
      <c r="FA27" s="27">
        <v>1</v>
      </c>
      <c r="FB27" s="27">
        <v>2</v>
      </c>
      <c r="FC27" s="27" t="str">
        <f>VLOOKUP($A27,'[1]Raw Data'!$A$3:$FB$285,148,FALSE)</f>
        <v/>
      </c>
      <c r="FE27" s="27" t="str">
        <f>VLOOKUP($A27,'[1]Raw Data'!$A$3:$FB$285,149,FALSE)</f>
        <v>District Coordinator</v>
      </c>
      <c r="FF27" s="27" t="s">
        <v>885</v>
      </c>
      <c r="FG27" s="27" t="str">
        <f>VLOOKUP($A27,'[1]Raw Data'!$A$3:$FB$285,150,FALSE)</f>
        <v/>
      </c>
      <c r="FH27" s="27" t="str">
        <f>VLOOKUP($A27,'[1]Raw Data'!$A$3:$FB$285,156,FALSE)</f>
        <v/>
      </c>
      <c r="FJ27" s="27" t="str">
        <f>VLOOKUP($A27,'[1]Raw Data'!$A$3:$FB$285,157,FALSE)</f>
        <v>District Technical Officer</v>
      </c>
      <c r="FK27" s="27" t="s">
        <v>886</v>
      </c>
      <c r="FL27" s="27" t="str">
        <f>VLOOKUP($A27,'[1]Raw Data'!$A$3:$FB$285,158,FALSE)</f>
        <v/>
      </c>
      <c r="FM27" s="27" t="str">
        <f>VLOOKUP($A27,'[1]Raw Data'!$A$3:$FB$285,152,FALSE)</f>
        <v/>
      </c>
      <c r="FO27" s="27" t="str">
        <f>VLOOKUP($A27,'[1]Raw Data'!$A$3:$FB$285,153,FALSE)</f>
        <v>DIstrict Information Management Officer</v>
      </c>
      <c r="FP27" s="27" t="s">
        <v>887</v>
      </c>
      <c r="FQ27" s="27" t="str">
        <f>VLOOKUP($A27,'[1]Raw Data'!$A$3:$FB$285,154,FALSE)</f>
        <v/>
      </c>
    </row>
    <row r="28" spans="1:173" ht="24" x14ac:dyDescent="0.45">
      <c r="A28" s="27">
        <v>10007</v>
      </c>
      <c r="B28" s="36" t="str">
        <f ca="1">IFERROR(__xludf.DUMMYFUNCTION("""COMPUTED_VALUE"""),"Salpasilichho Gaunpalika")</f>
        <v>Salpasilichho Gaunpalika</v>
      </c>
      <c r="C28" s="37" t="str">
        <f>VLOOKUP(A28,'[1]Palika and District in Nepali '!$D$1:$F$283,3,FALSE)</f>
        <v>साल्पासिलिचो गाउँपालिका</v>
      </c>
      <c r="D28" s="36" t="str">
        <f ca="1">IFERROR(__xludf.DUMMYFUNCTION("""COMPUTED_VALUE"""),"Bhojpur")</f>
        <v>Bhojpur</v>
      </c>
      <c r="E28" s="36"/>
      <c r="F28" s="27">
        <f>VLOOKUP(A28,'[1]Raw Data'!$A$3:$FB$285,4,FALSE)</f>
        <v>308</v>
      </c>
      <c r="G28" s="27">
        <f>VLOOKUP(A28,'[1]Raw Data'!$A$3:$FB$285,5,FALSE)</f>
        <v>1108</v>
      </c>
      <c r="H28" s="27">
        <f>VLOOKUP(A28,'[1]Raw Data'!$A$3:$FB$285,6,FALSE)</f>
        <v>1416</v>
      </c>
      <c r="I28" s="27">
        <f>VLOOKUP($A28,'[1]Raw Data'!$A$3:$FB$285,8,FALSE)</f>
        <v>0</v>
      </c>
      <c r="J28" s="27">
        <f>VLOOKUP($A28,'[1]Raw Data'!$A$3:$FB$285,9,FALSE)</f>
        <v>7.0000000000000007E-2</v>
      </c>
      <c r="K28" s="27">
        <f>VLOOKUP($A28,'[1]Raw Data'!$A$3:$FB$285,11,FALSE)</f>
        <v>94.84</v>
      </c>
      <c r="L28" s="27">
        <f>VLOOKUP($A28,'[1]Raw Data'!$A$3:$FB$285,12,FALSE)</f>
        <v>74.7</v>
      </c>
      <c r="M28" s="27">
        <f>VLOOKUP($A28,'[1]Raw Data'!$A$3:$FB$285,14,FALSE)</f>
        <v>0</v>
      </c>
      <c r="N28" s="27">
        <f>VLOOKUP($A28,'[1]Raw Data'!$A$3:$FB$285,15,FALSE)</f>
        <v>0.02</v>
      </c>
      <c r="O28" s="27">
        <f>VLOOKUP($A28,'[1]Raw Data'!$A$3:$FB$285,17,FALSE)</f>
        <v>0</v>
      </c>
      <c r="P28" s="27">
        <f>VLOOKUP($A28,'[1]Raw Data'!$A$3:$FB$285,18,FALSE)</f>
        <v>0.06</v>
      </c>
      <c r="Q28" s="27">
        <f>VLOOKUP($A28,'[1]Raw Data'!$A$3:$FB$285,20,FALSE)</f>
        <v>0</v>
      </c>
      <c r="R28" s="27">
        <f>VLOOKUP($A28,'[1]Raw Data'!$A$3:$FB$285,21,FALSE)</f>
        <v>0</v>
      </c>
      <c r="S28" s="27">
        <f>VLOOKUP($A28,'[1]Raw Data'!$A$3:$FB$285,23,FALSE)</f>
        <v>0</v>
      </c>
      <c r="T28" s="27">
        <f>VLOOKUP($A28,'[1]Raw Data'!$A$3:$FB$285,24,FALSE)</f>
        <v>0</v>
      </c>
      <c r="U28" s="27">
        <f>VLOOKUP($A28,'[1]Raw Data'!$A$3:$FB$285,26,FALSE)</f>
        <v>3.46</v>
      </c>
      <c r="V28" s="27">
        <f>VLOOKUP($A28,'[1]Raw Data'!$A$3:$FB$285,27,FALSE)</f>
        <v>0.73</v>
      </c>
      <c r="W28" s="27">
        <f>VLOOKUP($A28,'[1]Raw Data'!$A$3:$FB$285,29,FALSE)</f>
        <v>0</v>
      </c>
      <c r="X28" s="27">
        <f>VLOOKUP($A28,'[1]Raw Data'!$A$3:$FB$285,30,FALSE)</f>
        <v>0</v>
      </c>
      <c r="Y28" s="27">
        <f>VLOOKUP($A28,'[1]Raw Data'!$A$3:$FB$285,32,FALSE)</f>
        <v>7.0000000000000007E-2</v>
      </c>
      <c r="Z28" s="27">
        <f>VLOOKUP($A28,'[1]Raw Data'!$A$3:$FB$285,33,FALSE)</f>
        <v>0.03</v>
      </c>
      <c r="AA28" s="27">
        <f>VLOOKUP($A28,'[1]Raw Data'!$A$3:$FB$285,35,FALSE)</f>
        <v>7.0000000000000007E-2</v>
      </c>
      <c r="AB28" s="27">
        <f>VLOOKUP($A28,'[1]Raw Data'!$A$3:$FB$285,36,FALSE)</f>
        <v>24.05</v>
      </c>
      <c r="AC28" s="27">
        <f>VLOOKUP($A28,'[1]Raw Data'!$A$3:$FB$285,38,FALSE)</f>
        <v>1.55</v>
      </c>
      <c r="AD28" s="27">
        <f>VLOOKUP($A28,'[1]Raw Data'!$A$3:$FB$285,39,FALSE)</f>
        <v>0.33</v>
      </c>
      <c r="AE28" s="27">
        <f>VLOOKUP($A28,'[1]Raw Data'!$A$3:$FB$285,41,FALSE)</f>
        <v>0</v>
      </c>
      <c r="AF28" s="27">
        <f>VLOOKUP($A28,'[1]Raw Data'!$A$3:$FB$285,42,FALSE)</f>
        <v>0</v>
      </c>
      <c r="AG28" s="27">
        <f>VLOOKUP($A28,'[1]Raw Data'!$A$3:$FB$285,44,FALSE)</f>
        <v>0</v>
      </c>
      <c r="AH28" s="27">
        <f>VLOOKUP($A28,'[1]Raw Data'!$A$3:$FB$285,45,FALSE)</f>
        <v>0</v>
      </c>
      <c r="AI28" s="27">
        <f>VLOOKUP($A28,'[1]Raw Data'!$A$3:$FB$285,46,FALSE)</f>
        <v>1121</v>
      </c>
      <c r="AJ28" s="27">
        <f>VLOOKUP($A28,'[1]Raw Data'!$A$3:$FB$285,47,FALSE)</f>
        <v>1281</v>
      </c>
      <c r="AK28" s="27">
        <f>VLOOKUP($A28,'[1]Raw Data'!$A$3:$FB$285,48,FALSE)</f>
        <v>1281</v>
      </c>
      <c r="AL28" s="27">
        <f>VLOOKUP($A28,'[1]Raw Data'!$A$3:$FB$285,49,FALSE)</f>
        <v>223</v>
      </c>
      <c r="AM28" s="27">
        <f>VLOOKUP($A28,'[1]Raw Data'!$A$3:$FB$285,50,FALSE)</f>
        <v>0</v>
      </c>
      <c r="AN28" s="27" t="str">
        <f>VLOOKUP($A28,'[1]Raw Data'!$A$3:$FB$285,51,FALSE)</f>
        <v/>
      </c>
      <c r="AO28" s="27" t="str">
        <f>VLOOKUP($A28,'[1]Raw Data'!$A$3:$FB$285,52,FALSE)</f>
        <v/>
      </c>
      <c r="AP28" s="27">
        <f>VLOOKUP($A28,'[1]Raw Data'!$A$3:$FB$285,53,FALSE)</f>
        <v>2</v>
      </c>
      <c r="AQ28" s="27" t="str">
        <f>VLOOKUP($A28,'[1]Raw Data'!$A$3:$FB$285,54,FALSE)</f>
        <v/>
      </c>
      <c r="AR28" s="27" t="str">
        <f>VLOOKUP($A28,'[1]Raw Data'!$A$3:$FB$285,55,FALSE)</f>
        <v/>
      </c>
      <c r="AS28" s="27" t="str">
        <f>VLOOKUP($A28,'[1]Raw Data'!$A$3:$FB$285,56,FALSE)</f>
        <v/>
      </c>
      <c r="AT28" s="27" t="str">
        <f>VLOOKUP($A28,'[1]Raw Data'!$A$3:$FB$285,57,FALSE)</f>
        <v/>
      </c>
      <c r="AU28" s="27" t="str">
        <f>VLOOKUP($A28,'[1]Raw Data'!$A$3:$FB$285,58,FALSE)</f>
        <v/>
      </c>
      <c r="AV28" s="27" t="str">
        <f>VLOOKUP($A28,'[1]Raw Data'!$A$3:$FB$285,59,FALSE)</f>
        <v/>
      </c>
      <c r="AW28" s="27" t="str">
        <f>VLOOKUP($A28,'[1]Raw Data'!$A$3:$FB$285,60,FALSE)</f>
        <v/>
      </c>
      <c r="AX28" s="27" t="str">
        <f>VLOOKUP(A28,'[1]PO''s List'!A26:E308,4,FALSE)</f>
        <v/>
      </c>
      <c r="AZ28" s="27" t="str">
        <f>VLOOKUP(A28,'[1]PO''s List'!$A$3:$E$285,5,FALSE)</f>
        <v/>
      </c>
      <c r="BB28" s="27">
        <f>VLOOKUP($A28,'[1]Raw Data'!$A$3:$FB$285,63,FALSE)</f>
        <v>35352</v>
      </c>
      <c r="BC28" s="27" t="str">
        <f>VLOOKUP($A28,'[1]Raw Data'!$A$3:$FB$285,64,FALSE)</f>
        <v/>
      </c>
      <c r="BD28" s="27" t="str">
        <f t="shared" si="0"/>
        <v/>
      </c>
      <c r="BE28" s="27" t="str">
        <f>VLOOKUP($A28,'[1]Raw Data'!$A$3:$FB$285,65,FALSE)</f>
        <v/>
      </c>
      <c r="BF28" s="27">
        <f>VLOOKUP($A28,'[1]Raw Data'!$A$3:$FB$285,66,FALSE)</f>
        <v>37372</v>
      </c>
      <c r="BG28" s="27" t="str">
        <f>VLOOKUP($A28,'[1]Raw Data'!$A$3:$FB$285,67,FALSE)</f>
        <v/>
      </c>
      <c r="BH28" s="27" t="str">
        <f t="shared" si="1"/>
        <v/>
      </c>
      <c r="BI28" s="27" t="str">
        <f>VLOOKUP($A28,'[1]Raw Data'!$A$3:$FB$285,68,FALSE)</f>
        <v/>
      </c>
      <c r="BJ28" s="27">
        <f>VLOOKUP($A28,'[1]Raw Data'!$A$3:$FB$285,69,FALSE)</f>
        <v>3784</v>
      </c>
      <c r="BK28" s="27" t="str">
        <f>VLOOKUP($A28,'[1]Raw Data'!$A$3:$FB$285,70,FALSE)</f>
        <v/>
      </c>
      <c r="BL28" s="27" t="str">
        <f t="shared" si="2"/>
        <v/>
      </c>
      <c r="BM28" s="27" t="str">
        <f>VLOOKUP($A28,'[1]Raw Data'!$A$3:$FB$285,71,FALSE)</f>
        <v/>
      </c>
      <c r="BN28" s="27">
        <f>VLOOKUP($A28,'[1]Raw Data'!$A$3:$FB$285,72,FALSE)</f>
        <v>4401</v>
      </c>
      <c r="BO28" s="27" t="str">
        <f>VLOOKUP($A28,'[1]Raw Data'!$A$3:$FB$285,73,FALSE)</f>
        <v/>
      </c>
      <c r="BP28" s="27" t="str">
        <f t="shared" si="3"/>
        <v/>
      </c>
      <c r="BQ28" s="27" t="str">
        <f>VLOOKUP($A28,'[1]Raw Data'!$A$3:$FB$285,74,FALSE)</f>
        <v/>
      </c>
      <c r="BR28" s="27" t="str">
        <f>VLOOKUP($A28,'[1]Raw Data'!$A$3:$FB$285,75,FALSE)</f>
        <v/>
      </c>
      <c r="BS28" s="27" t="str">
        <f>VLOOKUP($A28,'[1]Raw Data'!$A$3:$FB$285,76,FALSE)</f>
        <v/>
      </c>
      <c r="BT28" s="27" t="str">
        <f t="shared" si="4"/>
        <v/>
      </c>
      <c r="BU28" s="27" t="str">
        <f>VLOOKUP($A28,'[1]Raw Data'!$A$3:$FB$285,77,FALSE)</f>
        <v/>
      </c>
      <c r="BV28" s="27">
        <f>VLOOKUP($A28,'[1]Raw Data'!$A$3:$FB$285,78,FALSE)</f>
        <v>122849</v>
      </c>
      <c r="BW28" s="27" t="str">
        <f>VLOOKUP($A28,'[1]Raw Data'!$A$3:$FB$285,79,FALSE)</f>
        <v/>
      </c>
      <c r="BX28" s="27" t="str">
        <f t="shared" si="5"/>
        <v/>
      </c>
      <c r="BY28" s="27" t="str">
        <f>VLOOKUP($A28,'[1]Raw Data'!$A$3:$FB$285,80,FALSE)</f>
        <v/>
      </c>
      <c r="BZ28" s="27">
        <f>VLOOKUP($A28,'[1]Raw Data'!$A$3:$FB$285,81,FALSE)</f>
        <v>380485</v>
      </c>
      <c r="CA28" s="27" t="str">
        <f>VLOOKUP($A28,'[1]Raw Data'!$A$3:$FB$285,82,FALSE)</f>
        <v/>
      </c>
      <c r="CB28" s="27" t="str">
        <f t="shared" si="6"/>
        <v/>
      </c>
      <c r="CC28" s="27" t="str">
        <f>VLOOKUP($A28,'[1]Raw Data'!$A$3:$FB$285,83,FALSE)</f>
        <v/>
      </c>
      <c r="CD28" s="27">
        <f>VLOOKUP($A28,'[1]Raw Data'!$A$3:$FB$285,84,FALSE)</f>
        <v>5018</v>
      </c>
      <c r="CE28" s="27" t="str">
        <f>VLOOKUP($A28,'[1]Raw Data'!$A$3:$FB$285,85,FALSE)</f>
        <v/>
      </c>
      <c r="CF28" s="27" t="str">
        <f t="shared" si="7"/>
        <v/>
      </c>
      <c r="CG28" s="27" t="str">
        <f>VLOOKUP($A28,'[1]Raw Data'!$A$3:$FB$285,86,FALSE)</f>
        <v/>
      </c>
      <c r="CH28" s="27">
        <f>VLOOKUP($A28,'[1]Raw Data'!$A$3:$FB$285,87,FALSE)</f>
        <v>145465</v>
      </c>
      <c r="CI28" s="27" t="str">
        <f>VLOOKUP($A28,'[1]Raw Data'!$A$3:$FB$285,88,FALSE)</f>
        <v/>
      </c>
      <c r="CJ28" s="27" t="str">
        <f t="shared" si="8"/>
        <v/>
      </c>
      <c r="CK28" s="27" t="str">
        <f>VLOOKUP($A28,'[1]Raw Data'!$A$3:$FB$285,89,FALSE)</f>
        <v/>
      </c>
      <c r="CL28" s="27" t="str">
        <f>VLOOKUP($A28,'[1]Raw Data'!$A$3:$FB$285,91,FALSE)</f>
        <v/>
      </c>
      <c r="CM28" s="27" t="str">
        <f>VLOOKUP($A28,'[1]Raw Data'!$A$3:$FB$285,93,FALSE)</f>
        <v/>
      </c>
      <c r="CN28" s="27" t="str">
        <f>VLOOKUP($A28,'[1]Raw Data'!$A$3:$FB$285,94,FALSE)</f>
        <v/>
      </c>
      <c r="CO28" s="27" t="str">
        <f>VLOOKUP($A28,'[1]Raw Data'!$A$3:$FB$285,95,FALSE)</f>
        <v/>
      </c>
      <c r="CP28" s="27" t="str">
        <f>VLOOKUP($A28,'[1]Raw Data'!$A$3:$FB$285,96,FALSE)</f>
        <v/>
      </c>
      <c r="CQ28" s="27" t="str">
        <f>VLOOKUP($A28,'[1]Raw Data'!$A$3:$FB$285,97,FALSE)</f>
        <v/>
      </c>
      <c r="CR28" s="27" t="str">
        <f>VLOOKUP($A28,'[1]Raw Data'!$A$3:$FB$285,98,FALSE)</f>
        <v/>
      </c>
      <c r="CS28" s="27" t="str">
        <f>VLOOKUP($A28,'[1]Raw Data'!$A$3:$FB$285,99,FALSE)</f>
        <v/>
      </c>
      <c r="CT28" s="27" t="str">
        <f>VLOOKUP($A28,'[1]Raw Data'!$A$3:$FB$285,101,FALSE)</f>
        <v/>
      </c>
      <c r="CV28" s="27" t="str">
        <f>VLOOKUP($A28,'[1]Raw Data'!$A$3:$FB$285,102,FALSE)</f>
        <v>Chairman</v>
      </c>
      <c r="CW28" s="27" t="s">
        <v>878</v>
      </c>
      <c r="CX28" s="27" t="str">
        <f>VLOOKUP($A28,'[1]Raw Data'!$A$3:$FB$285,103,FALSE)</f>
        <v/>
      </c>
      <c r="CY28" s="27" t="str">
        <f>VLOOKUP($A28,'[1]Raw Data'!$A$3:$FB$285,105,FALSE)</f>
        <v/>
      </c>
      <c r="DA28" s="27" t="str">
        <f>VLOOKUP($A28,'[1]Raw Data'!$A$3:$FB$285,106,FALSE)</f>
        <v>Deputy Chairman</v>
      </c>
      <c r="DB28" s="27" t="s">
        <v>879</v>
      </c>
      <c r="DC28" s="27" t="str">
        <f>VLOOKUP($A28,'[1]Raw Data'!$A$3:$FB$285,107,FALSE)</f>
        <v/>
      </c>
      <c r="DD28" s="27" t="str">
        <f>VLOOKUP($A28,'[1]Raw Data'!$A$3:$FB$285,109,FALSE)</f>
        <v/>
      </c>
      <c r="DF28" s="27" t="str">
        <f>VLOOKUP($A28,'[1]Raw Data'!$A$3:$FB$285,110,FALSE)</f>
        <v>Chief Adminstration Officer</v>
      </c>
      <c r="DG28" s="27" t="s">
        <v>880</v>
      </c>
      <c r="DH28" s="27" t="str">
        <f>VLOOKUP($A28,'[1]Raw Data'!$A$3:$FB$285,111,FALSE)</f>
        <v/>
      </c>
      <c r="DI28" s="27" t="str">
        <f>VLOOKUP($A28,'[1]Raw Data'!$A$3:$FB$285,121,FALSE)</f>
        <v/>
      </c>
      <c r="DK28" s="27" t="str">
        <f>VLOOKUP($A28,'[1]Raw Data'!$A$3:$FB$285,122,FALSE)</f>
        <v>Focal Person</v>
      </c>
      <c r="DL28" s="27" t="s">
        <v>881</v>
      </c>
      <c r="DM28" s="27" t="str">
        <f>VLOOKUP($A28,'[1]Raw Data'!$A$3:$FB$285,123,FALSE)</f>
        <v/>
      </c>
      <c r="DN28" s="27" t="str">
        <f>VLOOKUP($A28,'[1]Raw Data'!$A$3:$FB$285,113,FALSE)</f>
        <v/>
      </c>
      <c r="DP28" s="27" t="str">
        <f>VLOOKUP($A28,'[1]Raw Data'!$A$3:$FB$285,114,FALSE)</f>
        <v>NRA Chief-District</v>
      </c>
      <c r="DQ28" s="27" t="s">
        <v>882</v>
      </c>
      <c r="DR28" s="27" t="str">
        <f>VLOOKUP($A28,'[1]Raw Data'!$A$3:$FB$285,115,FALSE)</f>
        <v/>
      </c>
      <c r="DS28" s="27" t="str">
        <f>VLOOKUP($A28,'[1]Raw Data'!$A$3:$FB$285,117,FALSE)</f>
        <v/>
      </c>
      <c r="DU28" s="27" t="str">
        <f>VLOOKUP($A28,'[1]Raw Data'!$A$3:$FB$285,118,FALSE)</f>
        <v>DUDBC.DLPIU Chief</v>
      </c>
      <c r="DV28" s="27" t="s">
        <v>883</v>
      </c>
      <c r="DW28" s="27" t="str">
        <f>VLOOKUP($A28,'[1]Raw Data'!$A$3:$FB$285,119,FALSE)</f>
        <v/>
      </c>
      <c r="DX28" s="27" t="s">
        <v>339</v>
      </c>
      <c r="DY28" s="27" t="str">
        <f>VLOOKUP($A28,'[1]Raw Data'!$A$3:$FB$285,124,FALSE)</f>
        <v/>
      </c>
      <c r="DZ28" s="27" t="s">
        <v>884</v>
      </c>
      <c r="EA28" s="27" t="str">
        <f>VLOOKUP($A28,'[1]Raw Data'!$A$3:$FB$285,125,FALSE)</f>
        <v/>
      </c>
      <c r="EB28" s="27" t="s">
        <v>341</v>
      </c>
      <c r="EC28" s="27" t="str">
        <f>VLOOKUP($A28,'[1]Raw Data'!$A$3:$FB$285,126,FALSE)</f>
        <v/>
      </c>
      <c r="ED28" t="s">
        <v>478</v>
      </c>
      <c r="EE28" s="27" t="str">
        <f>VLOOKUP($A28,'[1]Raw Data'!$A$3:$FB$285,127,FALSE)</f>
        <v/>
      </c>
      <c r="EF28" s="27" t="s">
        <v>343</v>
      </c>
      <c r="EG28" s="27" t="str">
        <f>VLOOKUP($A28,'[1]Raw Data'!$A$3:$FB$285,128,FALSE)</f>
        <v/>
      </c>
      <c r="EH28" t="s">
        <v>344</v>
      </c>
      <c r="EI28" s="27" t="str">
        <f>VLOOKUP($A28,'[1]Raw Data'!$A$3:$FB$285,129,FALSE)</f>
        <v/>
      </c>
      <c r="EM28" s="27" t="str">
        <f>VLOOKUP($A28,'[1]Raw Data'!$A$3:$FB$285,130,FALSE)</f>
        <v/>
      </c>
      <c r="EN28" s="27" t="str">
        <f>VLOOKUP($A28,'[1]Raw Data'!$A$3:$FB$285,131,FALSE)</f>
        <v/>
      </c>
      <c r="EO28" s="27" t="str">
        <f>VLOOKUP($A28,'[1]Raw Data'!$A$3:$FB$285,132,FALSE)</f>
        <v/>
      </c>
      <c r="EP28" s="27" t="str">
        <f>VLOOKUP($A28,'[1]Raw Data'!$A$3:$FB$285,133,FALSE)</f>
        <v/>
      </c>
      <c r="EQ28" s="27" t="str">
        <f>VLOOKUP($A28,'[1]Raw Data'!$A$3:$FB$285,134,FALSE)</f>
        <v/>
      </c>
      <c r="ER28" s="27" t="str">
        <f>VLOOKUP($A28,'[1]Raw Data'!$A$3:$FB$285,135,FALSE)</f>
        <v/>
      </c>
      <c r="ES28" s="27" t="str">
        <f>VLOOKUP($A28,'[1]Raw Data'!$A$3:$FB$285,136,FALSE)</f>
        <v/>
      </c>
      <c r="ET28" s="27" t="str">
        <f>VLOOKUP($A28,'[1]Raw Data'!$A$3:$FB$285,137,FALSE)</f>
        <v/>
      </c>
      <c r="EU28" s="27" t="str">
        <f>VLOOKUP($A28,'[1]Raw Data'!$A$3:$FB$285,138,FALSE)</f>
        <v/>
      </c>
      <c r="EV28" s="27" t="str">
        <f>VLOOKUP($A28,'[1]Raw Data'!$A$3:$FB$285,139,FALSE)</f>
        <v/>
      </c>
      <c r="EW28" s="38">
        <f>VLOOKUP($A28,[1]Training!$A$2:$I$284,5,FALSE)</f>
        <v>86.230769230769226</v>
      </c>
      <c r="EX28" s="31">
        <f>VLOOKUP($A28,[1]Training!$A$2:$I$284,6,FALSE)</f>
        <v>0</v>
      </c>
      <c r="EY28" s="38">
        <f>VLOOKUP($A28,[1]Training!$A$2:$I$284,8,FALSE)</f>
        <v>101.90909090909091</v>
      </c>
      <c r="EZ28" s="31">
        <f>VLOOKUP($A28,[1]Training!$A$2:$I$284,9,FALSE)</f>
        <v>140</v>
      </c>
      <c r="FA28" s="27">
        <v>1</v>
      </c>
      <c r="FB28" s="27">
        <v>2</v>
      </c>
      <c r="FC28" s="27" t="str">
        <f>VLOOKUP($A28,'[1]Raw Data'!$A$3:$FB$285,148,FALSE)</f>
        <v/>
      </c>
      <c r="FE28" s="27" t="str">
        <f>VLOOKUP($A28,'[1]Raw Data'!$A$3:$FB$285,149,FALSE)</f>
        <v>District Coordinator</v>
      </c>
      <c r="FF28" s="27" t="s">
        <v>885</v>
      </c>
      <c r="FG28" s="27" t="str">
        <f>VLOOKUP($A28,'[1]Raw Data'!$A$3:$FB$285,150,FALSE)</f>
        <v/>
      </c>
      <c r="FH28" s="27" t="str">
        <f>VLOOKUP($A28,'[1]Raw Data'!$A$3:$FB$285,156,FALSE)</f>
        <v/>
      </c>
      <c r="FJ28" s="27" t="str">
        <f>VLOOKUP($A28,'[1]Raw Data'!$A$3:$FB$285,157,FALSE)</f>
        <v>District Technical Officer</v>
      </c>
      <c r="FK28" s="27" t="s">
        <v>886</v>
      </c>
      <c r="FL28" s="27" t="str">
        <f>VLOOKUP($A28,'[1]Raw Data'!$A$3:$FB$285,158,FALSE)</f>
        <v/>
      </c>
      <c r="FM28" s="27" t="str">
        <f>VLOOKUP($A28,'[1]Raw Data'!$A$3:$FB$285,152,FALSE)</f>
        <v/>
      </c>
      <c r="FO28" s="27" t="str">
        <f>VLOOKUP($A28,'[1]Raw Data'!$A$3:$FB$285,153,FALSE)</f>
        <v>DIstrict Information Management Officer</v>
      </c>
      <c r="FP28" s="27" t="s">
        <v>887</v>
      </c>
      <c r="FQ28" s="27" t="str">
        <f>VLOOKUP($A28,'[1]Raw Data'!$A$3:$FB$285,154,FALSE)</f>
        <v/>
      </c>
    </row>
    <row r="29" spans="1:173" ht="24" x14ac:dyDescent="0.45">
      <c r="A29" s="27">
        <v>10008</v>
      </c>
      <c r="B29" s="36" t="str">
        <f ca="1">IFERROR(__xludf.DUMMYFUNCTION("""COMPUTED_VALUE"""),"Shadananda Nagarpalika")</f>
        <v>Shadananda Nagarpalika</v>
      </c>
      <c r="C29" s="37" t="str">
        <f>VLOOKUP(A29,'[1]Palika and District in Nepali '!$D$1:$F$283,3,FALSE)</f>
        <v>सदानन्द नगरपालिका</v>
      </c>
      <c r="D29" s="36" t="str">
        <f ca="1">IFERROR(__xludf.DUMMYFUNCTION("""COMPUTED_VALUE"""),"Bhojpur")</f>
        <v>Bhojpur</v>
      </c>
      <c r="E29" s="36"/>
      <c r="F29" s="27">
        <f>VLOOKUP(A29,'[1]Raw Data'!$A$3:$FB$285,4,FALSE)</f>
        <v>454</v>
      </c>
      <c r="G29" s="27">
        <f>VLOOKUP(A29,'[1]Raw Data'!$A$3:$FB$285,5,FALSE)</f>
        <v>1170</v>
      </c>
      <c r="H29" s="27">
        <f>VLOOKUP(A29,'[1]Raw Data'!$A$3:$FB$285,6,FALSE)</f>
        <v>1624</v>
      </c>
      <c r="I29" s="27">
        <f>VLOOKUP($A29,'[1]Raw Data'!$A$3:$FB$285,8,FALSE)</f>
        <v>0</v>
      </c>
      <c r="J29" s="27">
        <f>VLOOKUP($A29,'[1]Raw Data'!$A$3:$FB$285,9,FALSE)</f>
        <v>7.0000000000000007E-2</v>
      </c>
      <c r="K29" s="27">
        <f>VLOOKUP($A29,'[1]Raw Data'!$A$3:$FB$285,11,FALSE)</f>
        <v>99.08</v>
      </c>
      <c r="L29" s="27">
        <f>VLOOKUP($A29,'[1]Raw Data'!$A$3:$FB$285,12,FALSE)</f>
        <v>74.7</v>
      </c>
      <c r="M29" s="27">
        <f>VLOOKUP($A29,'[1]Raw Data'!$A$3:$FB$285,14,FALSE)</f>
        <v>0</v>
      </c>
      <c r="N29" s="27">
        <f>VLOOKUP($A29,'[1]Raw Data'!$A$3:$FB$285,15,FALSE)</f>
        <v>0.02</v>
      </c>
      <c r="O29" s="27">
        <f>VLOOKUP($A29,'[1]Raw Data'!$A$3:$FB$285,17,FALSE)</f>
        <v>0.12</v>
      </c>
      <c r="P29" s="27">
        <f>VLOOKUP($A29,'[1]Raw Data'!$A$3:$FB$285,18,FALSE)</f>
        <v>0.06</v>
      </c>
      <c r="Q29" s="27">
        <f>VLOOKUP($A29,'[1]Raw Data'!$A$3:$FB$285,20,FALSE)</f>
        <v>0</v>
      </c>
      <c r="R29" s="27">
        <f>VLOOKUP($A29,'[1]Raw Data'!$A$3:$FB$285,21,FALSE)</f>
        <v>0</v>
      </c>
      <c r="S29" s="27">
        <f>VLOOKUP($A29,'[1]Raw Data'!$A$3:$FB$285,23,FALSE)</f>
        <v>0</v>
      </c>
      <c r="T29" s="27">
        <f>VLOOKUP($A29,'[1]Raw Data'!$A$3:$FB$285,24,FALSE)</f>
        <v>0</v>
      </c>
      <c r="U29" s="27">
        <f>VLOOKUP($A29,'[1]Raw Data'!$A$3:$FB$285,26,FALSE)</f>
        <v>0.37</v>
      </c>
      <c r="V29" s="27">
        <f>VLOOKUP($A29,'[1]Raw Data'!$A$3:$FB$285,27,FALSE)</f>
        <v>0.73</v>
      </c>
      <c r="W29" s="27">
        <f>VLOOKUP($A29,'[1]Raw Data'!$A$3:$FB$285,29,FALSE)</f>
        <v>0</v>
      </c>
      <c r="X29" s="27">
        <f>VLOOKUP($A29,'[1]Raw Data'!$A$3:$FB$285,30,FALSE)</f>
        <v>0</v>
      </c>
      <c r="Y29" s="27">
        <f>VLOOKUP($A29,'[1]Raw Data'!$A$3:$FB$285,32,FALSE)</f>
        <v>0</v>
      </c>
      <c r="Z29" s="27">
        <f>VLOOKUP($A29,'[1]Raw Data'!$A$3:$FB$285,33,FALSE)</f>
        <v>0.03</v>
      </c>
      <c r="AA29" s="27">
        <f>VLOOKUP($A29,'[1]Raw Data'!$A$3:$FB$285,35,FALSE)</f>
        <v>0.37</v>
      </c>
      <c r="AB29" s="27">
        <f>VLOOKUP($A29,'[1]Raw Data'!$A$3:$FB$285,36,FALSE)</f>
        <v>24.05</v>
      </c>
      <c r="AC29" s="27">
        <f>VLOOKUP($A29,'[1]Raw Data'!$A$3:$FB$285,38,FALSE)</f>
        <v>0.06</v>
      </c>
      <c r="AD29" s="27">
        <f>VLOOKUP($A29,'[1]Raw Data'!$A$3:$FB$285,39,FALSE)</f>
        <v>0.33</v>
      </c>
      <c r="AE29" s="27">
        <f>VLOOKUP($A29,'[1]Raw Data'!$A$3:$FB$285,41,FALSE)</f>
        <v>0</v>
      </c>
      <c r="AF29" s="27">
        <f>VLOOKUP($A29,'[1]Raw Data'!$A$3:$FB$285,42,FALSE)</f>
        <v>0</v>
      </c>
      <c r="AG29" s="27">
        <f>VLOOKUP($A29,'[1]Raw Data'!$A$3:$FB$285,44,FALSE)</f>
        <v>0</v>
      </c>
      <c r="AH29" s="27">
        <f>VLOOKUP($A29,'[1]Raw Data'!$A$3:$FB$285,45,FALSE)</f>
        <v>0</v>
      </c>
      <c r="AI29" s="27">
        <f>VLOOKUP($A29,'[1]Raw Data'!$A$3:$FB$285,46,FALSE)</f>
        <v>1057</v>
      </c>
      <c r="AJ29" s="27">
        <f>VLOOKUP($A29,'[1]Raw Data'!$A$3:$FB$285,47,FALSE)</f>
        <v>957</v>
      </c>
      <c r="AK29" s="27">
        <f>VLOOKUP($A29,'[1]Raw Data'!$A$3:$FB$285,48,FALSE)</f>
        <v>957</v>
      </c>
      <c r="AL29" s="27">
        <f>VLOOKUP($A29,'[1]Raw Data'!$A$3:$FB$285,49,FALSE)</f>
        <v>115</v>
      </c>
      <c r="AM29" s="27">
        <f>VLOOKUP($A29,'[1]Raw Data'!$A$3:$FB$285,50,FALSE)</f>
        <v>0</v>
      </c>
      <c r="AN29" s="27" t="str">
        <f>VLOOKUP($A29,'[1]Raw Data'!$A$3:$FB$285,51,FALSE)</f>
        <v/>
      </c>
      <c r="AO29" s="27" t="str">
        <f>VLOOKUP($A29,'[1]Raw Data'!$A$3:$FB$285,52,FALSE)</f>
        <v/>
      </c>
      <c r="AP29" s="27">
        <f>VLOOKUP($A29,'[1]Raw Data'!$A$3:$FB$285,53,FALSE)</f>
        <v>82</v>
      </c>
      <c r="AQ29" s="27" t="str">
        <f>VLOOKUP($A29,'[1]Raw Data'!$A$3:$FB$285,54,FALSE)</f>
        <v/>
      </c>
      <c r="AR29" s="27" t="str">
        <f>VLOOKUP($A29,'[1]Raw Data'!$A$3:$FB$285,55,FALSE)</f>
        <v/>
      </c>
      <c r="AS29" s="27" t="str">
        <f>VLOOKUP($A29,'[1]Raw Data'!$A$3:$FB$285,56,FALSE)</f>
        <v/>
      </c>
      <c r="AT29" s="27" t="str">
        <f>VLOOKUP($A29,'[1]Raw Data'!$A$3:$FB$285,57,FALSE)</f>
        <v/>
      </c>
      <c r="AU29" s="27" t="str">
        <f>VLOOKUP($A29,'[1]Raw Data'!$A$3:$FB$285,58,FALSE)</f>
        <v/>
      </c>
      <c r="AV29" s="27" t="str">
        <f>VLOOKUP($A29,'[1]Raw Data'!$A$3:$FB$285,59,FALSE)</f>
        <v/>
      </c>
      <c r="AW29" s="27" t="str">
        <f>VLOOKUP($A29,'[1]Raw Data'!$A$3:$FB$285,60,FALSE)</f>
        <v/>
      </c>
      <c r="AX29" s="27" t="str">
        <f>VLOOKUP(A29,'[1]PO''s List'!A27:E309,4,FALSE)</f>
        <v/>
      </c>
      <c r="AZ29" s="27" t="str">
        <f>VLOOKUP(A29,'[1]PO''s List'!$A$3:$E$285,5,FALSE)</f>
        <v/>
      </c>
      <c r="BB29" s="27">
        <f>VLOOKUP($A29,'[1]Raw Data'!$A$3:$FB$285,63,FALSE)</f>
        <v>27316</v>
      </c>
      <c r="BC29" s="27" t="str">
        <f>VLOOKUP($A29,'[1]Raw Data'!$A$3:$FB$285,64,FALSE)</f>
        <v/>
      </c>
      <c r="BD29" s="27" t="str">
        <f t="shared" si="0"/>
        <v/>
      </c>
      <c r="BE29" s="27" t="str">
        <f>VLOOKUP($A29,'[1]Raw Data'!$A$3:$FB$285,65,FALSE)</f>
        <v/>
      </c>
      <c r="BF29" s="27">
        <f>VLOOKUP($A29,'[1]Raw Data'!$A$3:$FB$285,66,FALSE)</f>
        <v>27917</v>
      </c>
      <c r="BG29" s="27" t="str">
        <f>VLOOKUP($A29,'[1]Raw Data'!$A$3:$FB$285,67,FALSE)</f>
        <v/>
      </c>
      <c r="BH29" s="27" t="str">
        <f t="shared" si="1"/>
        <v/>
      </c>
      <c r="BI29" s="27" t="str">
        <f>VLOOKUP($A29,'[1]Raw Data'!$A$3:$FB$285,68,FALSE)</f>
        <v/>
      </c>
      <c r="BJ29" s="27">
        <f>VLOOKUP($A29,'[1]Raw Data'!$A$3:$FB$285,69,FALSE)</f>
        <v>2917</v>
      </c>
      <c r="BK29" s="27" t="str">
        <f>VLOOKUP($A29,'[1]Raw Data'!$A$3:$FB$285,70,FALSE)</f>
        <v/>
      </c>
      <c r="BL29" s="27" t="str">
        <f t="shared" si="2"/>
        <v/>
      </c>
      <c r="BM29" s="27" t="str">
        <f>VLOOKUP($A29,'[1]Raw Data'!$A$3:$FB$285,71,FALSE)</f>
        <v/>
      </c>
      <c r="BN29" s="27">
        <f>VLOOKUP($A29,'[1]Raw Data'!$A$3:$FB$285,72,FALSE)</f>
        <v>3366</v>
      </c>
      <c r="BO29" s="27" t="str">
        <f>VLOOKUP($A29,'[1]Raw Data'!$A$3:$FB$285,73,FALSE)</f>
        <v/>
      </c>
      <c r="BP29" s="27" t="str">
        <f t="shared" si="3"/>
        <v/>
      </c>
      <c r="BQ29" s="27" t="str">
        <f>VLOOKUP($A29,'[1]Raw Data'!$A$3:$FB$285,74,FALSE)</f>
        <v/>
      </c>
      <c r="BR29" s="27" t="str">
        <f>VLOOKUP($A29,'[1]Raw Data'!$A$3:$FB$285,75,FALSE)</f>
        <v/>
      </c>
      <c r="BS29" s="27" t="str">
        <f>VLOOKUP($A29,'[1]Raw Data'!$A$3:$FB$285,76,FALSE)</f>
        <v/>
      </c>
      <c r="BT29" s="27" t="str">
        <f t="shared" si="4"/>
        <v/>
      </c>
      <c r="BU29" s="27" t="str">
        <f>VLOOKUP($A29,'[1]Raw Data'!$A$3:$FB$285,77,FALSE)</f>
        <v/>
      </c>
      <c r="BV29" s="27">
        <f>VLOOKUP($A29,'[1]Raw Data'!$A$3:$FB$285,78,FALSE)</f>
        <v>93243</v>
      </c>
      <c r="BW29" s="27" t="str">
        <f>VLOOKUP($A29,'[1]Raw Data'!$A$3:$FB$285,79,FALSE)</f>
        <v/>
      </c>
      <c r="BX29" s="27" t="str">
        <f t="shared" si="5"/>
        <v/>
      </c>
      <c r="BY29" s="27" t="str">
        <f>VLOOKUP($A29,'[1]Raw Data'!$A$3:$FB$285,80,FALSE)</f>
        <v/>
      </c>
      <c r="BZ29" s="27">
        <f>VLOOKUP($A29,'[1]Raw Data'!$A$3:$FB$285,81,FALSE)</f>
        <v>297243</v>
      </c>
      <c r="CA29" s="27" t="str">
        <f>VLOOKUP($A29,'[1]Raw Data'!$A$3:$FB$285,82,FALSE)</f>
        <v/>
      </c>
      <c r="CB29" s="27" t="str">
        <f t="shared" si="6"/>
        <v/>
      </c>
      <c r="CC29" s="27" t="str">
        <f>VLOOKUP($A29,'[1]Raw Data'!$A$3:$FB$285,83,FALSE)</f>
        <v/>
      </c>
      <c r="CD29" s="27">
        <f>VLOOKUP($A29,'[1]Raw Data'!$A$3:$FB$285,84,FALSE)</f>
        <v>3815</v>
      </c>
      <c r="CE29" s="27" t="str">
        <f>VLOOKUP($A29,'[1]Raw Data'!$A$3:$FB$285,85,FALSE)</f>
        <v/>
      </c>
      <c r="CF29" s="27" t="str">
        <f t="shared" si="7"/>
        <v/>
      </c>
      <c r="CG29" s="27" t="str">
        <f>VLOOKUP($A29,'[1]Raw Data'!$A$3:$FB$285,86,FALSE)</f>
        <v/>
      </c>
      <c r="CH29" s="27">
        <f>VLOOKUP($A29,'[1]Raw Data'!$A$3:$FB$285,87,FALSE)</f>
        <v>388787</v>
      </c>
      <c r="CI29" s="27" t="str">
        <f>VLOOKUP($A29,'[1]Raw Data'!$A$3:$FB$285,88,FALSE)</f>
        <v/>
      </c>
      <c r="CJ29" s="27" t="str">
        <f t="shared" si="8"/>
        <v/>
      </c>
      <c r="CK29" s="27" t="str">
        <f>VLOOKUP($A29,'[1]Raw Data'!$A$3:$FB$285,89,FALSE)</f>
        <v/>
      </c>
      <c r="CL29" s="27" t="str">
        <f>VLOOKUP($A29,'[1]Raw Data'!$A$3:$FB$285,91,FALSE)</f>
        <v/>
      </c>
      <c r="CM29" s="27" t="str">
        <f>VLOOKUP($A29,'[1]Raw Data'!$A$3:$FB$285,93,FALSE)</f>
        <v/>
      </c>
      <c r="CN29" s="27" t="str">
        <f>VLOOKUP($A29,'[1]Raw Data'!$A$3:$FB$285,94,FALSE)</f>
        <v/>
      </c>
      <c r="CO29" s="27" t="str">
        <f>VLOOKUP($A29,'[1]Raw Data'!$A$3:$FB$285,95,FALSE)</f>
        <v/>
      </c>
      <c r="CP29" s="27" t="str">
        <f>VLOOKUP($A29,'[1]Raw Data'!$A$3:$FB$285,96,FALSE)</f>
        <v/>
      </c>
      <c r="CQ29" s="27" t="str">
        <f>VLOOKUP($A29,'[1]Raw Data'!$A$3:$FB$285,97,FALSE)</f>
        <v/>
      </c>
      <c r="CR29" s="27" t="str">
        <f>VLOOKUP($A29,'[1]Raw Data'!$A$3:$FB$285,98,FALSE)</f>
        <v/>
      </c>
      <c r="CS29" s="27" t="str">
        <f>VLOOKUP($A29,'[1]Raw Data'!$A$3:$FB$285,99,FALSE)</f>
        <v/>
      </c>
      <c r="CT29" s="27" t="str">
        <f>VLOOKUP($A29,'[1]Raw Data'!$A$3:$FB$285,101,FALSE)</f>
        <v/>
      </c>
      <c r="CV29" s="27" t="str">
        <f>VLOOKUP($A29,'[1]Raw Data'!$A$3:$FB$285,102,FALSE)</f>
        <v>Mayor</v>
      </c>
      <c r="CW29" s="27" t="s">
        <v>834</v>
      </c>
      <c r="CX29" s="27" t="str">
        <f>VLOOKUP($A29,'[1]Raw Data'!$A$3:$FB$285,103,FALSE)</f>
        <v/>
      </c>
      <c r="CY29" s="27" t="str">
        <f>VLOOKUP($A29,'[1]Raw Data'!$A$3:$FB$285,105,FALSE)</f>
        <v/>
      </c>
      <c r="DA29" s="27" t="str">
        <f>VLOOKUP($A29,'[1]Raw Data'!$A$3:$FB$285,106,FALSE)</f>
        <v>Deputy Mayor</v>
      </c>
      <c r="DB29" s="27" t="s">
        <v>888</v>
      </c>
      <c r="DC29" s="27" t="str">
        <f>VLOOKUP($A29,'[1]Raw Data'!$A$3:$FB$285,107,FALSE)</f>
        <v/>
      </c>
      <c r="DD29" s="27" t="str">
        <f>VLOOKUP($A29,'[1]Raw Data'!$A$3:$FB$285,109,FALSE)</f>
        <v/>
      </c>
      <c r="DF29" s="27" t="str">
        <f>VLOOKUP($A29,'[1]Raw Data'!$A$3:$FB$285,110,FALSE)</f>
        <v>Chief Adminstration Officer</v>
      </c>
      <c r="DG29" s="27" t="s">
        <v>880</v>
      </c>
      <c r="DH29" s="27" t="str">
        <f>VLOOKUP($A29,'[1]Raw Data'!$A$3:$FB$285,111,FALSE)</f>
        <v/>
      </c>
      <c r="DI29" s="27" t="str">
        <f>VLOOKUP($A29,'[1]Raw Data'!$A$3:$FB$285,121,FALSE)</f>
        <v/>
      </c>
      <c r="DK29" s="27" t="str">
        <f>VLOOKUP($A29,'[1]Raw Data'!$A$3:$FB$285,122,FALSE)</f>
        <v>Focal Person</v>
      </c>
      <c r="DL29" s="27" t="s">
        <v>881</v>
      </c>
      <c r="DM29" s="27" t="str">
        <f>VLOOKUP($A29,'[1]Raw Data'!$A$3:$FB$285,123,FALSE)</f>
        <v/>
      </c>
      <c r="DN29" s="27" t="str">
        <f>VLOOKUP($A29,'[1]Raw Data'!$A$3:$FB$285,113,FALSE)</f>
        <v/>
      </c>
      <c r="DP29" s="27" t="str">
        <f>VLOOKUP($A29,'[1]Raw Data'!$A$3:$FB$285,114,FALSE)</f>
        <v>NRA Chief-District</v>
      </c>
      <c r="DQ29" s="27" t="s">
        <v>882</v>
      </c>
      <c r="DR29" s="27" t="str">
        <f>VLOOKUP($A29,'[1]Raw Data'!$A$3:$FB$285,115,FALSE)</f>
        <v/>
      </c>
      <c r="DS29" s="27" t="str">
        <f>VLOOKUP($A29,'[1]Raw Data'!$A$3:$FB$285,117,FALSE)</f>
        <v/>
      </c>
      <c r="DU29" s="27" t="str">
        <f>VLOOKUP($A29,'[1]Raw Data'!$A$3:$FB$285,118,FALSE)</f>
        <v>DUDBC.DLPIU Chief</v>
      </c>
      <c r="DV29" s="27" t="s">
        <v>883</v>
      </c>
      <c r="DW29" s="27" t="str">
        <f>VLOOKUP($A29,'[1]Raw Data'!$A$3:$FB$285,119,FALSE)</f>
        <v/>
      </c>
      <c r="DX29" s="27" t="s">
        <v>339</v>
      </c>
      <c r="DY29" s="27" t="str">
        <f>VLOOKUP($A29,'[1]Raw Data'!$A$3:$FB$285,124,FALSE)</f>
        <v/>
      </c>
      <c r="DZ29" s="27" t="s">
        <v>884</v>
      </c>
      <c r="EA29" s="27" t="str">
        <f>VLOOKUP($A29,'[1]Raw Data'!$A$3:$FB$285,125,FALSE)</f>
        <v/>
      </c>
      <c r="EB29" s="27" t="s">
        <v>341</v>
      </c>
      <c r="EC29" s="27" t="str">
        <f>VLOOKUP($A29,'[1]Raw Data'!$A$3:$FB$285,126,FALSE)</f>
        <v/>
      </c>
      <c r="ED29" t="s">
        <v>478</v>
      </c>
      <c r="EE29" s="27" t="str">
        <f>VLOOKUP($A29,'[1]Raw Data'!$A$3:$FB$285,127,FALSE)</f>
        <v/>
      </c>
      <c r="EF29" s="27" t="s">
        <v>343</v>
      </c>
      <c r="EG29" s="27" t="str">
        <f>VLOOKUP($A29,'[1]Raw Data'!$A$3:$FB$285,128,FALSE)</f>
        <v/>
      </c>
      <c r="EH29" t="s">
        <v>344</v>
      </c>
      <c r="EI29" s="27" t="str">
        <f>VLOOKUP($A29,'[1]Raw Data'!$A$3:$FB$285,129,FALSE)</f>
        <v/>
      </c>
      <c r="EM29" s="27" t="str">
        <f>VLOOKUP($A29,'[1]Raw Data'!$A$3:$FB$285,130,FALSE)</f>
        <v/>
      </c>
      <c r="EN29" s="27" t="str">
        <f>VLOOKUP($A29,'[1]Raw Data'!$A$3:$FB$285,131,FALSE)</f>
        <v/>
      </c>
      <c r="EO29" s="27" t="str">
        <f>VLOOKUP($A29,'[1]Raw Data'!$A$3:$FB$285,132,FALSE)</f>
        <v/>
      </c>
      <c r="EP29" s="27" t="str">
        <f>VLOOKUP($A29,'[1]Raw Data'!$A$3:$FB$285,133,FALSE)</f>
        <v/>
      </c>
      <c r="EQ29" s="27" t="str">
        <f>VLOOKUP($A29,'[1]Raw Data'!$A$3:$FB$285,134,FALSE)</f>
        <v/>
      </c>
      <c r="ER29" s="27" t="str">
        <f>VLOOKUP($A29,'[1]Raw Data'!$A$3:$FB$285,135,FALSE)</f>
        <v/>
      </c>
      <c r="ES29" s="27" t="str">
        <f>VLOOKUP($A29,'[1]Raw Data'!$A$3:$FB$285,136,FALSE)</f>
        <v/>
      </c>
      <c r="ET29" s="27" t="str">
        <f>VLOOKUP($A29,'[1]Raw Data'!$A$3:$FB$285,137,FALSE)</f>
        <v/>
      </c>
      <c r="EU29" s="27" t="str">
        <f>VLOOKUP($A29,'[1]Raw Data'!$A$3:$FB$285,138,FALSE)</f>
        <v/>
      </c>
      <c r="EV29" s="27" t="str">
        <f>VLOOKUP($A29,'[1]Raw Data'!$A$3:$FB$285,139,FALSE)</f>
        <v/>
      </c>
      <c r="EW29" s="38">
        <f>VLOOKUP($A29,[1]Training!$A$2:$I$284,5,FALSE)</f>
        <v>81.307692307692307</v>
      </c>
      <c r="EX29" s="31">
        <f>VLOOKUP($A29,[1]Training!$A$2:$I$284,6,FALSE)</f>
        <v>0</v>
      </c>
      <c r="EY29" s="38">
        <f>VLOOKUP($A29,[1]Training!$A$2:$I$284,8,FALSE)</f>
        <v>96.090909090909093</v>
      </c>
      <c r="EZ29" s="31">
        <f>VLOOKUP($A29,[1]Training!$A$2:$I$284,9,FALSE)</f>
        <v>340</v>
      </c>
      <c r="FA29" s="27">
        <v>1</v>
      </c>
      <c r="FB29" s="27">
        <v>2</v>
      </c>
      <c r="FC29" s="27" t="str">
        <f>VLOOKUP($A29,'[1]Raw Data'!$A$3:$FB$285,148,FALSE)</f>
        <v/>
      </c>
      <c r="FE29" s="27" t="str">
        <f>VLOOKUP($A29,'[1]Raw Data'!$A$3:$FB$285,149,FALSE)</f>
        <v>District Coordinator</v>
      </c>
      <c r="FF29" s="27" t="s">
        <v>885</v>
      </c>
      <c r="FG29" s="27" t="str">
        <f>VLOOKUP($A29,'[1]Raw Data'!$A$3:$FB$285,150,FALSE)</f>
        <v/>
      </c>
      <c r="FH29" s="27" t="str">
        <f>VLOOKUP($A29,'[1]Raw Data'!$A$3:$FB$285,156,FALSE)</f>
        <v/>
      </c>
      <c r="FJ29" s="27" t="str">
        <f>VLOOKUP($A29,'[1]Raw Data'!$A$3:$FB$285,157,FALSE)</f>
        <v>District Technical Officer</v>
      </c>
      <c r="FK29" s="27" t="s">
        <v>886</v>
      </c>
      <c r="FL29" s="27" t="str">
        <f>VLOOKUP($A29,'[1]Raw Data'!$A$3:$FB$285,158,FALSE)</f>
        <v/>
      </c>
      <c r="FM29" s="27" t="str">
        <f>VLOOKUP($A29,'[1]Raw Data'!$A$3:$FB$285,152,FALSE)</f>
        <v/>
      </c>
      <c r="FO29" s="27" t="str">
        <f>VLOOKUP($A29,'[1]Raw Data'!$A$3:$FB$285,153,FALSE)</f>
        <v>DIstrict Information Management Officer</v>
      </c>
      <c r="FP29" s="27" t="s">
        <v>887</v>
      </c>
      <c r="FQ29" s="27" t="str">
        <f>VLOOKUP($A29,'[1]Raw Data'!$A$3:$FB$285,154,FALSE)</f>
        <v/>
      </c>
    </row>
    <row r="30" spans="1:173" ht="24" x14ac:dyDescent="0.45">
      <c r="A30" s="27">
        <v>10009</v>
      </c>
      <c r="B30" s="36" t="str">
        <f ca="1">IFERROR(__xludf.DUMMYFUNCTION("""COMPUTED_VALUE"""),"Tyamkemaiyung Gaunpalika")</f>
        <v>Tyamkemaiyung Gaunpalika</v>
      </c>
      <c r="C30" s="37" t="str">
        <f>VLOOKUP(A30,'[1]Palika and District in Nepali '!$D$1:$F$283,3,FALSE)</f>
        <v>त्यामकेमायुंङ गाउपालिका</v>
      </c>
      <c r="D30" s="36" t="str">
        <f ca="1">IFERROR(__xludf.DUMMYFUNCTION("""COMPUTED_VALUE"""),"Bhojpur")</f>
        <v>Bhojpur</v>
      </c>
      <c r="E30" s="36"/>
      <c r="F30" s="27">
        <f>VLOOKUP(A30,'[1]Raw Data'!$A$3:$FB$285,4,FALSE)</f>
        <v>171</v>
      </c>
      <c r="G30" s="27">
        <f>VLOOKUP(A30,'[1]Raw Data'!$A$3:$FB$285,5,FALSE)</f>
        <v>646</v>
      </c>
      <c r="H30" s="27">
        <f>VLOOKUP(A30,'[1]Raw Data'!$A$3:$FB$285,6,FALSE)</f>
        <v>817</v>
      </c>
      <c r="I30" s="27">
        <f>VLOOKUP($A30,'[1]Raw Data'!$A$3:$FB$285,8,FALSE)</f>
        <v>0</v>
      </c>
      <c r="J30" s="27">
        <f>VLOOKUP($A30,'[1]Raw Data'!$A$3:$FB$285,9,FALSE)</f>
        <v>7.0000000000000007E-2</v>
      </c>
      <c r="K30" s="27">
        <f>VLOOKUP($A30,'[1]Raw Data'!$A$3:$FB$285,11,FALSE)</f>
        <v>67.81</v>
      </c>
      <c r="L30" s="27">
        <f>VLOOKUP($A30,'[1]Raw Data'!$A$3:$FB$285,12,FALSE)</f>
        <v>74.7</v>
      </c>
      <c r="M30" s="27">
        <f>VLOOKUP($A30,'[1]Raw Data'!$A$3:$FB$285,14,FALSE)</f>
        <v>0</v>
      </c>
      <c r="N30" s="27">
        <f>VLOOKUP($A30,'[1]Raw Data'!$A$3:$FB$285,15,FALSE)</f>
        <v>0.02</v>
      </c>
      <c r="O30" s="27">
        <f>VLOOKUP($A30,'[1]Raw Data'!$A$3:$FB$285,17,FALSE)</f>
        <v>0.12</v>
      </c>
      <c r="P30" s="27">
        <f>VLOOKUP($A30,'[1]Raw Data'!$A$3:$FB$285,18,FALSE)</f>
        <v>0.06</v>
      </c>
      <c r="Q30" s="27">
        <f>VLOOKUP($A30,'[1]Raw Data'!$A$3:$FB$285,20,FALSE)</f>
        <v>0</v>
      </c>
      <c r="R30" s="27">
        <f>VLOOKUP($A30,'[1]Raw Data'!$A$3:$FB$285,21,FALSE)</f>
        <v>0</v>
      </c>
      <c r="S30" s="27">
        <f>VLOOKUP($A30,'[1]Raw Data'!$A$3:$FB$285,23,FALSE)</f>
        <v>0</v>
      </c>
      <c r="T30" s="27">
        <f>VLOOKUP($A30,'[1]Raw Data'!$A$3:$FB$285,24,FALSE)</f>
        <v>0</v>
      </c>
      <c r="U30" s="27">
        <f>VLOOKUP($A30,'[1]Raw Data'!$A$3:$FB$285,26,FALSE)</f>
        <v>0</v>
      </c>
      <c r="V30" s="27">
        <f>VLOOKUP($A30,'[1]Raw Data'!$A$3:$FB$285,27,FALSE)</f>
        <v>0.73</v>
      </c>
      <c r="W30" s="27">
        <f>VLOOKUP($A30,'[1]Raw Data'!$A$3:$FB$285,29,FALSE)</f>
        <v>0</v>
      </c>
      <c r="X30" s="27">
        <f>VLOOKUP($A30,'[1]Raw Data'!$A$3:$FB$285,30,FALSE)</f>
        <v>0</v>
      </c>
      <c r="Y30" s="27">
        <f>VLOOKUP($A30,'[1]Raw Data'!$A$3:$FB$285,32,FALSE)</f>
        <v>0</v>
      </c>
      <c r="Z30" s="27">
        <f>VLOOKUP($A30,'[1]Raw Data'!$A$3:$FB$285,33,FALSE)</f>
        <v>0.03</v>
      </c>
      <c r="AA30" s="27">
        <f>VLOOKUP($A30,'[1]Raw Data'!$A$3:$FB$285,35,FALSE)</f>
        <v>31.7</v>
      </c>
      <c r="AB30" s="27">
        <f>VLOOKUP($A30,'[1]Raw Data'!$A$3:$FB$285,36,FALSE)</f>
        <v>24.05</v>
      </c>
      <c r="AC30" s="27">
        <f>VLOOKUP($A30,'[1]Raw Data'!$A$3:$FB$285,38,FALSE)</f>
        <v>0.37</v>
      </c>
      <c r="AD30" s="27">
        <f>VLOOKUP($A30,'[1]Raw Data'!$A$3:$FB$285,39,FALSE)</f>
        <v>0.33</v>
      </c>
      <c r="AE30" s="27">
        <f>VLOOKUP($A30,'[1]Raw Data'!$A$3:$FB$285,41,FALSE)</f>
        <v>0</v>
      </c>
      <c r="AF30" s="27">
        <f>VLOOKUP($A30,'[1]Raw Data'!$A$3:$FB$285,42,FALSE)</f>
        <v>0</v>
      </c>
      <c r="AG30" s="27">
        <f>VLOOKUP($A30,'[1]Raw Data'!$A$3:$FB$285,44,FALSE)</f>
        <v>0</v>
      </c>
      <c r="AH30" s="27">
        <f>VLOOKUP($A30,'[1]Raw Data'!$A$3:$FB$285,45,FALSE)</f>
        <v>0</v>
      </c>
      <c r="AI30" s="27">
        <f>VLOOKUP($A30,'[1]Raw Data'!$A$3:$FB$285,46,FALSE)</f>
        <v>531</v>
      </c>
      <c r="AJ30" s="27">
        <f>VLOOKUP($A30,'[1]Raw Data'!$A$3:$FB$285,47,FALSE)</f>
        <v>112</v>
      </c>
      <c r="AK30" s="27">
        <f>VLOOKUP($A30,'[1]Raw Data'!$A$3:$FB$285,48,FALSE)</f>
        <v>112</v>
      </c>
      <c r="AL30" s="27">
        <f>VLOOKUP($A30,'[1]Raw Data'!$A$3:$FB$285,49,FALSE)</f>
        <v>46</v>
      </c>
      <c r="AM30" s="27">
        <f>VLOOKUP($A30,'[1]Raw Data'!$A$3:$FB$285,50,FALSE)</f>
        <v>0</v>
      </c>
      <c r="AN30" s="27" t="str">
        <f>VLOOKUP($A30,'[1]Raw Data'!$A$3:$FB$285,51,FALSE)</f>
        <v/>
      </c>
      <c r="AO30" s="27" t="str">
        <f>VLOOKUP($A30,'[1]Raw Data'!$A$3:$FB$285,52,FALSE)</f>
        <v/>
      </c>
      <c r="AP30" s="27">
        <f>VLOOKUP($A30,'[1]Raw Data'!$A$3:$FB$285,53,FALSE)</f>
        <v>107</v>
      </c>
      <c r="AQ30" s="27" t="str">
        <f>VLOOKUP($A30,'[1]Raw Data'!$A$3:$FB$285,54,FALSE)</f>
        <v/>
      </c>
      <c r="AR30" s="27" t="str">
        <f>VLOOKUP($A30,'[1]Raw Data'!$A$3:$FB$285,55,FALSE)</f>
        <v/>
      </c>
      <c r="AS30" s="27" t="str">
        <f>VLOOKUP($A30,'[1]Raw Data'!$A$3:$FB$285,56,FALSE)</f>
        <v/>
      </c>
      <c r="AT30" s="27" t="str">
        <f>VLOOKUP($A30,'[1]Raw Data'!$A$3:$FB$285,57,FALSE)</f>
        <v/>
      </c>
      <c r="AU30" s="27" t="str">
        <f>VLOOKUP($A30,'[1]Raw Data'!$A$3:$FB$285,58,FALSE)</f>
        <v/>
      </c>
      <c r="AV30" s="27" t="str">
        <f>VLOOKUP($A30,'[1]Raw Data'!$A$3:$FB$285,59,FALSE)</f>
        <v/>
      </c>
      <c r="AW30" s="27" t="str">
        <f>VLOOKUP($A30,'[1]Raw Data'!$A$3:$FB$285,60,FALSE)</f>
        <v/>
      </c>
      <c r="AX30" s="27" t="str">
        <f>VLOOKUP(A30,'[1]PO''s List'!A28:E310,4,FALSE)</f>
        <v/>
      </c>
      <c r="AZ30" s="27" t="str">
        <f>VLOOKUP(A30,'[1]PO''s List'!$A$3:$E$285,5,FALSE)</f>
        <v/>
      </c>
      <c r="BB30" s="27">
        <f>VLOOKUP($A30,'[1]Raw Data'!$A$3:$FB$285,63,FALSE)</f>
        <v>3162</v>
      </c>
      <c r="BC30" s="27" t="str">
        <f>VLOOKUP($A30,'[1]Raw Data'!$A$3:$FB$285,64,FALSE)</f>
        <v/>
      </c>
      <c r="BD30" s="27" t="str">
        <f t="shared" si="0"/>
        <v/>
      </c>
      <c r="BE30" s="27" t="str">
        <f>VLOOKUP($A30,'[1]Raw Data'!$A$3:$FB$285,65,FALSE)</f>
        <v/>
      </c>
      <c r="BF30" s="27">
        <f>VLOOKUP($A30,'[1]Raw Data'!$A$3:$FB$285,66,FALSE)</f>
        <v>3320</v>
      </c>
      <c r="BG30" s="27" t="str">
        <f>VLOOKUP($A30,'[1]Raw Data'!$A$3:$FB$285,67,FALSE)</f>
        <v/>
      </c>
      <c r="BH30" s="27" t="str">
        <f t="shared" si="1"/>
        <v/>
      </c>
      <c r="BI30" s="27" t="str">
        <f>VLOOKUP($A30,'[1]Raw Data'!$A$3:$FB$285,68,FALSE)</f>
        <v/>
      </c>
      <c r="BJ30" s="27">
        <f>VLOOKUP($A30,'[1]Raw Data'!$A$3:$FB$285,69,FALSE)</f>
        <v>338</v>
      </c>
      <c r="BK30" s="27" t="str">
        <f>VLOOKUP($A30,'[1]Raw Data'!$A$3:$FB$285,70,FALSE)</f>
        <v/>
      </c>
      <c r="BL30" s="27" t="str">
        <f t="shared" si="2"/>
        <v/>
      </c>
      <c r="BM30" s="27" t="str">
        <f>VLOOKUP($A30,'[1]Raw Data'!$A$3:$FB$285,71,FALSE)</f>
        <v/>
      </c>
      <c r="BN30" s="27">
        <f>VLOOKUP($A30,'[1]Raw Data'!$A$3:$FB$285,72,FALSE)</f>
        <v>393</v>
      </c>
      <c r="BO30" s="27" t="str">
        <f>VLOOKUP($A30,'[1]Raw Data'!$A$3:$FB$285,73,FALSE)</f>
        <v/>
      </c>
      <c r="BP30" s="27" t="str">
        <f t="shared" si="3"/>
        <v/>
      </c>
      <c r="BQ30" s="27" t="str">
        <f>VLOOKUP($A30,'[1]Raw Data'!$A$3:$FB$285,74,FALSE)</f>
        <v/>
      </c>
      <c r="BR30" s="27" t="str">
        <f>VLOOKUP($A30,'[1]Raw Data'!$A$3:$FB$285,75,FALSE)</f>
        <v/>
      </c>
      <c r="BS30" s="27" t="str">
        <f>VLOOKUP($A30,'[1]Raw Data'!$A$3:$FB$285,76,FALSE)</f>
        <v/>
      </c>
      <c r="BT30" s="27" t="str">
        <f t="shared" si="4"/>
        <v/>
      </c>
      <c r="BU30" s="27" t="str">
        <f>VLOOKUP($A30,'[1]Raw Data'!$A$3:$FB$285,77,FALSE)</f>
        <v/>
      </c>
      <c r="BV30" s="27">
        <f>VLOOKUP($A30,'[1]Raw Data'!$A$3:$FB$285,78,FALSE)</f>
        <v>10948</v>
      </c>
      <c r="BW30" s="27" t="str">
        <f>VLOOKUP($A30,'[1]Raw Data'!$A$3:$FB$285,79,FALSE)</f>
        <v/>
      </c>
      <c r="BX30" s="27" t="str">
        <f t="shared" si="5"/>
        <v/>
      </c>
      <c r="BY30" s="27" t="str">
        <f>VLOOKUP($A30,'[1]Raw Data'!$A$3:$FB$285,80,FALSE)</f>
        <v/>
      </c>
      <c r="BZ30" s="27">
        <f>VLOOKUP($A30,'[1]Raw Data'!$A$3:$FB$285,81,FALSE)</f>
        <v>34103</v>
      </c>
      <c r="CA30" s="27" t="str">
        <f>VLOOKUP($A30,'[1]Raw Data'!$A$3:$FB$285,82,FALSE)</f>
        <v/>
      </c>
      <c r="CB30" s="27" t="str">
        <f t="shared" si="6"/>
        <v/>
      </c>
      <c r="CC30" s="27" t="str">
        <f>VLOOKUP($A30,'[1]Raw Data'!$A$3:$FB$285,83,FALSE)</f>
        <v/>
      </c>
      <c r="CD30" s="27">
        <f>VLOOKUP($A30,'[1]Raw Data'!$A$3:$FB$285,84,FALSE)</f>
        <v>447</v>
      </c>
      <c r="CE30" s="27" t="str">
        <f>VLOOKUP($A30,'[1]Raw Data'!$A$3:$FB$285,85,FALSE)</f>
        <v/>
      </c>
      <c r="CF30" s="27" t="str">
        <f t="shared" si="7"/>
        <v/>
      </c>
      <c r="CG30" s="27" t="str">
        <f>VLOOKUP($A30,'[1]Raw Data'!$A$3:$FB$285,86,FALSE)</f>
        <v/>
      </c>
      <c r="CH30" s="27">
        <f>VLOOKUP($A30,'[1]Raw Data'!$A$3:$FB$285,87,FALSE)</f>
        <v>19390</v>
      </c>
      <c r="CI30" s="27" t="str">
        <f>VLOOKUP($A30,'[1]Raw Data'!$A$3:$FB$285,88,FALSE)</f>
        <v/>
      </c>
      <c r="CJ30" s="27" t="str">
        <f t="shared" si="8"/>
        <v/>
      </c>
      <c r="CK30" s="27" t="str">
        <f>VLOOKUP($A30,'[1]Raw Data'!$A$3:$FB$285,89,FALSE)</f>
        <v/>
      </c>
      <c r="CL30" s="27" t="str">
        <f>VLOOKUP($A30,'[1]Raw Data'!$A$3:$FB$285,91,FALSE)</f>
        <v/>
      </c>
      <c r="CM30" s="27" t="str">
        <f>VLOOKUP($A30,'[1]Raw Data'!$A$3:$FB$285,93,FALSE)</f>
        <v/>
      </c>
      <c r="CN30" s="27" t="str">
        <f>VLOOKUP($A30,'[1]Raw Data'!$A$3:$FB$285,94,FALSE)</f>
        <v/>
      </c>
      <c r="CO30" s="27" t="str">
        <f>VLOOKUP($A30,'[1]Raw Data'!$A$3:$FB$285,95,FALSE)</f>
        <v/>
      </c>
      <c r="CP30" s="27" t="str">
        <f>VLOOKUP($A30,'[1]Raw Data'!$A$3:$FB$285,96,FALSE)</f>
        <v/>
      </c>
      <c r="CQ30" s="27" t="str">
        <f>VLOOKUP($A30,'[1]Raw Data'!$A$3:$FB$285,97,FALSE)</f>
        <v/>
      </c>
      <c r="CR30" s="27" t="str">
        <f>VLOOKUP($A30,'[1]Raw Data'!$A$3:$FB$285,98,FALSE)</f>
        <v/>
      </c>
      <c r="CS30" s="27" t="str">
        <f>VLOOKUP($A30,'[1]Raw Data'!$A$3:$FB$285,99,FALSE)</f>
        <v/>
      </c>
      <c r="CT30" s="27" t="str">
        <f>VLOOKUP($A30,'[1]Raw Data'!$A$3:$FB$285,101,FALSE)</f>
        <v/>
      </c>
      <c r="CV30" s="27" t="str">
        <f>VLOOKUP($A30,'[1]Raw Data'!$A$3:$FB$285,102,FALSE)</f>
        <v>Chairman</v>
      </c>
      <c r="CW30" s="27" t="s">
        <v>878</v>
      </c>
      <c r="CX30" s="27" t="str">
        <f>VLOOKUP($A30,'[1]Raw Data'!$A$3:$FB$285,103,FALSE)</f>
        <v/>
      </c>
      <c r="CY30" s="27" t="str">
        <f>VLOOKUP($A30,'[1]Raw Data'!$A$3:$FB$285,105,FALSE)</f>
        <v/>
      </c>
      <c r="DA30" s="27" t="str">
        <f>VLOOKUP($A30,'[1]Raw Data'!$A$3:$FB$285,106,FALSE)</f>
        <v>Deputy Chairman</v>
      </c>
      <c r="DB30" s="27" t="s">
        <v>879</v>
      </c>
      <c r="DC30" s="27" t="str">
        <f>VLOOKUP($A30,'[1]Raw Data'!$A$3:$FB$285,107,FALSE)</f>
        <v/>
      </c>
      <c r="DD30" s="27" t="str">
        <f>VLOOKUP($A30,'[1]Raw Data'!$A$3:$FB$285,109,FALSE)</f>
        <v/>
      </c>
      <c r="DF30" s="27" t="str">
        <f>VLOOKUP($A30,'[1]Raw Data'!$A$3:$FB$285,110,FALSE)</f>
        <v>Chief Adminstration Officer</v>
      </c>
      <c r="DG30" s="27" t="s">
        <v>880</v>
      </c>
      <c r="DH30" s="27" t="str">
        <f>VLOOKUP($A30,'[1]Raw Data'!$A$3:$FB$285,111,FALSE)</f>
        <v/>
      </c>
      <c r="DI30" s="27" t="str">
        <f>VLOOKUP($A30,'[1]Raw Data'!$A$3:$FB$285,121,FALSE)</f>
        <v/>
      </c>
      <c r="DK30" s="27" t="str">
        <f>VLOOKUP($A30,'[1]Raw Data'!$A$3:$FB$285,122,FALSE)</f>
        <v>Focal Person</v>
      </c>
      <c r="DL30" s="27" t="s">
        <v>881</v>
      </c>
      <c r="DM30" s="27" t="str">
        <f>VLOOKUP($A30,'[1]Raw Data'!$A$3:$FB$285,123,FALSE)</f>
        <v/>
      </c>
      <c r="DN30" s="27" t="str">
        <f>VLOOKUP($A30,'[1]Raw Data'!$A$3:$FB$285,113,FALSE)</f>
        <v/>
      </c>
      <c r="DP30" s="27" t="str">
        <f>VLOOKUP($A30,'[1]Raw Data'!$A$3:$FB$285,114,FALSE)</f>
        <v>NRA Chief-District</v>
      </c>
      <c r="DQ30" s="27" t="s">
        <v>882</v>
      </c>
      <c r="DR30" s="27" t="str">
        <f>VLOOKUP($A30,'[1]Raw Data'!$A$3:$FB$285,115,FALSE)</f>
        <v/>
      </c>
      <c r="DS30" s="27" t="str">
        <f>VLOOKUP($A30,'[1]Raw Data'!$A$3:$FB$285,117,FALSE)</f>
        <v/>
      </c>
      <c r="DU30" s="27" t="str">
        <f>VLOOKUP($A30,'[1]Raw Data'!$A$3:$FB$285,118,FALSE)</f>
        <v>DUDBC.DLPIU Chief</v>
      </c>
      <c r="DV30" s="27" t="s">
        <v>883</v>
      </c>
      <c r="DW30" s="27" t="str">
        <f>VLOOKUP($A30,'[1]Raw Data'!$A$3:$FB$285,119,FALSE)</f>
        <v/>
      </c>
      <c r="DX30" s="27" t="s">
        <v>339</v>
      </c>
      <c r="DY30" s="27" t="str">
        <f>VLOOKUP($A30,'[1]Raw Data'!$A$3:$FB$285,124,FALSE)</f>
        <v/>
      </c>
      <c r="DZ30" s="27" t="s">
        <v>884</v>
      </c>
      <c r="EA30" s="27" t="str">
        <f>VLOOKUP($A30,'[1]Raw Data'!$A$3:$FB$285,125,FALSE)</f>
        <v/>
      </c>
      <c r="EB30" s="27" t="s">
        <v>341</v>
      </c>
      <c r="EC30" s="27" t="str">
        <f>VLOOKUP($A30,'[1]Raw Data'!$A$3:$FB$285,126,FALSE)</f>
        <v/>
      </c>
      <c r="ED30" t="s">
        <v>478</v>
      </c>
      <c r="EE30" s="27" t="str">
        <f>VLOOKUP($A30,'[1]Raw Data'!$A$3:$FB$285,127,FALSE)</f>
        <v/>
      </c>
      <c r="EF30" s="27" t="s">
        <v>343</v>
      </c>
      <c r="EG30" s="27" t="str">
        <f>VLOOKUP($A30,'[1]Raw Data'!$A$3:$FB$285,128,FALSE)</f>
        <v/>
      </c>
      <c r="EH30" t="s">
        <v>344</v>
      </c>
      <c r="EI30" s="27" t="str">
        <f>VLOOKUP($A30,'[1]Raw Data'!$A$3:$FB$285,129,FALSE)</f>
        <v/>
      </c>
      <c r="EM30" s="27" t="str">
        <f>VLOOKUP($A30,'[1]Raw Data'!$A$3:$FB$285,130,FALSE)</f>
        <v/>
      </c>
      <c r="EN30" s="27" t="str">
        <f>VLOOKUP($A30,'[1]Raw Data'!$A$3:$FB$285,131,FALSE)</f>
        <v/>
      </c>
      <c r="EO30" s="27" t="str">
        <f>VLOOKUP($A30,'[1]Raw Data'!$A$3:$FB$285,132,FALSE)</f>
        <v/>
      </c>
      <c r="EP30" s="27" t="str">
        <f>VLOOKUP($A30,'[1]Raw Data'!$A$3:$FB$285,133,FALSE)</f>
        <v/>
      </c>
      <c r="EQ30" s="27" t="str">
        <f>VLOOKUP($A30,'[1]Raw Data'!$A$3:$FB$285,134,FALSE)</f>
        <v/>
      </c>
      <c r="ER30" s="27" t="str">
        <f>VLOOKUP($A30,'[1]Raw Data'!$A$3:$FB$285,135,FALSE)</f>
        <v/>
      </c>
      <c r="ES30" s="27" t="str">
        <f>VLOOKUP($A30,'[1]Raw Data'!$A$3:$FB$285,136,FALSE)</f>
        <v/>
      </c>
      <c r="ET30" s="27" t="str">
        <f>VLOOKUP($A30,'[1]Raw Data'!$A$3:$FB$285,137,FALSE)</f>
        <v/>
      </c>
      <c r="EU30" s="27" t="str">
        <f>VLOOKUP($A30,'[1]Raw Data'!$A$3:$FB$285,138,FALSE)</f>
        <v/>
      </c>
      <c r="EV30" s="27" t="str">
        <f>VLOOKUP($A30,'[1]Raw Data'!$A$3:$FB$285,139,FALSE)</f>
        <v/>
      </c>
      <c r="EW30" s="38">
        <f>VLOOKUP($A30,[1]Training!$A$2:$I$284,5,FALSE)</f>
        <v>40.846153846153847</v>
      </c>
      <c r="EX30" s="31">
        <f>VLOOKUP($A30,[1]Training!$A$2:$I$284,6,FALSE)</f>
        <v>0</v>
      </c>
      <c r="EY30" s="38">
        <f>VLOOKUP($A30,[1]Training!$A$2:$I$284,8,FALSE)</f>
        <v>48.272727272727273</v>
      </c>
      <c r="EZ30" s="31">
        <f>VLOOKUP($A30,[1]Training!$A$2:$I$284,9,FALSE)</f>
        <v>340</v>
      </c>
      <c r="FA30" s="27">
        <v>1</v>
      </c>
      <c r="FB30" s="27">
        <v>2</v>
      </c>
      <c r="FC30" s="27" t="str">
        <f>VLOOKUP($A30,'[1]Raw Data'!$A$3:$FB$285,148,FALSE)</f>
        <v/>
      </c>
      <c r="FE30" s="27" t="str">
        <f>VLOOKUP($A30,'[1]Raw Data'!$A$3:$FB$285,149,FALSE)</f>
        <v>District Coordinator</v>
      </c>
      <c r="FF30" s="27" t="s">
        <v>885</v>
      </c>
      <c r="FG30" s="27" t="str">
        <f>VLOOKUP($A30,'[1]Raw Data'!$A$3:$FB$285,150,FALSE)</f>
        <v/>
      </c>
      <c r="FH30" s="27" t="str">
        <f>VLOOKUP($A30,'[1]Raw Data'!$A$3:$FB$285,156,FALSE)</f>
        <v/>
      </c>
      <c r="FJ30" s="27" t="str">
        <f>VLOOKUP($A30,'[1]Raw Data'!$A$3:$FB$285,157,FALSE)</f>
        <v>District Technical Officer</v>
      </c>
      <c r="FK30" s="27" t="s">
        <v>886</v>
      </c>
      <c r="FL30" s="27" t="str">
        <f>VLOOKUP($A30,'[1]Raw Data'!$A$3:$FB$285,158,FALSE)</f>
        <v/>
      </c>
      <c r="FM30" s="27" t="str">
        <f>VLOOKUP($A30,'[1]Raw Data'!$A$3:$FB$285,152,FALSE)</f>
        <v/>
      </c>
      <c r="FO30" s="27" t="str">
        <f>VLOOKUP($A30,'[1]Raw Data'!$A$3:$FB$285,153,FALSE)</f>
        <v>DIstrict Information Management Officer</v>
      </c>
      <c r="FP30" s="27" t="s">
        <v>887</v>
      </c>
      <c r="FQ30" s="27" t="str">
        <f>VLOOKUP($A30,'[1]Raw Data'!$A$3:$FB$285,154,FALSE)</f>
        <v/>
      </c>
    </row>
    <row r="31" spans="1:173" ht="24" x14ac:dyDescent="0.45">
      <c r="A31" s="27">
        <v>11001</v>
      </c>
      <c r="B31" s="36" t="str">
        <f ca="1">IFERROR(__xludf.DUMMYFUNCTION("""COMPUTED_VALUE"""),"Dudhkaushika Gaunpalika")</f>
        <v>Dudhkaushika Gaunpalika</v>
      </c>
      <c r="C31" s="37" t="str">
        <f>VLOOKUP(A31,'[1]Palika and District in Nepali '!$D$1:$F$283,3,FALSE)</f>
        <v>दुधकौशिका गाउँपालिका</v>
      </c>
      <c r="D31" s="36" t="str">
        <f ca="1">IFERROR(__xludf.DUMMYFUNCTION("""COMPUTED_VALUE"""),"Solukhumbu")</f>
        <v>Solukhumbu</v>
      </c>
      <c r="E31" s="36"/>
      <c r="F31" s="27">
        <f>VLOOKUP(A31,'[1]Raw Data'!$A$3:$FB$285,4,FALSE)</f>
        <v>1071</v>
      </c>
      <c r="G31" s="27">
        <f>VLOOKUP(A31,'[1]Raw Data'!$A$3:$FB$285,5,FALSE)</f>
        <v>2672</v>
      </c>
      <c r="H31" s="27">
        <f>VLOOKUP(A31,'[1]Raw Data'!$A$3:$FB$285,6,FALSE)</f>
        <v>3743</v>
      </c>
      <c r="I31" s="27">
        <f>VLOOKUP($A31,'[1]Raw Data'!$A$3:$FB$285,8,FALSE)</f>
        <v>0.05</v>
      </c>
      <c r="J31" s="27">
        <f>VLOOKUP($A31,'[1]Raw Data'!$A$3:$FB$285,9,FALSE)</f>
        <v>0.7</v>
      </c>
      <c r="K31" s="27">
        <f>VLOOKUP($A31,'[1]Raw Data'!$A$3:$FB$285,11,FALSE)</f>
        <v>97.49</v>
      </c>
      <c r="L31" s="27">
        <f>VLOOKUP($A31,'[1]Raw Data'!$A$3:$FB$285,12,FALSE)</f>
        <v>95.03</v>
      </c>
      <c r="M31" s="27">
        <f>VLOOKUP($A31,'[1]Raw Data'!$A$3:$FB$285,14,FALSE)</f>
        <v>0</v>
      </c>
      <c r="N31" s="27">
        <f>VLOOKUP($A31,'[1]Raw Data'!$A$3:$FB$285,15,FALSE)</f>
        <v>0.02</v>
      </c>
      <c r="O31" s="27">
        <f>VLOOKUP($A31,'[1]Raw Data'!$A$3:$FB$285,17,FALSE)</f>
        <v>0</v>
      </c>
      <c r="P31" s="27">
        <f>VLOOKUP($A31,'[1]Raw Data'!$A$3:$FB$285,18,FALSE)</f>
        <v>0.03</v>
      </c>
      <c r="Q31" s="27">
        <f>VLOOKUP($A31,'[1]Raw Data'!$A$3:$FB$285,20,FALSE)</f>
        <v>0</v>
      </c>
      <c r="R31" s="27">
        <f>VLOOKUP($A31,'[1]Raw Data'!$A$3:$FB$285,21,FALSE)</f>
        <v>0.03</v>
      </c>
      <c r="S31" s="27">
        <f>VLOOKUP($A31,'[1]Raw Data'!$A$3:$FB$285,23,FALSE)</f>
        <v>0</v>
      </c>
      <c r="T31" s="27">
        <f>VLOOKUP($A31,'[1]Raw Data'!$A$3:$FB$285,24,FALSE)</f>
        <v>0</v>
      </c>
      <c r="U31" s="27">
        <f>VLOOKUP($A31,'[1]Raw Data'!$A$3:$FB$285,26,FALSE)</f>
        <v>0.43</v>
      </c>
      <c r="V31" s="27">
        <f>VLOOKUP($A31,'[1]Raw Data'!$A$3:$FB$285,27,FALSE)</f>
        <v>0.49</v>
      </c>
      <c r="W31" s="27">
        <f>VLOOKUP($A31,'[1]Raw Data'!$A$3:$FB$285,29,FALSE)</f>
        <v>0</v>
      </c>
      <c r="X31" s="27">
        <f>VLOOKUP($A31,'[1]Raw Data'!$A$3:$FB$285,30,FALSE)</f>
        <v>0</v>
      </c>
      <c r="Y31" s="27">
        <f>VLOOKUP($A31,'[1]Raw Data'!$A$3:$FB$285,32,FALSE)</f>
        <v>0.05</v>
      </c>
      <c r="Z31" s="27">
        <f>VLOOKUP($A31,'[1]Raw Data'!$A$3:$FB$285,33,FALSE)</f>
        <v>1.84</v>
      </c>
      <c r="AA31" s="27">
        <f>VLOOKUP($A31,'[1]Raw Data'!$A$3:$FB$285,35,FALSE)</f>
        <v>1.79</v>
      </c>
      <c r="AB31" s="27">
        <f>VLOOKUP($A31,'[1]Raw Data'!$A$3:$FB$285,36,FALSE)</f>
        <v>1.75</v>
      </c>
      <c r="AC31" s="27">
        <f>VLOOKUP($A31,'[1]Raw Data'!$A$3:$FB$285,38,FALSE)</f>
        <v>0.19</v>
      </c>
      <c r="AD31" s="27">
        <f>VLOOKUP($A31,'[1]Raw Data'!$A$3:$FB$285,39,FALSE)</f>
        <v>0.11</v>
      </c>
      <c r="AE31" s="27">
        <f>VLOOKUP($A31,'[1]Raw Data'!$A$3:$FB$285,41,FALSE)</f>
        <v>0</v>
      </c>
      <c r="AF31" s="27">
        <f>VLOOKUP($A31,'[1]Raw Data'!$A$3:$FB$285,42,FALSE)</f>
        <v>0</v>
      </c>
      <c r="AG31" s="27">
        <f>VLOOKUP($A31,'[1]Raw Data'!$A$3:$FB$285,44,FALSE)</f>
        <v>0</v>
      </c>
      <c r="AH31" s="27">
        <f>VLOOKUP($A31,'[1]Raw Data'!$A$3:$FB$285,45,FALSE)</f>
        <v>0</v>
      </c>
      <c r="AI31" s="27">
        <f>VLOOKUP($A31,'[1]Raw Data'!$A$3:$FB$285,46,FALSE)</f>
        <v>2614</v>
      </c>
      <c r="AJ31" s="27">
        <f>VLOOKUP($A31,'[1]Raw Data'!$A$3:$FB$285,47,FALSE)</f>
        <v>1113</v>
      </c>
      <c r="AK31" s="27">
        <f>VLOOKUP($A31,'[1]Raw Data'!$A$3:$FB$285,48,FALSE)</f>
        <v>1113</v>
      </c>
      <c r="AL31" s="27">
        <f>VLOOKUP($A31,'[1]Raw Data'!$A$3:$FB$285,49,FALSE)</f>
        <v>474</v>
      </c>
      <c r="AM31" s="27">
        <f>VLOOKUP($A31,'[1]Raw Data'!$A$3:$FB$285,50,FALSE)</f>
        <v>0</v>
      </c>
      <c r="AN31" s="27" t="str">
        <f>VLOOKUP($A31,'[1]Raw Data'!$A$3:$FB$285,51,FALSE)</f>
        <v/>
      </c>
      <c r="AO31" s="27" t="str">
        <f>VLOOKUP($A31,'[1]Raw Data'!$A$3:$FB$285,52,FALSE)</f>
        <v/>
      </c>
      <c r="AP31" s="27">
        <f>VLOOKUP($A31,'[1]Raw Data'!$A$3:$FB$285,53,FALSE)</f>
        <v>20</v>
      </c>
      <c r="AQ31" s="27" t="str">
        <f>VLOOKUP($A31,'[1]Raw Data'!$A$3:$FB$285,54,FALSE)</f>
        <v/>
      </c>
      <c r="AR31" s="27" t="str">
        <f>VLOOKUP($A31,'[1]Raw Data'!$A$3:$FB$285,55,FALSE)</f>
        <v/>
      </c>
      <c r="AS31" s="27" t="str">
        <f>VLOOKUP($A31,'[1]Raw Data'!$A$3:$FB$285,56,FALSE)</f>
        <v/>
      </c>
      <c r="AT31" s="27" t="str">
        <f>VLOOKUP($A31,'[1]Raw Data'!$A$3:$FB$285,57,FALSE)</f>
        <v/>
      </c>
      <c r="AU31" s="27" t="str">
        <f>VLOOKUP($A31,'[1]Raw Data'!$A$3:$FB$285,58,FALSE)</f>
        <v/>
      </c>
      <c r="AV31" s="27" t="str">
        <f>VLOOKUP($A31,'[1]Raw Data'!$A$3:$FB$285,59,FALSE)</f>
        <v/>
      </c>
      <c r="AW31" s="27" t="str">
        <f>VLOOKUP($A31,'[1]Raw Data'!$A$3:$FB$285,60,FALSE)</f>
        <v/>
      </c>
      <c r="AX31" s="27" t="str">
        <f>VLOOKUP(A31,'[1]PO''s List'!A29:E311,4,FALSE)</f>
        <v>CITC-N(Education)</v>
      </c>
      <c r="AZ31" s="27" t="str">
        <f>VLOOKUP(A31,'[1]PO''s List'!$A$3:$E$285,5,FALSE)</f>
        <v/>
      </c>
      <c r="BB31" s="27">
        <f>VLOOKUP($A31,'[1]Raw Data'!$A$3:$FB$285,63,FALSE)</f>
        <v>31221</v>
      </c>
      <c r="BC31" s="27" t="str">
        <f>VLOOKUP($A31,'[1]Raw Data'!$A$3:$FB$285,64,FALSE)</f>
        <v/>
      </c>
      <c r="BD31" s="27" t="str">
        <f t="shared" si="0"/>
        <v/>
      </c>
      <c r="BE31" s="27" t="str">
        <f>VLOOKUP($A31,'[1]Raw Data'!$A$3:$FB$285,65,FALSE)</f>
        <v/>
      </c>
      <c r="BF31" s="27">
        <f>VLOOKUP($A31,'[1]Raw Data'!$A$3:$FB$285,66,FALSE)</f>
        <v>32965</v>
      </c>
      <c r="BG31" s="27" t="str">
        <f>VLOOKUP($A31,'[1]Raw Data'!$A$3:$FB$285,67,FALSE)</f>
        <v/>
      </c>
      <c r="BH31" s="27" t="str">
        <f t="shared" si="1"/>
        <v/>
      </c>
      <c r="BI31" s="27" t="str">
        <f>VLOOKUP($A31,'[1]Raw Data'!$A$3:$FB$285,68,FALSE)</f>
        <v/>
      </c>
      <c r="BJ31" s="27">
        <f>VLOOKUP($A31,'[1]Raw Data'!$A$3:$FB$285,69,FALSE)</f>
        <v>3341</v>
      </c>
      <c r="BK31" s="27" t="str">
        <f>VLOOKUP($A31,'[1]Raw Data'!$A$3:$FB$285,70,FALSE)</f>
        <v/>
      </c>
      <c r="BL31" s="27" t="str">
        <f t="shared" si="2"/>
        <v/>
      </c>
      <c r="BM31" s="27" t="str">
        <f>VLOOKUP($A31,'[1]Raw Data'!$A$3:$FB$285,71,FALSE)</f>
        <v/>
      </c>
      <c r="BN31" s="27">
        <f>VLOOKUP($A31,'[1]Raw Data'!$A$3:$FB$285,72,FALSE)</f>
        <v>3885</v>
      </c>
      <c r="BO31" s="27" t="str">
        <f>VLOOKUP($A31,'[1]Raw Data'!$A$3:$FB$285,73,FALSE)</f>
        <v/>
      </c>
      <c r="BP31" s="27" t="str">
        <f t="shared" si="3"/>
        <v/>
      </c>
      <c r="BQ31" s="27" t="str">
        <f>VLOOKUP($A31,'[1]Raw Data'!$A$3:$FB$285,74,FALSE)</f>
        <v/>
      </c>
      <c r="BR31" s="27" t="str">
        <f>VLOOKUP($A31,'[1]Raw Data'!$A$3:$FB$285,75,FALSE)</f>
        <v/>
      </c>
      <c r="BS31" s="27" t="str">
        <f>VLOOKUP($A31,'[1]Raw Data'!$A$3:$FB$285,76,FALSE)</f>
        <v/>
      </c>
      <c r="BT31" s="27" t="str">
        <f t="shared" si="4"/>
        <v/>
      </c>
      <c r="BU31" s="27" t="str">
        <f>VLOOKUP($A31,'[1]Raw Data'!$A$3:$FB$285,77,FALSE)</f>
        <v/>
      </c>
      <c r="BV31" s="27">
        <f>VLOOKUP($A31,'[1]Raw Data'!$A$3:$FB$285,78,FALSE)</f>
        <v>108423</v>
      </c>
      <c r="BW31" s="27" t="str">
        <f>VLOOKUP($A31,'[1]Raw Data'!$A$3:$FB$285,79,FALSE)</f>
        <v/>
      </c>
      <c r="BX31" s="27" t="str">
        <f t="shared" si="5"/>
        <v/>
      </c>
      <c r="BY31" s="27" t="str">
        <f>VLOOKUP($A31,'[1]Raw Data'!$A$3:$FB$285,80,FALSE)</f>
        <v/>
      </c>
      <c r="BZ31" s="27">
        <f>VLOOKUP($A31,'[1]Raw Data'!$A$3:$FB$285,81,FALSE)</f>
        <v>336149</v>
      </c>
      <c r="CA31" s="27" t="str">
        <f>VLOOKUP($A31,'[1]Raw Data'!$A$3:$FB$285,82,FALSE)</f>
        <v/>
      </c>
      <c r="CB31" s="27" t="str">
        <f t="shared" si="6"/>
        <v/>
      </c>
      <c r="CC31" s="27" t="str">
        <f>VLOOKUP($A31,'[1]Raw Data'!$A$3:$FB$285,83,FALSE)</f>
        <v/>
      </c>
      <c r="CD31" s="27">
        <f>VLOOKUP($A31,'[1]Raw Data'!$A$3:$FB$285,84,FALSE)</f>
        <v>4429</v>
      </c>
      <c r="CE31" s="27" t="str">
        <f>VLOOKUP($A31,'[1]Raw Data'!$A$3:$FB$285,85,FALSE)</f>
        <v/>
      </c>
      <c r="CF31" s="27" t="str">
        <f t="shared" si="7"/>
        <v/>
      </c>
      <c r="CG31" s="27" t="str">
        <f>VLOOKUP($A31,'[1]Raw Data'!$A$3:$FB$285,86,FALSE)</f>
        <v/>
      </c>
      <c r="CH31" s="27">
        <f>VLOOKUP($A31,'[1]Raw Data'!$A$3:$FB$285,87,FALSE)</f>
        <v>139758</v>
      </c>
      <c r="CI31" s="27" t="str">
        <f>VLOOKUP($A31,'[1]Raw Data'!$A$3:$FB$285,88,FALSE)</f>
        <v/>
      </c>
      <c r="CJ31" s="27" t="str">
        <f t="shared" si="8"/>
        <v/>
      </c>
      <c r="CK31" s="27" t="str">
        <f>VLOOKUP($A31,'[1]Raw Data'!$A$3:$FB$285,89,FALSE)</f>
        <v/>
      </c>
      <c r="CL31" s="27" t="str">
        <f>VLOOKUP($A31,'[1]Raw Data'!$A$3:$FB$285,91,FALSE)</f>
        <v/>
      </c>
      <c r="CM31" s="27" t="str">
        <f>VLOOKUP($A31,'[1]Raw Data'!$A$3:$FB$285,93,FALSE)</f>
        <v/>
      </c>
      <c r="CN31" s="27" t="str">
        <f>VLOOKUP($A31,'[1]Raw Data'!$A$3:$FB$285,94,FALSE)</f>
        <v/>
      </c>
      <c r="CO31" s="27" t="str">
        <f>VLOOKUP($A31,'[1]Raw Data'!$A$3:$FB$285,95,FALSE)</f>
        <v/>
      </c>
      <c r="CP31" s="27" t="str">
        <f>VLOOKUP($A31,'[1]Raw Data'!$A$3:$FB$285,96,FALSE)</f>
        <v/>
      </c>
      <c r="CQ31" s="27" t="str">
        <f>VLOOKUP($A31,'[1]Raw Data'!$A$3:$FB$285,97,FALSE)</f>
        <v/>
      </c>
      <c r="CR31" s="27" t="str">
        <f>VLOOKUP($A31,'[1]Raw Data'!$A$3:$FB$285,98,FALSE)</f>
        <v/>
      </c>
      <c r="CS31" s="27" t="str">
        <f>VLOOKUP($A31,'[1]Raw Data'!$A$3:$FB$285,99,FALSE)</f>
        <v/>
      </c>
      <c r="CT31" s="27" t="str">
        <f>VLOOKUP($A31,'[1]Raw Data'!$A$3:$FB$285,101,FALSE)</f>
        <v/>
      </c>
      <c r="CV31" s="27" t="str">
        <f>VLOOKUP($A31,'[1]Raw Data'!$A$3:$FB$285,102,FALSE)</f>
        <v>Chairman</v>
      </c>
      <c r="CW31" s="27" t="s">
        <v>878</v>
      </c>
      <c r="CX31" s="27" t="str">
        <f>VLOOKUP($A31,'[1]Raw Data'!$A$3:$FB$285,103,FALSE)</f>
        <v/>
      </c>
      <c r="CY31" s="27" t="str">
        <f>VLOOKUP($A31,'[1]Raw Data'!$A$3:$FB$285,105,FALSE)</f>
        <v/>
      </c>
      <c r="DA31" s="27" t="str">
        <f>VLOOKUP($A31,'[1]Raw Data'!$A$3:$FB$285,106,FALSE)</f>
        <v>Deputy Chairman</v>
      </c>
      <c r="DB31" s="27" t="s">
        <v>879</v>
      </c>
      <c r="DC31" s="27" t="str">
        <f>VLOOKUP($A31,'[1]Raw Data'!$A$3:$FB$285,107,FALSE)</f>
        <v/>
      </c>
      <c r="DD31" s="27" t="str">
        <f>VLOOKUP($A31,'[1]Raw Data'!$A$3:$FB$285,109,FALSE)</f>
        <v/>
      </c>
      <c r="DF31" s="27" t="str">
        <f>VLOOKUP($A31,'[1]Raw Data'!$A$3:$FB$285,110,FALSE)</f>
        <v>Chief Adminstration Officer</v>
      </c>
      <c r="DG31" s="27" t="s">
        <v>880</v>
      </c>
      <c r="DH31" s="27" t="str">
        <f>VLOOKUP($A31,'[1]Raw Data'!$A$3:$FB$285,111,FALSE)</f>
        <v/>
      </c>
      <c r="DI31" s="27" t="str">
        <f>VLOOKUP($A31,'[1]Raw Data'!$A$3:$FB$285,121,FALSE)</f>
        <v/>
      </c>
      <c r="DK31" s="27" t="str">
        <f>VLOOKUP($A31,'[1]Raw Data'!$A$3:$FB$285,122,FALSE)</f>
        <v>Focal Person</v>
      </c>
      <c r="DL31" s="27" t="s">
        <v>881</v>
      </c>
      <c r="DM31" s="27" t="str">
        <f>VLOOKUP($A31,'[1]Raw Data'!$A$3:$FB$285,123,FALSE)</f>
        <v/>
      </c>
      <c r="DN31" s="27" t="str">
        <f>VLOOKUP($A31,'[1]Raw Data'!$A$3:$FB$285,113,FALSE)</f>
        <v/>
      </c>
      <c r="DP31" s="27" t="str">
        <f>VLOOKUP($A31,'[1]Raw Data'!$A$3:$FB$285,114,FALSE)</f>
        <v>NRA Chief-District</v>
      </c>
      <c r="DQ31" s="27" t="s">
        <v>882</v>
      </c>
      <c r="DR31" s="27" t="str">
        <f>VLOOKUP($A31,'[1]Raw Data'!$A$3:$FB$285,115,FALSE)</f>
        <v/>
      </c>
      <c r="DS31" s="27" t="str">
        <f>VLOOKUP($A31,'[1]Raw Data'!$A$3:$FB$285,117,FALSE)</f>
        <v/>
      </c>
      <c r="DU31" s="27" t="str">
        <f>VLOOKUP($A31,'[1]Raw Data'!$A$3:$FB$285,118,FALSE)</f>
        <v>DUDBC.DLPIU Chief</v>
      </c>
      <c r="DV31" s="27" t="s">
        <v>883</v>
      </c>
      <c r="DW31" s="27" t="str">
        <f>VLOOKUP($A31,'[1]Raw Data'!$A$3:$FB$285,119,FALSE)</f>
        <v/>
      </c>
      <c r="DX31" s="27" t="s">
        <v>339</v>
      </c>
      <c r="DY31" s="27" t="str">
        <f>VLOOKUP($A31,'[1]Raw Data'!$A$3:$FB$285,124,FALSE)</f>
        <v/>
      </c>
      <c r="DZ31" s="27" t="s">
        <v>884</v>
      </c>
      <c r="EA31" s="27" t="str">
        <f>VLOOKUP($A31,'[1]Raw Data'!$A$3:$FB$285,125,FALSE)</f>
        <v/>
      </c>
      <c r="EB31" s="27" t="s">
        <v>341</v>
      </c>
      <c r="EC31" s="27" t="str">
        <f>VLOOKUP($A31,'[1]Raw Data'!$A$3:$FB$285,126,FALSE)</f>
        <v/>
      </c>
      <c r="ED31" t="s">
        <v>478</v>
      </c>
      <c r="EE31" s="27" t="str">
        <f>VLOOKUP($A31,'[1]Raw Data'!$A$3:$FB$285,127,FALSE)</f>
        <v/>
      </c>
      <c r="EF31" s="27" t="s">
        <v>343</v>
      </c>
      <c r="EG31" s="27" t="str">
        <f>VLOOKUP($A31,'[1]Raw Data'!$A$3:$FB$285,128,FALSE)</f>
        <v/>
      </c>
      <c r="EH31" t="s">
        <v>344</v>
      </c>
      <c r="EI31" s="27" t="str">
        <f>VLOOKUP($A31,'[1]Raw Data'!$A$3:$FB$285,129,FALSE)</f>
        <v/>
      </c>
      <c r="EM31" s="27" t="str">
        <f>VLOOKUP($A31,'[1]Raw Data'!$A$3:$FB$285,130,FALSE)</f>
        <v/>
      </c>
      <c r="EN31" s="27" t="str">
        <f>VLOOKUP($A31,'[1]Raw Data'!$A$3:$FB$285,131,FALSE)</f>
        <v/>
      </c>
      <c r="EO31" s="27" t="str">
        <f>VLOOKUP($A31,'[1]Raw Data'!$A$3:$FB$285,132,FALSE)</f>
        <v/>
      </c>
      <c r="EP31" s="27" t="str">
        <f>VLOOKUP($A31,'[1]Raw Data'!$A$3:$FB$285,133,FALSE)</f>
        <v/>
      </c>
      <c r="EQ31" s="27" t="str">
        <f>VLOOKUP($A31,'[1]Raw Data'!$A$3:$FB$285,134,FALSE)</f>
        <v/>
      </c>
      <c r="ER31" s="27" t="str">
        <f>VLOOKUP($A31,'[1]Raw Data'!$A$3:$FB$285,135,FALSE)</f>
        <v/>
      </c>
      <c r="ES31" s="27" t="str">
        <f>VLOOKUP($A31,'[1]Raw Data'!$A$3:$FB$285,136,FALSE)</f>
        <v/>
      </c>
      <c r="ET31" s="27" t="str">
        <f>VLOOKUP($A31,'[1]Raw Data'!$A$3:$FB$285,137,FALSE)</f>
        <v/>
      </c>
      <c r="EU31" s="27" t="str">
        <f>VLOOKUP($A31,'[1]Raw Data'!$A$3:$FB$285,138,FALSE)</f>
        <v/>
      </c>
      <c r="EV31" s="27" t="str">
        <f>VLOOKUP($A31,'[1]Raw Data'!$A$3:$FB$285,139,FALSE)</f>
        <v/>
      </c>
      <c r="EW31" s="38">
        <f>VLOOKUP($A31,[1]Training!$A$2:$I$284,5,FALSE)</f>
        <v>201.07692307692307</v>
      </c>
      <c r="EX31" s="31">
        <f>VLOOKUP($A31,[1]Training!$A$2:$I$284,6,FALSE)</f>
        <v>0</v>
      </c>
      <c r="EY31" s="38">
        <f>VLOOKUP($A31,[1]Training!$A$2:$I$284,8,FALSE)</f>
        <v>237.63636363636363</v>
      </c>
      <c r="EZ31" s="31">
        <f>VLOOKUP($A31,[1]Training!$A$2:$I$284,9,FALSE)</f>
        <v>60</v>
      </c>
      <c r="FA31" s="27">
        <v>1</v>
      </c>
      <c r="FB31" s="27">
        <v>2</v>
      </c>
      <c r="FC31" s="27" t="str">
        <f>VLOOKUP($A31,'[1]Raw Data'!$A$3:$FB$285,148,FALSE)</f>
        <v/>
      </c>
      <c r="FE31" s="27" t="str">
        <f>VLOOKUP($A31,'[1]Raw Data'!$A$3:$FB$285,149,FALSE)</f>
        <v>District Coordinator</v>
      </c>
      <c r="FF31" s="27" t="s">
        <v>885</v>
      </c>
      <c r="FG31" s="27" t="str">
        <f>VLOOKUP($A31,'[1]Raw Data'!$A$3:$FB$285,150,FALSE)</f>
        <v/>
      </c>
      <c r="FH31" s="27" t="str">
        <f>VLOOKUP($A31,'[1]Raw Data'!$A$3:$FB$285,156,FALSE)</f>
        <v/>
      </c>
      <c r="FJ31" s="27" t="str">
        <f>VLOOKUP($A31,'[1]Raw Data'!$A$3:$FB$285,157,FALSE)</f>
        <v>District Technical Officer</v>
      </c>
      <c r="FK31" s="27" t="s">
        <v>886</v>
      </c>
      <c r="FL31" s="27" t="str">
        <f>VLOOKUP($A31,'[1]Raw Data'!$A$3:$FB$285,158,FALSE)</f>
        <v/>
      </c>
      <c r="FM31" s="27" t="str">
        <f>VLOOKUP($A31,'[1]Raw Data'!$A$3:$FB$285,152,FALSE)</f>
        <v/>
      </c>
      <c r="FO31" s="27" t="str">
        <f>VLOOKUP($A31,'[1]Raw Data'!$A$3:$FB$285,153,FALSE)</f>
        <v>DIstrict Information Management Officer</v>
      </c>
      <c r="FP31" s="27" t="s">
        <v>887</v>
      </c>
      <c r="FQ31" s="27" t="str">
        <f>VLOOKUP($A31,'[1]Raw Data'!$A$3:$FB$285,154,FALSE)</f>
        <v/>
      </c>
    </row>
    <row r="32" spans="1:173" ht="24" x14ac:dyDescent="0.45">
      <c r="A32" s="27">
        <v>11002</v>
      </c>
      <c r="B32" s="36" t="str">
        <f ca="1">IFERROR(__xludf.DUMMYFUNCTION("""COMPUTED_VALUE"""),"Dudhkoshi Gaunpalika")</f>
        <v>Dudhkoshi Gaunpalika</v>
      </c>
      <c r="C32" s="37" t="str">
        <f>VLOOKUP(A32,'[1]Palika and District in Nepali '!$D$1:$F$283,3,FALSE)</f>
        <v>दुधकोसी गाउँपालिका</v>
      </c>
      <c r="D32" s="36" t="str">
        <f ca="1">IFERROR(__xludf.DUMMYFUNCTION("""COMPUTED_VALUE"""),"Solukhumbu")</f>
        <v>Solukhumbu</v>
      </c>
      <c r="E32" s="36"/>
      <c r="F32" s="27">
        <f>VLOOKUP(A32,'[1]Raw Data'!$A$3:$FB$285,4,FALSE)</f>
        <v>822</v>
      </c>
      <c r="G32" s="27">
        <f>VLOOKUP(A32,'[1]Raw Data'!$A$3:$FB$285,5,FALSE)</f>
        <v>1249</v>
      </c>
      <c r="H32" s="27">
        <f>VLOOKUP(A32,'[1]Raw Data'!$A$3:$FB$285,6,FALSE)</f>
        <v>2071</v>
      </c>
      <c r="I32" s="27">
        <f>VLOOKUP($A32,'[1]Raw Data'!$A$3:$FB$285,8,FALSE)</f>
        <v>0.05</v>
      </c>
      <c r="J32" s="27">
        <f>VLOOKUP($A32,'[1]Raw Data'!$A$3:$FB$285,9,FALSE)</f>
        <v>0.7</v>
      </c>
      <c r="K32" s="27">
        <f>VLOOKUP($A32,'[1]Raw Data'!$A$3:$FB$285,11,FALSE)</f>
        <v>97.58</v>
      </c>
      <c r="L32" s="27">
        <f>VLOOKUP($A32,'[1]Raw Data'!$A$3:$FB$285,12,FALSE)</f>
        <v>95.03</v>
      </c>
      <c r="M32" s="27">
        <f>VLOOKUP($A32,'[1]Raw Data'!$A$3:$FB$285,14,FALSE)</f>
        <v>0</v>
      </c>
      <c r="N32" s="27">
        <f>VLOOKUP($A32,'[1]Raw Data'!$A$3:$FB$285,15,FALSE)</f>
        <v>0.02</v>
      </c>
      <c r="O32" s="27">
        <f>VLOOKUP($A32,'[1]Raw Data'!$A$3:$FB$285,17,FALSE)</f>
        <v>0</v>
      </c>
      <c r="P32" s="27">
        <f>VLOOKUP($A32,'[1]Raw Data'!$A$3:$FB$285,18,FALSE)</f>
        <v>0.03</v>
      </c>
      <c r="Q32" s="27">
        <f>VLOOKUP($A32,'[1]Raw Data'!$A$3:$FB$285,20,FALSE)</f>
        <v>0</v>
      </c>
      <c r="R32" s="27">
        <f>VLOOKUP($A32,'[1]Raw Data'!$A$3:$FB$285,21,FALSE)</f>
        <v>0.03</v>
      </c>
      <c r="S32" s="27">
        <f>VLOOKUP($A32,'[1]Raw Data'!$A$3:$FB$285,23,FALSE)</f>
        <v>0</v>
      </c>
      <c r="T32" s="27">
        <f>VLOOKUP($A32,'[1]Raw Data'!$A$3:$FB$285,24,FALSE)</f>
        <v>0</v>
      </c>
      <c r="U32" s="27">
        <f>VLOOKUP($A32,'[1]Raw Data'!$A$3:$FB$285,26,FALSE)</f>
        <v>0.1</v>
      </c>
      <c r="V32" s="27">
        <f>VLOOKUP($A32,'[1]Raw Data'!$A$3:$FB$285,27,FALSE)</f>
        <v>0.49</v>
      </c>
      <c r="W32" s="27">
        <f>VLOOKUP($A32,'[1]Raw Data'!$A$3:$FB$285,29,FALSE)</f>
        <v>0</v>
      </c>
      <c r="X32" s="27">
        <f>VLOOKUP($A32,'[1]Raw Data'!$A$3:$FB$285,30,FALSE)</f>
        <v>0</v>
      </c>
      <c r="Y32" s="27">
        <f>VLOOKUP($A32,'[1]Raw Data'!$A$3:$FB$285,32,FALSE)</f>
        <v>2.0299999999999998</v>
      </c>
      <c r="Z32" s="27">
        <f>VLOOKUP($A32,'[1]Raw Data'!$A$3:$FB$285,33,FALSE)</f>
        <v>1.84</v>
      </c>
      <c r="AA32" s="27">
        <f>VLOOKUP($A32,'[1]Raw Data'!$A$3:$FB$285,35,FALSE)</f>
        <v>0</v>
      </c>
      <c r="AB32" s="27">
        <f>VLOOKUP($A32,'[1]Raw Data'!$A$3:$FB$285,36,FALSE)</f>
        <v>1.75</v>
      </c>
      <c r="AC32" s="27">
        <f>VLOOKUP($A32,'[1]Raw Data'!$A$3:$FB$285,38,FALSE)</f>
        <v>0.24</v>
      </c>
      <c r="AD32" s="27">
        <f>VLOOKUP($A32,'[1]Raw Data'!$A$3:$FB$285,39,FALSE)</f>
        <v>0.11</v>
      </c>
      <c r="AE32" s="27">
        <f>VLOOKUP($A32,'[1]Raw Data'!$A$3:$FB$285,41,FALSE)</f>
        <v>0</v>
      </c>
      <c r="AF32" s="27">
        <f>VLOOKUP($A32,'[1]Raw Data'!$A$3:$FB$285,42,FALSE)</f>
        <v>0</v>
      </c>
      <c r="AG32" s="27">
        <f>VLOOKUP($A32,'[1]Raw Data'!$A$3:$FB$285,44,FALSE)</f>
        <v>0</v>
      </c>
      <c r="AH32" s="27">
        <f>VLOOKUP($A32,'[1]Raw Data'!$A$3:$FB$285,45,FALSE)</f>
        <v>0</v>
      </c>
      <c r="AI32" s="27">
        <f>VLOOKUP($A32,'[1]Raw Data'!$A$3:$FB$285,46,FALSE)</f>
        <v>1226</v>
      </c>
      <c r="AJ32" s="27">
        <f>VLOOKUP($A32,'[1]Raw Data'!$A$3:$FB$285,47,FALSE)</f>
        <v>987</v>
      </c>
      <c r="AK32" s="27">
        <f>VLOOKUP($A32,'[1]Raw Data'!$A$3:$FB$285,48,FALSE)</f>
        <v>987</v>
      </c>
      <c r="AL32" s="27">
        <f>VLOOKUP($A32,'[1]Raw Data'!$A$3:$FB$285,49,FALSE)</f>
        <v>14</v>
      </c>
      <c r="AM32" s="27">
        <f>VLOOKUP($A32,'[1]Raw Data'!$A$3:$FB$285,50,FALSE)</f>
        <v>0</v>
      </c>
      <c r="AN32" s="27" t="str">
        <f>VLOOKUP($A32,'[1]Raw Data'!$A$3:$FB$285,51,FALSE)</f>
        <v/>
      </c>
      <c r="AO32" s="27" t="str">
        <f>VLOOKUP($A32,'[1]Raw Data'!$A$3:$FB$285,52,FALSE)</f>
        <v/>
      </c>
      <c r="AP32" s="27">
        <f>VLOOKUP($A32,'[1]Raw Data'!$A$3:$FB$285,53,FALSE)</f>
        <v>49</v>
      </c>
      <c r="AQ32" s="27" t="str">
        <f>VLOOKUP($A32,'[1]Raw Data'!$A$3:$FB$285,54,FALSE)</f>
        <v/>
      </c>
      <c r="AR32" s="27" t="str">
        <f>VLOOKUP($A32,'[1]Raw Data'!$A$3:$FB$285,55,FALSE)</f>
        <v/>
      </c>
      <c r="AS32" s="27" t="str">
        <f>VLOOKUP($A32,'[1]Raw Data'!$A$3:$FB$285,56,FALSE)</f>
        <v/>
      </c>
      <c r="AT32" s="27" t="str">
        <f>VLOOKUP($A32,'[1]Raw Data'!$A$3:$FB$285,57,FALSE)</f>
        <v/>
      </c>
      <c r="AU32" s="27" t="str">
        <f>VLOOKUP($A32,'[1]Raw Data'!$A$3:$FB$285,58,FALSE)</f>
        <v/>
      </c>
      <c r="AV32" s="27" t="str">
        <f>VLOOKUP($A32,'[1]Raw Data'!$A$3:$FB$285,59,FALSE)</f>
        <v/>
      </c>
      <c r="AW32" s="27" t="str">
        <f>VLOOKUP($A32,'[1]Raw Data'!$A$3:$FB$285,60,FALSE)</f>
        <v/>
      </c>
      <c r="AX32" s="27" t="str">
        <f>VLOOKUP(A32,'[1]PO''s List'!A30:E312,4,FALSE)</f>
        <v/>
      </c>
      <c r="AZ32" s="27" t="str">
        <f>VLOOKUP(A32,'[1]PO''s List'!$A$3:$E$285,5,FALSE)</f>
        <v/>
      </c>
      <c r="BB32" s="27">
        <f>VLOOKUP($A32,'[1]Raw Data'!$A$3:$FB$285,63,FALSE)</f>
        <v>28026</v>
      </c>
      <c r="BC32" s="27" t="str">
        <f>VLOOKUP($A32,'[1]Raw Data'!$A$3:$FB$285,64,FALSE)</f>
        <v/>
      </c>
      <c r="BD32" s="27" t="str">
        <f t="shared" si="0"/>
        <v/>
      </c>
      <c r="BE32" s="27" t="str">
        <f>VLOOKUP($A32,'[1]Raw Data'!$A$3:$FB$285,65,FALSE)</f>
        <v/>
      </c>
      <c r="BF32" s="27">
        <f>VLOOKUP($A32,'[1]Raw Data'!$A$3:$FB$285,66,FALSE)</f>
        <v>29170</v>
      </c>
      <c r="BG32" s="27" t="str">
        <f>VLOOKUP($A32,'[1]Raw Data'!$A$3:$FB$285,67,FALSE)</f>
        <v/>
      </c>
      <c r="BH32" s="27" t="str">
        <f t="shared" si="1"/>
        <v/>
      </c>
      <c r="BI32" s="27" t="str">
        <f>VLOOKUP($A32,'[1]Raw Data'!$A$3:$FB$285,68,FALSE)</f>
        <v/>
      </c>
      <c r="BJ32" s="27">
        <f>VLOOKUP($A32,'[1]Raw Data'!$A$3:$FB$285,69,FALSE)</f>
        <v>2995</v>
      </c>
      <c r="BK32" s="27" t="str">
        <f>VLOOKUP($A32,'[1]Raw Data'!$A$3:$FB$285,70,FALSE)</f>
        <v/>
      </c>
      <c r="BL32" s="27" t="str">
        <f t="shared" si="2"/>
        <v/>
      </c>
      <c r="BM32" s="27" t="str">
        <f>VLOOKUP($A32,'[1]Raw Data'!$A$3:$FB$285,71,FALSE)</f>
        <v/>
      </c>
      <c r="BN32" s="27">
        <f>VLOOKUP($A32,'[1]Raw Data'!$A$3:$FB$285,72,FALSE)</f>
        <v>3468</v>
      </c>
      <c r="BO32" s="27" t="str">
        <f>VLOOKUP($A32,'[1]Raw Data'!$A$3:$FB$285,73,FALSE)</f>
        <v/>
      </c>
      <c r="BP32" s="27" t="str">
        <f t="shared" si="3"/>
        <v/>
      </c>
      <c r="BQ32" s="27" t="str">
        <f>VLOOKUP($A32,'[1]Raw Data'!$A$3:$FB$285,74,FALSE)</f>
        <v/>
      </c>
      <c r="BR32" s="27" t="str">
        <f>VLOOKUP($A32,'[1]Raw Data'!$A$3:$FB$285,75,FALSE)</f>
        <v/>
      </c>
      <c r="BS32" s="27" t="str">
        <f>VLOOKUP($A32,'[1]Raw Data'!$A$3:$FB$285,76,FALSE)</f>
        <v/>
      </c>
      <c r="BT32" s="27" t="str">
        <f t="shared" si="4"/>
        <v/>
      </c>
      <c r="BU32" s="27" t="str">
        <f>VLOOKUP($A32,'[1]Raw Data'!$A$3:$FB$285,77,FALSE)</f>
        <v/>
      </c>
      <c r="BV32" s="27">
        <f>VLOOKUP($A32,'[1]Raw Data'!$A$3:$FB$285,78,FALSE)</f>
        <v>95843</v>
      </c>
      <c r="BW32" s="27" t="str">
        <f>VLOOKUP($A32,'[1]Raw Data'!$A$3:$FB$285,79,FALSE)</f>
        <v/>
      </c>
      <c r="BX32" s="27" t="str">
        <f t="shared" si="5"/>
        <v/>
      </c>
      <c r="BY32" s="27" t="str">
        <f>VLOOKUP($A32,'[1]Raw Data'!$A$3:$FB$285,80,FALSE)</f>
        <v/>
      </c>
      <c r="BZ32" s="27">
        <f>VLOOKUP($A32,'[1]Raw Data'!$A$3:$FB$285,81,FALSE)</f>
        <v>302185</v>
      </c>
      <c r="CA32" s="27" t="str">
        <f>VLOOKUP($A32,'[1]Raw Data'!$A$3:$FB$285,82,FALSE)</f>
        <v/>
      </c>
      <c r="CB32" s="27" t="str">
        <f t="shared" si="6"/>
        <v/>
      </c>
      <c r="CC32" s="27" t="str">
        <f>VLOOKUP($A32,'[1]Raw Data'!$A$3:$FB$285,83,FALSE)</f>
        <v/>
      </c>
      <c r="CD32" s="27">
        <f>VLOOKUP($A32,'[1]Raw Data'!$A$3:$FB$285,84,FALSE)</f>
        <v>3913</v>
      </c>
      <c r="CE32" s="27" t="str">
        <f>VLOOKUP($A32,'[1]Raw Data'!$A$3:$FB$285,85,FALSE)</f>
        <v/>
      </c>
      <c r="CF32" s="27" t="str">
        <f t="shared" si="7"/>
        <v/>
      </c>
      <c r="CG32" s="27" t="str">
        <f>VLOOKUP($A32,'[1]Raw Data'!$A$3:$FB$285,86,FALSE)</f>
        <v/>
      </c>
      <c r="CH32" s="27">
        <f>VLOOKUP($A32,'[1]Raw Data'!$A$3:$FB$285,87,FALSE)</f>
        <v>132682</v>
      </c>
      <c r="CI32" s="27" t="str">
        <f>VLOOKUP($A32,'[1]Raw Data'!$A$3:$FB$285,88,FALSE)</f>
        <v/>
      </c>
      <c r="CJ32" s="27" t="str">
        <f t="shared" si="8"/>
        <v/>
      </c>
      <c r="CK32" s="27" t="str">
        <f>VLOOKUP($A32,'[1]Raw Data'!$A$3:$FB$285,89,FALSE)</f>
        <v/>
      </c>
      <c r="CL32" s="27" t="str">
        <f>VLOOKUP($A32,'[1]Raw Data'!$A$3:$FB$285,91,FALSE)</f>
        <v/>
      </c>
      <c r="CM32" s="27" t="str">
        <f>VLOOKUP($A32,'[1]Raw Data'!$A$3:$FB$285,93,FALSE)</f>
        <v/>
      </c>
      <c r="CN32" s="27" t="str">
        <f>VLOOKUP($A32,'[1]Raw Data'!$A$3:$FB$285,94,FALSE)</f>
        <v/>
      </c>
      <c r="CO32" s="27" t="str">
        <f>VLOOKUP($A32,'[1]Raw Data'!$A$3:$FB$285,95,FALSE)</f>
        <v/>
      </c>
      <c r="CP32" s="27" t="str">
        <f>VLOOKUP($A32,'[1]Raw Data'!$A$3:$FB$285,96,FALSE)</f>
        <v/>
      </c>
      <c r="CQ32" s="27" t="str">
        <f>VLOOKUP($A32,'[1]Raw Data'!$A$3:$FB$285,97,FALSE)</f>
        <v/>
      </c>
      <c r="CR32" s="27" t="str">
        <f>VLOOKUP($A32,'[1]Raw Data'!$A$3:$FB$285,98,FALSE)</f>
        <v/>
      </c>
      <c r="CS32" s="27" t="str">
        <f>VLOOKUP($A32,'[1]Raw Data'!$A$3:$FB$285,99,FALSE)</f>
        <v/>
      </c>
      <c r="CT32" s="27" t="str">
        <f>VLOOKUP($A32,'[1]Raw Data'!$A$3:$FB$285,101,FALSE)</f>
        <v/>
      </c>
      <c r="CV32" s="27" t="str">
        <f>VLOOKUP($A32,'[1]Raw Data'!$A$3:$FB$285,102,FALSE)</f>
        <v>Chairman</v>
      </c>
      <c r="CW32" s="27" t="s">
        <v>878</v>
      </c>
      <c r="CX32" s="27" t="str">
        <f>VLOOKUP($A32,'[1]Raw Data'!$A$3:$FB$285,103,FALSE)</f>
        <v/>
      </c>
      <c r="CY32" s="27" t="str">
        <f>VLOOKUP($A32,'[1]Raw Data'!$A$3:$FB$285,105,FALSE)</f>
        <v/>
      </c>
      <c r="DA32" s="27" t="str">
        <f>VLOOKUP($A32,'[1]Raw Data'!$A$3:$FB$285,106,FALSE)</f>
        <v>Deputy Chairman</v>
      </c>
      <c r="DB32" s="27" t="s">
        <v>879</v>
      </c>
      <c r="DC32" s="27" t="str">
        <f>VLOOKUP($A32,'[1]Raw Data'!$A$3:$FB$285,107,FALSE)</f>
        <v/>
      </c>
      <c r="DD32" s="27" t="str">
        <f>VLOOKUP($A32,'[1]Raw Data'!$A$3:$FB$285,109,FALSE)</f>
        <v/>
      </c>
      <c r="DF32" s="27" t="str">
        <f>VLOOKUP($A32,'[1]Raw Data'!$A$3:$FB$285,110,FALSE)</f>
        <v>Chief Adminstration Officer</v>
      </c>
      <c r="DG32" s="27" t="s">
        <v>880</v>
      </c>
      <c r="DH32" s="27" t="str">
        <f>VLOOKUP($A32,'[1]Raw Data'!$A$3:$FB$285,111,FALSE)</f>
        <v/>
      </c>
      <c r="DI32" s="27" t="str">
        <f>VLOOKUP($A32,'[1]Raw Data'!$A$3:$FB$285,121,FALSE)</f>
        <v/>
      </c>
      <c r="DK32" s="27" t="str">
        <f>VLOOKUP($A32,'[1]Raw Data'!$A$3:$FB$285,122,FALSE)</f>
        <v>Focal Person</v>
      </c>
      <c r="DL32" s="27" t="s">
        <v>881</v>
      </c>
      <c r="DM32" s="27" t="str">
        <f>VLOOKUP($A32,'[1]Raw Data'!$A$3:$FB$285,123,FALSE)</f>
        <v/>
      </c>
      <c r="DN32" s="27" t="str">
        <f>VLOOKUP($A32,'[1]Raw Data'!$A$3:$FB$285,113,FALSE)</f>
        <v/>
      </c>
      <c r="DP32" s="27" t="str">
        <f>VLOOKUP($A32,'[1]Raw Data'!$A$3:$FB$285,114,FALSE)</f>
        <v>NRA Chief-District</v>
      </c>
      <c r="DQ32" s="27" t="s">
        <v>882</v>
      </c>
      <c r="DR32" s="27" t="str">
        <f>VLOOKUP($A32,'[1]Raw Data'!$A$3:$FB$285,115,FALSE)</f>
        <v/>
      </c>
      <c r="DS32" s="27" t="str">
        <f>VLOOKUP($A32,'[1]Raw Data'!$A$3:$FB$285,117,FALSE)</f>
        <v/>
      </c>
      <c r="DU32" s="27" t="str">
        <f>VLOOKUP($A32,'[1]Raw Data'!$A$3:$FB$285,118,FALSE)</f>
        <v>DUDBC.DLPIU Chief</v>
      </c>
      <c r="DV32" s="27" t="s">
        <v>883</v>
      </c>
      <c r="DW32" s="27" t="str">
        <f>VLOOKUP($A32,'[1]Raw Data'!$A$3:$FB$285,119,FALSE)</f>
        <v/>
      </c>
      <c r="DX32" s="27" t="s">
        <v>339</v>
      </c>
      <c r="DY32" s="27" t="str">
        <f>VLOOKUP($A32,'[1]Raw Data'!$A$3:$FB$285,124,FALSE)</f>
        <v/>
      </c>
      <c r="DZ32" s="27" t="s">
        <v>884</v>
      </c>
      <c r="EA32" s="27" t="str">
        <f>VLOOKUP($A32,'[1]Raw Data'!$A$3:$FB$285,125,FALSE)</f>
        <v/>
      </c>
      <c r="EB32" s="27" t="s">
        <v>341</v>
      </c>
      <c r="EC32" s="27" t="str">
        <f>VLOOKUP($A32,'[1]Raw Data'!$A$3:$FB$285,126,FALSE)</f>
        <v/>
      </c>
      <c r="ED32" t="s">
        <v>478</v>
      </c>
      <c r="EE32" s="27" t="str">
        <f>VLOOKUP($A32,'[1]Raw Data'!$A$3:$FB$285,127,FALSE)</f>
        <v/>
      </c>
      <c r="EF32" s="27" t="s">
        <v>343</v>
      </c>
      <c r="EG32" s="27" t="str">
        <f>VLOOKUP($A32,'[1]Raw Data'!$A$3:$FB$285,128,FALSE)</f>
        <v/>
      </c>
      <c r="EH32" t="s">
        <v>344</v>
      </c>
      <c r="EI32" s="27" t="str">
        <f>VLOOKUP($A32,'[1]Raw Data'!$A$3:$FB$285,129,FALSE)</f>
        <v/>
      </c>
      <c r="EM32" s="27" t="str">
        <f>VLOOKUP($A32,'[1]Raw Data'!$A$3:$FB$285,130,FALSE)</f>
        <v/>
      </c>
      <c r="EN32" s="27" t="str">
        <f>VLOOKUP($A32,'[1]Raw Data'!$A$3:$FB$285,131,FALSE)</f>
        <v/>
      </c>
      <c r="EO32" s="27" t="str">
        <f>VLOOKUP($A32,'[1]Raw Data'!$A$3:$FB$285,132,FALSE)</f>
        <v/>
      </c>
      <c r="EP32" s="27" t="str">
        <f>VLOOKUP($A32,'[1]Raw Data'!$A$3:$FB$285,133,FALSE)</f>
        <v/>
      </c>
      <c r="EQ32" s="27" t="str">
        <f>VLOOKUP($A32,'[1]Raw Data'!$A$3:$FB$285,134,FALSE)</f>
        <v/>
      </c>
      <c r="ER32" s="27" t="str">
        <f>VLOOKUP($A32,'[1]Raw Data'!$A$3:$FB$285,135,FALSE)</f>
        <v/>
      </c>
      <c r="ES32" s="27" t="str">
        <f>VLOOKUP($A32,'[1]Raw Data'!$A$3:$FB$285,136,FALSE)</f>
        <v/>
      </c>
      <c r="ET32" s="27" t="str">
        <f>VLOOKUP($A32,'[1]Raw Data'!$A$3:$FB$285,137,FALSE)</f>
        <v/>
      </c>
      <c r="EU32" s="27" t="str">
        <f>VLOOKUP($A32,'[1]Raw Data'!$A$3:$FB$285,138,FALSE)</f>
        <v/>
      </c>
      <c r="EV32" s="27" t="str">
        <f>VLOOKUP($A32,'[1]Raw Data'!$A$3:$FB$285,139,FALSE)</f>
        <v/>
      </c>
      <c r="EW32" s="38">
        <f>VLOOKUP($A32,[1]Training!$A$2:$I$284,5,FALSE)</f>
        <v>94.307692307692307</v>
      </c>
      <c r="EX32" s="31">
        <f>VLOOKUP($A32,[1]Training!$A$2:$I$284,6,FALSE)</f>
        <v>0</v>
      </c>
      <c r="EY32" s="38">
        <f>VLOOKUP($A32,[1]Training!$A$2:$I$284,8,FALSE)</f>
        <v>111.45454545454545</v>
      </c>
      <c r="EZ32" s="31">
        <f>VLOOKUP($A32,[1]Training!$A$2:$I$284,9,FALSE)</f>
        <v>72</v>
      </c>
      <c r="FA32" s="27">
        <v>1</v>
      </c>
      <c r="FB32" s="27">
        <v>2</v>
      </c>
      <c r="FC32" s="27" t="str">
        <f>VLOOKUP($A32,'[1]Raw Data'!$A$3:$FB$285,148,FALSE)</f>
        <v/>
      </c>
      <c r="FE32" s="27" t="str">
        <f>VLOOKUP($A32,'[1]Raw Data'!$A$3:$FB$285,149,FALSE)</f>
        <v>District Coordinator</v>
      </c>
      <c r="FF32" s="27" t="s">
        <v>885</v>
      </c>
      <c r="FG32" s="27" t="str">
        <f>VLOOKUP($A32,'[1]Raw Data'!$A$3:$FB$285,150,FALSE)</f>
        <v/>
      </c>
      <c r="FH32" s="27" t="str">
        <f>VLOOKUP($A32,'[1]Raw Data'!$A$3:$FB$285,156,FALSE)</f>
        <v/>
      </c>
      <c r="FJ32" s="27" t="str">
        <f>VLOOKUP($A32,'[1]Raw Data'!$A$3:$FB$285,157,FALSE)</f>
        <v>District Technical Officer</v>
      </c>
      <c r="FK32" s="27" t="s">
        <v>886</v>
      </c>
      <c r="FL32" s="27" t="str">
        <f>VLOOKUP($A32,'[1]Raw Data'!$A$3:$FB$285,158,FALSE)</f>
        <v/>
      </c>
      <c r="FM32" s="27" t="str">
        <f>VLOOKUP($A32,'[1]Raw Data'!$A$3:$FB$285,152,FALSE)</f>
        <v/>
      </c>
      <c r="FO32" s="27" t="str">
        <f>VLOOKUP($A32,'[1]Raw Data'!$A$3:$FB$285,153,FALSE)</f>
        <v>DIstrict Information Management Officer</v>
      </c>
      <c r="FP32" s="27" t="s">
        <v>887</v>
      </c>
      <c r="FQ32" s="27" t="str">
        <f>VLOOKUP($A32,'[1]Raw Data'!$A$3:$FB$285,154,FALSE)</f>
        <v/>
      </c>
    </row>
    <row r="33" spans="1:173" ht="24" x14ac:dyDescent="0.45">
      <c r="A33" s="27">
        <v>11003</v>
      </c>
      <c r="B33" s="36" t="str">
        <f ca="1">IFERROR(__xludf.DUMMYFUNCTION("""COMPUTED_VALUE"""),"Khumbupasanglahmu Gaunpalika")</f>
        <v>Khumbupasanglahmu Gaunpalika</v>
      </c>
      <c r="C33" s="37" t="str">
        <f>VLOOKUP(A33,'[1]Palika and District in Nepali '!$D$1:$F$283,3,FALSE)</f>
        <v>खुम्बुपासांङल्हामु गाउँपालिका</v>
      </c>
      <c r="D33" s="36" t="str">
        <f ca="1">IFERROR(__xludf.DUMMYFUNCTION("""COMPUTED_VALUE"""),"Solukhumbu")</f>
        <v>Solukhumbu</v>
      </c>
      <c r="E33" s="36"/>
      <c r="F33" s="27">
        <f>VLOOKUP(A33,'[1]Raw Data'!$A$3:$FB$285,4,FALSE)</f>
        <v>119</v>
      </c>
      <c r="G33" s="27">
        <f>VLOOKUP(A33,'[1]Raw Data'!$A$3:$FB$285,5,FALSE)</f>
        <v>1435</v>
      </c>
      <c r="H33" s="27">
        <f>VLOOKUP(A33,'[1]Raw Data'!$A$3:$FB$285,6,FALSE)</f>
        <v>1554</v>
      </c>
      <c r="I33" s="27">
        <f>VLOOKUP($A33,'[1]Raw Data'!$A$3:$FB$285,8,FALSE)</f>
        <v>5.53</v>
      </c>
      <c r="J33" s="27">
        <f>VLOOKUP($A33,'[1]Raw Data'!$A$3:$FB$285,9,FALSE)</f>
        <v>0.7</v>
      </c>
      <c r="K33" s="27">
        <f>VLOOKUP($A33,'[1]Raw Data'!$A$3:$FB$285,11,FALSE)</f>
        <v>78.19</v>
      </c>
      <c r="L33" s="27">
        <f>VLOOKUP($A33,'[1]Raw Data'!$A$3:$FB$285,12,FALSE)</f>
        <v>95.03</v>
      </c>
      <c r="M33" s="27">
        <f>VLOOKUP($A33,'[1]Raw Data'!$A$3:$FB$285,14,FALSE)</f>
        <v>0</v>
      </c>
      <c r="N33" s="27">
        <f>VLOOKUP($A33,'[1]Raw Data'!$A$3:$FB$285,15,FALSE)</f>
        <v>0.02</v>
      </c>
      <c r="O33" s="27">
        <f>VLOOKUP($A33,'[1]Raw Data'!$A$3:$FB$285,17,FALSE)</f>
        <v>0.13</v>
      </c>
      <c r="P33" s="27">
        <f>VLOOKUP($A33,'[1]Raw Data'!$A$3:$FB$285,18,FALSE)</f>
        <v>0.03</v>
      </c>
      <c r="Q33" s="27">
        <f>VLOOKUP($A33,'[1]Raw Data'!$A$3:$FB$285,20,FALSE)</f>
        <v>0</v>
      </c>
      <c r="R33" s="27">
        <f>VLOOKUP($A33,'[1]Raw Data'!$A$3:$FB$285,21,FALSE)</f>
        <v>0.03</v>
      </c>
      <c r="S33" s="27">
        <f>VLOOKUP($A33,'[1]Raw Data'!$A$3:$FB$285,23,FALSE)</f>
        <v>0</v>
      </c>
      <c r="T33" s="27">
        <f>VLOOKUP($A33,'[1]Raw Data'!$A$3:$FB$285,24,FALSE)</f>
        <v>0</v>
      </c>
      <c r="U33" s="27">
        <f>VLOOKUP($A33,'[1]Raw Data'!$A$3:$FB$285,26,FALSE)</f>
        <v>0.51</v>
      </c>
      <c r="V33" s="27">
        <f>VLOOKUP($A33,'[1]Raw Data'!$A$3:$FB$285,27,FALSE)</f>
        <v>0.49</v>
      </c>
      <c r="W33" s="27">
        <f>VLOOKUP($A33,'[1]Raw Data'!$A$3:$FB$285,29,FALSE)</f>
        <v>0</v>
      </c>
      <c r="X33" s="27">
        <f>VLOOKUP($A33,'[1]Raw Data'!$A$3:$FB$285,30,FALSE)</f>
        <v>0</v>
      </c>
      <c r="Y33" s="27">
        <f>VLOOKUP($A33,'[1]Raw Data'!$A$3:$FB$285,32,FALSE)</f>
        <v>15.44</v>
      </c>
      <c r="Z33" s="27">
        <f>VLOOKUP($A33,'[1]Raw Data'!$A$3:$FB$285,33,FALSE)</f>
        <v>1.84</v>
      </c>
      <c r="AA33" s="27">
        <f>VLOOKUP($A33,'[1]Raw Data'!$A$3:$FB$285,35,FALSE)</f>
        <v>0.19</v>
      </c>
      <c r="AB33" s="27">
        <f>VLOOKUP($A33,'[1]Raw Data'!$A$3:$FB$285,36,FALSE)</f>
        <v>1.75</v>
      </c>
      <c r="AC33" s="27">
        <f>VLOOKUP($A33,'[1]Raw Data'!$A$3:$FB$285,38,FALSE)</f>
        <v>0</v>
      </c>
      <c r="AD33" s="27">
        <f>VLOOKUP($A33,'[1]Raw Data'!$A$3:$FB$285,39,FALSE)</f>
        <v>0.11</v>
      </c>
      <c r="AE33" s="27">
        <f>VLOOKUP($A33,'[1]Raw Data'!$A$3:$FB$285,41,FALSE)</f>
        <v>0</v>
      </c>
      <c r="AF33" s="27">
        <f>VLOOKUP($A33,'[1]Raw Data'!$A$3:$FB$285,42,FALSE)</f>
        <v>0</v>
      </c>
      <c r="AG33" s="27">
        <f>VLOOKUP($A33,'[1]Raw Data'!$A$3:$FB$285,44,FALSE)</f>
        <v>0</v>
      </c>
      <c r="AH33" s="27">
        <f>VLOOKUP($A33,'[1]Raw Data'!$A$3:$FB$285,45,FALSE)</f>
        <v>0</v>
      </c>
      <c r="AI33" s="27">
        <f>VLOOKUP($A33,'[1]Raw Data'!$A$3:$FB$285,46,FALSE)</f>
        <v>1337</v>
      </c>
      <c r="AJ33" s="27">
        <f>VLOOKUP($A33,'[1]Raw Data'!$A$3:$FB$285,47,FALSE)</f>
        <v>1341</v>
      </c>
      <c r="AK33" s="27">
        <f>VLOOKUP($A33,'[1]Raw Data'!$A$3:$FB$285,48,FALSE)</f>
        <v>1341</v>
      </c>
      <c r="AL33" s="27">
        <f>VLOOKUP($A33,'[1]Raw Data'!$A$3:$FB$285,49,FALSE)</f>
        <v>0</v>
      </c>
      <c r="AM33" s="27">
        <f>VLOOKUP($A33,'[1]Raw Data'!$A$3:$FB$285,50,FALSE)</f>
        <v>0</v>
      </c>
      <c r="AN33" s="27" t="str">
        <f>VLOOKUP($A33,'[1]Raw Data'!$A$3:$FB$285,51,FALSE)</f>
        <v/>
      </c>
      <c r="AO33" s="27" t="str">
        <f>VLOOKUP($A33,'[1]Raw Data'!$A$3:$FB$285,52,FALSE)</f>
        <v/>
      </c>
      <c r="AP33" s="27">
        <f>VLOOKUP($A33,'[1]Raw Data'!$A$3:$FB$285,53,FALSE)</f>
        <v>5</v>
      </c>
      <c r="AQ33" s="27" t="str">
        <f>VLOOKUP($A33,'[1]Raw Data'!$A$3:$FB$285,54,FALSE)</f>
        <v/>
      </c>
      <c r="AR33" s="27" t="str">
        <f>VLOOKUP($A33,'[1]Raw Data'!$A$3:$FB$285,55,FALSE)</f>
        <v/>
      </c>
      <c r="AS33" s="27" t="str">
        <f>VLOOKUP($A33,'[1]Raw Data'!$A$3:$FB$285,56,FALSE)</f>
        <v/>
      </c>
      <c r="AT33" s="27" t="str">
        <f>VLOOKUP($A33,'[1]Raw Data'!$A$3:$FB$285,57,FALSE)</f>
        <v/>
      </c>
      <c r="AU33" s="27" t="str">
        <f>VLOOKUP($A33,'[1]Raw Data'!$A$3:$FB$285,58,FALSE)</f>
        <v/>
      </c>
      <c r="AV33" s="27" t="str">
        <f>VLOOKUP($A33,'[1]Raw Data'!$A$3:$FB$285,59,FALSE)</f>
        <v/>
      </c>
      <c r="AW33" s="27" t="str">
        <f>VLOOKUP($A33,'[1]Raw Data'!$A$3:$FB$285,60,FALSE)</f>
        <v/>
      </c>
      <c r="AX33" s="27" t="str">
        <f>VLOOKUP(A33,'[1]PO''s List'!A31:E313,4,FALSE)</f>
        <v/>
      </c>
      <c r="AZ33" s="27" t="str">
        <f>VLOOKUP(A33,'[1]PO''s List'!$A$3:$E$285,5,FALSE)</f>
        <v>JingF(Education)</v>
      </c>
      <c r="BB33" s="27">
        <f>VLOOKUP($A33,'[1]Raw Data'!$A$3:$FB$285,63,FALSE)</f>
        <v>40121</v>
      </c>
      <c r="BC33" s="27" t="str">
        <f>VLOOKUP($A33,'[1]Raw Data'!$A$3:$FB$285,64,FALSE)</f>
        <v/>
      </c>
      <c r="BD33" s="27" t="str">
        <f t="shared" si="0"/>
        <v/>
      </c>
      <c r="BE33" s="27" t="str">
        <f>VLOOKUP($A33,'[1]Raw Data'!$A$3:$FB$285,65,FALSE)</f>
        <v/>
      </c>
      <c r="BF33" s="27">
        <f>VLOOKUP($A33,'[1]Raw Data'!$A$3:$FB$285,66,FALSE)</f>
        <v>36244</v>
      </c>
      <c r="BG33" s="27" t="str">
        <f>VLOOKUP($A33,'[1]Raw Data'!$A$3:$FB$285,67,FALSE)</f>
        <v/>
      </c>
      <c r="BH33" s="27" t="str">
        <f t="shared" si="1"/>
        <v/>
      </c>
      <c r="BI33" s="27" t="str">
        <f>VLOOKUP($A33,'[1]Raw Data'!$A$3:$FB$285,68,FALSE)</f>
        <v/>
      </c>
      <c r="BJ33" s="27">
        <f>VLOOKUP($A33,'[1]Raw Data'!$A$3:$FB$285,69,FALSE)</f>
        <v>4247</v>
      </c>
      <c r="BK33" s="27" t="str">
        <f>VLOOKUP($A33,'[1]Raw Data'!$A$3:$FB$285,70,FALSE)</f>
        <v/>
      </c>
      <c r="BL33" s="27" t="str">
        <f t="shared" si="2"/>
        <v/>
      </c>
      <c r="BM33" s="27" t="str">
        <f>VLOOKUP($A33,'[1]Raw Data'!$A$3:$FB$285,71,FALSE)</f>
        <v/>
      </c>
      <c r="BN33" s="27">
        <f>VLOOKUP($A33,'[1]Raw Data'!$A$3:$FB$285,72,FALSE)</f>
        <v>4764</v>
      </c>
      <c r="BO33" s="27" t="str">
        <f>VLOOKUP($A33,'[1]Raw Data'!$A$3:$FB$285,73,FALSE)</f>
        <v/>
      </c>
      <c r="BP33" s="27" t="str">
        <f t="shared" si="3"/>
        <v/>
      </c>
      <c r="BQ33" s="27" t="str">
        <f>VLOOKUP($A33,'[1]Raw Data'!$A$3:$FB$285,74,FALSE)</f>
        <v/>
      </c>
      <c r="BR33" s="27" t="str">
        <f>VLOOKUP($A33,'[1]Raw Data'!$A$3:$FB$285,75,FALSE)</f>
        <v/>
      </c>
      <c r="BS33" s="27" t="str">
        <f>VLOOKUP($A33,'[1]Raw Data'!$A$3:$FB$285,76,FALSE)</f>
        <v/>
      </c>
      <c r="BT33" s="27" t="str">
        <f t="shared" si="4"/>
        <v/>
      </c>
      <c r="BU33" s="27" t="str">
        <f>VLOOKUP($A33,'[1]Raw Data'!$A$3:$FB$285,77,FALSE)</f>
        <v/>
      </c>
      <c r="BV33" s="27">
        <f>VLOOKUP($A33,'[1]Raw Data'!$A$3:$FB$285,78,FALSE)</f>
        <v>127297</v>
      </c>
      <c r="BW33" s="27" t="str">
        <f>VLOOKUP($A33,'[1]Raw Data'!$A$3:$FB$285,79,FALSE)</f>
        <v/>
      </c>
      <c r="BX33" s="27" t="str">
        <f t="shared" si="5"/>
        <v/>
      </c>
      <c r="BY33" s="27" t="str">
        <f>VLOOKUP($A33,'[1]Raw Data'!$A$3:$FB$285,80,FALSE)</f>
        <v/>
      </c>
      <c r="BZ33" s="27">
        <f>VLOOKUP($A33,'[1]Raw Data'!$A$3:$FB$285,81,FALSE)</f>
        <v>450894</v>
      </c>
      <c r="CA33" s="27" t="str">
        <f>VLOOKUP($A33,'[1]Raw Data'!$A$3:$FB$285,82,FALSE)</f>
        <v/>
      </c>
      <c r="CB33" s="27" t="str">
        <f t="shared" si="6"/>
        <v/>
      </c>
      <c r="CC33" s="27" t="str">
        <f>VLOOKUP($A33,'[1]Raw Data'!$A$3:$FB$285,83,FALSE)</f>
        <v/>
      </c>
      <c r="CD33" s="27">
        <f>VLOOKUP($A33,'[1]Raw Data'!$A$3:$FB$285,84,FALSE)</f>
        <v>5233</v>
      </c>
      <c r="CE33" s="27" t="str">
        <f>VLOOKUP($A33,'[1]Raw Data'!$A$3:$FB$285,85,FALSE)</f>
        <v/>
      </c>
      <c r="CF33" s="27" t="str">
        <f t="shared" si="7"/>
        <v/>
      </c>
      <c r="CG33" s="27" t="str">
        <f>VLOOKUP($A33,'[1]Raw Data'!$A$3:$FB$285,86,FALSE)</f>
        <v/>
      </c>
      <c r="CH33" s="27">
        <f>VLOOKUP($A33,'[1]Raw Data'!$A$3:$FB$285,87,FALSE)</f>
        <v>1737742</v>
      </c>
      <c r="CI33" s="27" t="str">
        <f>VLOOKUP($A33,'[1]Raw Data'!$A$3:$FB$285,88,FALSE)</f>
        <v/>
      </c>
      <c r="CJ33" s="27" t="str">
        <f t="shared" si="8"/>
        <v/>
      </c>
      <c r="CK33" s="27" t="str">
        <f>VLOOKUP($A33,'[1]Raw Data'!$A$3:$FB$285,89,FALSE)</f>
        <v/>
      </c>
      <c r="CL33" s="27" t="str">
        <f>VLOOKUP($A33,'[1]Raw Data'!$A$3:$FB$285,91,FALSE)</f>
        <v/>
      </c>
      <c r="CM33" s="27" t="str">
        <f>VLOOKUP($A33,'[1]Raw Data'!$A$3:$FB$285,93,FALSE)</f>
        <v/>
      </c>
      <c r="CN33" s="27" t="str">
        <f>VLOOKUP($A33,'[1]Raw Data'!$A$3:$FB$285,94,FALSE)</f>
        <v/>
      </c>
      <c r="CO33" s="27" t="str">
        <f>VLOOKUP($A33,'[1]Raw Data'!$A$3:$FB$285,95,FALSE)</f>
        <v/>
      </c>
      <c r="CP33" s="27" t="str">
        <f>VLOOKUP($A33,'[1]Raw Data'!$A$3:$FB$285,96,FALSE)</f>
        <v/>
      </c>
      <c r="CQ33" s="27" t="str">
        <f>VLOOKUP($A33,'[1]Raw Data'!$A$3:$FB$285,97,FALSE)</f>
        <v/>
      </c>
      <c r="CR33" s="27" t="str">
        <f>VLOOKUP($A33,'[1]Raw Data'!$A$3:$FB$285,98,FALSE)</f>
        <v/>
      </c>
      <c r="CS33" s="27" t="str">
        <f>VLOOKUP($A33,'[1]Raw Data'!$A$3:$FB$285,99,FALSE)</f>
        <v/>
      </c>
      <c r="CT33" s="27" t="str">
        <f>VLOOKUP($A33,'[1]Raw Data'!$A$3:$FB$285,101,FALSE)</f>
        <v/>
      </c>
      <c r="CV33" s="27" t="str">
        <f>VLOOKUP($A33,'[1]Raw Data'!$A$3:$FB$285,102,FALSE)</f>
        <v>Chairman</v>
      </c>
      <c r="CW33" s="27" t="s">
        <v>878</v>
      </c>
      <c r="CX33" s="27" t="str">
        <f>VLOOKUP($A33,'[1]Raw Data'!$A$3:$FB$285,103,FALSE)</f>
        <v/>
      </c>
      <c r="CY33" s="27" t="str">
        <f>VLOOKUP($A33,'[1]Raw Data'!$A$3:$FB$285,105,FALSE)</f>
        <v/>
      </c>
      <c r="DA33" s="27" t="str">
        <f>VLOOKUP($A33,'[1]Raw Data'!$A$3:$FB$285,106,FALSE)</f>
        <v>Deputy Chairman</v>
      </c>
      <c r="DB33" s="27" t="s">
        <v>879</v>
      </c>
      <c r="DC33" s="27" t="str">
        <f>VLOOKUP($A33,'[1]Raw Data'!$A$3:$FB$285,107,FALSE)</f>
        <v/>
      </c>
      <c r="DD33" s="27" t="str">
        <f>VLOOKUP($A33,'[1]Raw Data'!$A$3:$FB$285,109,FALSE)</f>
        <v/>
      </c>
      <c r="DF33" s="27" t="str">
        <f>VLOOKUP($A33,'[1]Raw Data'!$A$3:$FB$285,110,FALSE)</f>
        <v>Chief Adminstration Officer</v>
      </c>
      <c r="DG33" s="27" t="s">
        <v>880</v>
      </c>
      <c r="DH33" s="27" t="str">
        <f>VLOOKUP($A33,'[1]Raw Data'!$A$3:$FB$285,111,FALSE)</f>
        <v/>
      </c>
      <c r="DI33" s="27" t="str">
        <f>VLOOKUP($A33,'[1]Raw Data'!$A$3:$FB$285,121,FALSE)</f>
        <v/>
      </c>
      <c r="DK33" s="27" t="str">
        <f>VLOOKUP($A33,'[1]Raw Data'!$A$3:$FB$285,122,FALSE)</f>
        <v>Focal Person</v>
      </c>
      <c r="DL33" s="27" t="s">
        <v>881</v>
      </c>
      <c r="DM33" s="27" t="str">
        <f>VLOOKUP($A33,'[1]Raw Data'!$A$3:$FB$285,123,FALSE)</f>
        <v/>
      </c>
      <c r="DN33" s="27" t="str">
        <f>VLOOKUP($A33,'[1]Raw Data'!$A$3:$FB$285,113,FALSE)</f>
        <v/>
      </c>
      <c r="DP33" s="27" t="str">
        <f>VLOOKUP($A33,'[1]Raw Data'!$A$3:$FB$285,114,FALSE)</f>
        <v>NRA Chief-District</v>
      </c>
      <c r="DQ33" s="27" t="s">
        <v>882</v>
      </c>
      <c r="DR33" s="27" t="str">
        <f>VLOOKUP($A33,'[1]Raw Data'!$A$3:$FB$285,115,FALSE)</f>
        <v/>
      </c>
      <c r="DS33" s="27" t="str">
        <f>VLOOKUP($A33,'[1]Raw Data'!$A$3:$FB$285,117,FALSE)</f>
        <v/>
      </c>
      <c r="DU33" s="27" t="str">
        <f>VLOOKUP($A33,'[1]Raw Data'!$A$3:$FB$285,118,FALSE)</f>
        <v>DUDBC.DLPIU Chief</v>
      </c>
      <c r="DV33" s="27" t="s">
        <v>883</v>
      </c>
      <c r="DW33" s="27" t="str">
        <f>VLOOKUP($A33,'[1]Raw Data'!$A$3:$FB$285,119,FALSE)</f>
        <v/>
      </c>
      <c r="DX33" s="27" t="s">
        <v>339</v>
      </c>
      <c r="DY33" s="27" t="str">
        <f>VLOOKUP($A33,'[1]Raw Data'!$A$3:$FB$285,124,FALSE)</f>
        <v/>
      </c>
      <c r="DZ33" s="27" t="s">
        <v>884</v>
      </c>
      <c r="EA33" s="27" t="str">
        <f>VLOOKUP($A33,'[1]Raw Data'!$A$3:$FB$285,125,FALSE)</f>
        <v/>
      </c>
      <c r="EB33" s="27" t="s">
        <v>341</v>
      </c>
      <c r="EC33" s="27" t="str">
        <f>VLOOKUP($A33,'[1]Raw Data'!$A$3:$FB$285,126,FALSE)</f>
        <v/>
      </c>
      <c r="ED33" t="s">
        <v>478</v>
      </c>
      <c r="EE33" s="27" t="str">
        <f>VLOOKUP($A33,'[1]Raw Data'!$A$3:$FB$285,127,FALSE)</f>
        <v/>
      </c>
      <c r="EF33" s="27" t="s">
        <v>343</v>
      </c>
      <c r="EG33" s="27" t="str">
        <f>VLOOKUP($A33,'[1]Raw Data'!$A$3:$FB$285,128,FALSE)</f>
        <v/>
      </c>
      <c r="EH33" t="s">
        <v>344</v>
      </c>
      <c r="EI33" s="27" t="str">
        <f>VLOOKUP($A33,'[1]Raw Data'!$A$3:$FB$285,129,FALSE)</f>
        <v/>
      </c>
      <c r="EM33" s="27" t="str">
        <f>VLOOKUP($A33,'[1]Raw Data'!$A$3:$FB$285,130,FALSE)</f>
        <v/>
      </c>
      <c r="EN33" s="27" t="str">
        <f>VLOOKUP($A33,'[1]Raw Data'!$A$3:$FB$285,131,FALSE)</f>
        <v/>
      </c>
      <c r="EO33" s="27" t="str">
        <f>VLOOKUP($A33,'[1]Raw Data'!$A$3:$FB$285,132,FALSE)</f>
        <v/>
      </c>
      <c r="EP33" s="27" t="str">
        <f>VLOOKUP($A33,'[1]Raw Data'!$A$3:$FB$285,133,FALSE)</f>
        <v/>
      </c>
      <c r="EQ33" s="27" t="str">
        <f>VLOOKUP($A33,'[1]Raw Data'!$A$3:$FB$285,134,FALSE)</f>
        <v/>
      </c>
      <c r="ER33" s="27" t="str">
        <f>VLOOKUP($A33,'[1]Raw Data'!$A$3:$FB$285,135,FALSE)</f>
        <v/>
      </c>
      <c r="ES33" s="27" t="str">
        <f>VLOOKUP($A33,'[1]Raw Data'!$A$3:$FB$285,136,FALSE)</f>
        <v/>
      </c>
      <c r="ET33" s="27" t="str">
        <f>VLOOKUP($A33,'[1]Raw Data'!$A$3:$FB$285,137,FALSE)</f>
        <v/>
      </c>
      <c r="EU33" s="27" t="str">
        <f>VLOOKUP($A33,'[1]Raw Data'!$A$3:$FB$285,138,FALSE)</f>
        <v/>
      </c>
      <c r="EV33" s="27" t="str">
        <f>VLOOKUP($A33,'[1]Raw Data'!$A$3:$FB$285,139,FALSE)</f>
        <v/>
      </c>
      <c r="EW33" s="38">
        <f>VLOOKUP($A33,[1]Training!$A$2:$I$284,5,FALSE)</f>
        <v>102.84615384615384</v>
      </c>
      <c r="EX33" s="31">
        <f>VLOOKUP($A33,[1]Training!$A$2:$I$284,6,FALSE)</f>
        <v>0</v>
      </c>
      <c r="EY33" s="38">
        <f>VLOOKUP($A33,[1]Training!$A$2:$I$284,8,FALSE)</f>
        <v>121.54545454545455</v>
      </c>
      <c r="EZ33" s="31">
        <f>VLOOKUP($A33,[1]Training!$A$2:$I$284,9,FALSE)</f>
        <v>190</v>
      </c>
      <c r="FA33" s="27">
        <v>1</v>
      </c>
      <c r="FB33" s="27">
        <v>2</v>
      </c>
      <c r="FC33" s="27" t="str">
        <f>VLOOKUP($A33,'[1]Raw Data'!$A$3:$FB$285,148,FALSE)</f>
        <v/>
      </c>
      <c r="FE33" s="27" t="str">
        <f>VLOOKUP($A33,'[1]Raw Data'!$A$3:$FB$285,149,FALSE)</f>
        <v>District Coordinator</v>
      </c>
      <c r="FF33" s="27" t="s">
        <v>885</v>
      </c>
      <c r="FG33" s="27" t="str">
        <f>VLOOKUP($A33,'[1]Raw Data'!$A$3:$FB$285,150,FALSE)</f>
        <v/>
      </c>
      <c r="FH33" s="27" t="str">
        <f>VLOOKUP($A33,'[1]Raw Data'!$A$3:$FB$285,156,FALSE)</f>
        <v/>
      </c>
      <c r="FJ33" s="27" t="str">
        <f>VLOOKUP($A33,'[1]Raw Data'!$A$3:$FB$285,157,FALSE)</f>
        <v>District Technical Officer</v>
      </c>
      <c r="FK33" s="27" t="s">
        <v>886</v>
      </c>
      <c r="FL33" s="27" t="str">
        <f>VLOOKUP($A33,'[1]Raw Data'!$A$3:$FB$285,158,FALSE)</f>
        <v/>
      </c>
      <c r="FM33" s="27" t="str">
        <f>VLOOKUP($A33,'[1]Raw Data'!$A$3:$FB$285,152,FALSE)</f>
        <v/>
      </c>
      <c r="FO33" s="27" t="str">
        <f>VLOOKUP($A33,'[1]Raw Data'!$A$3:$FB$285,153,FALSE)</f>
        <v>DIstrict Information Management Officer</v>
      </c>
      <c r="FP33" s="27" t="s">
        <v>887</v>
      </c>
      <c r="FQ33" s="27" t="str">
        <f>VLOOKUP($A33,'[1]Raw Data'!$A$3:$FB$285,154,FALSE)</f>
        <v/>
      </c>
    </row>
    <row r="34" spans="1:173" ht="24" x14ac:dyDescent="0.45">
      <c r="A34" s="27">
        <v>11004</v>
      </c>
      <c r="B34" s="36" t="str">
        <f ca="1">IFERROR(__xludf.DUMMYFUNCTION("""COMPUTED_VALUE"""),"Likhupike Gaunpalika")</f>
        <v>Likhupike Gaunpalika</v>
      </c>
      <c r="C34" s="37" t="str">
        <f>VLOOKUP(A34,'[1]Palika and District in Nepali '!$D$1:$F$283,3,FALSE)</f>
        <v>लिखुपिके गाउँपालिका</v>
      </c>
      <c r="D34" s="36" t="str">
        <f ca="1">IFERROR(__xludf.DUMMYFUNCTION("""COMPUTED_VALUE"""),"Solukhumbu")</f>
        <v>Solukhumbu</v>
      </c>
      <c r="E34" s="36"/>
      <c r="F34" s="27">
        <f>VLOOKUP(A34,'[1]Raw Data'!$A$3:$FB$285,4,FALSE)</f>
        <v>125</v>
      </c>
      <c r="G34" s="27">
        <f>VLOOKUP(A34,'[1]Raw Data'!$A$3:$FB$285,5,FALSE)</f>
        <v>1178</v>
      </c>
      <c r="H34" s="27">
        <f>VLOOKUP(A34,'[1]Raw Data'!$A$3:$FB$285,6,FALSE)</f>
        <v>1303</v>
      </c>
      <c r="I34" s="27">
        <f>VLOOKUP($A34,'[1]Raw Data'!$A$3:$FB$285,8,FALSE)</f>
        <v>0.15</v>
      </c>
      <c r="J34" s="27">
        <f>VLOOKUP($A34,'[1]Raw Data'!$A$3:$FB$285,9,FALSE)</f>
        <v>0.7</v>
      </c>
      <c r="K34" s="27">
        <f>VLOOKUP($A34,'[1]Raw Data'!$A$3:$FB$285,11,FALSE)</f>
        <v>98.7</v>
      </c>
      <c r="L34" s="27">
        <f>VLOOKUP($A34,'[1]Raw Data'!$A$3:$FB$285,12,FALSE)</f>
        <v>95.03</v>
      </c>
      <c r="M34" s="27">
        <f>VLOOKUP($A34,'[1]Raw Data'!$A$3:$FB$285,14,FALSE)</f>
        <v>0</v>
      </c>
      <c r="N34" s="27">
        <f>VLOOKUP($A34,'[1]Raw Data'!$A$3:$FB$285,15,FALSE)</f>
        <v>0.02</v>
      </c>
      <c r="O34" s="27">
        <f>VLOOKUP($A34,'[1]Raw Data'!$A$3:$FB$285,17,FALSE)</f>
        <v>0</v>
      </c>
      <c r="P34" s="27">
        <f>VLOOKUP($A34,'[1]Raw Data'!$A$3:$FB$285,18,FALSE)</f>
        <v>0.03</v>
      </c>
      <c r="Q34" s="27">
        <f>VLOOKUP($A34,'[1]Raw Data'!$A$3:$FB$285,20,FALSE)</f>
        <v>0</v>
      </c>
      <c r="R34" s="27">
        <f>VLOOKUP($A34,'[1]Raw Data'!$A$3:$FB$285,21,FALSE)</f>
        <v>0.03</v>
      </c>
      <c r="S34" s="27">
        <f>VLOOKUP($A34,'[1]Raw Data'!$A$3:$FB$285,23,FALSE)</f>
        <v>0</v>
      </c>
      <c r="T34" s="27">
        <f>VLOOKUP($A34,'[1]Raw Data'!$A$3:$FB$285,24,FALSE)</f>
        <v>0</v>
      </c>
      <c r="U34" s="27">
        <f>VLOOKUP($A34,'[1]Raw Data'!$A$3:$FB$285,26,FALSE)</f>
        <v>0.77</v>
      </c>
      <c r="V34" s="27">
        <f>VLOOKUP($A34,'[1]Raw Data'!$A$3:$FB$285,27,FALSE)</f>
        <v>0.49</v>
      </c>
      <c r="W34" s="27">
        <f>VLOOKUP($A34,'[1]Raw Data'!$A$3:$FB$285,29,FALSE)</f>
        <v>0</v>
      </c>
      <c r="X34" s="27">
        <f>VLOOKUP($A34,'[1]Raw Data'!$A$3:$FB$285,30,FALSE)</f>
        <v>0</v>
      </c>
      <c r="Y34" s="27">
        <f>VLOOKUP($A34,'[1]Raw Data'!$A$3:$FB$285,32,FALSE)</f>
        <v>0.15</v>
      </c>
      <c r="Z34" s="27">
        <f>VLOOKUP($A34,'[1]Raw Data'!$A$3:$FB$285,33,FALSE)</f>
        <v>1.84</v>
      </c>
      <c r="AA34" s="27">
        <f>VLOOKUP($A34,'[1]Raw Data'!$A$3:$FB$285,35,FALSE)</f>
        <v>0.15</v>
      </c>
      <c r="AB34" s="27">
        <f>VLOOKUP($A34,'[1]Raw Data'!$A$3:$FB$285,36,FALSE)</f>
        <v>1.75</v>
      </c>
      <c r="AC34" s="27">
        <f>VLOOKUP($A34,'[1]Raw Data'!$A$3:$FB$285,38,FALSE)</f>
        <v>0.08</v>
      </c>
      <c r="AD34" s="27">
        <f>VLOOKUP($A34,'[1]Raw Data'!$A$3:$FB$285,39,FALSE)</f>
        <v>0.11</v>
      </c>
      <c r="AE34" s="27">
        <f>VLOOKUP($A34,'[1]Raw Data'!$A$3:$FB$285,41,FALSE)</f>
        <v>0</v>
      </c>
      <c r="AF34" s="27">
        <f>VLOOKUP($A34,'[1]Raw Data'!$A$3:$FB$285,42,FALSE)</f>
        <v>0</v>
      </c>
      <c r="AG34" s="27">
        <f>VLOOKUP($A34,'[1]Raw Data'!$A$3:$FB$285,44,FALSE)</f>
        <v>0</v>
      </c>
      <c r="AH34" s="27">
        <f>VLOOKUP($A34,'[1]Raw Data'!$A$3:$FB$285,45,FALSE)</f>
        <v>0</v>
      </c>
      <c r="AI34" s="27">
        <f>VLOOKUP($A34,'[1]Raw Data'!$A$3:$FB$285,46,FALSE)</f>
        <v>1175</v>
      </c>
      <c r="AJ34" s="27">
        <f>VLOOKUP($A34,'[1]Raw Data'!$A$3:$FB$285,47,FALSE)</f>
        <v>503</v>
      </c>
      <c r="AK34" s="27">
        <f>VLOOKUP($A34,'[1]Raw Data'!$A$3:$FB$285,48,FALSE)</f>
        <v>503</v>
      </c>
      <c r="AL34" s="27">
        <f>VLOOKUP($A34,'[1]Raw Data'!$A$3:$FB$285,49,FALSE)</f>
        <v>0</v>
      </c>
      <c r="AM34" s="27">
        <f>VLOOKUP($A34,'[1]Raw Data'!$A$3:$FB$285,50,FALSE)</f>
        <v>0</v>
      </c>
      <c r="AN34" s="27" t="str">
        <f>VLOOKUP($A34,'[1]Raw Data'!$A$3:$FB$285,51,FALSE)</f>
        <v/>
      </c>
      <c r="AO34" s="27" t="str">
        <f>VLOOKUP($A34,'[1]Raw Data'!$A$3:$FB$285,52,FALSE)</f>
        <v/>
      </c>
      <c r="AP34" s="27">
        <f>VLOOKUP($A34,'[1]Raw Data'!$A$3:$FB$285,53,FALSE)</f>
        <v>48</v>
      </c>
      <c r="AQ34" s="27" t="str">
        <f>VLOOKUP($A34,'[1]Raw Data'!$A$3:$FB$285,54,FALSE)</f>
        <v/>
      </c>
      <c r="AR34" s="27" t="str">
        <f>VLOOKUP($A34,'[1]Raw Data'!$A$3:$FB$285,55,FALSE)</f>
        <v/>
      </c>
      <c r="AS34" s="27" t="str">
        <f>VLOOKUP($A34,'[1]Raw Data'!$A$3:$FB$285,56,FALSE)</f>
        <v/>
      </c>
      <c r="AT34" s="27" t="str">
        <f>VLOOKUP($A34,'[1]Raw Data'!$A$3:$FB$285,57,FALSE)</f>
        <v/>
      </c>
      <c r="AU34" s="27" t="str">
        <f>VLOOKUP($A34,'[1]Raw Data'!$A$3:$FB$285,58,FALSE)</f>
        <v/>
      </c>
      <c r="AV34" s="27" t="str">
        <f>VLOOKUP($A34,'[1]Raw Data'!$A$3:$FB$285,59,FALSE)</f>
        <v/>
      </c>
      <c r="AW34" s="27" t="str">
        <f>VLOOKUP($A34,'[1]Raw Data'!$A$3:$FB$285,60,FALSE)</f>
        <v/>
      </c>
      <c r="AX34" s="27" t="str">
        <f>VLOOKUP(A34,'[1]PO''s List'!A32:E314,4,FALSE)</f>
        <v/>
      </c>
      <c r="AZ34" s="27" t="str">
        <f>VLOOKUP(A34,'[1]PO''s List'!$A$3:$E$285,5,FALSE)</f>
        <v/>
      </c>
      <c r="BB34" s="27">
        <f>VLOOKUP($A34,'[1]Raw Data'!$A$3:$FB$285,63,FALSE)</f>
        <v>14290</v>
      </c>
      <c r="BC34" s="27" t="str">
        <f>VLOOKUP($A34,'[1]Raw Data'!$A$3:$FB$285,64,FALSE)</f>
        <v/>
      </c>
      <c r="BD34" s="27" t="str">
        <f t="shared" si="0"/>
        <v/>
      </c>
      <c r="BE34" s="27" t="str">
        <f>VLOOKUP($A34,'[1]Raw Data'!$A$3:$FB$285,65,FALSE)</f>
        <v/>
      </c>
      <c r="BF34" s="27">
        <f>VLOOKUP($A34,'[1]Raw Data'!$A$3:$FB$285,66,FALSE)</f>
        <v>14751</v>
      </c>
      <c r="BG34" s="27" t="str">
        <f>VLOOKUP($A34,'[1]Raw Data'!$A$3:$FB$285,67,FALSE)</f>
        <v/>
      </c>
      <c r="BH34" s="27" t="str">
        <f t="shared" si="1"/>
        <v/>
      </c>
      <c r="BI34" s="27" t="str">
        <f>VLOOKUP($A34,'[1]Raw Data'!$A$3:$FB$285,68,FALSE)</f>
        <v/>
      </c>
      <c r="BJ34" s="27">
        <f>VLOOKUP($A34,'[1]Raw Data'!$A$3:$FB$285,69,FALSE)</f>
        <v>1527</v>
      </c>
      <c r="BK34" s="27" t="str">
        <f>VLOOKUP($A34,'[1]Raw Data'!$A$3:$FB$285,70,FALSE)</f>
        <v/>
      </c>
      <c r="BL34" s="27" t="str">
        <f t="shared" si="2"/>
        <v/>
      </c>
      <c r="BM34" s="27" t="str">
        <f>VLOOKUP($A34,'[1]Raw Data'!$A$3:$FB$285,71,FALSE)</f>
        <v/>
      </c>
      <c r="BN34" s="27">
        <f>VLOOKUP($A34,'[1]Raw Data'!$A$3:$FB$285,72,FALSE)</f>
        <v>1766</v>
      </c>
      <c r="BO34" s="27" t="str">
        <f>VLOOKUP($A34,'[1]Raw Data'!$A$3:$FB$285,73,FALSE)</f>
        <v/>
      </c>
      <c r="BP34" s="27" t="str">
        <f t="shared" si="3"/>
        <v/>
      </c>
      <c r="BQ34" s="27" t="str">
        <f>VLOOKUP($A34,'[1]Raw Data'!$A$3:$FB$285,74,FALSE)</f>
        <v/>
      </c>
      <c r="BR34" s="27" t="str">
        <f>VLOOKUP($A34,'[1]Raw Data'!$A$3:$FB$285,75,FALSE)</f>
        <v/>
      </c>
      <c r="BS34" s="27" t="str">
        <f>VLOOKUP($A34,'[1]Raw Data'!$A$3:$FB$285,76,FALSE)</f>
        <v/>
      </c>
      <c r="BT34" s="27" t="str">
        <f t="shared" si="4"/>
        <v/>
      </c>
      <c r="BU34" s="27" t="str">
        <f>VLOOKUP($A34,'[1]Raw Data'!$A$3:$FB$285,77,FALSE)</f>
        <v/>
      </c>
      <c r="BV34" s="27">
        <f>VLOOKUP($A34,'[1]Raw Data'!$A$3:$FB$285,78,FALSE)</f>
        <v>49034</v>
      </c>
      <c r="BW34" s="27" t="str">
        <f>VLOOKUP($A34,'[1]Raw Data'!$A$3:$FB$285,79,FALSE)</f>
        <v/>
      </c>
      <c r="BX34" s="27" t="str">
        <f t="shared" si="5"/>
        <v/>
      </c>
      <c r="BY34" s="27" t="str">
        <f>VLOOKUP($A34,'[1]Raw Data'!$A$3:$FB$285,80,FALSE)</f>
        <v/>
      </c>
      <c r="BZ34" s="27">
        <f>VLOOKUP($A34,'[1]Raw Data'!$A$3:$FB$285,81,FALSE)</f>
        <v>154999</v>
      </c>
      <c r="CA34" s="27" t="str">
        <f>VLOOKUP($A34,'[1]Raw Data'!$A$3:$FB$285,82,FALSE)</f>
        <v/>
      </c>
      <c r="CB34" s="27" t="str">
        <f t="shared" si="6"/>
        <v/>
      </c>
      <c r="CC34" s="27" t="str">
        <f>VLOOKUP($A34,'[1]Raw Data'!$A$3:$FB$285,83,FALSE)</f>
        <v/>
      </c>
      <c r="CD34" s="27">
        <f>VLOOKUP($A34,'[1]Raw Data'!$A$3:$FB$285,84,FALSE)</f>
        <v>2005</v>
      </c>
      <c r="CE34" s="27" t="str">
        <f>VLOOKUP($A34,'[1]Raw Data'!$A$3:$FB$285,85,FALSE)</f>
        <v/>
      </c>
      <c r="CF34" s="27" t="str">
        <f t="shared" si="7"/>
        <v/>
      </c>
      <c r="CG34" s="27" t="str">
        <f>VLOOKUP($A34,'[1]Raw Data'!$A$3:$FB$285,86,FALSE)</f>
        <v/>
      </c>
      <c r="CH34" s="27">
        <f>VLOOKUP($A34,'[1]Raw Data'!$A$3:$FB$285,87,FALSE)</f>
        <v>161173</v>
      </c>
      <c r="CI34" s="27" t="str">
        <f>VLOOKUP($A34,'[1]Raw Data'!$A$3:$FB$285,88,FALSE)</f>
        <v/>
      </c>
      <c r="CJ34" s="27" t="str">
        <f t="shared" si="8"/>
        <v/>
      </c>
      <c r="CK34" s="27" t="str">
        <f>VLOOKUP($A34,'[1]Raw Data'!$A$3:$FB$285,89,FALSE)</f>
        <v/>
      </c>
      <c r="CL34" s="27" t="str">
        <f>VLOOKUP($A34,'[1]Raw Data'!$A$3:$FB$285,91,FALSE)</f>
        <v/>
      </c>
      <c r="CM34" s="27" t="str">
        <f>VLOOKUP($A34,'[1]Raw Data'!$A$3:$FB$285,93,FALSE)</f>
        <v/>
      </c>
      <c r="CN34" s="27" t="str">
        <f>VLOOKUP($A34,'[1]Raw Data'!$A$3:$FB$285,94,FALSE)</f>
        <v/>
      </c>
      <c r="CO34" s="27" t="str">
        <f>VLOOKUP($A34,'[1]Raw Data'!$A$3:$FB$285,95,FALSE)</f>
        <v/>
      </c>
      <c r="CP34" s="27" t="str">
        <f>VLOOKUP($A34,'[1]Raw Data'!$A$3:$FB$285,96,FALSE)</f>
        <v/>
      </c>
      <c r="CQ34" s="27" t="str">
        <f>VLOOKUP($A34,'[1]Raw Data'!$A$3:$FB$285,97,FALSE)</f>
        <v/>
      </c>
      <c r="CR34" s="27" t="str">
        <f>VLOOKUP($A34,'[1]Raw Data'!$A$3:$FB$285,98,FALSE)</f>
        <v/>
      </c>
      <c r="CS34" s="27" t="str">
        <f>VLOOKUP($A34,'[1]Raw Data'!$A$3:$FB$285,99,FALSE)</f>
        <v/>
      </c>
      <c r="CT34" s="27" t="str">
        <f>VLOOKUP($A34,'[1]Raw Data'!$A$3:$FB$285,101,FALSE)</f>
        <v/>
      </c>
      <c r="CV34" s="27" t="str">
        <f>VLOOKUP($A34,'[1]Raw Data'!$A$3:$FB$285,102,FALSE)</f>
        <v>Chairman</v>
      </c>
      <c r="CW34" s="27" t="s">
        <v>878</v>
      </c>
      <c r="CX34" s="27" t="str">
        <f>VLOOKUP($A34,'[1]Raw Data'!$A$3:$FB$285,103,FALSE)</f>
        <v/>
      </c>
      <c r="CY34" s="27" t="str">
        <f>VLOOKUP($A34,'[1]Raw Data'!$A$3:$FB$285,105,FALSE)</f>
        <v/>
      </c>
      <c r="DA34" s="27" t="str">
        <f>VLOOKUP($A34,'[1]Raw Data'!$A$3:$FB$285,106,FALSE)</f>
        <v>Deputy Chairman</v>
      </c>
      <c r="DB34" s="27" t="s">
        <v>879</v>
      </c>
      <c r="DC34" s="27" t="str">
        <f>VLOOKUP($A34,'[1]Raw Data'!$A$3:$FB$285,107,FALSE)</f>
        <v/>
      </c>
      <c r="DD34" s="27" t="str">
        <f>VLOOKUP($A34,'[1]Raw Data'!$A$3:$FB$285,109,FALSE)</f>
        <v/>
      </c>
      <c r="DF34" s="27" t="str">
        <f>VLOOKUP($A34,'[1]Raw Data'!$A$3:$FB$285,110,FALSE)</f>
        <v>Chief Adminstration Officer</v>
      </c>
      <c r="DG34" s="27" t="s">
        <v>880</v>
      </c>
      <c r="DH34" s="27" t="str">
        <f>VLOOKUP($A34,'[1]Raw Data'!$A$3:$FB$285,111,FALSE)</f>
        <v/>
      </c>
      <c r="DI34" s="27" t="str">
        <f>VLOOKUP($A34,'[1]Raw Data'!$A$3:$FB$285,121,FALSE)</f>
        <v/>
      </c>
      <c r="DK34" s="27" t="str">
        <f>VLOOKUP($A34,'[1]Raw Data'!$A$3:$FB$285,122,FALSE)</f>
        <v>Focal Person</v>
      </c>
      <c r="DL34" s="27" t="s">
        <v>881</v>
      </c>
      <c r="DM34" s="27" t="str">
        <f>VLOOKUP($A34,'[1]Raw Data'!$A$3:$FB$285,123,FALSE)</f>
        <v/>
      </c>
      <c r="DN34" s="27" t="str">
        <f>VLOOKUP($A34,'[1]Raw Data'!$A$3:$FB$285,113,FALSE)</f>
        <v/>
      </c>
      <c r="DP34" s="27" t="str">
        <f>VLOOKUP($A34,'[1]Raw Data'!$A$3:$FB$285,114,FALSE)</f>
        <v>NRA Chief-District</v>
      </c>
      <c r="DQ34" s="27" t="s">
        <v>882</v>
      </c>
      <c r="DR34" s="27" t="str">
        <f>VLOOKUP($A34,'[1]Raw Data'!$A$3:$FB$285,115,FALSE)</f>
        <v/>
      </c>
      <c r="DS34" s="27" t="str">
        <f>VLOOKUP($A34,'[1]Raw Data'!$A$3:$FB$285,117,FALSE)</f>
        <v/>
      </c>
      <c r="DU34" s="27" t="str">
        <f>VLOOKUP($A34,'[1]Raw Data'!$A$3:$FB$285,118,FALSE)</f>
        <v>DUDBC.DLPIU Chief</v>
      </c>
      <c r="DV34" s="27" t="s">
        <v>883</v>
      </c>
      <c r="DW34" s="27" t="str">
        <f>VLOOKUP($A34,'[1]Raw Data'!$A$3:$FB$285,119,FALSE)</f>
        <v/>
      </c>
      <c r="DX34" s="27" t="s">
        <v>339</v>
      </c>
      <c r="DY34" s="27" t="str">
        <f>VLOOKUP($A34,'[1]Raw Data'!$A$3:$FB$285,124,FALSE)</f>
        <v/>
      </c>
      <c r="DZ34" s="27" t="s">
        <v>884</v>
      </c>
      <c r="EA34" s="27" t="str">
        <f>VLOOKUP($A34,'[1]Raw Data'!$A$3:$FB$285,125,FALSE)</f>
        <v/>
      </c>
      <c r="EB34" s="27" t="s">
        <v>341</v>
      </c>
      <c r="EC34" s="27" t="str">
        <f>VLOOKUP($A34,'[1]Raw Data'!$A$3:$FB$285,126,FALSE)</f>
        <v/>
      </c>
      <c r="ED34" t="s">
        <v>478</v>
      </c>
      <c r="EE34" s="27" t="str">
        <f>VLOOKUP($A34,'[1]Raw Data'!$A$3:$FB$285,127,FALSE)</f>
        <v/>
      </c>
      <c r="EF34" s="27" t="s">
        <v>343</v>
      </c>
      <c r="EG34" s="27" t="str">
        <f>VLOOKUP($A34,'[1]Raw Data'!$A$3:$FB$285,128,FALSE)</f>
        <v/>
      </c>
      <c r="EH34" t="s">
        <v>344</v>
      </c>
      <c r="EI34" s="27" t="str">
        <f>VLOOKUP($A34,'[1]Raw Data'!$A$3:$FB$285,129,FALSE)</f>
        <v/>
      </c>
      <c r="EM34" s="27" t="str">
        <f>VLOOKUP($A34,'[1]Raw Data'!$A$3:$FB$285,130,FALSE)</f>
        <v/>
      </c>
      <c r="EN34" s="27" t="str">
        <f>VLOOKUP($A34,'[1]Raw Data'!$A$3:$FB$285,131,FALSE)</f>
        <v/>
      </c>
      <c r="EO34" s="27" t="str">
        <f>VLOOKUP($A34,'[1]Raw Data'!$A$3:$FB$285,132,FALSE)</f>
        <v/>
      </c>
      <c r="EP34" s="27" t="str">
        <f>VLOOKUP($A34,'[1]Raw Data'!$A$3:$FB$285,133,FALSE)</f>
        <v/>
      </c>
      <c r="EQ34" s="27" t="str">
        <f>VLOOKUP($A34,'[1]Raw Data'!$A$3:$FB$285,134,FALSE)</f>
        <v/>
      </c>
      <c r="ER34" s="27" t="str">
        <f>VLOOKUP($A34,'[1]Raw Data'!$A$3:$FB$285,135,FALSE)</f>
        <v/>
      </c>
      <c r="ES34" s="27" t="str">
        <f>VLOOKUP($A34,'[1]Raw Data'!$A$3:$FB$285,136,FALSE)</f>
        <v/>
      </c>
      <c r="ET34" s="27" t="str">
        <f>VLOOKUP($A34,'[1]Raw Data'!$A$3:$FB$285,137,FALSE)</f>
        <v/>
      </c>
      <c r="EU34" s="27" t="str">
        <f>VLOOKUP($A34,'[1]Raw Data'!$A$3:$FB$285,138,FALSE)</f>
        <v/>
      </c>
      <c r="EV34" s="27" t="str">
        <f>VLOOKUP($A34,'[1]Raw Data'!$A$3:$FB$285,139,FALSE)</f>
        <v/>
      </c>
      <c r="EW34" s="38">
        <f>VLOOKUP($A34,[1]Training!$A$2:$I$284,5,FALSE)</f>
        <v>90.384615384615387</v>
      </c>
      <c r="EX34" s="31">
        <f>VLOOKUP($A34,[1]Training!$A$2:$I$284,6,FALSE)</f>
        <v>0</v>
      </c>
      <c r="EY34" s="38">
        <f>VLOOKUP($A34,[1]Training!$A$2:$I$284,8,FALSE)</f>
        <v>106.81818181818181</v>
      </c>
      <c r="EZ34" s="31">
        <f>VLOOKUP($A34,[1]Training!$A$2:$I$284,9,FALSE)</f>
        <v>41</v>
      </c>
      <c r="FA34" s="27">
        <v>1</v>
      </c>
      <c r="FB34" s="27">
        <v>2</v>
      </c>
      <c r="FC34" s="27" t="str">
        <f>VLOOKUP($A34,'[1]Raw Data'!$A$3:$FB$285,148,FALSE)</f>
        <v/>
      </c>
      <c r="FE34" s="27" t="str">
        <f>VLOOKUP($A34,'[1]Raw Data'!$A$3:$FB$285,149,FALSE)</f>
        <v>District Coordinator</v>
      </c>
      <c r="FF34" s="27" t="s">
        <v>885</v>
      </c>
      <c r="FG34" s="27" t="str">
        <f>VLOOKUP($A34,'[1]Raw Data'!$A$3:$FB$285,150,FALSE)</f>
        <v/>
      </c>
      <c r="FH34" s="27" t="str">
        <f>VLOOKUP($A34,'[1]Raw Data'!$A$3:$FB$285,156,FALSE)</f>
        <v/>
      </c>
      <c r="FJ34" s="27" t="str">
        <f>VLOOKUP($A34,'[1]Raw Data'!$A$3:$FB$285,157,FALSE)</f>
        <v>District Technical Officer</v>
      </c>
      <c r="FK34" s="27" t="s">
        <v>886</v>
      </c>
      <c r="FL34" s="27" t="str">
        <f>VLOOKUP($A34,'[1]Raw Data'!$A$3:$FB$285,158,FALSE)</f>
        <v/>
      </c>
      <c r="FM34" s="27" t="str">
        <f>VLOOKUP($A34,'[1]Raw Data'!$A$3:$FB$285,152,FALSE)</f>
        <v/>
      </c>
      <c r="FO34" s="27" t="str">
        <f>VLOOKUP($A34,'[1]Raw Data'!$A$3:$FB$285,153,FALSE)</f>
        <v>DIstrict Information Management Officer</v>
      </c>
      <c r="FP34" s="27" t="s">
        <v>887</v>
      </c>
      <c r="FQ34" s="27" t="str">
        <f>VLOOKUP($A34,'[1]Raw Data'!$A$3:$FB$285,154,FALSE)</f>
        <v/>
      </c>
    </row>
    <row r="35" spans="1:173" ht="24" x14ac:dyDescent="0.45">
      <c r="A35" s="27">
        <v>11005</v>
      </c>
      <c r="B35" s="36" t="str">
        <f ca="1">IFERROR(__xludf.DUMMYFUNCTION("""COMPUTED_VALUE"""),"Mahakulung Gaunpalika")</f>
        <v>Mahakulung Gaunpalika</v>
      </c>
      <c r="C35" s="37" t="str">
        <f>VLOOKUP(A35,'[1]Palika and District in Nepali '!$D$1:$F$283,3,FALSE)</f>
        <v>महाकुलुंङ गाउँपालिका</v>
      </c>
      <c r="D35" s="36" t="str">
        <f ca="1">IFERROR(__xludf.DUMMYFUNCTION("""COMPUTED_VALUE"""),"Solukhumbu")</f>
        <v>Solukhumbu</v>
      </c>
      <c r="E35" s="36"/>
      <c r="F35" s="27">
        <f>VLOOKUP(A35,'[1]Raw Data'!$A$3:$FB$285,4,FALSE)</f>
        <v>420</v>
      </c>
      <c r="G35" s="27">
        <f>VLOOKUP(A35,'[1]Raw Data'!$A$3:$FB$285,5,FALSE)</f>
        <v>716</v>
      </c>
      <c r="H35" s="27">
        <f>VLOOKUP(A35,'[1]Raw Data'!$A$3:$FB$285,6,FALSE)</f>
        <v>1136</v>
      </c>
      <c r="I35" s="27">
        <f>VLOOKUP($A35,'[1]Raw Data'!$A$3:$FB$285,8,FALSE)</f>
        <v>0.26</v>
      </c>
      <c r="J35" s="27">
        <f>VLOOKUP($A35,'[1]Raw Data'!$A$3:$FB$285,9,FALSE)</f>
        <v>0.7</v>
      </c>
      <c r="K35" s="27">
        <f>VLOOKUP($A35,'[1]Raw Data'!$A$3:$FB$285,11,FALSE)</f>
        <v>78.87</v>
      </c>
      <c r="L35" s="27">
        <f>VLOOKUP($A35,'[1]Raw Data'!$A$3:$FB$285,12,FALSE)</f>
        <v>95.03</v>
      </c>
      <c r="M35" s="27">
        <f>VLOOKUP($A35,'[1]Raw Data'!$A$3:$FB$285,14,FALSE)</f>
        <v>0</v>
      </c>
      <c r="N35" s="27">
        <f>VLOOKUP($A35,'[1]Raw Data'!$A$3:$FB$285,15,FALSE)</f>
        <v>0.02</v>
      </c>
      <c r="O35" s="27">
        <f>VLOOKUP($A35,'[1]Raw Data'!$A$3:$FB$285,17,FALSE)</f>
        <v>0</v>
      </c>
      <c r="P35" s="27">
        <f>VLOOKUP($A35,'[1]Raw Data'!$A$3:$FB$285,18,FALSE)</f>
        <v>0.03</v>
      </c>
      <c r="Q35" s="27">
        <f>VLOOKUP($A35,'[1]Raw Data'!$A$3:$FB$285,20,FALSE)</f>
        <v>0.09</v>
      </c>
      <c r="R35" s="27">
        <f>VLOOKUP($A35,'[1]Raw Data'!$A$3:$FB$285,21,FALSE)</f>
        <v>0.03</v>
      </c>
      <c r="S35" s="27">
        <f>VLOOKUP($A35,'[1]Raw Data'!$A$3:$FB$285,23,FALSE)</f>
        <v>0</v>
      </c>
      <c r="T35" s="27">
        <f>VLOOKUP($A35,'[1]Raw Data'!$A$3:$FB$285,24,FALSE)</f>
        <v>0</v>
      </c>
      <c r="U35" s="27">
        <f>VLOOKUP($A35,'[1]Raw Data'!$A$3:$FB$285,26,FALSE)</f>
        <v>0.18</v>
      </c>
      <c r="V35" s="27">
        <f>VLOOKUP($A35,'[1]Raw Data'!$A$3:$FB$285,27,FALSE)</f>
        <v>0.49</v>
      </c>
      <c r="W35" s="27">
        <f>VLOOKUP($A35,'[1]Raw Data'!$A$3:$FB$285,29,FALSE)</f>
        <v>0</v>
      </c>
      <c r="X35" s="27">
        <f>VLOOKUP($A35,'[1]Raw Data'!$A$3:$FB$285,30,FALSE)</f>
        <v>0</v>
      </c>
      <c r="Y35" s="27">
        <f>VLOOKUP($A35,'[1]Raw Data'!$A$3:$FB$285,32,FALSE)</f>
        <v>0.53</v>
      </c>
      <c r="Z35" s="27">
        <f>VLOOKUP($A35,'[1]Raw Data'!$A$3:$FB$285,33,FALSE)</f>
        <v>1.84</v>
      </c>
      <c r="AA35" s="27">
        <f>VLOOKUP($A35,'[1]Raw Data'!$A$3:$FB$285,35,FALSE)</f>
        <v>19.72</v>
      </c>
      <c r="AB35" s="27">
        <f>VLOOKUP($A35,'[1]Raw Data'!$A$3:$FB$285,36,FALSE)</f>
        <v>1.75</v>
      </c>
      <c r="AC35" s="27">
        <f>VLOOKUP($A35,'[1]Raw Data'!$A$3:$FB$285,38,FALSE)</f>
        <v>0.35</v>
      </c>
      <c r="AD35" s="27">
        <f>VLOOKUP($A35,'[1]Raw Data'!$A$3:$FB$285,39,FALSE)</f>
        <v>0.11</v>
      </c>
      <c r="AE35" s="27">
        <f>VLOOKUP($A35,'[1]Raw Data'!$A$3:$FB$285,41,FALSE)</f>
        <v>0</v>
      </c>
      <c r="AF35" s="27">
        <f>VLOOKUP($A35,'[1]Raw Data'!$A$3:$FB$285,42,FALSE)</f>
        <v>0</v>
      </c>
      <c r="AG35" s="27">
        <f>VLOOKUP($A35,'[1]Raw Data'!$A$3:$FB$285,44,FALSE)</f>
        <v>0</v>
      </c>
      <c r="AH35" s="27">
        <f>VLOOKUP($A35,'[1]Raw Data'!$A$3:$FB$285,45,FALSE)</f>
        <v>0</v>
      </c>
      <c r="AI35" s="27">
        <f>VLOOKUP($A35,'[1]Raw Data'!$A$3:$FB$285,46,FALSE)</f>
        <v>604</v>
      </c>
      <c r="AJ35" s="27">
        <f>VLOOKUP($A35,'[1]Raw Data'!$A$3:$FB$285,47,FALSE)</f>
        <v>67</v>
      </c>
      <c r="AK35" s="27">
        <f>VLOOKUP($A35,'[1]Raw Data'!$A$3:$FB$285,48,FALSE)</f>
        <v>67</v>
      </c>
      <c r="AL35" s="27">
        <f>VLOOKUP($A35,'[1]Raw Data'!$A$3:$FB$285,49,FALSE)</f>
        <v>28</v>
      </c>
      <c r="AM35" s="27">
        <f>VLOOKUP($A35,'[1]Raw Data'!$A$3:$FB$285,50,FALSE)</f>
        <v>0</v>
      </c>
      <c r="AN35" s="27" t="str">
        <f>VLOOKUP($A35,'[1]Raw Data'!$A$3:$FB$285,51,FALSE)</f>
        <v/>
      </c>
      <c r="AO35" s="27" t="str">
        <f>VLOOKUP($A35,'[1]Raw Data'!$A$3:$FB$285,52,FALSE)</f>
        <v/>
      </c>
      <c r="AP35" s="27">
        <f>VLOOKUP($A35,'[1]Raw Data'!$A$3:$FB$285,53,FALSE)</f>
        <v>92</v>
      </c>
      <c r="AQ35" s="27" t="str">
        <f>VLOOKUP($A35,'[1]Raw Data'!$A$3:$FB$285,54,FALSE)</f>
        <v/>
      </c>
      <c r="AR35" s="27" t="str">
        <f>VLOOKUP($A35,'[1]Raw Data'!$A$3:$FB$285,55,FALSE)</f>
        <v/>
      </c>
      <c r="AS35" s="27" t="str">
        <f>VLOOKUP($A35,'[1]Raw Data'!$A$3:$FB$285,56,FALSE)</f>
        <v/>
      </c>
      <c r="AT35" s="27" t="str">
        <f>VLOOKUP($A35,'[1]Raw Data'!$A$3:$FB$285,57,FALSE)</f>
        <v/>
      </c>
      <c r="AU35" s="27" t="str">
        <f>VLOOKUP($A35,'[1]Raw Data'!$A$3:$FB$285,58,FALSE)</f>
        <v/>
      </c>
      <c r="AV35" s="27" t="str">
        <f>VLOOKUP($A35,'[1]Raw Data'!$A$3:$FB$285,59,FALSE)</f>
        <v/>
      </c>
      <c r="AW35" s="27" t="str">
        <f>VLOOKUP($A35,'[1]Raw Data'!$A$3:$FB$285,60,FALSE)</f>
        <v/>
      </c>
      <c r="AX35" s="27" t="str">
        <f>VLOOKUP(A35,'[1]PO''s List'!A33:E315,4,FALSE)</f>
        <v/>
      </c>
      <c r="AZ35" s="27" t="str">
        <f>VLOOKUP(A35,'[1]PO''s List'!$A$3:$E$285,5,FALSE)</f>
        <v>CITC-N(Education),SYC(Education)</v>
      </c>
      <c r="BB35" s="27">
        <f>VLOOKUP($A35,'[1]Raw Data'!$A$3:$FB$285,63,FALSE)</f>
        <v>1956</v>
      </c>
      <c r="BC35" s="27" t="str">
        <f>VLOOKUP($A35,'[1]Raw Data'!$A$3:$FB$285,64,FALSE)</f>
        <v/>
      </c>
      <c r="BD35" s="27" t="str">
        <f t="shared" si="0"/>
        <v/>
      </c>
      <c r="BE35" s="27" t="str">
        <f>VLOOKUP($A35,'[1]Raw Data'!$A$3:$FB$285,65,FALSE)</f>
        <v/>
      </c>
      <c r="BF35" s="27">
        <f>VLOOKUP($A35,'[1]Raw Data'!$A$3:$FB$285,66,FALSE)</f>
        <v>1919</v>
      </c>
      <c r="BG35" s="27" t="str">
        <f>VLOOKUP($A35,'[1]Raw Data'!$A$3:$FB$285,67,FALSE)</f>
        <v/>
      </c>
      <c r="BH35" s="27" t="str">
        <f t="shared" si="1"/>
        <v/>
      </c>
      <c r="BI35" s="27" t="str">
        <f>VLOOKUP($A35,'[1]Raw Data'!$A$3:$FB$285,68,FALSE)</f>
        <v/>
      </c>
      <c r="BJ35" s="27">
        <f>VLOOKUP($A35,'[1]Raw Data'!$A$3:$FB$285,69,FALSE)</f>
        <v>208</v>
      </c>
      <c r="BK35" s="27" t="str">
        <f>VLOOKUP($A35,'[1]Raw Data'!$A$3:$FB$285,70,FALSE)</f>
        <v/>
      </c>
      <c r="BL35" s="27" t="str">
        <f t="shared" si="2"/>
        <v/>
      </c>
      <c r="BM35" s="27" t="str">
        <f>VLOOKUP($A35,'[1]Raw Data'!$A$3:$FB$285,71,FALSE)</f>
        <v/>
      </c>
      <c r="BN35" s="27">
        <f>VLOOKUP($A35,'[1]Raw Data'!$A$3:$FB$285,72,FALSE)</f>
        <v>238</v>
      </c>
      <c r="BO35" s="27" t="str">
        <f>VLOOKUP($A35,'[1]Raw Data'!$A$3:$FB$285,73,FALSE)</f>
        <v/>
      </c>
      <c r="BP35" s="27" t="str">
        <f t="shared" si="3"/>
        <v/>
      </c>
      <c r="BQ35" s="27" t="str">
        <f>VLOOKUP($A35,'[1]Raw Data'!$A$3:$FB$285,74,FALSE)</f>
        <v/>
      </c>
      <c r="BR35" s="27" t="str">
        <f>VLOOKUP($A35,'[1]Raw Data'!$A$3:$FB$285,75,FALSE)</f>
        <v/>
      </c>
      <c r="BS35" s="27" t="str">
        <f>VLOOKUP($A35,'[1]Raw Data'!$A$3:$FB$285,76,FALSE)</f>
        <v/>
      </c>
      <c r="BT35" s="27" t="str">
        <f t="shared" si="4"/>
        <v/>
      </c>
      <c r="BU35" s="27" t="str">
        <f>VLOOKUP($A35,'[1]Raw Data'!$A$3:$FB$285,77,FALSE)</f>
        <v/>
      </c>
      <c r="BV35" s="27">
        <f>VLOOKUP($A35,'[1]Raw Data'!$A$3:$FB$285,78,FALSE)</f>
        <v>6537</v>
      </c>
      <c r="BW35" s="27" t="str">
        <f>VLOOKUP($A35,'[1]Raw Data'!$A$3:$FB$285,79,FALSE)</f>
        <v/>
      </c>
      <c r="BX35" s="27" t="str">
        <f t="shared" si="5"/>
        <v/>
      </c>
      <c r="BY35" s="27" t="str">
        <f>VLOOKUP($A35,'[1]Raw Data'!$A$3:$FB$285,80,FALSE)</f>
        <v/>
      </c>
      <c r="BZ35" s="27">
        <f>VLOOKUP($A35,'[1]Raw Data'!$A$3:$FB$285,81,FALSE)</f>
        <v>21560</v>
      </c>
      <c r="CA35" s="27" t="str">
        <f>VLOOKUP($A35,'[1]Raw Data'!$A$3:$FB$285,82,FALSE)</f>
        <v/>
      </c>
      <c r="CB35" s="27" t="str">
        <f t="shared" si="6"/>
        <v/>
      </c>
      <c r="CC35" s="27" t="str">
        <f>VLOOKUP($A35,'[1]Raw Data'!$A$3:$FB$285,83,FALSE)</f>
        <v/>
      </c>
      <c r="CD35" s="27">
        <f>VLOOKUP($A35,'[1]Raw Data'!$A$3:$FB$285,84,FALSE)</f>
        <v>268</v>
      </c>
      <c r="CE35" s="27" t="str">
        <f>VLOOKUP($A35,'[1]Raw Data'!$A$3:$FB$285,85,FALSE)</f>
        <v/>
      </c>
      <c r="CF35" s="27" t="str">
        <f t="shared" si="7"/>
        <v/>
      </c>
      <c r="CG35" s="27" t="str">
        <f>VLOOKUP($A35,'[1]Raw Data'!$A$3:$FB$285,86,FALSE)</f>
        <v/>
      </c>
      <c r="CH35" s="27">
        <f>VLOOKUP($A35,'[1]Raw Data'!$A$3:$FB$285,87,FALSE)</f>
        <v>51019</v>
      </c>
      <c r="CI35" s="27" t="str">
        <f>VLOOKUP($A35,'[1]Raw Data'!$A$3:$FB$285,88,FALSE)</f>
        <v/>
      </c>
      <c r="CJ35" s="27" t="str">
        <f t="shared" si="8"/>
        <v/>
      </c>
      <c r="CK35" s="27" t="str">
        <f>VLOOKUP($A35,'[1]Raw Data'!$A$3:$FB$285,89,FALSE)</f>
        <v/>
      </c>
      <c r="CL35" s="27" t="str">
        <f>VLOOKUP($A35,'[1]Raw Data'!$A$3:$FB$285,91,FALSE)</f>
        <v/>
      </c>
      <c r="CM35" s="27" t="str">
        <f>VLOOKUP($A35,'[1]Raw Data'!$A$3:$FB$285,93,FALSE)</f>
        <v/>
      </c>
      <c r="CN35" s="27" t="str">
        <f>VLOOKUP($A35,'[1]Raw Data'!$A$3:$FB$285,94,FALSE)</f>
        <v/>
      </c>
      <c r="CO35" s="27" t="str">
        <f>VLOOKUP($A35,'[1]Raw Data'!$A$3:$FB$285,95,FALSE)</f>
        <v/>
      </c>
      <c r="CP35" s="27" t="str">
        <f>VLOOKUP($A35,'[1]Raw Data'!$A$3:$FB$285,96,FALSE)</f>
        <v/>
      </c>
      <c r="CQ35" s="27" t="str">
        <f>VLOOKUP($A35,'[1]Raw Data'!$A$3:$FB$285,97,FALSE)</f>
        <v/>
      </c>
      <c r="CR35" s="27" t="str">
        <f>VLOOKUP($A35,'[1]Raw Data'!$A$3:$FB$285,98,FALSE)</f>
        <v/>
      </c>
      <c r="CS35" s="27" t="str">
        <f>VLOOKUP($A35,'[1]Raw Data'!$A$3:$FB$285,99,FALSE)</f>
        <v/>
      </c>
      <c r="CT35" s="27" t="str">
        <f>VLOOKUP($A35,'[1]Raw Data'!$A$3:$FB$285,101,FALSE)</f>
        <v/>
      </c>
      <c r="CV35" s="27" t="str">
        <f>VLOOKUP($A35,'[1]Raw Data'!$A$3:$FB$285,102,FALSE)</f>
        <v>Chairman</v>
      </c>
      <c r="CW35" s="27" t="s">
        <v>878</v>
      </c>
      <c r="CX35" s="27" t="str">
        <f>VLOOKUP($A35,'[1]Raw Data'!$A$3:$FB$285,103,FALSE)</f>
        <v/>
      </c>
      <c r="CY35" s="27" t="str">
        <f>VLOOKUP($A35,'[1]Raw Data'!$A$3:$FB$285,105,FALSE)</f>
        <v/>
      </c>
      <c r="DA35" s="27" t="str">
        <f>VLOOKUP($A35,'[1]Raw Data'!$A$3:$FB$285,106,FALSE)</f>
        <v>Deputy Chairman</v>
      </c>
      <c r="DB35" s="27" t="s">
        <v>879</v>
      </c>
      <c r="DC35" s="27" t="str">
        <f>VLOOKUP($A35,'[1]Raw Data'!$A$3:$FB$285,107,FALSE)</f>
        <v/>
      </c>
      <c r="DD35" s="27" t="str">
        <f>VLOOKUP($A35,'[1]Raw Data'!$A$3:$FB$285,109,FALSE)</f>
        <v/>
      </c>
      <c r="DF35" s="27" t="str">
        <f>VLOOKUP($A35,'[1]Raw Data'!$A$3:$FB$285,110,FALSE)</f>
        <v>Chief Adminstration Officer</v>
      </c>
      <c r="DG35" s="27" t="s">
        <v>880</v>
      </c>
      <c r="DH35" s="27" t="str">
        <f>VLOOKUP($A35,'[1]Raw Data'!$A$3:$FB$285,111,FALSE)</f>
        <v/>
      </c>
      <c r="DI35" s="27" t="str">
        <f>VLOOKUP($A35,'[1]Raw Data'!$A$3:$FB$285,121,FALSE)</f>
        <v/>
      </c>
      <c r="DK35" s="27" t="str">
        <f>VLOOKUP($A35,'[1]Raw Data'!$A$3:$FB$285,122,FALSE)</f>
        <v>Focal Person</v>
      </c>
      <c r="DL35" s="27" t="s">
        <v>881</v>
      </c>
      <c r="DM35" s="27" t="str">
        <f>VLOOKUP($A35,'[1]Raw Data'!$A$3:$FB$285,123,FALSE)</f>
        <v/>
      </c>
      <c r="DN35" s="27" t="str">
        <f>VLOOKUP($A35,'[1]Raw Data'!$A$3:$FB$285,113,FALSE)</f>
        <v/>
      </c>
      <c r="DP35" s="27" t="str">
        <f>VLOOKUP($A35,'[1]Raw Data'!$A$3:$FB$285,114,FALSE)</f>
        <v>NRA Chief-District</v>
      </c>
      <c r="DQ35" s="27" t="s">
        <v>882</v>
      </c>
      <c r="DR35" s="27" t="str">
        <f>VLOOKUP($A35,'[1]Raw Data'!$A$3:$FB$285,115,FALSE)</f>
        <v/>
      </c>
      <c r="DS35" s="27" t="str">
        <f>VLOOKUP($A35,'[1]Raw Data'!$A$3:$FB$285,117,FALSE)</f>
        <v/>
      </c>
      <c r="DU35" s="27" t="str">
        <f>VLOOKUP($A35,'[1]Raw Data'!$A$3:$FB$285,118,FALSE)</f>
        <v>DUDBC.DLPIU Chief</v>
      </c>
      <c r="DV35" s="27" t="s">
        <v>883</v>
      </c>
      <c r="DW35" s="27" t="str">
        <f>VLOOKUP($A35,'[1]Raw Data'!$A$3:$FB$285,119,FALSE)</f>
        <v/>
      </c>
      <c r="DX35" s="27" t="s">
        <v>339</v>
      </c>
      <c r="DY35" s="27" t="str">
        <f>VLOOKUP($A35,'[1]Raw Data'!$A$3:$FB$285,124,FALSE)</f>
        <v/>
      </c>
      <c r="DZ35" s="27" t="s">
        <v>884</v>
      </c>
      <c r="EA35" s="27" t="str">
        <f>VLOOKUP($A35,'[1]Raw Data'!$A$3:$FB$285,125,FALSE)</f>
        <v/>
      </c>
      <c r="EB35" s="27" t="s">
        <v>341</v>
      </c>
      <c r="EC35" s="27" t="str">
        <f>VLOOKUP($A35,'[1]Raw Data'!$A$3:$FB$285,126,FALSE)</f>
        <v/>
      </c>
      <c r="ED35" t="s">
        <v>478</v>
      </c>
      <c r="EE35" s="27" t="str">
        <f>VLOOKUP($A35,'[1]Raw Data'!$A$3:$FB$285,127,FALSE)</f>
        <v/>
      </c>
      <c r="EF35" s="27" t="s">
        <v>343</v>
      </c>
      <c r="EG35" s="27" t="str">
        <f>VLOOKUP($A35,'[1]Raw Data'!$A$3:$FB$285,128,FALSE)</f>
        <v/>
      </c>
      <c r="EH35" t="s">
        <v>344</v>
      </c>
      <c r="EI35" s="27" t="str">
        <f>VLOOKUP($A35,'[1]Raw Data'!$A$3:$FB$285,129,FALSE)</f>
        <v/>
      </c>
      <c r="EM35" s="27" t="str">
        <f>VLOOKUP($A35,'[1]Raw Data'!$A$3:$FB$285,130,FALSE)</f>
        <v/>
      </c>
      <c r="EN35" s="27" t="str">
        <f>VLOOKUP($A35,'[1]Raw Data'!$A$3:$FB$285,131,FALSE)</f>
        <v/>
      </c>
      <c r="EO35" s="27" t="str">
        <f>VLOOKUP($A35,'[1]Raw Data'!$A$3:$FB$285,132,FALSE)</f>
        <v/>
      </c>
      <c r="EP35" s="27" t="str">
        <f>VLOOKUP($A35,'[1]Raw Data'!$A$3:$FB$285,133,FALSE)</f>
        <v/>
      </c>
      <c r="EQ35" s="27" t="str">
        <f>VLOOKUP($A35,'[1]Raw Data'!$A$3:$FB$285,134,FALSE)</f>
        <v/>
      </c>
      <c r="ER35" s="27" t="str">
        <f>VLOOKUP($A35,'[1]Raw Data'!$A$3:$FB$285,135,FALSE)</f>
        <v/>
      </c>
      <c r="ES35" s="27" t="str">
        <f>VLOOKUP($A35,'[1]Raw Data'!$A$3:$FB$285,136,FALSE)</f>
        <v/>
      </c>
      <c r="ET35" s="27" t="str">
        <f>VLOOKUP($A35,'[1]Raw Data'!$A$3:$FB$285,137,FALSE)</f>
        <v/>
      </c>
      <c r="EU35" s="27" t="str">
        <f>VLOOKUP($A35,'[1]Raw Data'!$A$3:$FB$285,138,FALSE)</f>
        <v/>
      </c>
      <c r="EV35" s="27" t="str">
        <f>VLOOKUP($A35,'[1]Raw Data'!$A$3:$FB$285,139,FALSE)</f>
        <v/>
      </c>
      <c r="EW35" s="38">
        <f>VLOOKUP($A35,[1]Training!$A$2:$I$284,5,FALSE)</f>
        <v>46.46153846153846</v>
      </c>
      <c r="EX35" s="31">
        <f>VLOOKUP($A35,[1]Training!$A$2:$I$284,6,FALSE)</f>
        <v>0</v>
      </c>
      <c r="EY35" s="38">
        <f>VLOOKUP($A35,[1]Training!$A$2:$I$284,8,FALSE)</f>
        <v>54.909090909090907</v>
      </c>
      <c r="EZ35" s="31">
        <f>VLOOKUP($A35,[1]Training!$A$2:$I$284,9,FALSE)</f>
        <v>361</v>
      </c>
      <c r="FA35" s="27">
        <v>1</v>
      </c>
      <c r="FB35" s="27">
        <v>2</v>
      </c>
      <c r="FC35" s="27" t="str">
        <f>VLOOKUP($A35,'[1]Raw Data'!$A$3:$FB$285,148,FALSE)</f>
        <v/>
      </c>
      <c r="FE35" s="27" t="str">
        <f>VLOOKUP($A35,'[1]Raw Data'!$A$3:$FB$285,149,FALSE)</f>
        <v>District Coordinator</v>
      </c>
      <c r="FF35" s="27" t="s">
        <v>885</v>
      </c>
      <c r="FG35" s="27" t="str">
        <f>VLOOKUP($A35,'[1]Raw Data'!$A$3:$FB$285,150,FALSE)</f>
        <v/>
      </c>
      <c r="FH35" s="27" t="str">
        <f>VLOOKUP($A35,'[1]Raw Data'!$A$3:$FB$285,156,FALSE)</f>
        <v/>
      </c>
      <c r="FJ35" s="27" t="str">
        <f>VLOOKUP($A35,'[1]Raw Data'!$A$3:$FB$285,157,FALSE)</f>
        <v>District Technical Officer</v>
      </c>
      <c r="FK35" s="27" t="s">
        <v>886</v>
      </c>
      <c r="FL35" s="27" t="str">
        <f>VLOOKUP($A35,'[1]Raw Data'!$A$3:$FB$285,158,FALSE)</f>
        <v/>
      </c>
      <c r="FM35" s="27" t="str">
        <f>VLOOKUP($A35,'[1]Raw Data'!$A$3:$FB$285,152,FALSE)</f>
        <v/>
      </c>
      <c r="FO35" s="27" t="str">
        <f>VLOOKUP($A35,'[1]Raw Data'!$A$3:$FB$285,153,FALSE)</f>
        <v>DIstrict Information Management Officer</v>
      </c>
      <c r="FP35" s="27" t="s">
        <v>887</v>
      </c>
      <c r="FQ35" s="27" t="str">
        <f>VLOOKUP($A35,'[1]Raw Data'!$A$3:$FB$285,154,FALSE)</f>
        <v/>
      </c>
    </row>
    <row r="36" spans="1:173" ht="24" x14ac:dyDescent="0.45">
      <c r="A36" s="27">
        <v>11006</v>
      </c>
      <c r="B36" s="36" t="str">
        <f ca="1">IFERROR(__xludf.DUMMYFUNCTION("""COMPUTED_VALUE"""),"Nechasalyan Gaunpalika")</f>
        <v>Nechasalyan Gaunpalika</v>
      </c>
      <c r="C36" s="37" t="str">
        <f>VLOOKUP(A36,'[1]Palika and District in Nepali '!$D$1:$F$283,3,FALSE)</f>
        <v>नेचासल्यान गाउँपालिका</v>
      </c>
      <c r="D36" s="36" t="str">
        <f ca="1">IFERROR(__xludf.DUMMYFUNCTION("""COMPUTED_VALUE"""),"Solukhumbu")</f>
        <v>Solukhumbu</v>
      </c>
      <c r="E36" s="36"/>
      <c r="F36" s="27">
        <f>VLOOKUP(A36,'[1]Raw Data'!$A$3:$FB$285,4,FALSE)</f>
        <v>813</v>
      </c>
      <c r="G36" s="27">
        <f>VLOOKUP(A36,'[1]Raw Data'!$A$3:$FB$285,5,FALSE)</f>
        <v>2242</v>
      </c>
      <c r="H36" s="27">
        <f>VLOOKUP(A36,'[1]Raw Data'!$A$3:$FB$285,6,FALSE)</f>
        <v>3055</v>
      </c>
      <c r="I36" s="27">
        <f>VLOOKUP($A36,'[1]Raw Data'!$A$3:$FB$285,8,FALSE)</f>
        <v>0</v>
      </c>
      <c r="J36" s="27">
        <f>VLOOKUP($A36,'[1]Raw Data'!$A$3:$FB$285,9,FALSE)</f>
        <v>0.7</v>
      </c>
      <c r="K36" s="27">
        <f>VLOOKUP($A36,'[1]Raw Data'!$A$3:$FB$285,11,FALSE)</f>
        <v>99.57</v>
      </c>
      <c r="L36" s="27">
        <f>VLOOKUP($A36,'[1]Raw Data'!$A$3:$FB$285,12,FALSE)</f>
        <v>95.03</v>
      </c>
      <c r="M36" s="27">
        <f>VLOOKUP($A36,'[1]Raw Data'!$A$3:$FB$285,14,FALSE)</f>
        <v>0</v>
      </c>
      <c r="N36" s="27">
        <f>VLOOKUP($A36,'[1]Raw Data'!$A$3:$FB$285,15,FALSE)</f>
        <v>0.02</v>
      </c>
      <c r="O36" s="27">
        <f>VLOOKUP($A36,'[1]Raw Data'!$A$3:$FB$285,17,FALSE)</f>
        <v>0</v>
      </c>
      <c r="P36" s="27">
        <f>VLOOKUP($A36,'[1]Raw Data'!$A$3:$FB$285,18,FALSE)</f>
        <v>0.03</v>
      </c>
      <c r="Q36" s="27">
        <f>VLOOKUP($A36,'[1]Raw Data'!$A$3:$FB$285,20,FALSE)</f>
        <v>0</v>
      </c>
      <c r="R36" s="27">
        <f>VLOOKUP($A36,'[1]Raw Data'!$A$3:$FB$285,21,FALSE)</f>
        <v>0.03</v>
      </c>
      <c r="S36" s="27">
        <f>VLOOKUP($A36,'[1]Raw Data'!$A$3:$FB$285,23,FALSE)</f>
        <v>0</v>
      </c>
      <c r="T36" s="27">
        <f>VLOOKUP($A36,'[1]Raw Data'!$A$3:$FB$285,24,FALSE)</f>
        <v>0</v>
      </c>
      <c r="U36" s="27">
        <f>VLOOKUP($A36,'[1]Raw Data'!$A$3:$FB$285,26,FALSE)</f>
        <v>0.16</v>
      </c>
      <c r="V36" s="27">
        <f>VLOOKUP($A36,'[1]Raw Data'!$A$3:$FB$285,27,FALSE)</f>
        <v>0.49</v>
      </c>
      <c r="W36" s="27">
        <f>VLOOKUP($A36,'[1]Raw Data'!$A$3:$FB$285,29,FALSE)</f>
        <v>0</v>
      </c>
      <c r="X36" s="27">
        <f>VLOOKUP($A36,'[1]Raw Data'!$A$3:$FB$285,30,FALSE)</f>
        <v>0</v>
      </c>
      <c r="Y36" s="27">
        <f>VLOOKUP($A36,'[1]Raw Data'!$A$3:$FB$285,32,FALSE)</f>
        <v>0.1</v>
      </c>
      <c r="Z36" s="27">
        <f>VLOOKUP($A36,'[1]Raw Data'!$A$3:$FB$285,33,FALSE)</f>
        <v>1.84</v>
      </c>
      <c r="AA36" s="27">
        <f>VLOOKUP($A36,'[1]Raw Data'!$A$3:$FB$285,35,FALSE)</f>
        <v>0.13</v>
      </c>
      <c r="AB36" s="27">
        <f>VLOOKUP($A36,'[1]Raw Data'!$A$3:$FB$285,36,FALSE)</f>
        <v>1.75</v>
      </c>
      <c r="AC36" s="27">
        <f>VLOOKUP($A36,'[1]Raw Data'!$A$3:$FB$285,38,FALSE)</f>
        <v>0.03</v>
      </c>
      <c r="AD36" s="27">
        <f>VLOOKUP($A36,'[1]Raw Data'!$A$3:$FB$285,39,FALSE)</f>
        <v>0.11</v>
      </c>
      <c r="AE36" s="27">
        <f>VLOOKUP($A36,'[1]Raw Data'!$A$3:$FB$285,41,FALSE)</f>
        <v>0</v>
      </c>
      <c r="AF36" s="27">
        <f>VLOOKUP($A36,'[1]Raw Data'!$A$3:$FB$285,42,FALSE)</f>
        <v>0</v>
      </c>
      <c r="AG36" s="27">
        <f>VLOOKUP($A36,'[1]Raw Data'!$A$3:$FB$285,44,FALSE)</f>
        <v>0</v>
      </c>
      <c r="AH36" s="27">
        <f>VLOOKUP($A36,'[1]Raw Data'!$A$3:$FB$285,45,FALSE)</f>
        <v>0</v>
      </c>
      <c r="AI36" s="27">
        <f>VLOOKUP($A36,'[1]Raw Data'!$A$3:$FB$285,46,FALSE)</f>
        <v>2006</v>
      </c>
      <c r="AJ36" s="27">
        <f>VLOOKUP($A36,'[1]Raw Data'!$A$3:$FB$285,47,FALSE)</f>
        <v>1391</v>
      </c>
      <c r="AK36" s="27">
        <f>VLOOKUP($A36,'[1]Raw Data'!$A$3:$FB$285,48,FALSE)</f>
        <v>1391</v>
      </c>
      <c r="AL36" s="27">
        <f>VLOOKUP($A36,'[1]Raw Data'!$A$3:$FB$285,49,FALSE)</f>
        <v>358</v>
      </c>
      <c r="AM36" s="27">
        <f>VLOOKUP($A36,'[1]Raw Data'!$A$3:$FB$285,50,FALSE)</f>
        <v>0</v>
      </c>
      <c r="AN36" s="27" t="str">
        <f>VLOOKUP($A36,'[1]Raw Data'!$A$3:$FB$285,51,FALSE)</f>
        <v/>
      </c>
      <c r="AO36" s="27" t="str">
        <f>VLOOKUP($A36,'[1]Raw Data'!$A$3:$FB$285,52,FALSE)</f>
        <v/>
      </c>
      <c r="AP36" s="27">
        <f>VLOOKUP($A36,'[1]Raw Data'!$A$3:$FB$285,53,FALSE)</f>
        <v>72</v>
      </c>
      <c r="AQ36" s="27" t="str">
        <f>VLOOKUP($A36,'[1]Raw Data'!$A$3:$FB$285,54,FALSE)</f>
        <v/>
      </c>
      <c r="AR36" s="27" t="str">
        <f>VLOOKUP($A36,'[1]Raw Data'!$A$3:$FB$285,55,FALSE)</f>
        <v/>
      </c>
      <c r="AS36" s="27" t="str">
        <f>VLOOKUP($A36,'[1]Raw Data'!$A$3:$FB$285,56,FALSE)</f>
        <v/>
      </c>
      <c r="AT36" s="27" t="str">
        <f>VLOOKUP($A36,'[1]Raw Data'!$A$3:$FB$285,57,FALSE)</f>
        <v/>
      </c>
      <c r="AU36" s="27" t="str">
        <f>VLOOKUP($A36,'[1]Raw Data'!$A$3:$FB$285,58,FALSE)</f>
        <v/>
      </c>
      <c r="AV36" s="27" t="str">
        <f>VLOOKUP($A36,'[1]Raw Data'!$A$3:$FB$285,59,FALSE)</f>
        <v/>
      </c>
      <c r="AW36" s="27" t="str">
        <f>VLOOKUP($A36,'[1]Raw Data'!$A$3:$FB$285,60,FALSE)</f>
        <v/>
      </c>
      <c r="AX36" s="27" t="str">
        <f>VLOOKUP(A36,'[1]PO''s List'!A34:E316,4,FALSE)</f>
        <v/>
      </c>
      <c r="AZ36" s="27" t="str">
        <f>VLOOKUP(A36,'[1]PO''s List'!$A$3:$E$285,5,FALSE)</f>
        <v/>
      </c>
      <c r="BB36" s="27">
        <f>VLOOKUP($A36,'[1]Raw Data'!$A$3:$FB$285,63,FALSE)</f>
        <v>39303</v>
      </c>
      <c r="BC36" s="27" t="str">
        <f>VLOOKUP($A36,'[1]Raw Data'!$A$3:$FB$285,64,FALSE)</f>
        <v/>
      </c>
      <c r="BD36" s="27" t="str">
        <f t="shared" si="0"/>
        <v/>
      </c>
      <c r="BE36" s="27" t="str">
        <f>VLOOKUP($A36,'[1]Raw Data'!$A$3:$FB$285,65,FALSE)</f>
        <v/>
      </c>
      <c r="BF36" s="27">
        <f>VLOOKUP($A36,'[1]Raw Data'!$A$3:$FB$285,66,FALSE)</f>
        <v>41327</v>
      </c>
      <c r="BG36" s="27" t="str">
        <f>VLOOKUP($A36,'[1]Raw Data'!$A$3:$FB$285,67,FALSE)</f>
        <v/>
      </c>
      <c r="BH36" s="27" t="str">
        <f t="shared" si="1"/>
        <v/>
      </c>
      <c r="BI36" s="27" t="str">
        <f>VLOOKUP($A36,'[1]Raw Data'!$A$3:$FB$285,68,FALSE)</f>
        <v/>
      </c>
      <c r="BJ36" s="27">
        <f>VLOOKUP($A36,'[1]Raw Data'!$A$3:$FB$285,69,FALSE)</f>
        <v>4205</v>
      </c>
      <c r="BK36" s="27" t="str">
        <f>VLOOKUP($A36,'[1]Raw Data'!$A$3:$FB$285,70,FALSE)</f>
        <v/>
      </c>
      <c r="BL36" s="27" t="str">
        <f t="shared" si="2"/>
        <v/>
      </c>
      <c r="BM36" s="27" t="str">
        <f>VLOOKUP($A36,'[1]Raw Data'!$A$3:$FB$285,71,FALSE)</f>
        <v/>
      </c>
      <c r="BN36" s="27">
        <f>VLOOKUP($A36,'[1]Raw Data'!$A$3:$FB$285,72,FALSE)</f>
        <v>4885</v>
      </c>
      <c r="BO36" s="27" t="str">
        <f>VLOOKUP($A36,'[1]Raw Data'!$A$3:$FB$285,73,FALSE)</f>
        <v/>
      </c>
      <c r="BP36" s="27" t="str">
        <f t="shared" si="3"/>
        <v/>
      </c>
      <c r="BQ36" s="27" t="str">
        <f>VLOOKUP($A36,'[1]Raw Data'!$A$3:$FB$285,74,FALSE)</f>
        <v/>
      </c>
      <c r="BR36" s="27" t="str">
        <f>VLOOKUP($A36,'[1]Raw Data'!$A$3:$FB$285,75,FALSE)</f>
        <v/>
      </c>
      <c r="BS36" s="27" t="str">
        <f>VLOOKUP($A36,'[1]Raw Data'!$A$3:$FB$285,76,FALSE)</f>
        <v/>
      </c>
      <c r="BT36" s="27" t="str">
        <f t="shared" si="4"/>
        <v/>
      </c>
      <c r="BU36" s="27" t="str">
        <f>VLOOKUP($A36,'[1]Raw Data'!$A$3:$FB$285,77,FALSE)</f>
        <v/>
      </c>
      <c r="BV36" s="27">
        <f>VLOOKUP($A36,'[1]Raw Data'!$A$3:$FB$285,78,FALSE)</f>
        <v>136189</v>
      </c>
      <c r="BW36" s="27" t="str">
        <f>VLOOKUP($A36,'[1]Raw Data'!$A$3:$FB$285,79,FALSE)</f>
        <v/>
      </c>
      <c r="BX36" s="27" t="str">
        <f t="shared" si="5"/>
        <v/>
      </c>
      <c r="BY36" s="27" t="str">
        <f>VLOOKUP($A36,'[1]Raw Data'!$A$3:$FB$285,80,FALSE)</f>
        <v/>
      </c>
      <c r="BZ36" s="27">
        <f>VLOOKUP($A36,'[1]Raw Data'!$A$3:$FB$285,81,FALSE)</f>
        <v>423752</v>
      </c>
      <c r="CA36" s="27" t="str">
        <f>VLOOKUP($A36,'[1]Raw Data'!$A$3:$FB$285,82,FALSE)</f>
        <v/>
      </c>
      <c r="CB36" s="27" t="str">
        <f t="shared" si="6"/>
        <v/>
      </c>
      <c r="CC36" s="27" t="str">
        <f>VLOOKUP($A36,'[1]Raw Data'!$A$3:$FB$285,83,FALSE)</f>
        <v/>
      </c>
      <c r="CD36" s="27">
        <f>VLOOKUP($A36,'[1]Raw Data'!$A$3:$FB$285,84,FALSE)</f>
        <v>5564</v>
      </c>
      <c r="CE36" s="27" t="str">
        <f>VLOOKUP($A36,'[1]Raw Data'!$A$3:$FB$285,85,FALSE)</f>
        <v/>
      </c>
      <c r="CF36" s="27" t="str">
        <f t="shared" si="7"/>
        <v/>
      </c>
      <c r="CG36" s="27" t="str">
        <f>VLOOKUP($A36,'[1]Raw Data'!$A$3:$FB$285,86,FALSE)</f>
        <v/>
      </c>
      <c r="CH36" s="27">
        <f>VLOOKUP($A36,'[1]Raw Data'!$A$3:$FB$285,87,FALSE)</f>
        <v>225513</v>
      </c>
      <c r="CI36" s="27" t="str">
        <f>VLOOKUP($A36,'[1]Raw Data'!$A$3:$FB$285,88,FALSE)</f>
        <v/>
      </c>
      <c r="CJ36" s="27" t="str">
        <f t="shared" si="8"/>
        <v/>
      </c>
      <c r="CK36" s="27" t="str">
        <f>VLOOKUP($A36,'[1]Raw Data'!$A$3:$FB$285,89,FALSE)</f>
        <v/>
      </c>
      <c r="CL36" s="27" t="str">
        <f>VLOOKUP($A36,'[1]Raw Data'!$A$3:$FB$285,91,FALSE)</f>
        <v/>
      </c>
      <c r="CM36" s="27" t="str">
        <f>VLOOKUP($A36,'[1]Raw Data'!$A$3:$FB$285,93,FALSE)</f>
        <v/>
      </c>
      <c r="CN36" s="27" t="str">
        <f>VLOOKUP($A36,'[1]Raw Data'!$A$3:$FB$285,94,FALSE)</f>
        <v/>
      </c>
      <c r="CO36" s="27" t="str">
        <f>VLOOKUP($A36,'[1]Raw Data'!$A$3:$FB$285,95,FALSE)</f>
        <v/>
      </c>
      <c r="CP36" s="27" t="str">
        <f>VLOOKUP($A36,'[1]Raw Data'!$A$3:$FB$285,96,FALSE)</f>
        <v/>
      </c>
      <c r="CQ36" s="27" t="str">
        <f>VLOOKUP($A36,'[1]Raw Data'!$A$3:$FB$285,97,FALSE)</f>
        <v/>
      </c>
      <c r="CR36" s="27" t="str">
        <f>VLOOKUP($A36,'[1]Raw Data'!$A$3:$FB$285,98,FALSE)</f>
        <v/>
      </c>
      <c r="CS36" s="27" t="str">
        <f>VLOOKUP($A36,'[1]Raw Data'!$A$3:$FB$285,99,FALSE)</f>
        <v/>
      </c>
      <c r="CT36" s="27" t="str">
        <f>VLOOKUP($A36,'[1]Raw Data'!$A$3:$FB$285,101,FALSE)</f>
        <v/>
      </c>
      <c r="CV36" s="27" t="str">
        <f>VLOOKUP($A36,'[1]Raw Data'!$A$3:$FB$285,102,FALSE)</f>
        <v>Chairman</v>
      </c>
      <c r="CW36" s="27" t="s">
        <v>878</v>
      </c>
      <c r="CX36" s="27" t="str">
        <f>VLOOKUP($A36,'[1]Raw Data'!$A$3:$FB$285,103,FALSE)</f>
        <v/>
      </c>
      <c r="CY36" s="27" t="str">
        <f>VLOOKUP($A36,'[1]Raw Data'!$A$3:$FB$285,105,FALSE)</f>
        <v/>
      </c>
      <c r="DA36" s="27" t="str">
        <f>VLOOKUP($A36,'[1]Raw Data'!$A$3:$FB$285,106,FALSE)</f>
        <v>Deputy Chairman</v>
      </c>
      <c r="DB36" s="27" t="s">
        <v>879</v>
      </c>
      <c r="DC36" s="27" t="str">
        <f>VLOOKUP($A36,'[1]Raw Data'!$A$3:$FB$285,107,FALSE)</f>
        <v/>
      </c>
      <c r="DD36" s="27" t="str">
        <f>VLOOKUP($A36,'[1]Raw Data'!$A$3:$FB$285,109,FALSE)</f>
        <v/>
      </c>
      <c r="DF36" s="27" t="str">
        <f>VLOOKUP($A36,'[1]Raw Data'!$A$3:$FB$285,110,FALSE)</f>
        <v>Chief Adminstration Officer</v>
      </c>
      <c r="DG36" s="27" t="s">
        <v>880</v>
      </c>
      <c r="DH36" s="27" t="str">
        <f>VLOOKUP($A36,'[1]Raw Data'!$A$3:$FB$285,111,FALSE)</f>
        <v/>
      </c>
      <c r="DI36" s="27" t="str">
        <f>VLOOKUP($A36,'[1]Raw Data'!$A$3:$FB$285,121,FALSE)</f>
        <v/>
      </c>
      <c r="DK36" s="27" t="str">
        <f>VLOOKUP($A36,'[1]Raw Data'!$A$3:$FB$285,122,FALSE)</f>
        <v>Focal Person</v>
      </c>
      <c r="DL36" s="27" t="s">
        <v>881</v>
      </c>
      <c r="DM36" s="27" t="str">
        <f>VLOOKUP($A36,'[1]Raw Data'!$A$3:$FB$285,123,FALSE)</f>
        <v/>
      </c>
      <c r="DN36" s="27" t="str">
        <f>VLOOKUP($A36,'[1]Raw Data'!$A$3:$FB$285,113,FALSE)</f>
        <v/>
      </c>
      <c r="DP36" s="27" t="str">
        <f>VLOOKUP($A36,'[1]Raw Data'!$A$3:$FB$285,114,FALSE)</f>
        <v>NRA Chief-District</v>
      </c>
      <c r="DQ36" s="27" t="s">
        <v>882</v>
      </c>
      <c r="DR36" s="27" t="str">
        <f>VLOOKUP($A36,'[1]Raw Data'!$A$3:$FB$285,115,FALSE)</f>
        <v/>
      </c>
      <c r="DS36" s="27" t="str">
        <f>VLOOKUP($A36,'[1]Raw Data'!$A$3:$FB$285,117,FALSE)</f>
        <v/>
      </c>
      <c r="DU36" s="27" t="str">
        <f>VLOOKUP($A36,'[1]Raw Data'!$A$3:$FB$285,118,FALSE)</f>
        <v>DUDBC.DLPIU Chief</v>
      </c>
      <c r="DV36" s="27" t="s">
        <v>883</v>
      </c>
      <c r="DW36" s="27" t="str">
        <f>VLOOKUP($A36,'[1]Raw Data'!$A$3:$FB$285,119,FALSE)</f>
        <v/>
      </c>
      <c r="DX36" s="27" t="s">
        <v>339</v>
      </c>
      <c r="DY36" s="27" t="str">
        <f>VLOOKUP($A36,'[1]Raw Data'!$A$3:$FB$285,124,FALSE)</f>
        <v/>
      </c>
      <c r="DZ36" s="27" t="s">
        <v>884</v>
      </c>
      <c r="EA36" s="27" t="str">
        <f>VLOOKUP($A36,'[1]Raw Data'!$A$3:$FB$285,125,FALSE)</f>
        <v/>
      </c>
      <c r="EB36" s="27" t="s">
        <v>341</v>
      </c>
      <c r="EC36" s="27" t="str">
        <f>VLOOKUP($A36,'[1]Raw Data'!$A$3:$FB$285,126,FALSE)</f>
        <v/>
      </c>
      <c r="ED36" t="s">
        <v>478</v>
      </c>
      <c r="EE36" s="27" t="str">
        <f>VLOOKUP($A36,'[1]Raw Data'!$A$3:$FB$285,127,FALSE)</f>
        <v/>
      </c>
      <c r="EF36" s="27" t="s">
        <v>343</v>
      </c>
      <c r="EG36" s="27" t="str">
        <f>VLOOKUP($A36,'[1]Raw Data'!$A$3:$FB$285,128,FALSE)</f>
        <v/>
      </c>
      <c r="EH36" t="s">
        <v>344</v>
      </c>
      <c r="EI36" s="27" t="str">
        <f>VLOOKUP($A36,'[1]Raw Data'!$A$3:$FB$285,129,FALSE)</f>
        <v/>
      </c>
      <c r="EM36" s="27" t="str">
        <f>VLOOKUP($A36,'[1]Raw Data'!$A$3:$FB$285,130,FALSE)</f>
        <v/>
      </c>
      <c r="EN36" s="27" t="str">
        <f>VLOOKUP($A36,'[1]Raw Data'!$A$3:$FB$285,131,FALSE)</f>
        <v/>
      </c>
      <c r="EO36" s="27" t="str">
        <f>VLOOKUP($A36,'[1]Raw Data'!$A$3:$FB$285,132,FALSE)</f>
        <v/>
      </c>
      <c r="EP36" s="27" t="str">
        <f>VLOOKUP($A36,'[1]Raw Data'!$A$3:$FB$285,133,FALSE)</f>
        <v/>
      </c>
      <c r="EQ36" s="27" t="str">
        <f>VLOOKUP($A36,'[1]Raw Data'!$A$3:$FB$285,134,FALSE)</f>
        <v/>
      </c>
      <c r="ER36" s="27" t="str">
        <f>VLOOKUP($A36,'[1]Raw Data'!$A$3:$FB$285,135,FALSE)</f>
        <v/>
      </c>
      <c r="ES36" s="27" t="str">
        <f>VLOOKUP($A36,'[1]Raw Data'!$A$3:$FB$285,136,FALSE)</f>
        <v/>
      </c>
      <c r="ET36" s="27" t="str">
        <f>VLOOKUP($A36,'[1]Raw Data'!$A$3:$FB$285,137,FALSE)</f>
        <v/>
      </c>
      <c r="EU36" s="27" t="str">
        <f>VLOOKUP($A36,'[1]Raw Data'!$A$3:$FB$285,138,FALSE)</f>
        <v/>
      </c>
      <c r="EV36" s="27" t="str">
        <f>VLOOKUP($A36,'[1]Raw Data'!$A$3:$FB$285,139,FALSE)</f>
        <v/>
      </c>
      <c r="EW36" s="38">
        <f>VLOOKUP($A36,[1]Training!$A$2:$I$284,5,FALSE)</f>
        <v>154.30769230769232</v>
      </c>
      <c r="EX36" s="31">
        <f>VLOOKUP($A36,[1]Training!$A$2:$I$284,6,FALSE)</f>
        <v>0</v>
      </c>
      <c r="EY36" s="38">
        <f>VLOOKUP($A36,[1]Training!$A$2:$I$284,8,FALSE)</f>
        <v>182.36363636363637</v>
      </c>
      <c r="EZ36" s="31">
        <f>VLOOKUP($A36,[1]Training!$A$2:$I$284,9,FALSE)</f>
        <v>84</v>
      </c>
      <c r="FA36" s="27">
        <v>1</v>
      </c>
      <c r="FB36" s="27">
        <v>2</v>
      </c>
      <c r="FC36" s="27" t="str">
        <f>VLOOKUP($A36,'[1]Raw Data'!$A$3:$FB$285,148,FALSE)</f>
        <v/>
      </c>
      <c r="FE36" s="27" t="str">
        <f>VLOOKUP($A36,'[1]Raw Data'!$A$3:$FB$285,149,FALSE)</f>
        <v>District Coordinator</v>
      </c>
      <c r="FF36" s="27" t="s">
        <v>885</v>
      </c>
      <c r="FG36" s="27" t="str">
        <f>VLOOKUP($A36,'[1]Raw Data'!$A$3:$FB$285,150,FALSE)</f>
        <v/>
      </c>
      <c r="FH36" s="27" t="str">
        <f>VLOOKUP($A36,'[1]Raw Data'!$A$3:$FB$285,156,FALSE)</f>
        <v/>
      </c>
      <c r="FJ36" s="27" t="str">
        <f>VLOOKUP($A36,'[1]Raw Data'!$A$3:$FB$285,157,FALSE)</f>
        <v>District Technical Officer</v>
      </c>
      <c r="FK36" s="27" t="s">
        <v>886</v>
      </c>
      <c r="FL36" s="27" t="str">
        <f>VLOOKUP($A36,'[1]Raw Data'!$A$3:$FB$285,158,FALSE)</f>
        <v/>
      </c>
      <c r="FM36" s="27" t="str">
        <f>VLOOKUP($A36,'[1]Raw Data'!$A$3:$FB$285,152,FALSE)</f>
        <v/>
      </c>
      <c r="FO36" s="27" t="str">
        <f>VLOOKUP($A36,'[1]Raw Data'!$A$3:$FB$285,153,FALSE)</f>
        <v>DIstrict Information Management Officer</v>
      </c>
      <c r="FP36" s="27" t="s">
        <v>887</v>
      </c>
      <c r="FQ36" s="27" t="str">
        <f>VLOOKUP($A36,'[1]Raw Data'!$A$3:$FB$285,154,FALSE)</f>
        <v/>
      </c>
    </row>
    <row r="37" spans="1:173" ht="24" x14ac:dyDescent="0.45">
      <c r="A37" s="27">
        <v>11007</v>
      </c>
      <c r="B37" s="36" t="str">
        <f ca="1">IFERROR(__xludf.DUMMYFUNCTION("""COMPUTED_VALUE"""),"Solududhakunda Nagarpalika")</f>
        <v>Solududhakunda Nagarpalika</v>
      </c>
      <c r="C37" s="37" t="str">
        <f>VLOOKUP(A37,'[1]Palika and District in Nepali '!$D$1:$F$283,3,FALSE)</f>
        <v>सोलुदुधकुण्ड नगरपालिका</v>
      </c>
      <c r="D37" s="36" t="str">
        <f ca="1">IFERROR(__xludf.DUMMYFUNCTION("""COMPUTED_VALUE"""),"Solukhumbu")</f>
        <v>Solukhumbu</v>
      </c>
      <c r="E37" s="36"/>
      <c r="F37" s="27">
        <f>VLOOKUP(A37,'[1]Raw Data'!$A$3:$FB$285,4,FALSE)</f>
        <v>764</v>
      </c>
      <c r="G37" s="27">
        <f>VLOOKUP(A37,'[1]Raw Data'!$A$3:$FB$285,5,FALSE)</f>
        <v>2247</v>
      </c>
      <c r="H37" s="27">
        <f>VLOOKUP(A37,'[1]Raw Data'!$A$3:$FB$285,6,FALSE)</f>
        <v>3011</v>
      </c>
      <c r="I37" s="27">
        <f>VLOOKUP($A37,'[1]Raw Data'!$A$3:$FB$285,8,FALSE)</f>
        <v>0.76</v>
      </c>
      <c r="J37" s="27">
        <f>VLOOKUP($A37,'[1]Raw Data'!$A$3:$FB$285,9,FALSE)</f>
        <v>0.7</v>
      </c>
      <c r="K37" s="27">
        <f>VLOOKUP($A37,'[1]Raw Data'!$A$3:$FB$285,11,FALSE)</f>
        <v>97.31</v>
      </c>
      <c r="L37" s="27">
        <f>VLOOKUP($A37,'[1]Raw Data'!$A$3:$FB$285,12,FALSE)</f>
        <v>95.03</v>
      </c>
      <c r="M37" s="27">
        <f>VLOOKUP($A37,'[1]Raw Data'!$A$3:$FB$285,14,FALSE)</f>
        <v>0.1</v>
      </c>
      <c r="N37" s="27">
        <f>VLOOKUP($A37,'[1]Raw Data'!$A$3:$FB$285,15,FALSE)</f>
        <v>0.02</v>
      </c>
      <c r="O37" s="27">
        <f>VLOOKUP($A37,'[1]Raw Data'!$A$3:$FB$285,17,FALSE)</f>
        <v>7.0000000000000007E-2</v>
      </c>
      <c r="P37" s="27">
        <f>VLOOKUP($A37,'[1]Raw Data'!$A$3:$FB$285,18,FALSE)</f>
        <v>0.03</v>
      </c>
      <c r="Q37" s="27">
        <f>VLOOKUP($A37,'[1]Raw Data'!$A$3:$FB$285,20,FALSE)</f>
        <v>0.13</v>
      </c>
      <c r="R37" s="27">
        <f>VLOOKUP($A37,'[1]Raw Data'!$A$3:$FB$285,21,FALSE)</f>
        <v>0.03</v>
      </c>
      <c r="S37" s="27">
        <f>VLOOKUP($A37,'[1]Raw Data'!$A$3:$FB$285,23,FALSE)</f>
        <v>0</v>
      </c>
      <c r="T37" s="27">
        <f>VLOOKUP($A37,'[1]Raw Data'!$A$3:$FB$285,24,FALSE)</f>
        <v>0</v>
      </c>
      <c r="U37" s="27">
        <f>VLOOKUP($A37,'[1]Raw Data'!$A$3:$FB$285,26,FALSE)</f>
        <v>0.93</v>
      </c>
      <c r="V37" s="27">
        <f>VLOOKUP($A37,'[1]Raw Data'!$A$3:$FB$285,27,FALSE)</f>
        <v>0.49</v>
      </c>
      <c r="W37" s="27">
        <f>VLOOKUP($A37,'[1]Raw Data'!$A$3:$FB$285,29,FALSE)</f>
        <v>0</v>
      </c>
      <c r="X37" s="27">
        <f>VLOOKUP($A37,'[1]Raw Data'!$A$3:$FB$285,30,FALSE)</f>
        <v>0</v>
      </c>
      <c r="Y37" s="27">
        <f>VLOOKUP($A37,'[1]Raw Data'!$A$3:$FB$285,32,FALSE)</f>
        <v>0.56000000000000005</v>
      </c>
      <c r="Z37" s="27">
        <f>VLOOKUP($A37,'[1]Raw Data'!$A$3:$FB$285,33,FALSE)</f>
        <v>1.84</v>
      </c>
      <c r="AA37" s="27">
        <f>VLOOKUP($A37,'[1]Raw Data'!$A$3:$FB$285,35,FALSE)</f>
        <v>0.13</v>
      </c>
      <c r="AB37" s="27">
        <f>VLOOKUP($A37,'[1]Raw Data'!$A$3:$FB$285,36,FALSE)</f>
        <v>1.75</v>
      </c>
      <c r="AC37" s="27">
        <f>VLOOKUP($A37,'[1]Raw Data'!$A$3:$FB$285,38,FALSE)</f>
        <v>0</v>
      </c>
      <c r="AD37" s="27">
        <f>VLOOKUP($A37,'[1]Raw Data'!$A$3:$FB$285,39,FALSE)</f>
        <v>0.11</v>
      </c>
      <c r="AE37" s="27">
        <f>VLOOKUP($A37,'[1]Raw Data'!$A$3:$FB$285,41,FALSE)</f>
        <v>0</v>
      </c>
      <c r="AF37" s="27">
        <f>VLOOKUP($A37,'[1]Raw Data'!$A$3:$FB$285,42,FALSE)</f>
        <v>0</v>
      </c>
      <c r="AG37" s="27">
        <f>VLOOKUP($A37,'[1]Raw Data'!$A$3:$FB$285,44,FALSE)</f>
        <v>0</v>
      </c>
      <c r="AH37" s="27">
        <f>VLOOKUP($A37,'[1]Raw Data'!$A$3:$FB$285,45,FALSE)</f>
        <v>0</v>
      </c>
      <c r="AI37" s="27">
        <f>VLOOKUP($A37,'[1]Raw Data'!$A$3:$FB$285,46,FALSE)</f>
        <v>2181</v>
      </c>
      <c r="AJ37" s="27">
        <f>VLOOKUP($A37,'[1]Raw Data'!$A$3:$FB$285,47,FALSE)</f>
        <v>1449</v>
      </c>
      <c r="AK37" s="27">
        <f>VLOOKUP($A37,'[1]Raw Data'!$A$3:$FB$285,48,FALSE)</f>
        <v>1449</v>
      </c>
      <c r="AL37" s="27">
        <f>VLOOKUP($A37,'[1]Raw Data'!$A$3:$FB$285,49,FALSE)</f>
        <v>105</v>
      </c>
      <c r="AM37" s="27">
        <f>VLOOKUP($A37,'[1]Raw Data'!$A$3:$FB$285,50,FALSE)</f>
        <v>0</v>
      </c>
      <c r="AN37" s="27" t="str">
        <f>VLOOKUP($A37,'[1]Raw Data'!$A$3:$FB$285,51,FALSE)</f>
        <v/>
      </c>
      <c r="AO37" s="27" t="str">
        <f>VLOOKUP($A37,'[1]Raw Data'!$A$3:$FB$285,52,FALSE)</f>
        <v/>
      </c>
      <c r="AP37" s="27">
        <f>VLOOKUP($A37,'[1]Raw Data'!$A$3:$FB$285,53,FALSE)</f>
        <v>104</v>
      </c>
      <c r="AQ37" s="27" t="str">
        <f>VLOOKUP($A37,'[1]Raw Data'!$A$3:$FB$285,54,FALSE)</f>
        <v/>
      </c>
      <c r="AR37" s="27" t="str">
        <f>VLOOKUP($A37,'[1]Raw Data'!$A$3:$FB$285,55,FALSE)</f>
        <v/>
      </c>
      <c r="AS37" s="27" t="str">
        <f>VLOOKUP($A37,'[1]Raw Data'!$A$3:$FB$285,56,FALSE)</f>
        <v/>
      </c>
      <c r="AT37" s="27" t="str">
        <f>VLOOKUP($A37,'[1]Raw Data'!$A$3:$FB$285,57,FALSE)</f>
        <v/>
      </c>
      <c r="AU37" s="27" t="str">
        <f>VLOOKUP($A37,'[1]Raw Data'!$A$3:$FB$285,58,FALSE)</f>
        <v/>
      </c>
      <c r="AV37" s="27" t="str">
        <f>VLOOKUP($A37,'[1]Raw Data'!$A$3:$FB$285,59,FALSE)</f>
        <v/>
      </c>
      <c r="AW37" s="27" t="str">
        <f>VLOOKUP($A37,'[1]Raw Data'!$A$3:$FB$285,60,FALSE)</f>
        <v/>
      </c>
      <c r="AX37" s="27" t="str">
        <f>VLOOKUP(A37,'[1]PO''s List'!A35:E317,4,FALSE)</f>
        <v/>
      </c>
      <c r="AZ37" s="27" t="str">
        <f>VLOOKUP(A37,'[1]PO''s List'!$A$3:$E$285,5,FALSE)</f>
        <v/>
      </c>
      <c r="BB37" s="27">
        <f>VLOOKUP($A37,'[1]Raw Data'!$A$3:$FB$285,63,FALSE)</f>
        <v>42527</v>
      </c>
      <c r="BC37" s="27" t="str">
        <f>VLOOKUP($A37,'[1]Raw Data'!$A$3:$FB$285,64,FALSE)</f>
        <v/>
      </c>
      <c r="BD37" s="27" t="str">
        <f t="shared" si="0"/>
        <v/>
      </c>
      <c r="BE37" s="27" t="str">
        <f>VLOOKUP($A37,'[1]Raw Data'!$A$3:$FB$285,65,FALSE)</f>
        <v/>
      </c>
      <c r="BF37" s="27">
        <f>VLOOKUP($A37,'[1]Raw Data'!$A$3:$FB$285,66,FALSE)</f>
        <v>42574</v>
      </c>
      <c r="BG37" s="27" t="str">
        <f>VLOOKUP($A37,'[1]Raw Data'!$A$3:$FB$285,67,FALSE)</f>
        <v/>
      </c>
      <c r="BH37" s="27" t="str">
        <f t="shared" si="1"/>
        <v/>
      </c>
      <c r="BI37" s="27" t="str">
        <f>VLOOKUP($A37,'[1]Raw Data'!$A$3:$FB$285,68,FALSE)</f>
        <v/>
      </c>
      <c r="BJ37" s="27">
        <f>VLOOKUP($A37,'[1]Raw Data'!$A$3:$FB$285,69,FALSE)</f>
        <v>4531</v>
      </c>
      <c r="BK37" s="27" t="str">
        <f>VLOOKUP($A37,'[1]Raw Data'!$A$3:$FB$285,70,FALSE)</f>
        <v/>
      </c>
      <c r="BL37" s="27" t="str">
        <f t="shared" si="2"/>
        <v/>
      </c>
      <c r="BM37" s="27" t="str">
        <f>VLOOKUP($A37,'[1]Raw Data'!$A$3:$FB$285,71,FALSE)</f>
        <v/>
      </c>
      <c r="BN37" s="27">
        <f>VLOOKUP($A37,'[1]Raw Data'!$A$3:$FB$285,72,FALSE)</f>
        <v>5193</v>
      </c>
      <c r="BO37" s="27" t="str">
        <f>VLOOKUP($A37,'[1]Raw Data'!$A$3:$FB$285,73,FALSE)</f>
        <v/>
      </c>
      <c r="BP37" s="27" t="str">
        <f t="shared" si="3"/>
        <v/>
      </c>
      <c r="BQ37" s="27" t="str">
        <f>VLOOKUP($A37,'[1]Raw Data'!$A$3:$FB$285,74,FALSE)</f>
        <v/>
      </c>
      <c r="BR37" s="27" t="str">
        <f>VLOOKUP($A37,'[1]Raw Data'!$A$3:$FB$285,75,FALSE)</f>
        <v/>
      </c>
      <c r="BS37" s="27" t="str">
        <f>VLOOKUP($A37,'[1]Raw Data'!$A$3:$FB$285,76,FALSE)</f>
        <v/>
      </c>
      <c r="BT37" s="27" t="str">
        <f t="shared" si="4"/>
        <v/>
      </c>
      <c r="BU37" s="27" t="str">
        <f>VLOOKUP($A37,'[1]Raw Data'!$A$3:$FB$285,77,FALSE)</f>
        <v/>
      </c>
      <c r="BV37" s="27">
        <f>VLOOKUP($A37,'[1]Raw Data'!$A$3:$FB$285,78,FALSE)</f>
        <v>141173</v>
      </c>
      <c r="BW37" s="27" t="str">
        <f>VLOOKUP($A37,'[1]Raw Data'!$A$3:$FB$285,79,FALSE)</f>
        <v/>
      </c>
      <c r="BX37" s="27" t="str">
        <f t="shared" si="5"/>
        <v/>
      </c>
      <c r="BY37" s="27" t="str">
        <f>VLOOKUP($A37,'[1]Raw Data'!$A$3:$FB$285,80,FALSE)</f>
        <v/>
      </c>
      <c r="BZ37" s="27">
        <f>VLOOKUP($A37,'[1]Raw Data'!$A$3:$FB$285,81,FALSE)</f>
        <v>462493</v>
      </c>
      <c r="CA37" s="27" t="str">
        <f>VLOOKUP($A37,'[1]Raw Data'!$A$3:$FB$285,82,FALSE)</f>
        <v/>
      </c>
      <c r="CB37" s="27" t="str">
        <f t="shared" si="6"/>
        <v/>
      </c>
      <c r="CC37" s="27" t="str">
        <f>VLOOKUP($A37,'[1]Raw Data'!$A$3:$FB$285,83,FALSE)</f>
        <v/>
      </c>
      <c r="CD37" s="27">
        <f>VLOOKUP($A37,'[1]Raw Data'!$A$3:$FB$285,84,FALSE)</f>
        <v>5768</v>
      </c>
      <c r="CE37" s="27" t="str">
        <f>VLOOKUP($A37,'[1]Raw Data'!$A$3:$FB$285,85,FALSE)</f>
        <v/>
      </c>
      <c r="CF37" s="27" t="str">
        <f t="shared" si="7"/>
        <v/>
      </c>
      <c r="CG37" s="27" t="str">
        <f>VLOOKUP($A37,'[1]Raw Data'!$A$3:$FB$285,86,FALSE)</f>
        <v/>
      </c>
      <c r="CH37" s="27">
        <f>VLOOKUP($A37,'[1]Raw Data'!$A$3:$FB$285,87,FALSE)</f>
        <v>487184</v>
      </c>
      <c r="CI37" s="27" t="str">
        <f>VLOOKUP($A37,'[1]Raw Data'!$A$3:$FB$285,88,FALSE)</f>
        <v/>
      </c>
      <c r="CJ37" s="27" t="str">
        <f t="shared" si="8"/>
        <v/>
      </c>
      <c r="CK37" s="27" t="str">
        <f>VLOOKUP($A37,'[1]Raw Data'!$A$3:$FB$285,89,FALSE)</f>
        <v/>
      </c>
      <c r="CL37" s="27" t="str">
        <f>VLOOKUP($A37,'[1]Raw Data'!$A$3:$FB$285,91,FALSE)</f>
        <v/>
      </c>
      <c r="CM37" s="27" t="str">
        <f>VLOOKUP($A37,'[1]Raw Data'!$A$3:$FB$285,93,FALSE)</f>
        <v/>
      </c>
      <c r="CN37" s="27" t="str">
        <f>VLOOKUP($A37,'[1]Raw Data'!$A$3:$FB$285,94,FALSE)</f>
        <v/>
      </c>
      <c r="CO37" s="27" t="str">
        <f>VLOOKUP($A37,'[1]Raw Data'!$A$3:$FB$285,95,FALSE)</f>
        <v/>
      </c>
      <c r="CP37" s="27" t="str">
        <f>VLOOKUP($A37,'[1]Raw Data'!$A$3:$FB$285,96,FALSE)</f>
        <v/>
      </c>
      <c r="CQ37" s="27" t="str">
        <f>VLOOKUP($A37,'[1]Raw Data'!$A$3:$FB$285,97,FALSE)</f>
        <v/>
      </c>
      <c r="CR37" s="27" t="str">
        <f>VLOOKUP($A37,'[1]Raw Data'!$A$3:$FB$285,98,FALSE)</f>
        <v/>
      </c>
      <c r="CS37" s="27" t="str">
        <f>VLOOKUP($A37,'[1]Raw Data'!$A$3:$FB$285,99,FALSE)</f>
        <v/>
      </c>
      <c r="CT37" s="27" t="str">
        <f>VLOOKUP($A37,'[1]Raw Data'!$A$3:$FB$285,101,FALSE)</f>
        <v/>
      </c>
      <c r="CV37" s="27" t="str">
        <f>VLOOKUP($A37,'[1]Raw Data'!$A$3:$FB$285,102,FALSE)</f>
        <v>Mayor</v>
      </c>
      <c r="CW37" s="27" t="s">
        <v>834</v>
      </c>
      <c r="CX37" s="27" t="str">
        <f>VLOOKUP($A37,'[1]Raw Data'!$A$3:$FB$285,103,FALSE)</f>
        <v/>
      </c>
      <c r="CY37" s="27" t="str">
        <f>VLOOKUP($A37,'[1]Raw Data'!$A$3:$FB$285,105,FALSE)</f>
        <v/>
      </c>
      <c r="DA37" s="27" t="str">
        <f>VLOOKUP($A37,'[1]Raw Data'!$A$3:$FB$285,106,FALSE)</f>
        <v>Deputy Mayor</v>
      </c>
      <c r="DB37" s="27" t="s">
        <v>888</v>
      </c>
      <c r="DC37" s="27" t="str">
        <f>VLOOKUP($A37,'[1]Raw Data'!$A$3:$FB$285,107,FALSE)</f>
        <v/>
      </c>
      <c r="DD37" s="27" t="str">
        <f>VLOOKUP($A37,'[1]Raw Data'!$A$3:$FB$285,109,FALSE)</f>
        <v/>
      </c>
      <c r="DF37" s="27" t="str">
        <f>VLOOKUP($A37,'[1]Raw Data'!$A$3:$FB$285,110,FALSE)</f>
        <v>Chief Adminstration Officer</v>
      </c>
      <c r="DG37" s="27" t="s">
        <v>880</v>
      </c>
      <c r="DH37" s="27" t="str">
        <f>VLOOKUP($A37,'[1]Raw Data'!$A$3:$FB$285,111,FALSE)</f>
        <v/>
      </c>
      <c r="DI37" s="27" t="str">
        <f>VLOOKUP($A37,'[1]Raw Data'!$A$3:$FB$285,121,FALSE)</f>
        <v/>
      </c>
      <c r="DK37" s="27" t="str">
        <f>VLOOKUP($A37,'[1]Raw Data'!$A$3:$FB$285,122,FALSE)</f>
        <v>Focal Person</v>
      </c>
      <c r="DL37" s="27" t="s">
        <v>881</v>
      </c>
      <c r="DM37" s="27" t="str">
        <f>VLOOKUP($A37,'[1]Raw Data'!$A$3:$FB$285,123,FALSE)</f>
        <v/>
      </c>
      <c r="DN37" s="27" t="str">
        <f>VLOOKUP($A37,'[1]Raw Data'!$A$3:$FB$285,113,FALSE)</f>
        <v/>
      </c>
      <c r="DP37" s="27" t="str">
        <f>VLOOKUP($A37,'[1]Raw Data'!$A$3:$FB$285,114,FALSE)</f>
        <v>NRA Chief-District</v>
      </c>
      <c r="DQ37" s="27" t="s">
        <v>882</v>
      </c>
      <c r="DR37" s="27" t="str">
        <f>VLOOKUP($A37,'[1]Raw Data'!$A$3:$FB$285,115,FALSE)</f>
        <v/>
      </c>
      <c r="DS37" s="27" t="str">
        <f>VLOOKUP($A37,'[1]Raw Data'!$A$3:$FB$285,117,FALSE)</f>
        <v/>
      </c>
      <c r="DU37" s="27" t="str">
        <f>VLOOKUP($A37,'[1]Raw Data'!$A$3:$FB$285,118,FALSE)</f>
        <v>DUDBC.DLPIU Chief</v>
      </c>
      <c r="DV37" s="27" t="s">
        <v>883</v>
      </c>
      <c r="DW37" s="27" t="str">
        <f>VLOOKUP($A37,'[1]Raw Data'!$A$3:$FB$285,119,FALSE)</f>
        <v/>
      </c>
      <c r="DX37" s="27" t="s">
        <v>339</v>
      </c>
      <c r="DY37" s="27" t="str">
        <f>VLOOKUP($A37,'[1]Raw Data'!$A$3:$FB$285,124,FALSE)</f>
        <v/>
      </c>
      <c r="DZ37" s="27" t="s">
        <v>884</v>
      </c>
      <c r="EA37" s="27" t="str">
        <f>VLOOKUP($A37,'[1]Raw Data'!$A$3:$FB$285,125,FALSE)</f>
        <v/>
      </c>
      <c r="EB37" s="27" t="s">
        <v>341</v>
      </c>
      <c r="EC37" s="27" t="str">
        <f>VLOOKUP($A37,'[1]Raw Data'!$A$3:$FB$285,126,FALSE)</f>
        <v/>
      </c>
      <c r="ED37" t="s">
        <v>478</v>
      </c>
      <c r="EE37" s="27" t="str">
        <f>VLOOKUP($A37,'[1]Raw Data'!$A$3:$FB$285,127,FALSE)</f>
        <v/>
      </c>
      <c r="EF37" s="27" t="s">
        <v>343</v>
      </c>
      <c r="EG37" s="27" t="str">
        <f>VLOOKUP($A37,'[1]Raw Data'!$A$3:$FB$285,128,FALSE)</f>
        <v/>
      </c>
      <c r="EH37" t="s">
        <v>344</v>
      </c>
      <c r="EI37" s="27" t="str">
        <f>VLOOKUP($A37,'[1]Raw Data'!$A$3:$FB$285,129,FALSE)</f>
        <v/>
      </c>
      <c r="EM37" s="27" t="str">
        <f>VLOOKUP($A37,'[1]Raw Data'!$A$3:$FB$285,130,FALSE)</f>
        <v/>
      </c>
      <c r="EN37" s="27" t="str">
        <f>VLOOKUP($A37,'[1]Raw Data'!$A$3:$FB$285,131,FALSE)</f>
        <v/>
      </c>
      <c r="EO37" s="27" t="str">
        <f>VLOOKUP($A37,'[1]Raw Data'!$A$3:$FB$285,132,FALSE)</f>
        <v/>
      </c>
      <c r="EP37" s="27" t="str">
        <f>VLOOKUP($A37,'[1]Raw Data'!$A$3:$FB$285,133,FALSE)</f>
        <v/>
      </c>
      <c r="EQ37" s="27" t="str">
        <f>VLOOKUP($A37,'[1]Raw Data'!$A$3:$FB$285,134,FALSE)</f>
        <v/>
      </c>
      <c r="ER37" s="27" t="str">
        <f>VLOOKUP($A37,'[1]Raw Data'!$A$3:$FB$285,135,FALSE)</f>
        <v/>
      </c>
      <c r="ES37" s="27" t="str">
        <f>VLOOKUP($A37,'[1]Raw Data'!$A$3:$FB$285,136,FALSE)</f>
        <v/>
      </c>
      <c r="ET37" s="27" t="str">
        <f>VLOOKUP($A37,'[1]Raw Data'!$A$3:$FB$285,137,FALSE)</f>
        <v/>
      </c>
      <c r="EU37" s="27" t="str">
        <f>VLOOKUP($A37,'[1]Raw Data'!$A$3:$FB$285,138,FALSE)</f>
        <v/>
      </c>
      <c r="EV37" s="27" t="str">
        <f>VLOOKUP($A37,'[1]Raw Data'!$A$3:$FB$285,139,FALSE)</f>
        <v/>
      </c>
      <c r="EW37" s="38">
        <f>VLOOKUP($A37,[1]Training!$A$2:$I$284,5,FALSE)</f>
        <v>167.76923076923077</v>
      </c>
      <c r="EX37" s="31">
        <f>VLOOKUP($A37,[1]Training!$A$2:$I$284,6,FALSE)</f>
        <v>0</v>
      </c>
      <c r="EY37" s="38">
        <f>VLOOKUP($A37,[1]Training!$A$2:$I$284,8,FALSE)</f>
        <v>198.27272727272728</v>
      </c>
      <c r="EZ37" s="31">
        <f>VLOOKUP($A37,[1]Training!$A$2:$I$284,9,FALSE)</f>
        <v>7</v>
      </c>
      <c r="FA37" s="27">
        <v>1</v>
      </c>
      <c r="FB37" s="27">
        <v>2</v>
      </c>
      <c r="FC37" s="27" t="str">
        <f>VLOOKUP($A37,'[1]Raw Data'!$A$3:$FB$285,148,FALSE)</f>
        <v/>
      </c>
      <c r="FE37" s="27" t="str">
        <f>VLOOKUP($A37,'[1]Raw Data'!$A$3:$FB$285,149,FALSE)</f>
        <v>District Coordinator</v>
      </c>
      <c r="FF37" s="27" t="s">
        <v>885</v>
      </c>
      <c r="FG37" s="27" t="str">
        <f>VLOOKUP($A37,'[1]Raw Data'!$A$3:$FB$285,150,FALSE)</f>
        <v/>
      </c>
      <c r="FH37" s="27" t="str">
        <f>VLOOKUP($A37,'[1]Raw Data'!$A$3:$FB$285,156,FALSE)</f>
        <v/>
      </c>
      <c r="FJ37" s="27" t="str">
        <f>VLOOKUP($A37,'[1]Raw Data'!$A$3:$FB$285,157,FALSE)</f>
        <v>District Technical Officer</v>
      </c>
      <c r="FK37" s="27" t="s">
        <v>886</v>
      </c>
      <c r="FL37" s="27" t="str">
        <f>VLOOKUP($A37,'[1]Raw Data'!$A$3:$FB$285,158,FALSE)</f>
        <v/>
      </c>
      <c r="FM37" s="27" t="str">
        <f>VLOOKUP($A37,'[1]Raw Data'!$A$3:$FB$285,152,FALSE)</f>
        <v/>
      </c>
      <c r="FO37" s="27" t="str">
        <f>VLOOKUP($A37,'[1]Raw Data'!$A$3:$FB$285,153,FALSE)</f>
        <v>DIstrict Information Management Officer</v>
      </c>
      <c r="FP37" s="27" t="s">
        <v>887</v>
      </c>
      <c r="FQ37" s="27" t="str">
        <f>VLOOKUP($A37,'[1]Raw Data'!$A$3:$FB$285,154,FALSE)</f>
        <v/>
      </c>
    </row>
    <row r="38" spans="1:173" ht="24" x14ac:dyDescent="0.45">
      <c r="A38" s="27">
        <v>11008</v>
      </c>
      <c r="B38" s="36" t="str">
        <f ca="1">IFERROR(__xludf.DUMMYFUNCTION("""COMPUTED_VALUE"""),"Sotang Gaunpalika")</f>
        <v>Sotang Gaunpalika</v>
      </c>
      <c r="C38" s="37" t="str">
        <f>VLOOKUP(A38,'[1]Palika and District in Nepali '!$D$1:$F$283,3,FALSE)</f>
        <v>सोतांङ गाउँपालिका</v>
      </c>
      <c r="D38" s="36" t="str">
        <f ca="1">IFERROR(__xludf.DUMMYFUNCTION("""COMPUTED_VALUE"""),"Solukhumbu")</f>
        <v>Solukhumbu</v>
      </c>
      <c r="E38" s="36"/>
      <c r="F38" s="27">
        <f>VLOOKUP(A38,'[1]Raw Data'!$A$3:$FB$285,4,FALSE)</f>
        <v>377</v>
      </c>
      <c r="G38" s="27">
        <f>VLOOKUP(A38,'[1]Raw Data'!$A$3:$FB$285,5,FALSE)</f>
        <v>1210</v>
      </c>
      <c r="H38" s="27">
        <f>VLOOKUP(A38,'[1]Raw Data'!$A$3:$FB$285,6,FALSE)</f>
        <v>1587</v>
      </c>
      <c r="I38" s="27">
        <f>VLOOKUP($A38,'[1]Raw Data'!$A$3:$FB$285,8,FALSE)</f>
        <v>0.32</v>
      </c>
      <c r="J38" s="27">
        <f>VLOOKUP($A38,'[1]Raw Data'!$A$3:$FB$285,9,FALSE)</f>
        <v>0.7</v>
      </c>
      <c r="K38" s="27">
        <f>VLOOKUP($A38,'[1]Raw Data'!$A$3:$FB$285,11,FALSE)</f>
        <v>97.92</v>
      </c>
      <c r="L38" s="27">
        <f>VLOOKUP($A38,'[1]Raw Data'!$A$3:$FB$285,12,FALSE)</f>
        <v>95.03</v>
      </c>
      <c r="M38" s="27">
        <f>VLOOKUP($A38,'[1]Raw Data'!$A$3:$FB$285,14,FALSE)</f>
        <v>0</v>
      </c>
      <c r="N38" s="27">
        <f>VLOOKUP($A38,'[1]Raw Data'!$A$3:$FB$285,15,FALSE)</f>
        <v>0.02</v>
      </c>
      <c r="O38" s="27">
        <f>VLOOKUP($A38,'[1]Raw Data'!$A$3:$FB$285,17,FALSE)</f>
        <v>0.06</v>
      </c>
      <c r="P38" s="27">
        <f>VLOOKUP($A38,'[1]Raw Data'!$A$3:$FB$285,18,FALSE)</f>
        <v>0.03</v>
      </c>
      <c r="Q38" s="27">
        <f>VLOOKUP($A38,'[1]Raw Data'!$A$3:$FB$285,20,FALSE)</f>
        <v>0</v>
      </c>
      <c r="R38" s="27">
        <f>VLOOKUP($A38,'[1]Raw Data'!$A$3:$FB$285,21,FALSE)</f>
        <v>0.03</v>
      </c>
      <c r="S38" s="27">
        <f>VLOOKUP($A38,'[1]Raw Data'!$A$3:$FB$285,23,FALSE)</f>
        <v>0</v>
      </c>
      <c r="T38" s="27">
        <f>VLOOKUP($A38,'[1]Raw Data'!$A$3:$FB$285,24,FALSE)</f>
        <v>0</v>
      </c>
      <c r="U38" s="27">
        <f>VLOOKUP($A38,'[1]Raw Data'!$A$3:$FB$285,26,FALSE)</f>
        <v>0.95</v>
      </c>
      <c r="V38" s="27">
        <f>VLOOKUP($A38,'[1]Raw Data'!$A$3:$FB$285,27,FALSE)</f>
        <v>0.49</v>
      </c>
      <c r="W38" s="27">
        <f>VLOOKUP($A38,'[1]Raw Data'!$A$3:$FB$285,29,FALSE)</f>
        <v>0</v>
      </c>
      <c r="X38" s="27">
        <f>VLOOKUP($A38,'[1]Raw Data'!$A$3:$FB$285,30,FALSE)</f>
        <v>0</v>
      </c>
      <c r="Y38" s="27">
        <f>VLOOKUP($A38,'[1]Raw Data'!$A$3:$FB$285,32,FALSE)</f>
        <v>0.63</v>
      </c>
      <c r="Z38" s="27">
        <f>VLOOKUP($A38,'[1]Raw Data'!$A$3:$FB$285,33,FALSE)</f>
        <v>1.84</v>
      </c>
      <c r="AA38" s="27">
        <f>VLOOKUP($A38,'[1]Raw Data'!$A$3:$FB$285,35,FALSE)</f>
        <v>0.06</v>
      </c>
      <c r="AB38" s="27">
        <f>VLOOKUP($A38,'[1]Raw Data'!$A$3:$FB$285,36,FALSE)</f>
        <v>1.75</v>
      </c>
      <c r="AC38" s="27">
        <f>VLOOKUP($A38,'[1]Raw Data'!$A$3:$FB$285,38,FALSE)</f>
        <v>0.06</v>
      </c>
      <c r="AD38" s="27">
        <f>VLOOKUP($A38,'[1]Raw Data'!$A$3:$FB$285,39,FALSE)</f>
        <v>0.11</v>
      </c>
      <c r="AE38" s="27">
        <f>VLOOKUP($A38,'[1]Raw Data'!$A$3:$FB$285,41,FALSE)</f>
        <v>0</v>
      </c>
      <c r="AF38" s="27">
        <f>VLOOKUP($A38,'[1]Raw Data'!$A$3:$FB$285,42,FALSE)</f>
        <v>0</v>
      </c>
      <c r="AG38" s="27">
        <f>VLOOKUP($A38,'[1]Raw Data'!$A$3:$FB$285,44,FALSE)</f>
        <v>0</v>
      </c>
      <c r="AH38" s="27">
        <f>VLOOKUP($A38,'[1]Raw Data'!$A$3:$FB$285,45,FALSE)</f>
        <v>0</v>
      </c>
      <c r="AI38" s="27">
        <f>VLOOKUP($A38,'[1]Raw Data'!$A$3:$FB$285,46,FALSE)</f>
        <v>903</v>
      </c>
      <c r="AJ38" s="27">
        <f>VLOOKUP($A38,'[1]Raw Data'!$A$3:$FB$285,47,FALSE)</f>
        <v>555</v>
      </c>
      <c r="AK38" s="27">
        <f>VLOOKUP($A38,'[1]Raw Data'!$A$3:$FB$285,48,FALSE)</f>
        <v>555</v>
      </c>
      <c r="AL38" s="27">
        <f>VLOOKUP($A38,'[1]Raw Data'!$A$3:$FB$285,49,FALSE)</f>
        <v>72</v>
      </c>
      <c r="AM38" s="27">
        <f>VLOOKUP($A38,'[1]Raw Data'!$A$3:$FB$285,50,FALSE)</f>
        <v>0</v>
      </c>
      <c r="AN38" s="27" t="str">
        <f>VLOOKUP($A38,'[1]Raw Data'!$A$3:$FB$285,51,FALSE)</f>
        <v/>
      </c>
      <c r="AO38" s="27" t="str">
        <f>VLOOKUP($A38,'[1]Raw Data'!$A$3:$FB$285,52,FALSE)</f>
        <v/>
      </c>
      <c r="AP38" s="27">
        <f>VLOOKUP($A38,'[1]Raw Data'!$A$3:$FB$285,53,FALSE)</f>
        <v>292</v>
      </c>
      <c r="AQ38" s="27" t="str">
        <f>VLOOKUP($A38,'[1]Raw Data'!$A$3:$FB$285,54,FALSE)</f>
        <v/>
      </c>
      <c r="AR38" s="27" t="str">
        <f>VLOOKUP($A38,'[1]Raw Data'!$A$3:$FB$285,55,FALSE)</f>
        <v/>
      </c>
      <c r="AS38" s="27" t="str">
        <f>VLOOKUP($A38,'[1]Raw Data'!$A$3:$FB$285,56,FALSE)</f>
        <v/>
      </c>
      <c r="AT38" s="27" t="str">
        <f>VLOOKUP($A38,'[1]Raw Data'!$A$3:$FB$285,57,FALSE)</f>
        <v/>
      </c>
      <c r="AU38" s="27" t="str">
        <f>VLOOKUP($A38,'[1]Raw Data'!$A$3:$FB$285,58,FALSE)</f>
        <v/>
      </c>
      <c r="AV38" s="27" t="str">
        <f>VLOOKUP($A38,'[1]Raw Data'!$A$3:$FB$285,59,FALSE)</f>
        <v/>
      </c>
      <c r="AW38" s="27" t="str">
        <f>VLOOKUP($A38,'[1]Raw Data'!$A$3:$FB$285,60,FALSE)</f>
        <v/>
      </c>
      <c r="AX38" s="27" t="str">
        <f>VLOOKUP(A38,'[1]PO''s List'!A36:E318,4,FALSE)</f>
        <v/>
      </c>
      <c r="AZ38" s="27" t="str">
        <f>VLOOKUP(A38,'[1]PO''s List'!$A$3:$E$285,5,FALSE)</f>
        <v/>
      </c>
      <c r="BB38" s="27">
        <f>VLOOKUP($A38,'[1]Raw Data'!$A$3:$FB$285,63,FALSE)</f>
        <v>15495</v>
      </c>
      <c r="BC38" s="27" t="str">
        <f>VLOOKUP($A38,'[1]Raw Data'!$A$3:$FB$285,64,FALSE)</f>
        <v/>
      </c>
      <c r="BD38" s="27" t="str">
        <f t="shared" si="0"/>
        <v/>
      </c>
      <c r="BE38" s="27" t="str">
        <f>VLOOKUP($A38,'[1]Raw Data'!$A$3:$FB$285,65,FALSE)</f>
        <v/>
      </c>
      <c r="BF38" s="27">
        <f>VLOOKUP($A38,'[1]Raw Data'!$A$3:$FB$285,66,FALSE)</f>
        <v>16446</v>
      </c>
      <c r="BG38" s="27" t="str">
        <f>VLOOKUP($A38,'[1]Raw Data'!$A$3:$FB$285,67,FALSE)</f>
        <v/>
      </c>
      <c r="BH38" s="27" t="str">
        <f t="shared" si="1"/>
        <v/>
      </c>
      <c r="BI38" s="27" t="str">
        <f>VLOOKUP($A38,'[1]Raw Data'!$A$3:$FB$285,68,FALSE)</f>
        <v/>
      </c>
      <c r="BJ38" s="27">
        <f>VLOOKUP($A38,'[1]Raw Data'!$A$3:$FB$285,69,FALSE)</f>
        <v>1659</v>
      </c>
      <c r="BK38" s="27" t="str">
        <f>VLOOKUP($A38,'[1]Raw Data'!$A$3:$FB$285,70,FALSE)</f>
        <v/>
      </c>
      <c r="BL38" s="27" t="str">
        <f t="shared" si="2"/>
        <v/>
      </c>
      <c r="BM38" s="27" t="str">
        <f>VLOOKUP($A38,'[1]Raw Data'!$A$3:$FB$285,71,FALSE)</f>
        <v/>
      </c>
      <c r="BN38" s="27">
        <f>VLOOKUP($A38,'[1]Raw Data'!$A$3:$FB$285,72,FALSE)</f>
        <v>1931</v>
      </c>
      <c r="BO38" s="27" t="str">
        <f>VLOOKUP($A38,'[1]Raw Data'!$A$3:$FB$285,73,FALSE)</f>
        <v/>
      </c>
      <c r="BP38" s="27" t="str">
        <f t="shared" si="3"/>
        <v/>
      </c>
      <c r="BQ38" s="27" t="str">
        <f>VLOOKUP($A38,'[1]Raw Data'!$A$3:$FB$285,74,FALSE)</f>
        <v/>
      </c>
      <c r="BR38" s="27" t="str">
        <f>VLOOKUP($A38,'[1]Raw Data'!$A$3:$FB$285,75,FALSE)</f>
        <v/>
      </c>
      <c r="BS38" s="27" t="str">
        <f>VLOOKUP($A38,'[1]Raw Data'!$A$3:$FB$285,76,FALSE)</f>
        <v/>
      </c>
      <c r="BT38" s="27" t="str">
        <f t="shared" si="4"/>
        <v/>
      </c>
      <c r="BU38" s="27" t="str">
        <f>VLOOKUP($A38,'[1]Raw Data'!$A$3:$FB$285,77,FALSE)</f>
        <v/>
      </c>
      <c r="BV38" s="27">
        <f>VLOOKUP($A38,'[1]Raw Data'!$A$3:$FB$285,78,FALSE)</f>
        <v>53960</v>
      </c>
      <c r="BW38" s="27" t="str">
        <f>VLOOKUP($A38,'[1]Raw Data'!$A$3:$FB$285,79,FALSE)</f>
        <v/>
      </c>
      <c r="BX38" s="27" t="str">
        <f t="shared" si="5"/>
        <v/>
      </c>
      <c r="BY38" s="27" t="str">
        <f>VLOOKUP($A38,'[1]Raw Data'!$A$3:$FB$285,80,FALSE)</f>
        <v/>
      </c>
      <c r="BZ38" s="27">
        <f>VLOOKUP($A38,'[1]Raw Data'!$A$3:$FB$285,81,FALSE)</f>
        <v>166546</v>
      </c>
      <c r="CA38" s="27" t="str">
        <f>VLOOKUP($A38,'[1]Raw Data'!$A$3:$FB$285,82,FALSE)</f>
        <v/>
      </c>
      <c r="CB38" s="27" t="str">
        <f t="shared" si="6"/>
        <v/>
      </c>
      <c r="CC38" s="27" t="str">
        <f>VLOOKUP($A38,'[1]Raw Data'!$A$3:$FB$285,83,FALSE)</f>
        <v/>
      </c>
      <c r="CD38" s="27">
        <f>VLOOKUP($A38,'[1]Raw Data'!$A$3:$FB$285,84,FALSE)</f>
        <v>2203</v>
      </c>
      <c r="CE38" s="27" t="str">
        <f>VLOOKUP($A38,'[1]Raw Data'!$A$3:$FB$285,85,FALSE)</f>
        <v/>
      </c>
      <c r="CF38" s="27" t="str">
        <f t="shared" si="7"/>
        <v/>
      </c>
      <c r="CG38" s="27" t="str">
        <f>VLOOKUP($A38,'[1]Raw Data'!$A$3:$FB$285,86,FALSE)</f>
        <v/>
      </c>
      <c r="CH38" s="27">
        <f>VLOOKUP($A38,'[1]Raw Data'!$A$3:$FB$285,87,FALSE)</f>
        <v>44886</v>
      </c>
      <c r="CI38" s="27" t="str">
        <f>VLOOKUP($A38,'[1]Raw Data'!$A$3:$FB$285,88,FALSE)</f>
        <v/>
      </c>
      <c r="CJ38" s="27" t="str">
        <f t="shared" si="8"/>
        <v/>
      </c>
      <c r="CK38" s="27" t="str">
        <f>VLOOKUP($A38,'[1]Raw Data'!$A$3:$FB$285,89,FALSE)</f>
        <v/>
      </c>
      <c r="CL38" s="27" t="str">
        <f>VLOOKUP($A38,'[1]Raw Data'!$A$3:$FB$285,91,FALSE)</f>
        <v/>
      </c>
      <c r="CM38" s="27" t="str">
        <f>VLOOKUP($A38,'[1]Raw Data'!$A$3:$FB$285,93,FALSE)</f>
        <v/>
      </c>
      <c r="CN38" s="27" t="str">
        <f>VLOOKUP($A38,'[1]Raw Data'!$A$3:$FB$285,94,FALSE)</f>
        <v/>
      </c>
      <c r="CO38" s="27" t="str">
        <f>VLOOKUP($A38,'[1]Raw Data'!$A$3:$FB$285,95,FALSE)</f>
        <v/>
      </c>
      <c r="CP38" s="27" t="str">
        <f>VLOOKUP($A38,'[1]Raw Data'!$A$3:$FB$285,96,FALSE)</f>
        <v/>
      </c>
      <c r="CQ38" s="27" t="str">
        <f>VLOOKUP($A38,'[1]Raw Data'!$A$3:$FB$285,97,FALSE)</f>
        <v/>
      </c>
      <c r="CR38" s="27" t="str">
        <f>VLOOKUP($A38,'[1]Raw Data'!$A$3:$FB$285,98,FALSE)</f>
        <v/>
      </c>
      <c r="CS38" s="27" t="str">
        <f>VLOOKUP($A38,'[1]Raw Data'!$A$3:$FB$285,99,FALSE)</f>
        <v/>
      </c>
      <c r="CT38" s="27" t="str">
        <f>VLOOKUP($A38,'[1]Raw Data'!$A$3:$FB$285,101,FALSE)</f>
        <v/>
      </c>
      <c r="CV38" s="27" t="str">
        <f>VLOOKUP($A38,'[1]Raw Data'!$A$3:$FB$285,102,FALSE)</f>
        <v>Chairman</v>
      </c>
      <c r="CW38" s="27" t="s">
        <v>878</v>
      </c>
      <c r="CX38" s="27" t="str">
        <f>VLOOKUP($A38,'[1]Raw Data'!$A$3:$FB$285,103,FALSE)</f>
        <v/>
      </c>
      <c r="CY38" s="27" t="str">
        <f>VLOOKUP($A38,'[1]Raw Data'!$A$3:$FB$285,105,FALSE)</f>
        <v/>
      </c>
      <c r="DA38" s="27" t="str">
        <f>VLOOKUP($A38,'[1]Raw Data'!$A$3:$FB$285,106,FALSE)</f>
        <v>Deputy Chairman</v>
      </c>
      <c r="DB38" s="27" t="s">
        <v>879</v>
      </c>
      <c r="DC38" s="27" t="str">
        <f>VLOOKUP($A38,'[1]Raw Data'!$A$3:$FB$285,107,FALSE)</f>
        <v/>
      </c>
      <c r="DD38" s="27" t="str">
        <f>VLOOKUP($A38,'[1]Raw Data'!$A$3:$FB$285,109,FALSE)</f>
        <v/>
      </c>
      <c r="DF38" s="27" t="str">
        <f>VLOOKUP($A38,'[1]Raw Data'!$A$3:$FB$285,110,FALSE)</f>
        <v>Chief Adminstration Officer</v>
      </c>
      <c r="DG38" s="27" t="s">
        <v>880</v>
      </c>
      <c r="DH38" s="27" t="str">
        <f>VLOOKUP($A38,'[1]Raw Data'!$A$3:$FB$285,111,FALSE)</f>
        <v/>
      </c>
      <c r="DI38" s="27" t="str">
        <f>VLOOKUP($A38,'[1]Raw Data'!$A$3:$FB$285,121,FALSE)</f>
        <v/>
      </c>
      <c r="DK38" s="27" t="str">
        <f>VLOOKUP($A38,'[1]Raw Data'!$A$3:$FB$285,122,FALSE)</f>
        <v>Focal Person</v>
      </c>
      <c r="DL38" s="27" t="s">
        <v>881</v>
      </c>
      <c r="DM38" s="27" t="str">
        <f>VLOOKUP($A38,'[1]Raw Data'!$A$3:$FB$285,123,FALSE)</f>
        <v/>
      </c>
      <c r="DN38" s="27" t="str">
        <f>VLOOKUP($A38,'[1]Raw Data'!$A$3:$FB$285,113,FALSE)</f>
        <v/>
      </c>
      <c r="DP38" s="27" t="str">
        <f>VLOOKUP($A38,'[1]Raw Data'!$A$3:$FB$285,114,FALSE)</f>
        <v>NRA Chief-District</v>
      </c>
      <c r="DQ38" s="27" t="s">
        <v>882</v>
      </c>
      <c r="DR38" s="27" t="str">
        <f>VLOOKUP($A38,'[1]Raw Data'!$A$3:$FB$285,115,FALSE)</f>
        <v/>
      </c>
      <c r="DS38" s="27" t="str">
        <f>VLOOKUP($A38,'[1]Raw Data'!$A$3:$FB$285,117,FALSE)</f>
        <v/>
      </c>
      <c r="DU38" s="27" t="str">
        <f>VLOOKUP($A38,'[1]Raw Data'!$A$3:$FB$285,118,FALSE)</f>
        <v>DUDBC.DLPIU Chief</v>
      </c>
      <c r="DV38" s="27" t="s">
        <v>883</v>
      </c>
      <c r="DW38" s="27" t="str">
        <f>VLOOKUP($A38,'[1]Raw Data'!$A$3:$FB$285,119,FALSE)</f>
        <v/>
      </c>
      <c r="DX38" s="27" t="s">
        <v>339</v>
      </c>
      <c r="DY38" s="27" t="str">
        <f>VLOOKUP($A38,'[1]Raw Data'!$A$3:$FB$285,124,FALSE)</f>
        <v/>
      </c>
      <c r="DZ38" s="27" t="s">
        <v>884</v>
      </c>
      <c r="EA38" s="27" t="str">
        <f>VLOOKUP($A38,'[1]Raw Data'!$A$3:$FB$285,125,FALSE)</f>
        <v/>
      </c>
      <c r="EB38" s="27" t="s">
        <v>341</v>
      </c>
      <c r="EC38" s="27" t="str">
        <f>VLOOKUP($A38,'[1]Raw Data'!$A$3:$FB$285,126,FALSE)</f>
        <v/>
      </c>
      <c r="ED38" t="s">
        <v>478</v>
      </c>
      <c r="EE38" s="27" t="str">
        <f>VLOOKUP($A38,'[1]Raw Data'!$A$3:$FB$285,127,FALSE)</f>
        <v/>
      </c>
      <c r="EF38" s="27" t="s">
        <v>343</v>
      </c>
      <c r="EG38" s="27" t="str">
        <f>VLOOKUP($A38,'[1]Raw Data'!$A$3:$FB$285,128,FALSE)</f>
        <v/>
      </c>
      <c r="EH38" t="s">
        <v>344</v>
      </c>
      <c r="EI38" s="27" t="str">
        <f>VLOOKUP($A38,'[1]Raw Data'!$A$3:$FB$285,129,FALSE)</f>
        <v/>
      </c>
      <c r="EM38" s="27" t="str">
        <f>VLOOKUP($A38,'[1]Raw Data'!$A$3:$FB$285,130,FALSE)</f>
        <v/>
      </c>
      <c r="EN38" s="27" t="str">
        <f>VLOOKUP($A38,'[1]Raw Data'!$A$3:$FB$285,131,FALSE)</f>
        <v/>
      </c>
      <c r="EO38" s="27" t="str">
        <f>VLOOKUP($A38,'[1]Raw Data'!$A$3:$FB$285,132,FALSE)</f>
        <v/>
      </c>
      <c r="EP38" s="27" t="str">
        <f>VLOOKUP($A38,'[1]Raw Data'!$A$3:$FB$285,133,FALSE)</f>
        <v/>
      </c>
      <c r="EQ38" s="27" t="str">
        <f>VLOOKUP($A38,'[1]Raw Data'!$A$3:$FB$285,134,FALSE)</f>
        <v/>
      </c>
      <c r="ER38" s="27" t="str">
        <f>VLOOKUP($A38,'[1]Raw Data'!$A$3:$FB$285,135,FALSE)</f>
        <v/>
      </c>
      <c r="ES38" s="27" t="str">
        <f>VLOOKUP($A38,'[1]Raw Data'!$A$3:$FB$285,136,FALSE)</f>
        <v/>
      </c>
      <c r="ET38" s="27" t="str">
        <f>VLOOKUP($A38,'[1]Raw Data'!$A$3:$FB$285,137,FALSE)</f>
        <v/>
      </c>
      <c r="EU38" s="27" t="str">
        <f>VLOOKUP($A38,'[1]Raw Data'!$A$3:$FB$285,138,FALSE)</f>
        <v/>
      </c>
      <c r="EV38" s="27" t="str">
        <f>VLOOKUP($A38,'[1]Raw Data'!$A$3:$FB$285,139,FALSE)</f>
        <v/>
      </c>
      <c r="EW38" s="38">
        <f>VLOOKUP($A38,[1]Training!$A$2:$I$284,5,FALSE)</f>
        <v>69.461538461538467</v>
      </c>
      <c r="EX38" s="31">
        <f>VLOOKUP($A38,[1]Training!$A$2:$I$284,6,FALSE)</f>
        <v>0</v>
      </c>
      <c r="EY38" s="38">
        <f>VLOOKUP($A38,[1]Training!$A$2:$I$284,8,FALSE)</f>
        <v>82.090909090909093</v>
      </c>
      <c r="EZ38" s="31">
        <f>VLOOKUP($A38,[1]Training!$A$2:$I$284,9,FALSE)</f>
        <v>74</v>
      </c>
      <c r="FA38" s="27">
        <v>1</v>
      </c>
      <c r="FB38" s="27">
        <v>2</v>
      </c>
      <c r="FC38" s="27" t="str">
        <f>VLOOKUP($A38,'[1]Raw Data'!$A$3:$FB$285,148,FALSE)</f>
        <v/>
      </c>
      <c r="FE38" s="27" t="str">
        <f>VLOOKUP($A38,'[1]Raw Data'!$A$3:$FB$285,149,FALSE)</f>
        <v>District Coordinator</v>
      </c>
      <c r="FF38" s="27" t="s">
        <v>885</v>
      </c>
      <c r="FG38" s="27" t="str">
        <f>VLOOKUP($A38,'[1]Raw Data'!$A$3:$FB$285,150,FALSE)</f>
        <v/>
      </c>
      <c r="FH38" s="27" t="str">
        <f>VLOOKUP($A38,'[1]Raw Data'!$A$3:$FB$285,156,FALSE)</f>
        <v/>
      </c>
      <c r="FJ38" s="27" t="str">
        <f>VLOOKUP($A38,'[1]Raw Data'!$A$3:$FB$285,157,FALSE)</f>
        <v>District Technical Officer</v>
      </c>
      <c r="FK38" s="27" t="s">
        <v>886</v>
      </c>
      <c r="FL38" s="27" t="str">
        <f>VLOOKUP($A38,'[1]Raw Data'!$A$3:$FB$285,158,FALSE)</f>
        <v/>
      </c>
      <c r="FM38" s="27" t="str">
        <f>VLOOKUP($A38,'[1]Raw Data'!$A$3:$FB$285,152,FALSE)</f>
        <v/>
      </c>
      <c r="FO38" s="27" t="str">
        <f>VLOOKUP($A38,'[1]Raw Data'!$A$3:$FB$285,153,FALSE)</f>
        <v>DIstrict Information Management Officer</v>
      </c>
      <c r="FP38" s="27" t="s">
        <v>887</v>
      </c>
      <c r="FQ38" s="27" t="str">
        <f>VLOOKUP($A38,'[1]Raw Data'!$A$3:$FB$285,154,FALSE)</f>
        <v/>
      </c>
    </row>
    <row r="39" spans="1:173" ht="24" x14ac:dyDescent="0.45">
      <c r="A39" s="27">
        <v>12001</v>
      </c>
      <c r="B39" s="36" t="str">
        <f ca="1">IFERROR(__xludf.DUMMYFUNCTION("""COMPUTED_VALUE"""),"Champadevi Gaunpalika")</f>
        <v>Champadevi Gaunpalika</v>
      </c>
      <c r="C39" s="37" t="str">
        <f>VLOOKUP(A39,'[1]Palika and District in Nepali '!$D$1:$F$283,3,FALSE)</f>
        <v>चम्पादेवी गाउँपालिका</v>
      </c>
      <c r="D39" s="36" t="str">
        <f ca="1">IFERROR(__xludf.DUMMYFUNCTION("""COMPUTED_VALUE"""),"Okhaldhunga")</f>
        <v>Okhaldhunga</v>
      </c>
      <c r="E39" s="36"/>
      <c r="F39" s="27">
        <f>VLOOKUP(A39,'[1]Raw Data'!$A$3:$FB$285,4,FALSE)</f>
        <v>1486</v>
      </c>
      <c r="G39" s="27">
        <f>VLOOKUP(A39,'[1]Raw Data'!$A$3:$FB$285,5,FALSE)</f>
        <v>3379</v>
      </c>
      <c r="H39" s="27">
        <f>VLOOKUP(A39,'[1]Raw Data'!$A$3:$FB$285,6,FALSE)</f>
        <v>4865</v>
      </c>
      <c r="I39" s="27">
        <f>VLOOKUP($A39,'[1]Raw Data'!$A$3:$FB$285,8,FALSE)</f>
        <v>0.08</v>
      </c>
      <c r="J39" s="27">
        <f>VLOOKUP($A39,'[1]Raw Data'!$A$3:$FB$285,9,FALSE)</f>
        <v>0.38</v>
      </c>
      <c r="K39" s="27">
        <f>VLOOKUP($A39,'[1]Raw Data'!$A$3:$FB$285,11,FALSE)</f>
        <v>99.12</v>
      </c>
      <c r="L39" s="27">
        <f>VLOOKUP($A39,'[1]Raw Data'!$A$3:$FB$285,12,FALSE)</f>
        <v>92.87</v>
      </c>
      <c r="M39" s="27">
        <f>VLOOKUP($A39,'[1]Raw Data'!$A$3:$FB$285,14,FALSE)</f>
        <v>0</v>
      </c>
      <c r="N39" s="27">
        <f>VLOOKUP($A39,'[1]Raw Data'!$A$3:$FB$285,15,FALSE)</f>
        <v>0.34</v>
      </c>
      <c r="O39" s="27">
        <f>VLOOKUP($A39,'[1]Raw Data'!$A$3:$FB$285,17,FALSE)</f>
        <v>0</v>
      </c>
      <c r="P39" s="27">
        <f>VLOOKUP($A39,'[1]Raw Data'!$A$3:$FB$285,18,FALSE)</f>
        <v>0.02</v>
      </c>
      <c r="Q39" s="27">
        <f>VLOOKUP($A39,'[1]Raw Data'!$A$3:$FB$285,20,FALSE)</f>
        <v>0.04</v>
      </c>
      <c r="R39" s="27">
        <f>VLOOKUP($A39,'[1]Raw Data'!$A$3:$FB$285,21,FALSE)</f>
        <v>0.13</v>
      </c>
      <c r="S39" s="27">
        <f>VLOOKUP($A39,'[1]Raw Data'!$A$3:$FB$285,23,FALSE)</f>
        <v>0</v>
      </c>
      <c r="T39" s="27">
        <f>VLOOKUP($A39,'[1]Raw Data'!$A$3:$FB$285,24,FALSE)</f>
        <v>0</v>
      </c>
      <c r="U39" s="27">
        <f>VLOOKUP($A39,'[1]Raw Data'!$A$3:$FB$285,26,FALSE)</f>
        <v>0.28999999999999998</v>
      </c>
      <c r="V39" s="27">
        <f>VLOOKUP($A39,'[1]Raw Data'!$A$3:$FB$285,27,FALSE)</f>
        <v>1.06</v>
      </c>
      <c r="W39" s="27">
        <f>VLOOKUP($A39,'[1]Raw Data'!$A$3:$FB$285,29,FALSE)</f>
        <v>0</v>
      </c>
      <c r="X39" s="27">
        <f>VLOOKUP($A39,'[1]Raw Data'!$A$3:$FB$285,30,FALSE)</f>
        <v>0</v>
      </c>
      <c r="Y39" s="27">
        <f>VLOOKUP($A39,'[1]Raw Data'!$A$3:$FB$285,32,FALSE)</f>
        <v>0.06</v>
      </c>
      <c r="Z39" s="27">
        <f>VLOOKUP($A39,'[1]Raw Data'!$A$3:$FB$285,33,FALSE)</f>
        <v>0.12</v>
      </c>
      <c r="AA39" s="27">
        <f>VLOOKUP($A39,'[1]Raw Data'!$A$3:$FB$285,35,FALSE)</f>
        <v>0.16</v>
      </c>
      <c r="AB39" s="27">
        <f>VLOOKUP($A39,'[1]Raw Data'!$A$3:$FB$285,36,FALSE)</f>
        <v>4.33</v>
      </c>
      <c r="AC39" s="27">
        <f>VLOOKUP($A39,'[1]Raw Data'!$A$3:$FB$285,38,FALSE)</f>
        <v>0.25</v>
      </c>
      <c r="AD39" s="27">
        <f>VLOOKUP($A39,'[1]Raw Data'!$A$3:$FB$285,39,FALSE)</f>
        <v>0.73</v>
      </c>
      <c r="AE39" s="27">
        <f>VLOOKUP($A39,'[1]Raw Data'!$A$3:$FB$285,41,FALSE)</f>
        <v>0</v>
      </c>
      <c r="AF39" s="27">
        <f>VLOOKUP($A39,'[1]Raw Data'!$A$3:$FB$285,42,FALSE)</f>
        <v>0</v>
      </c>
      <c r="AG39" s="27">
        <f>VLOOKUP($A39,'[1]Raw Data'!$A$3:$FB$285,44,FALSE)</f>
        <v>0</v>
      </c>
      <c r="AH39" s="27">
        <f>VLOOKUP($A39,'[1]Raw Data'!$A$3:$FB$285,45,FALSE)</f>
        <v>0</v>
      </c>
      <c r="AI39" s="27">
        <f>VLOOKUP($A39,'[1]Raw Data'!$A$3:$FB$285,46,FALSE)</f>
        <v>3341</v>
      </c>
      <c r="AJ39" s="27">
        <f>VLOOKUP($A39,'[1]Raw Data'!$A$3:$FB$285,47,FALSE)</f>
        <v>3257</v>
      </c>
      <c r="AK39" s="27">
        <f>VLOOKUP($A39,'[1]Raw Data'!$A$3:$FB$285,48,FALSE)</f>
        <v>3257</v>
      </c>
      <c r="AL39" s="27">
        <f>VLOOKUP($A39,'[1]Raw Data'!$A$3:$FB$285,49,FALSE)</f>
        <v>2908</v>
      </c>
      <c r="AM39" s="27">
        <f>VLOOKUP($A39,'[1]Raw Data'!$A$3:$FB$285,50,FALSE)</f>
        <v>2538</v>
      </c>
      <c r="AN39" s="27">
        <f>VLOOKUP($A39,'[1]Raw Data'!$A$3:$FB$285,51,FALSE)</f>
        <v>2908</v>
      </c>
      <c r="AO39" s="27">
        <f>VLOOKUP($A39,'[1]Raw Data'!$A$3:$FB$285,52,FALSE)</f>
        <v>2538</v>
      </c>
      <c r="AP39" s="27">
        <f>VLOOKUP($A39,'[1]Raw Data'!$A$3:$FB$285,53,FALSE)</f>
        <v>513</v>
      </c>
      <c r="AQ39" s="27">
        <f>VLOOKUP($A39,'[1]Raw Data'!$A$3:$FB$285,54,FALSE)</f>
        <v>464</v>
      </c>
      <c r="AR39" s="27">
        <f>VLOOKUP($A39,'[1]Raw Data'!$A$3:$FB$285,55,FALSE)</f>
        <v>459</v>
      </c>
      <c r="AS39" s="27">
        <f>VLOOKUP($A39,'[1]Raw Data'!$A$3:$FB$285,56,FALSE)</f>
        <v>0</v>
      </c>
      <c r="AT39" s="27">
        <f>VLOOKUP($A39,'[1]Raw Data'!$A$3:$FB$285,57,FALSE)</f>
        <v>0</v>
      </c>
      <c r="AU39" s="27">
        <f>VLOOKUP($A39,'[1]Raw Data'!$A$3:$FB$285,58,FALSE)</f>
        <v>0</v>
      </c>
      <c r="AV39" s="27" t="str">
        <f>VLOOKUP($A39,'[1]Raw Data'!$A$3:$FB$285,59,FALSE)</f>
        <v/>
      </c>
      <c r="AW39" s="27" t="str">
        <f>VLOOKUP($A39,'[1]Raw Data'!$A$3:$FB$285,60,FALSE)</f>
        <v/>
      </c>
      <c r="AX39" s="27" t="str">
        <f>VLOOKUP(A39,'[1]PO''s List'!A37:E319,4,FALSE)</f>
        <v>CRS(Livelihood,Employment ,Shelter)</v>
      </c>
      <c r="AZ39" s="27" t="str">
        <f>VLOOKUP(A39,'[1]PO''s List'!$A$3:$E$285,5,FALSE)</f>
        <v>ACTED(Shelter),HELVETAS(Shelter),MEDAIR(Shelter),NRA(Shelter),USAID-SABAL(Shelter)</v>
      </c>
      <c r="BB39" s="27">
        <f>VLOOKUP($A39,'[1]Raw Data'!$A$3:$FB$285,63,FALSE)</f>
        <v>70087</v>
      </c>
      <c r="BC39" s="27" t="str">
        <f>VLOOKUP($A39,'[1]Raw Data'!$A$3:$FB$285,64,FALSE)</f>
        <v>Y</v>
      </c>
      <c r="BD39" s="27" t="str">
        <f t="shared" si="0"/>
        <v>छ</v>
      </c>
      <c r="BE39" s="27">
        <f>VLOOKUP($A39,'[1]Raw Data'!$A$3:$FB$285,65,FALSE)</f>
        <v>8000</v>
      </c>
      <c r="BF39" s="27">
        <f>VLOOKUP($A39,'[1]Raw Data'!$A$3:$FB$285,66,FALSE)</f>
        <v>71526</v>
      </c>
      <c r="BG39" s="27" t="str">
        <f>VLOOKUP($A39,'[1]Raw Data'!$A$3:$FB$285,67,FALSE)</f>
        <v>Y</v>
      </c>
      <c r="BH39" s="27" t="str">
        <f>IF(BG39="Y","छ", IF(BG39="N","छैन",""))</f>
        <v>छ</v>
      </c>
      <c r="BI39" s="27">
        <f>VLOOKUP($A39,'[1]Raw Data'!$A$3:$FB$285,68,FALSE)</f>
        <v>8000</v>
      </c>
      <c r="BJ39" s="27">
        <f>VLOOKUP($A39,'[1]Raw Data'!$A$3:$FB$285,69,FALSE)</f>
        <v>7482</v>
      </c>
      <c r="BK39" s="27" t="str">
        <f>VLOOKUP($A39,'[1]Raw Data'!$A$3:$FB$285,70,FALSE)</f>
        <v>Y</v>
      </c>
      <c r="BL39" s="27" t="str">
        <f>IF(BK39="Y","छ", IF(BK39="N","छैन",""))</f>
        <v>छ</v>
      </c>
      <c r="BM39" s="27">
        <f>VLOOKUP($A39,'[1]Raw Data'!$A$3:$FB$285,71,FALSE)</f>
        <v>16000</v>
      </c>
      <c r="BN39" s="27">
        <f>VLOOKUP($A39,'[1]Raw Data'!$A$3:$FB$285,72,FALSE)</f>
        <v>8627</v>
      </c>
      <c r="BO39" s="27" t="str">
        <f>VLOOKUP($A39,'[1]Raw Data'!$A$3:$FB$285,73,FALSE)</f>
        <v/>
      </c>
      <c r="BP39" s="27" t="str">
        <f>IF(BO39="Y","छ", IF(BO39="N","छैन",""))</f>
        <v/>
      </c>
      <c r="BQ39" s="27" t="str">
        <f>VLOOKUP($A39,'[1]Raw Data'!$A$3:$FB$285,74,FALSE)</f>
        <v>1660</v>
      </c>
      <c r="BR39" s="27" t="str">
        <f>VLOOKUP($A39,'[1]Raw Data'!$A$3:$FB$285,75,FALSE)</f>
        <v/>
      </c>
      <c r="BS39" s="27" t="str">
        <f>VLOOKUP($A39,'[1]Raw Data'!$A$3:$FB$285,76,FALSE)</f>
        <v>Y</v>
      </c>
      <c r="BT39" s="27" t="str">
        <f t="shared" si="4"/>
        <v>छ</v>
      </c>
      <c r="BU39" s="27">
        <f>VLOOKUP($A39,'[1]Raw Data'!$A$3:$FB$285,77,FALSE)</f>
        <v>1180</v>
      </c>
      <c r="BV39" s="27">
        <f>VLOOKUP($A39,'[1]Raw Data'!$A$3:$FB$285,78,FALSE)</f>
        <v>238153</v>
      </c>
      <c r="BW39" s="27" t="str">
        <f>VLOOKUP($A39,'[1]Raw Data'!$A$3:$FB$285,79,FALSE)</f>
        <v>Y</v>
      </c>
      <c r="BX39" s="27" t="str">
        <f t="shared" si="5"/>
        <v>छ</v>
      </c>
      <c r="BY39" s="27">
        <f>VLOOKUP($A39,'[1]Raw Data'!$A$3:$FB$285,80,FALSE)</f>
        <v>1250</v>
      </c>
      <c r="BZ39" s="27">
        <f>VLOOKUP($A39,'[1]Raw Data'!$A$3:$FB$285,81,FALSE)</f>
        <v>761779</v>
      </c>
      <c r="CA39" s="27" t="str">
        <f>VLOOKUP($A39,'[1]Raw Data'!$A$3:$FB$285,82,FALSE)</f>
        <v/>
      </c>
      <c r="CB39" s="27" t="str">
        <f>IF(CA39="Y","छ", IF(CA39="N","छैन",""))</f>
        <v/>
      </c>
      <c r="CC39" s="27">
        <f>VLOOKUP($A39,'[1]Raw Data'!$A$3:$FB$285,83,FALSE)</f>
        <v>102</v>
      </c>
      <c r="CD39" s="27">
        <f>VLOOKUP($A39,'[1]Raw Data'!$A$3:$FB$285,84,FALSE)</f>
        <v>9739</v>
      </c>
      <c r="CE39" s="27" t="str">
        <f>VLOOKUP($A39,'[1]Raw Data'!$A$3:$FB$285,85,FALSE)</f>
        <v/>
      </c>
      <c r="CF39" s="27" t="str">
        <f>IF(CE39="Y","छ", IF(CE39="N","छैन",""))</f>
        <v/>
      </c>
      <c r="CG39" s="27" t="str">
        <f>VLOOKUP($A39,'[1]Raw Data'!$A$3:$FB$285,86,FALSE)</f>
        <v>11500</v>
      </c>
      <c r="CH39" s="27">
        <f>VLOOKUP($A39,'[1]Raw Data'!$A$3:$FB$285,87,FALSE)</f>
        <v>887384</v>
      </c>
      <c r="CI39" s="27" t="str">
        <f>VLOOKUP($A39,'[1]Raw Data'!$A$3:$FB$285,88,FALSE)</f>
        <v/>
      </c>
      <c r="CJ39" s="27" t="str">
        <f>IF(CI39="Y","छ", IF(CI39="N","छैन",""))</f>
        <v/>
      </c>
      <c r="CK39" s="27">
        <f>VLOOKUP($A39,'[1]Raw Data'!$A$3:$FB$285,89,FALSE)</f>
        <v>27</v>
      </c>
      <c r="CL39" s="27">
        <f>VLOOKUP($A39,'[1]Raw Data'!$A$3:$FB$285,91,FALSE)</f>
        <v>1200</v>
      </c>
      <c r="CM39" s="27">
        <f>VLOOKUP($A39,'[1]Raw Data'!$A$3:$FB$285,93,FALSE)</f>
        <v>1000</v>
      </c>
      <c r="CN39" s="27" t="str">
        <f>VLOOKUP($A39,'[1]Raw Data'!$A$3:$FB$285,94,FALSE)</f>
        <v/>
      </c>
      <c r="CO39" s="27" t="str">
        <f>VLOOKUP($A39,'[1]Raw Data'!$A$3:$FB$285,95,FALSE)</f>
        <v/>
      </c>
      <c r="CP39" s="27" t="str">
        <f>VLOOKUP($A39,'[1]Raw Data'!$A$3:$FB$285,96,FALSE)</f>
        <v/>
      </c>
      <c r="CQ39" s="27" t="str">
        <f>VLOOKUP($A39,'[1]Raw Data'!$A$3:$FB$285,97,FALSE)</f>
        <v/>
      </c>
      <c r="CR39" s="27" t="str">
        <f>VLOOKUP($A39,'[1]Raw Data'!$A$3:$FB$285,98,FALSE)</f>
        <v/>
      </c>
      <c r="CS39" s="27" t="str">
        <f>VLOOKUP($A39,'[1]Raw Data'!$A$3:$FB$285,99,FALSE)</f>
        <v/>
      </c>
      <c r="CT39" s="27" t="str">
        <f>VLOOKUP($A39,'[1]Raw Data'!$A$3:$FB$285,101,FALSE)</f>
        <v>Navaraj K.c</v>
      </c>
      <c r="CU39" s="27" t="s">
        <v>889</v>
      </c>
      <c r="CV39" s="27" t="str">
        <f>VLOOKUP($A39,'[1]Raw Data'!$A$3:$FB$285,102,FALSE)</f>
        <v>Chairman</v>
      </c>
      <c r="CW39" s="27" t="s">
        <v>878</v>
      </c>
      <c r="CX39" s="27">
        <f>VLOOKUP($A39,'[1]Raw Data'!$A$3:$FB$285,103,FALSE)</f>
        <v>9851061684</v>
      </c>
      <c r="CY39" s="27" t="str">
        <f>VLOOKUP($A39,'[1]Raw Data'!$A$3:$FB$285,105,FALSE)</f>
        <v>Nirmala Devi Raika</v>
      </c>
      <c r="CZ39" s="27" t="s">
        <v>890</v>
      </c>
      <c r="DA39" s="27" t="str">
        <f>VLOOKUP($A39,'[1]Raw Data'!$A$3:$FB$285,106,FALSE)</f>
        <v>Deputy Chairman</v>
      </c>
      <c r="DB39" s="27" t="s">
        <v>879</v>
      </c>
      <c r="DC39" s="27">
        <f>VLOOKUP($A39,'[1]Raw Data'!$A$3:$FB$285,107,FALSE)</f>
        <v>9860131878</v>
      </c>
      <c r="DD39" s="27" t="str">
        <f>VLOOKUP($A39,'[1]Raw Data'!$A$3:$FB$285,109,FALSE)</f>
        <v xml:space="preserve">Tulashi Ram Vagat </v>
      </c>
      <c r="DE39" s="27" t="s">
        <v>891</v>
      </c>
      <c r="DF39" s="27" t="str">
        <f>VLOOKUP($A39,'[1]Raw Data'!$A$3:$FB$285,110,FALSE)</f>
        <v>Chief Adminstration Officer</v>
      </c>
      <c r="DG39" s="27" t="s">
        <v>880</v>
      </c>
      <c r="DH39" s="27">
        <f>VLOOKUP($A39,'[1]Raw Data'!$A$3:$FB$285,111,FALSE)</f>
        <v>9753000066</v>
      </c>
      <c r="DI39" s="27" t="str">
        <f>VLOOKUP($A39,'[1]Raw Data'!$A$3:$FB$285,121,FALSE)</f>
        <v>kabindra Bdr Khadka</v>
      </c>
      <c r="DJ39" s="27" t="s">
        <v>892</v>
      </c>
      <c r="DK39" s="27" t="str">
        <f>VLOOKUP($A39,'[1]Raw Data'!$A$3:$FB$285,122,FALSE)</f>
        <v>Focal Person</v>
      </c>
      <c r="DL39" s="27" t="s">
        <v>881</v>
      </c>
      <c r="DM39" s="27">
        <f>VLOOKUP($A39,'[1]Raw Data'!$A$3:$FB$285,123,FALSE)</f>
        <v>9849917974</v>
      </c>
      <c r="DN39" s="27" t="str">
        <f>VLOOKUP($A39,'[1]Raw Data'!$A$3:$FB$285,113,FALSE)</f>
        <v xml:space="preserve">Youbaraj Kharel </v>
      </c>
      <c r="DO39" s="27" t="s">
        <v>893</v>
      </c>
      <c r="DP39" s="27" t="str">
        <f>VLOOKUP($A39,'[1]Raw Data'!$A$3:$FB$285,114,FALSE)</f>
        <v>NRA Chief-District</v>
      </c>
      <c r="DQ39" s="27" t="s">
        <v>882</v>
      </c>
      <c r="DR39" s="27">
        <f>VLOOKUP($A39,'[1]Raw Data'!$A$3:$FB$285,115,FALSE)</f>
        <v>9852841350</v>
      </c>
      <c r="DS39" s="27" t="str">
        <f>VLOOKUP($A39,'[1]Raw Data'!$A$3:$FB$285,117,FALSE)</f>
        <v xml:space="preserve">Pravakar Lal Karn </v>
      </c>
      <c r="DT39" s="27" t="s">
        <v>894</v>
      </c>
      <c r="DU39" s="27" t="str">
        <f>VLOOKUP($A39,'[1]Raw Data'!$A$3:$FB$285,118,FALSE)</f>
        <v>DUDBC.DLPIU Chief</v>
      </c>
      <c r="DV39" s="27" t="s">
        <v>883</v>
      </c>
      <c r="DW39" s="27">
        <f>VLOOKUP($A39,'[1]Raw Data'!$A$3:$FB$285,119,FALSE)</f>
        <v>9841507715</v>
      </c>
      <c r="DX39" s="27" t="s">
        <v>339</v>
      </c>
      <c r="DY39" s="27" t="str">
        <f>VLOOKUP($A39,'[1]Raw Data'!$A$3:$FB$285,124,FALSE)</f>
        <v/>
      </c>
      <c r="DZ39" s="27" t="s">
        <v>884</v>
      </c>
      <c r="EA39" s="27" t="str">
        <f>VLOOKUP($A39,'[1]Raw Data'!$A$3:$FB$285,125,FALSE)</f>
        <v/>
      </c>
      <c r="EB39" s="27" t="s">
        <v>341</v>
      </c>
      <c r="EC39" s="27" t="str">
        <f>VLOOKUP($A39,'[1]Raw Data'!$A$3:$FB$285,126,FALSE)</f>
        <v/>
      </c>
      <c r="ED39" t="s">
        <v>478</v>
      </c>
      <c r="EE39" s="27" t="str">
        <f>VLOOKUP($A39,'[1]Raw Data'!$A$3:$FB$285,127,FALSE)</f>
        <v/>
      </c>
      <c r="EF39" s="27" t="s">
        <v>343</v>
      </c>
      <c r="EG39" s="27" t="str">
        <f>VLOOKUP($A39,'[1]Raw Data'!$A$3:$FB$285,128,FALSE)</f>
        <v/>
      </c>
      <c r="EH39" t="s">
        <v>344</v>
      </c>
      <c r="EI39" s="27" t="str">
        <f>VLOOKUP($A39,'[1]Raw Data'!$A$3:$FB$285,129,FALSE)</f>
        <v/>
      </c>
      <c r="EM39" s="27">
        <f>VLOOKUP($A39,'[1]Raw Data'!$A$3:$FB$285,130,FALSE)</f>
        <v>6</v>
      </c>
      <c r="EN39" s="27" t="str">
        <f>VLOOKUP($A39,'[1]Raw Data'!$A$3:$FB$285,131,FALSE)</f>
        <v>10</v>
      </c>
      <c r="EO39" s="27">
        <f>VLOOKUP($A39,'[1]Raw Data'!$A$3:$FB$285,132,FALSE)</f>
        <v>6</v>
      </c>
      <c r="EP39" s="27" t="str">
        <f>VLOOKUP($A39,'[1]Raw Data'!$A$3:$FB$285,133,FALSE)</f>
        <v>20</v>
      </c>
      <c r="EQ39" s="27">
        <f>VLOOKUP($A39,'[1]Raw Data'!$A$3:$FB$285,134,FALSE)</f>
        <v>6</v>
      </c>
      <c r="ER39" s="27" t="str">
        <f>VLOOKUP($A39,'[1]Raw Data'!$A$3:$FB$285,135,FALSE)</f>
        <v>12</v>
      </c>
      <c r="ES39" s="27" t="str">
        <f>VLOOKUP($A39,'[1]Raw Data'!$A$3:$FB$285,136,FALSE)</f>
        <v>107</v>
      </c>
      <c r="ET39" s="27" t="str">
        <f>VLOOKUP($A39,'[1]Raw Data'!$A$3:$FB$285,137,FALSE)</f>
        <v>50</v>
      </c>
      <c r="EU39" s="27" t="str">
        <f>VLOOKUP($A39,'[1]Raw Data'!$A$3:$FB$285,138,FALSE)</f>
        <v>354</v>
      </c>
      <c r="EV39" s="27" t="str">
        <f>VLOOKUP($A39,'[1]Raw Data'!$A$3:$FB$285,139,FALSE)</f>
        <v>50</v>
      </c>
      <c r="EW39" s="38">
        <f>VLOOKUP($A39,[1]Training!$A$2:$I$284,5,FALSE)</f>
        <v>257</v>
      </c>
      <c r="EX39" s="31">
        <f>VLOOKUP($A39,[1]Training!$A$2:$I$284,6,FALSE)</f>
        <v>126</v>
      </c>
      <c r="EY39" s="38">
        <f>VLOOKUP($A39,[1]Training!$A$2:$I$284,8,FALSE)</f>
        <v>395.04800643238895</v>
      </c>
      <c r="EZ39" s="31">
        <f>VLOOKUP($A39,[1]Training!$A$2:$I$284,9,FALSE)</f>
        <v>358</v>
      </c>
      <c r="FA39" s="27">
        <v>1</v>
      </c>
      <c r="FB39" s="27">
        <v>2</v>
      </c>
      <c r="FC39" s="27" t="str">
        <f>VLOOKUP($A39,'[1]Raw Data'!$A$3:$FB$285,148,FALSE)</f>
        <v>Prakash Basnet</v>
      </c>
      <c r="FD39" s="27" t="s">
        <v>895</v>
      </c>
      <c r="FE39" s="27" t="str">
        <f>VLOOKUP($A39,'[1]Raw Data'!$A$3:$FB$285,149,FALSE)</f>
        <v>District Coordinator</v>
      </c>
      <c r="FF39" s="27" t="s">
        <v>885</v>
      </c>
      <c r="FG39" s="27">
        <f>VLOOKUP($A39,'[1]Raw Data'!$A$3:$FB$285,150,FALSE)</f>
        <v>9851154315</v>
      </c>
      <c r="FH39" s="27" t="str">
        <f>VLOOKUP($A39,'[1]Raw Data'!$A$3:$FB$285,156,FALSE)</f>
        <v xml:space="preserve">Sagar Chandra Adhikari </v>
      </c>
      <c r="FI39" s="27" t="s">
        <v>896</v>
      </c>
      <c r="FJ39" s="27" t="str">
        <f>VLOOKUP($A39,'[1]Raw Data'!$A$3:$FB$285,157,FALSE)</f>
        <v>District Technical Officer</v>
      </c>
      <c r="FK39" s="27" t="s">
        <v>886</v>
      </c>
      <c r="FL39" s="27">
        <f>VLOOKUP($A39,'[1]Raw Data'!$A$3:$FB$285,158,FALSE)</f>
        <v>9860022103</v>
      </c>
      <c r="FM39" s="27" t="str">
        <f>VLOOKUP($A39,'[1]Raw Data'!$A$3:$FB$285,152,FALSE)</f>
        <v>Uttam Parajuli</v>
      </c>
      <c r="FN39" s="27" t="s">
        <v>897</v>
      </c>
      <c r="FO39" s="27" t="str">
        <f>VLOOKUP($A39,'[1]Raw Data'!$A$3:$FB$285,153,FALSE)</f>
        <v>DIstrict Information Management Officer</v>
      </c>
      <c r="FP39" s="27" t="s">
        <v>887</v>
      </c>
      <c r="FQ39" s="27">
        <f>VLOOKUP($A39,'[1]Raw Data'!$A$3:$FB$285,154,FALSE)</f>
        <v>9849101335</v>
      </c>
    </row>
    <row r="40" spans="1:173" ht="24" x14ac:dyDescent="0.45">
      <c r="A40" s="27">
        <v>12002</v>
      </c>
      <c r="B40" s="36" t="str">
        <f ca="1">IFERROR(__xludf.DUMMYFUNCTION("""COMPUTED_VALUE"""),"Chisankhugadhi Gaunpalika")</f>
        <v>Chisankhugadhi Gaunpalika</v>
      </c>
      <c r="C40" s="37" t="str">
        <f>VLOOKUP(A40,'[1]Palika and District in Nepali '!$D$1:$F$283,3,FALSE)</f>
        <v>चिसांखुगढी गाउँपालिका</v>
      </c>
      <c r="D40" s="36" t="str">
        <f ca="1">IFERROR(__xludf.DUMMYFUNCTION("""COMPUTED_VALUE"""),"Okhaldhunga")</f>
        <v>Okhaldhunga</v>
      </c>
      <c r="E40" s="36"/>
      <c r="F40" s="27">
        <f>VLOOKUP(A40,'[1]Raw Data'!$A$3:$FB$285,4,FALSE)</f>
        <v>2432</v>
      </c>
      <c r="G40" s="27">
        <f>VLOOKUP(A40,'[1]Raw Data'!$A$3:$FB$285,5,FALSE)</f>
        <v>1276</v>
      </c>
      <c r="H40" s="27">
        <f>VLOOKUP(A40,'[1]Raw Data'!$A$3:$FB$285,6,FALSE)</f>
        <v>3708</v>
      </c>
      <c r="I40" s="27">
        <f>VLOOKUP($A40,'[1]Raw Data'!$A$3:$FB$285,8,FALSE)</f>
        <v>0.05</v>
      </c>
      <c r="J40" s="27">
        <f>VLOOKUP($A40,'[1]Raw Data'!$A$3:$FB$285,9,FALSE)</f>
        <v>0.38</v>
      </c>
      <c r="K40" s="27">
        <f>VLOOKUP($A40,'[1]Raw Data'!$A$3:$FB$285,11,FALSE)</f>
        <v>89.08</v>
      </c>
      <c r="L40" s="27">
        <f>VLOOKUP($A40,'[1]Raw Data'!$A$3:$FB$285,12,FALSE)</f>
        <v>92.87</v>
      </c>
      <c r="M40" s="27">
        <f>VLOOKUP($A40,'[1]Raw Data'!$A$3:$FB$285,14,FALSE)</f>
        <v>0</v>
      </c>
      <c r="N40" s="27">
        <f>VLOOKUP($A40,'[1]Raw Data'!$A$3:$FB$285,15,FALSE)</f>
        <v>0.34</v>
      </c>
      <c r="O40" s="27">
        <f>VLOOKUP($A40,'[1]Raw Data'!$A$3:$FB$285,17,FALSE)</f>
        <v>0</v>
      </c>
      <c r="P40" s="27">
        <f>VLOOKUP($A40,'[1]Raw Data'!$A$3:$FB$285,18,FALSE)</f>
        <v>0.02</v>
      </c>
      <c r="Q40" s="27">
        <f>VLOOKUP($A40,'[1]Raw Data'!$A$3:$FB$285,20,FALSE)</f>
        <v>0</v>
      </c>
      <c r="R40" s="27">
        <f>VLOOKUP($A40,'[1]Raw Data'!$A$3:$FB$285,21,FALSE)</f>
        <v>0.13</v>
      </c>
      <c r="S40" s="27">
        <f>VLOOKUP($A40,'[1]Raw Data'!$A$3:$FB$285,23,FALSE)</f>
        <v>0</v>
      </c>
      <c r="T40" s="27">
        <f>VLOOKUP($A40,'[1]Raw Data'!$A$3:$FB$285,24,FALSE)</f>
        <v>0</v>
      </c>
      <c r="U40" s="27">
        <f>VLOOKUP($A40,'[1]Raw Data'!$A$3:$FB$285,26,FALSE)</f>
        <v>1.1599999999999999</v>
      </c>
      <c r="V40" s="27">
        <f>VLOOKUP($A40,'[1]Raw Data'!$A$3:$FB$285,27,FALSE)</f>
        <v>1.06</v>
      </c>
      <c r="W40" s="27">
        <f>VLOOKUP($A40,'[1]Raw Data'!$A$3:$FB$285,29,FALSE)</f>
        <v>0</v>
      </c>
      <c r="X40" s="27">
        <f>VLOOKUP($A40,'[1]Raw Data'!$A$3:$FB$285,30,FALSE)</f>
        <v>0</v>
      </c>
      <c r="Y40" s="27">
        <f>VLOOKUP($A40,'[1]Raw Data'!$A$3:$FB$285,32,FALSE)</f>
        <v>0.16</v>
      </c>
      <c r="Z40" s="27">
        <f>VLOOKUP($A40,'[1]Raw Data'!$A$3:$FB$285,33,FALSE)</f>
        <v>0.12</v>
      </c>
      <c r="AA40" s="27">
        <f>VLOOKUP($A40,'[1]Raw Data'!$A$3:$FB$285,35,FALSE)</f>
        <v>8.6999999999999993</v>
      </c>
      <c r="AB40" s="27">
        <f>VLOOKUP($A40,'[1]Raw Data'!$A$3:$FB$285,36,FALSE)</f>
        <v>4.33</v>
      </c>
      <c r="AC40" s="27">
        <f>VLOOKUP($A40,'[1]Raw Data'!$A$3:$FB$285,38,FALSE)</f>
        <v>0.84</v>
      </c>
      <c r="AD40" s="27">
        <f>VLOOKUP($A40,'[1]Raw Data'!$A$3:$FB$285,39,FALSE)</f>
        <v>0.73</v>
      </c>
      <c r="AE40" s="27">
        <f>VLOOKUP($A40,'[1]Raw Data'!$A$3:$FB$285,41,FALSE)</f>
        <v>0</v>
      </c>
      <c r="AF40" s="27">
        <f>VLOOKUP($A40,'[1]Raw Data'!$A$3:$FB$285,42,FALSE)</f>
        <v>0</v>
      </c>
      <c r="AG40" s="27">
        <f>VLOOKUP($A40,'[1]Raw Data'!$A$3:$FB$285,44,FALSE)</f>
        <v>0</v>
      </c>
      <c r="AH40" s="27">
        <f>VLOOKUP($A40,'[1]Raw Data'!$A$3:$FB$285,45,FALSE)</f>
        <v>0</v>
      </c>
      <c r="AI40" s="27">
        <f>VLOOKUP($A40,'[1]Raw Data'!$A$3:$FB$285,46,FALSE)</f>
        <v>1063</v>
      </c>
      <c r="AJ40" s="27">
        <f>VLOOKUP($A40,'[1]Raw Data'!$A$3:$FB$285,47,FALSE)</f>
        <v>982</v>
      </c>
      <c r="AK40" s="27">
        <f>VLOOKUP($A40,'[1]Raw Data'!$A$3:$FB$285,48,FALSE)</f>
        <v>982</v>
      </c>
      <c r="AL40" s="27">
        <f>VLOOKUP($A40,'[1]Raw Data'!$A$3:$FB$285,49,FALSE)</f>
        <v>855</v>
      </c>
      <c r="AM40" s="27">
        <f>VLOOKUP($A40,'[1]Raw Data'!$A$3:$FB$285,50,FALSE)</f>
        <v>775</v>
      </c>
      <c r="AN40" s="27">
        <f>VLOOKUP($A40,'[1]Raw Data'!$A$3:$FB$285,51,FALSE)</f>
        <v>855</v>
      </c>
      <c r="AO40" s="27">
        <f>VLOOKUP($A40,'[1]Raw Data'!$A$3:$FB$285,52,FALSE)</f>
        <v>755</v>
      </c>
      <c r="AP40" s="27">
        <f>VLOOKUP($A40,'[1]Raw Data'!$A$3:$FB$285,53,FALSE)</f>
        <v>228</v>
      </c>
      <c r="AQ40" s="27">
        <f>VLOOKUP($A40,'[1]Raw Data'!$A$3:$FB$285,54,FALSE)</f>
        <v>151</v>
      </c>
      <c r="AR40" s="27">
        <f>VLOOKUP($A40,'[1]Raw Data'!$A$3:$FB$285,55,FALSE)</f>
        <v>151</v>
      </c>
      <c r="AS40" s="27">
        <f>VLOOKUP($A40,'[1]Raw Data'!$A$3:$FB$285,56,FALSE)</f>
        <v>0</v>
      </c>
      <c r="AT40" s="27">
        <f>VLOOKUP($A40,'[1]Raw Data'!$A$3:$FB$285,57,FALSE)</f>
        <v>0</v>
      </c>
      <c r="AU40" s="27">
        <f>VLOOKUP($A40,'[1]Raw Data'!$A$3:$FB$285,58,FALSE)</f>
        <v>0</v>
      </c>
      <c r="AV40" s="27" t="str">
        <f>VLOOKUP($A40,'[1]Raw Data'!$A$3:$FB$285,59,FALSE)</f>
        <v/>
      </c>
      <c r="AW40" s="27" t="str">
        <f>VLOOKUP($A40,'[1]Raw Data'!$A$3:$FB$285,60,FALSE)</f>
        <v/>
      </c>
      <c r="AX40" s="27" t="str">
        <f>VLOOKUP(A40,'[1]PO''s List'!A38:E320,4,FALSE)</f>
        <v>NRCS(Health)</v>
      </c>
      <c r="AZ40" s="27" t="str">
        <f>VLOOKUP(A40,'[1]PO''s List'!$A$3:$E$285,5,FALSE)</f>
        <v>HELVETAS(Shelter),NRA(Shelter)</v>
      </c>
      <c r="BB40" s="27">
        <f>VLOOKUP($A40,'[1]Raw Data'!$A$3:$FB$285,63,FALSE)</f>
        <v>18848</v>
      </c>
      <c r="BC40" s="27" t="str">
        <f>VLOOKUP($A40,'[1]Raw Data'!$A$3:$FB$285,64,FALSE)</f>
        <v>Y</v>
      </c>
      <c r="BD40" s="27" t="str">
        <f t="shared" si="0"/>
        <v>छ</v>
      </c>
      <c r="BE40" s="27">
        <f>VLOOKUP($A40,'[1]Raw Data'!$A$3:$FB$285,65,FALSE)</f>
        <v>7500</v>
      </c>
      <c r="BF40" s="27">
        <f>VLOOKUP($A40,'[1]Raw Data'!$A$3:$FB$285,66,FALSE)</f>
        <v>19721</v>
      </c>
      <c r="BG40" s="27" t="str">
        <f>VLOOKUP($A40,'[1]Raw Data'!$A$3:$FB$285,67,FALSE)</f>
        <v>Y</v>
      </c>
      <c r="BH40" s="27" t="str">
        <f t="shared" si="1"/>
        <v>छ</v>
      </c>
      <c r="BI40" s="27" t="str">
        <f>VLOOKUP($A40,'[1]Raw Data'!$A$3:$FB$285,68,FALSE)</f>
        <v/>
      </c>
      <c r="BJ40" s="27">
        <f>VLOOKUP($A40,'[1]Raw Data'!$A$3:$FB$285,69,FALSE)</f>
        <v>2016</v>
      </c>
      <c r="BK40" s="27" t="str">
        <f>VLOOKUP($A40,'[1]Raw Data'!$A$3:$FB$285,70,FALSE)</f>
        <v/>
      </c>
      <c r="BL40" s="27" t="str">
        <f t="shared" si="2"/>
        <v/>
      </c>
      <c r="BM40" s="27" t="str">
        <f>VLOOKUP($A40,'[1]Raw Data'!$A$3:$FB$285,71,FALSE)</f>
        <v/>
      </c>
      <c r="BN40" s="27">
        <f>VLOOKUP($A40,'[1]Raw Data'!$A$3:$FB$285,72,FALSE)</f>
        <v>2339</v>
      </c>
      <c r="BO40" s="27" t="str">
        <f>VLOOKUP($A40,'[1]Raw Data'!$A$3:$FB$285,73,FALSE)</f>
        <v/>
      </c>
      <c r="BP40" s="27" t="str">
        <f t="shared" si="3"/>
        <v/>
      </c>
      <c r="BQ40" s="27" t="str">
        <f>VLOOKUP($A40,'[1]Raw Data'!$A$3:$FB$285,74,FALSE)</f>
        <v>1600</v>
      </c>
      <c r="BR40" s="27" t="str">
        <f>VLOOKUP($A40,'[1]Raw Data'!$A$3:$FB$285,75,FALSE)</f>
        <v/>
      </c>
      <c r="BS40" s="27" t="str">
        <f>VLOOKUP($A40,'[1]Raw Data'!$A$3:$FB$285,76,FALSE)</f>
        <v>Y</v>
      </c>
      <c r="BT40" s="27" t="str">
        <f t="shared" si="4"/>
        <v>छ</v>
      </c>
      <c r="BU40" s="27">
        <f>VLOOKUP($A40,'[1]Raw Data'!$A$3:$FB$285,77,FALSE)</f>
        <v>1150</v>
      </c>
      <c r="BV40" s="27">
        <f>VLOOKUP($A40,'[1]Raw Data'!$A$3:$FB$285,78,FALSE)</f>
        <v>65140</v>
      </c>
      <c r="BW40" s="27" t="str">
        <f>VLOOKUP($A40,'[1]Raw Data'!$A$3:$FB$285,79,FALSE)</f>
        <v>Y</v>
      </c>
      <c r="BX40" s="27" t="str">
        <f t="shared" si="5"/>
        <v>छ</v>
      </c>
      <c r="BY40" s="27">
        <f>VLOOKUP($A40,'[1]Raw Data'!$A$3:$FB$285,80,FALSE)</f>
        <v>1230</v>
      </c>
      <c r="BZ40" s="27">
        <f>VLOOKUP($A40,'[1]Raw Data'!$A$3:$FB$285,81,FALSE)</f>
        <v>203546</v>
      </c>
      <c r="CA40" s="27" t="str">
        <f>VLOOKUP($A40,'[1]Raw Data'!$A$3:$FB$285,82,FALSE)</f>
        <v/>
      </c>
      <c r="CB40" s="27" t="str">
        <f t="shared" si="6"/>
        <v/>
      </c>
      <c r="CC40" s="27">
        <f>VLOOKUP($A40,'[1]Raw Data'!$A$3:$FB$285,83,FALSE)</f>
        <v>105</v>
      </c>
      <c r="CD40" s="27">
        <f>VLOOKUP($A40,'[1]Raw Data'!$A$3:$FB$285,84,FALSE)</f>
        <v>2662</v>
      </c>
      <c r="CE40" s="27" t="str">
        <f>VLOOKUP($A40,'[1]Raw Data'!$A$3:$FB$285,85,FALSE)</f>
        <v/>
      </c>
      <c r="CF40" s="27" t="str">
        <f t="shared" si="7"/>
        <v/>
      </c>
      <c r="CG40" s="27" t="str">
        <f>VLOOKUP($A40,'[1]Raw Data'!$A$3:$FB$285,86,FALSE)</f>
        <v>12000</v>
      </c>
      <c r="CH40" s="27">
        <f>VLOOKUP($A40,'[1]Raw Data'!$A$3:$FB$285,87,FALSE)</f>
        <v>136251</v>
      </c>
      <c r="CI40" s="27" t="str">
        <f>VLOOKUP($A40,'[1]Raw Data'!$A$3:$FB$285,88,FALSE)</f>
        <v/>
      </c>
      <c r="CJ40" s="27" t="str">
        <f t="shared" si="8"/>
        <v/>
      </c>
      <c r="CK40" s="27">
        <f>VLOOKUP($A40,'[1]Raw Data'!$A$3:$FB$285,89,FALSE)</f>
        <v>26</v>
      </c>
      <c r="CL40" s="27">
        <f>VLOOKUP($A40,'[1]Raw Data'!$A$3:$FB$285,91,FALSE)</f>
        <v>1200</v>
      </c>
      <c r="CM40" s="27">
        <f>VLOOKUP($A40,'[1]Raw Data'!$A$3:$FB$285,93,FALSE)</f>
        <v>1000</v>
      </c>
      <c r="CN40" s="27" t="str">
        <f>VLOOKUP($A40,'[1]Raw Data'!$A$3:$FB$285,94,FALSE)</f>
        <v/>
      </c>
      <c r="CO40" s="27" t="str">
        <f>VLOOKUP($A40,'[1]Raw Data'!$A$3:$FB$285,95,FALSE)</f>
        <v/>
      </c>
      <c r="CP40" s="27" t="str">
        <f>VLOOKUP($A40,'[1]Raw Data'!$A$3:$FB$285,96,FALSE)</f>
        <v/>
      </c>
      <c r="CQ40" s="27" t="str">
        <f>VLOOKUP($A40,'[1]Raw Data'!$A$3:$FB$285,97,FALSE)</f>
        <v/>
      </c>
      <c r="CR40" s="27" t="str">
        <f>VLOOKUP($A40,'[1]Raw Data'!$A$3:$FB$285,98,FALSE)</f>
        <v/>
      </c>
      <c r="CS40" s="27" t="str">
        <f>VLOOKUP($A40,'[1]Raw Data'!$A$3:$FB$285,99,FALSE)</f>
        <v/>
      </c>
      <c r="CT40" s="27" t="str">
        <f>VLOOKUP($A40,'[1]Raw Data'!$A$3:$FB$285,101,FALSE)</f>
        <v>Nisant Sherma</v>
      </c>
      <c r="CU40" s="27" t="s">
        <v>898</v>
      </c>
      <c r="CV40" s="27" t="str">
        <f>VLOOKUP($A40,'[1]Raw Data'!$A$3:$FB$285,102,FALSE)</f>
        <v>Chairman</v>
      </c>
      <c r="CW40" s="27" t="s">
        <v>878</v>
      </c>
      <c r="CX40" s="27">
        <f>VLOOKUP($A40,'[1]Raw Data'!$A$3:$FB$285,103,FALSE)</f>
        <v>9852840055</v>
      </c>
      <c r="CY40" s="27" t="str">
        <f>VLOOKUP($A40,'[1]Raw Data'!$A$3:$FB$285,105,FALSE)</f>
        <v>Susma Rai</v>
      </c>
      <c r="CZ40" s="27" t="s">
        <v>899</v>
      </c>
      <c r="DA40" s="27" t="str">
        <f>VLOOKUP($A40,'[1]Raw Data'!$A$3:$FB$285,106,FALSE)</f>
        <v>Deputy Chairman</v>
      </c>
      <c r="DB40" s="27" t="s">
        <v>879</v>
      </c>
      <c r="DC40" s="27">
        <f>VLOOKUP($A40,'[1]Raw Data'!$A$3:$FB$285,107,FALSE)</f>
        <v>9861185398</v>
      </c>
      <c r="DD40" s="27" t="str">
        <f>VLOOKUP($A40,'[1]Raw Data'!$A$3:$FB$285,109,FALSE)</f>
        <v xml:space="preserve">Subas Paudel </v>
      </c>
      <c r="DE40" s="27" t="s">
        <v>900</v>
      </c>
      <c r="DF40" s="27" t="str">
        <f>VLOOKUP($A40,'[1]Raw Data'!$A$3:$FB$285,110,FALSE)</f>
        <v>Chief Adminstration Officer</v>
      </c>
      <c r="DG40" s="27" t="s">
        <v>880</v>
      </c>
      <c r="DH40" s="27">
        <f>VLOOKUP($A40,'[1]Raw Data'!$A$3:$FB$285,111,FALSE)</f>
        <v>9849807113</v>
      </c>
      <c r="DI40" s="27" t="str">
        <f>VLOOKUP($A40,'[1]Raw Data'!$A$3:$FB$285,121,FALSE)</f>
        <v>Kasindra Yadav</v>
      </c>
      <c r="DJ40" s="27" t="s">
        <v>901</v>
      </c>
      <c r="DK40" s="27" t="str">
        <f>VLOOKUP($A40,'[1]Raw Data'!$A$3:$FB$285,122,FALSE)</f>
        <v>Focal Person</v>
      </c>
      <c r="DL40" s="27" t="s">
        <v>881</v>
      </c>
      <c r="DM40" s="27">
        <f>VLOOKUP($A40,'[1]Raw Data'!$A$3:$FB$285,123,FALSE)</f>
        <v>9860300612</v>
      </c>
      <c r="DN40" s="27" t="str">
        <f>VLOOKUP($A40,'[1]Raw Data'!$A$3:$FB$285,113,FALSE)</f>
        <v xml:space="preserve">Youbaraj Kharel </v>
      </c>
      <c r="DO40" s="27" t="s">
        <v>893</v>
      </c>
      <c r="DP40" s="27" t="str">
        <f>VLOOKUP($A40,'[1]Raw Data'!$A$3:$FB$285,114,FALSE)</f>
        <v>NRA Chief-District</v>
      </c>
      <c r="DQ40" s="27" t="s">
        <v>882</v>
      </c>
      <c r="DR40" s="27">
        <f>VLOOKUP($A40,'[1]Raw Data'!$A$3:$FB$285,115,FALSE)</f>
        <v>9852841350</v>
      </c>
      <c r="DS40" s="27" t="str">
        <f>VLOOKUP($A40,'[1]Raw Data'!$A$3:$FB$285,117,FALSE)</f>
        <v xml:space="preserve">Pravakar Lal Karn </v>
      </c>
      <c r="DT40" s="27" t="s">
        <v>894</v>
      </c>
      <c r="DU40" s="27" t="str">
        <f>VLOOKUP($A40,'[1]Raw Data'!$A$3:$FB$285,118,FALSE)</f>
        <v>DUDBC.DLPIU Chief</v>
      </c>
      <c r="DV40" s="27" t="s">
        <v>883</v>
      </c>
      <c r="DW40" s="27">
        <f>VLOOKUP($A40,'[1]Raw Data'!$A$3:$FB$285,119,FALSE)</f>
        <v>9841507715</v>
      </c>
      <c r="DX40" s="27" t="s">
        <v>339</v>
      </c>
      <c r="DY40" s="27" t="str">
        <f>VLOOKUP($A40,'[1]Raw Data'!$A$3:$FB$285,124,FALSE)</f>
        <v/>
      </c>
      <c r="DZ40" s="27" t="s">
        <v>884</v>
      </c>
      <c r="EA40" s="27" t="str">
        <f>VLOOKUP($A40,'[1]Raw Data'!$A$3:$FB$285,125,FALSE)</f>
        <v/>
      </c>
      <c r="EB40" s="27" t="s">
        <v>341</v>
      </c>
      <c r="EC40" s="27" t="str">
        <f>VLOOKUP($A40,'[1]Raw Data'!$A$3:$FB$285,126,FALSE)</f>
        <v/>
      </c>
      <c r="ED40" t="s">
        <v>478</v>
      </c>
      <c r="EE40" s="27" t="str">
        <f>VLOOKUP($A40,'[1]Raw Data'!$A$3:$FB$285,127,FALSE)</f>
        <v/>
      </c>
      <c r="EF40" s="27" t="s">
        <v>343</v>
      </c>
      <c r="EG40" s="27" t="str">
        <f>VLOOKUP($A40,'[1]Raw Data'!$A$3:$FB$285,128,FALSE)</f>
        <v/>
      </c>
      <c r="EH40" t="s">
        <v>344</v>
      </c>
      <c r="EI40" s="27" t="str">
        <f>VLOOKUP($A40,'[1]Raw Data'!$A$3:$FB$285,129,FALSE)</f>
        <v/>
      </c>
      <c r="EM40" s="27" t="str">
        <f>VLOOKUP($A40,'[1]Raw Data'!$A$3:$FB$285,130,FALSE)</f>
        <v/>
      </c>
      <c r="EN40" s="27" t="str">
        <f>VLOOKUP($A40,'[1]Raw Data'!$A$3:$FB$285,131,FALSE)</f>
        <v/>
      </c>
      <c r="EO40" s="27" t="str">
        <f>VLOOKUP($A40,'[1]Raw Data'!$A$3:$FB$285,132,FALSE)</f>
        <v/>
      </c>
      <c r="EP40" s="27" t="str">
        <f>VLOOKUP($A40,'[1]Raw Data'!$A$3:$FB$285,133,FALSE)</f>
        <v/>
      </c>
      <c r="EQ40" s="27" t="str">
        <f>VLOOKUP($A40,'[1]Raw Data'!$A$3:$FB$285,134,FALSE)</f>
        <v/>
      </c>
      <c r="ER40" s="27" t="str">
        <f>VLOOKUP($A40,'[1]Raw Data'!$A$3:$FB$285,135,FALSE)</f>
        <v/>
      </c>
      <c r="ES40" s="27" t="str">
        <f>VLOOKUP($A40,'[1]Raw Data'!$A$3:$FB$285,136,FALSE)</f>
        <v/>
      </c>
      <c r="ET40" s="27" t="str">
        <f>VLOOKUP($A40,'[1]Raw Data'!$A$3:$FB$285,137,FALSE)</f>
        <v/>
      </c>
      <c r="EU40" s="27" t="str">
        <f>VLOOKUP($A40,'[1]Raw Data'!$A$3:$FB$285,138,FALSE)</f>
        <v/>
      </c>
      <c r="EV40" s="27" t="str">
        <f>VLOOKUP($A40,'[1]Raw Data'!$A$3:$FB$285,139,FALSE)</f>
        <v/>
      </c>
      <c r="EW40" s="38">
        <f>VLOOKUP($A40,[1]Training!$A$2:$I$284,5,FALSE)</f>
        <v>81.769230769230774</v>
      </c>
      <c r="EX40" s="31">
        <f>VLOOKUP($A40,[1]Training!$A$2:$I$284,6,FALSE)</f>
        <v>43</v>
      </c>
      <c r="EY40" s="38">
        <f>VLOOKUP($A40,[1]Training!$A$2:$I$284,8,FALSE)</f>
        <v>125.69171829920067</v>
      </c>
      <c r="EZ40" s="31">
        <f>VLOOKUP($A40,[1]Training!$A$2:$I$284,9,FALSE)</f>
        <v>77</v>
      </c>
      <c r="FA40" s="27">
        <v>1</v>
      </c>
      <c r="FB40" s="27">
        <v>2</v>
      </c>
      <c r="FC40" s="27" t="str">
        <f>VLOOKUP($A40,'[1]Raw Data'!$A$3:$FB$285,148,FALSE)</f>
        <v>Prakash Basnet</v>
      </c>
      <c r="FD40" s="27" t="s">
        <v>895</v>
      </c>
      <c r="FE40" s="27" t="str">
        <f>VLOOKUP($A40,'[1]Raw Data'!$A$3:$FB$285,149,FALSE)</f>
        <v>District Coordinator</v>
      </c>
      <c r="FF40" s="27" t="s">
        <v>885</v>
      </c>
      <c r="FG40" s="27">
        <f>VLOOKUP($A40,'[1]Raw Data'!$A$3:$FB$285,150,FALSE)</f>
        <v>9851154315</v>
      </c>
      <c r="FH40" s="27" t="str">
        <f>VLOOKUP($A40,'[1]Raw Data'!$A$3:$FB$285,156,FALSE)</f>
        <v xml:space="preserve">Sagar Chandra Adhikari </v>
      </c>
      <c r="FI40" s="27" t="s">
        <v>896</v>
      </c>
      <c r="FJ40" s="27" t="str">
        <f>VLOOKUP($A40,'[1]Raw Data'!$A$3:$FB$285,157,FALSE)</f>
        <v>District Technical Officer</v>
      </c>
      <c r="FK40" s="27" t="s">
        <v>886</v>
      </c>
      <c r="FL40" s="27">
        <f>VLOOKUP($A40,'[1]Raw Data'!$A$3:$FB$285,158,FALSE)</f>
        <v>9860022103</v>
      </c>
      <c r="FM40" s="27" t="str">
        <f>VLOOKUP($A40,'[1]Raw Data'!$A$3:$FB$285,152,FALSE)</f>
        <v>Uttam Parajuli</v>
      </c>
      <c r="FN40" s="27" t="s">
        <v>897</v>
      </c>
      <c r="FO40" s="27" t="str">
        <f>VLOOKUP($A40,'[1]Raw Data'!$A$3:$FB$285,153,FALSE)</f>
        <v>DIstrict Information Management Officer</v>
      </c>
      <c r="FP40" s="27" t="s">
        <v>887</v>
      </c>
      <c r="FQ40" s="27">
        <f>VLOOKUP($A40,'[1]Raw Data'!$A$3:$FB$285,154,FALSE)</f>
        <v>9849101335</v>
      </c>
    </row>
    <row r="41" spans="1:173" ht="24" x14ac:dyDescent="0.45">
      <c r="A41" s="27">
        <v>12003</v>
      </c>
      <c r="B41" s="36" t="str">
        <f ca="1">IFERROR(__xludf.DUMMYFUNCTION("""COMPUTED_VALUE"""),"Khijidemba Gaunpalika")</f>
        <v>Khijidemba Gaunpalika</v>
      </c>
      <c r="C41" s="37" t="str">
        <f>VLOOKUP(A41,'[1]Palika and District in Nepali '!$D$1:$F$283,3,FALSE)</f>
        <v>खिजिदेम्बा गाउँपालिका</v>
      </c>
      <c r="D41" s="36" t="str">
        <f ca="1">IFERROR(__xludf.DUMMYFUNCTION("""COMPUTED_VALUE"""),"Okhaldhunga")</f>
        <v>Okhaldhunga</v>
      </c>
      <c r="E41" s="36"/>
      <c r="F41" s="27">
        <f>VLOOKUP(A41,'[1]Raw Data'!$A$3:$FB$285,4,FALSE)</f>
        <v>798</v>
      </c>
      <c r="G41" s="27">
        <f>VLOOKUP(A41,'[1]Raw Data'!$A$3:$FB$285,5,FALSE)</f>
        <v>3167</v>
      </c>
      <c r="H41" s="27">
        <f>VLOOKUP(A41,'[1]Raw Data'!$A$3:$FB$285,6,FALSE)</f>
        <v>3965</v>
      </c>
      <c r="I41" s="27">
        <f>VLOOKUP($A41,'[1]Raw Data'!$A$3:$FB$285,8,FALSE)</f>
        <v>0</v>
      </c>
      <c r="J41" s="27">
        <f>VLOOKUP($A41,'[1]Raw Data'!$A$3:$FB$285,9,FALSE)</f>
        <v>0.38</v>
      </c>
      <c r="K41" s="27">
        <f>VLOOKUP($A41,'[1]Raw Data'!$A$3:$FB$285,11,FALSE)</f>
        <v>97.96</v>
      </c>
      <c r="L41" s="27">
        <f>VLOOKUP($A41,'[1]Raw Data'!$A$3:$FB$285,12,FALSE)</f>
        <v>92.87</v>
      </c>
      <c r="M41" s="27">
        <f>VLOOKUP($A41,'[1]Raw Data'!$A$3:$FB$285,14,FALSE)</f>
        <v>0</v>
      </c>
      <c r="N41" s="27">
        <f>VLOOKUP($A41,'[1]Raw Data'!$A$3:$FB$285,15,FALSE)</f>
        <v>0.34</v>
      </c>
      <c r="O41" s="27">
        <f>VLOOKUP($A41,'[1]Raw Data'!$A$3:$FB$285,17,FALSE)</f>
        <v>0</v>
      </c>
      <c r="P41" s="27">
        <f>VLOOKUP($A41,'[1]Raw Data'!$A$3:$FB$285,18,FALSE)</f>
        <v>0.02</v>
      </c>
      <c r="Q41" s="27">
        <f>VLOOKUP($A41,'[1]Raw Data'!$A$3:$FB$285,20,FALSE)</f>
        <v>0</v>
      </c>
      <c r="R41" s="27">
        <f>VLOOKUP($A41,'[1]Raw Data'!$A$3:$FB$285,21,FALSE)</f>
        <v>0.13</v>
      </c>
      <c r="S41" s="27">
        <f>VLOOKUP($A41,'[1]Raw Data'!$A$3:$FB$285,23,FALSE)</f>
        <v>0</v>
      </c>
      <c r="T41" s="27">
        <f>VLOOKUP($A41,'[1]Raw Data'!$A$3:$FB$285,24,FALSE)</f>
        <v>0</v>
      </c>
      <c r="U41" s="27">
        <f>VLOOKUP($A41,'[1]Raw Data'!$A$3:$FB$285,26,FALSE)</f>
        <v>1.61</v>
      </c>
      <c r="V41" s="27">
        <f>VLOOKUP($A41,'[1]Raw Data'!$A$3:$FB$285,27,FALSE)</f>
        <v>1.06</v>
      </c>
      <c r="W41" s="27">
        <f>VLOOKUP($A41,'[1]Raw Data'!$A$3:$FB$285,29,FALSE)</f>
        <v>0</v>
      </c>
      <c r="X41" s="27">
        <f>VLOOKUP($A41,'[1]Raw Data'!$A$3:$FB$285,30,FALSE)</f>
        <v>0</v>
      </c>
      <c r="Y41" s="27">
        <f>VLOOKUP($A41,'[1]Raw Data'!$A$3:$FB$285,32,FALSE)</f>
        <v>0.13</v>
      </c>
      <c r="Z41" s="27">
        <f>VLOOKUP($A41,'[1]Raw Data'!$A$3:$FB$285,33,FALSE)</f>
        <v>0.12</v>
      </c>
      <c r="AA41" s="27">
        <f>VLOOKUP($A41,'[1]Raw Data'!$A$3:$FB$285,35,FALSE)</f>
        <v>0.05</v>
      </c>
      <c r="AB41" s="27">
        <f>VLOOKUP($A41,'[1]Raw Data'!$A$3:$FB$285,36,FALSE)</f>
        <v>4.33</v>
      </c>
      <c r="AC41" s="27">
        <f>VLOOKUP($A41,'[1]Raw Data'!$A$3:$FB$285,38,FALSE)</f>
        <v>0.25</v>
      </c>
      <c r="AD41" s="27">
        <f>VLOOKUP($A41,'[1]Raw Data'!$A$3:$FB$285,39,FALSE)</f>
        <v>0.73</v>
      </c>
      <c r="AE41" s="27">
        <f>VLOOKUP($A41,'[1]Raw Data'!$A$3:$FB$285,41,FALSE)</f>
        <v>0</v>
      </c>
      <c r="AF41" s="27">
        <f>VLOOKUP($A41,'[1]Raw Data'!$A$3:$FB$285,42,FALSE)</f>
        <v>0</v>
      </c>
      <c r="AG41" s="27">
        <f>VLOOKUP($A41,'[1]Raw Data'!$A$3:$FB$285,44,FALSE)</f>
        <v>0</v>
      </c>
      <c r="AH41" s="27">
        <f>VLOOKUP($A41,'[1]Raw Data'!$A$3:$FB$285,45,FALSE)</f>
        <v>0</v>
      </c>
      <c r="AI41" s="27">
        <f>VLOOKUP($A41,'[1]Raw Data'!$A$3:$FB$285,46,FALSE)</f>
        <v>2914</v>
      </c>
      <c r="AJ41" s="27">
        <f>VLOOKUP($A41,'[1]Raw Data'!$A$3:$FB$285,47,FALSE)</f>
        <v>2790</v>
      </c>
      <c r="AK41" s="27">
        <f>VLOOKUP($A41,'[1]Raw Data'!$A$3:$FB$285,48,FALSE)</f>
        <v>2782</v>
      </c>
      <c r="AL41" s="27">
        <f>VLOOKUP($A41,'[1]Raw Data'!$A$3:$FB$285,49,FALSE)</f>
        <v>2611</v>
      </c>
      <c r="AM41" s="27">
        <f>VLOOKUP($A41,'[1]Raw Data'!$A$3:$FB$285,50,FALSE)</f>
        <v>2318</v>
      </c>
      <c r="AN41" s="27">
        <f>VLOOKUP($A41,'[1]Raw Data'!$A$3:$FB$285,51,FALSE)</f>
        <v>2643</v>
      </c>
      <c r="AO41" s="27">
        <f>VLOOKUP($A41,'[1]Raw Data'!$A$3:$FB$285,52,FALSE)</f>
        <v>2318</v>
      </c>
      <c r="AP41" s="27">
        <f>VLOOKUP($A41,'[1]Raw Data'!$A$3:$FB$285,53,FALSE)</f>
        <v>218</v>
      </c>
      <c r="AQ41" s="27">
        <f>VLOOKUP($A41,'[1]Raw Data'!$A$3:$FB$285,54,FALSE)</f>
        <v>196</v>
      </c>
      <c r="AR41" s="27">
        <f>VLOOKUP($A41,'[1]Raw Data'!$A$3:$FB$285,55,FALSE)</f>
        <v>196</v>
      </c>
      <c r="AS41" s="27">
        <f>VLOOKUP($A41,'[1]Raw Data'!$A$3:$FB$285,56,FALSE)</f>
        <v>0</v>
      </c>
      <c r="AT41" s="27">
        <f>VLOOKUP($A41,'[1]Raw Data'!$A$3:$FB$285,57,FALSE)</f>
        <v>0</v>
      </c>
      <c r="AU41" s="27">
        <f>VLOOKUP($A41,'[1]Raw Data'!$A$3:$FB$285,58,FALSE)</f>
        <v>0</v>
      </c>
      <c r="AV41" s="27" t="str">
        <f>VLOOKUP($A41,'[1]Raw Data'!$A$3:$FB$285,59,FALSE)</f>
        <v/>
      </c>
      <c r="AW41" s="27" t="str">
        <f>VLOOKUP($A41,'[1]Raw Data'!$A$3:$FB$285,60,FALSE)</f>
        <v/>
      </c>
      <c r="AX41" s="27" t="str">
        <f>VLOOKUP(A41,'[1]PO''s List'!A39:E321,4,FALSE)</f>
        <v>CRS(Livelihood,Employment ,Shelter)</v>
      </c>
      <c r="AZ41" s="27" t="str">
        <f>VLOOKUP(A41,'[1]PO''s List'!$A$3:$E$285,5,FALSE)</f>
        <v>ACTED(Shelter),GON(Shelter),HELVETAS(Shelter),HRDS(Education),MCC(Livelihood,Shelter,Health),NRA(Shelter)</v>
      </c>
      <c r="BB41" s="27">
        <f>VLOOKUP($A41,'[1]Raw Data'!$A$3:$FB$285,63,FALSE)</f>
        <v>61536</v>
      </c>
      <c r="BC41" s="27" t="str">
        <f>VLOOKUP($A41,'[1]Raw Data'!$A$3:$FB$285,64,FALSE)</f>
        <v>Y</v>
      </c>
      <c r="BD41" s="27" t="str">
        <f t="shared" si="0"/>
        <v>छ</v>
      </c>
      <c r="BE41" s="27">
        <f>VLOOKUP($A41,'[1]Raw Data'!$A$3:$FB$285,65,FALSE)</f>
        <v>8000</v>
      </c>
      <c r="BF41" s="27">
        <f>VLOOKUP($A41,'[1]Raw Data'!$A$3:$FB$285,66,FALSE)</f>
        <v>60684</v>
      </c>
      <c r="BG41" s="27" t="str">
        <f>VLOOKUP($A41,'[1]Raw Data'!$A$3:$FB$285,67,FALSE)</f>
        <v>N</v>
      </c>
      <c r="BH41" s="27" t="str">
        <f t="shared" si="1"/>
        <v>छैन</v>
      </c>
      <c r="BI41" s="27">
        <f>VLOOKUP($A41,'[1]Raw Data'!$A$3:$FB$285,68,FALSE)</f>
        <v>8000</v>
      </c>
      <c r="BJ41" s="27">
        <f>VLOOKUP($A41,'[1]Raw Data'!$A$3:$FB$285,69,FALSE)</f>
        <v>6554</v>
      </c>
      <c r="BK41" s="27" t="str">
        <f>VLOOKUP($A41,'[1]Raw Data'!$A$3:$FB$285,70,FALSE)</f>
        <v>N</v>
      </c>
      <c r="BL41" s="27" t="str">
        <f t="shared" si="2"/>
        <v>छैन</v>
      </c>
      <c r="BM41" s="27">
        <f>VLOOKUP($A41,'[1]Raw Data'!$A$3:$FB$285,71,FALSE)</f>
        <v>25000</v>
      </c>
      <c r="BN41" s="27">
        <f>VLOOKUP($A41,'[1]Raw Data'!$A$3:$FB$285,72,FALSE)</f>
        <v>7501</v>
      </c>
      <c r="BO41" s="27" t="str">
        <f>VLOOKUP($A41,'[1]Raw Data'!$A$3:$FB$285,73,FALSE)</f>
        <v>N</v>
      </c>
      <c r="BP41" s="27" t="str">
        <f t="shared" si="3"/>
        <v>छैन</v>
      </c>
      <c r="BQ41" s="27" t="str">
        <f>VLOOKUP($A41,'[1]Raw Data'!$A$3:$FB$285,74,FALSE)</f>
        <v>24000</v>
      </c>
      <c r="BR41" s="27" t="str">
        <f>VLOOKUP($A41,'[1]Raw Data'!$A$3:$FB$285,75,FALSE)</f>
        <v/>
      </c>
      <c r="BS41" s="27" t="str">
        <f>VLOOKUP($A41,'[1]Raw Data'!$A$3:$FB$285,76,FALSE)</f>
        <v>N</v>
      </c>
      <c r="BT41" s="27" t="str">
        <f t="shared" si="4"/>
        <v>छैन</v>
      </c>
      <c r="BU41" s="27">
        <f>VLOOKUP($A41,'[1]Raw Data'!$A$3:$FB$285,77,FALSE)</f>
        <v>1600</v>
      </c>
      <c r="BV41" s="27">
        <f>VLOOKUP($A41,'[1]Raw Data'!$A$3:$FB$285,78,FALSE)</f>
        <v>205898</v>
      </c>
      <c r="BW41" s="27" t="str">
        <f>VLOOKUP($A41,'[1]Raw Data'!$A$3:$FB$285,79,FALSE)</f>
        <v>N</v>
      </c>
      <c r="BX41" s="27" t="str">
        <f t="shared" si="5"/>
        <v>छैन</v>
      </c>
      <c r="BY41" s="27">
        <f>VLOOKUP($A41,'[1]Raw Data'!$A$3:$FB$285,80,FALSE)</f>
        <v>1600</v>
      </c>
      <c r="BZ41" s="27">
        <f>VLOOKUP($A41,'[1]Raw Data'!$A$3:$FB$285,81,FALSE)</f>
        <v>676672</v>
      </c>
      <c r="CA41" s="27" t="str">
        <f>VLOOKUP($A41,'[1]Raw Data'!$A$3:$FB$285,82,FALSE)</f>
        <v>N</v>
      </c>
      <c r="CB41" s="27" t="str">
        <f t="shared" si="6"/>
        <v>छैन</v>
      </c>
      <c r="CC41" s="27">
        <f>VLOOKUP($A41,'[1]Raw Data'!$A$3:$FB$285,83,FALSE)</f>
        <v>130</v>
      </c>
      <c r="CD41" s="27">
        <f>VLOOKUP($A41,'[1]Raw Data'!$A$3:$FB$285,84,FALSE)</f>
        <v>8438</v>
      </c>
      <c r="CE41" s="27" t="str">
        <f>VLOOKUP($A41,'[1]Raw Data'!$A$3:$FB$285,85,FALSE)</f>
        <v>N</v>
      </c>
      <c r="CF41" s="27" t="str">
        <f t="shared" si="7"/>
        <v>छैन</v>
      </c>
      <c r="CG41" s="27" t="str">
        <f>VLOOKUP($A41,'[1]Raw Data'!$A$3:$FB$285,86,FALSE)</f>
        <v>14000</v>
      </c>
      <c r="CH41" s="27">
        <f>VLOOKUP($A41,'[1]Raw Data'!$A$3:$FB$285,87,FALSE)</f>
        <v>1465340</v>
      </c>
      <c r="CI41" s="27" t="str">
        <f>VLOOKUP($A41,'[1]Raw Data'!$A$3:$FB$285,88,FALSE)</f>
        <v>N</v>
      </c>
      <c r="CJ41" s="27" t="str">
        <f t="shared" si="8"/>
        <v>छैन</v>
      </c>
      <c r="CK41" s="27">
        <f>VLOOKUP($A41,'[1]Raw Data'!$A$3:$FB$285,89,FALSE)</f>
        <v>35</v>
      </c>
      <c r="CL41" s="27">
        <f>VLOOKUP($A41,'[1]Raw Data'!$A$3:$FB$285,91,FALSE)</f>
        <v>1200</v>
      </c>
      <c r="CM41" s="27">
        <f>VLOOKUP($A41,'[1]Raw Data'!$A$3:$FB$285,93,FALSE)</f>
        <v>1000</v>
      </c>
      <c r="CN41" s="27" t="str">
        <f>VLOOKUP($A41,'[1]Raw Data'!$A$3:$FB$285,94,FALSE)</f>
        <v/>
      </c>
      <c r="CO41" s="27" t="str">
        <f>VLOOKUP($A41,'[1]Raw Data'!$A$3:$FB$285,95,FALSE)</f>
        <v/>
      </c>
      <c r="CP41" s="27" t="str">
        <f>VLOOKUP($A41,'[1]Raw Data'!$A$3:$FB$285,96,FALSE)</f>
        <v/>
      </c>
      <c r="CQ41" s="27" t="str">
        <f>VLOOKUP($A41,'[1]Raw Data'!$A$3:$FB$285,97,FALSE)</f>
        <v/>
      </c>
      <c r="CR41" s="27" t="str">
        <f>VLOOKUP($A41,'[1]Raw Data'!$A$3:$FB$285,98,FALSE)</f>
        <v/>
      </c>
      <c r="CS41" s="27" t="str">
        <f>VLOOKUP($A41,'[1]Raw Data'!$A$3:$FB$285,99,FALSE)</f>
        <v/>
      </c>
      <c r="CT41" s="27" t="str">
        <f>VLOOKUP($A41,'[1]Raw Data'!$A$3:$FB$285,101,FALSE)</f>
        <v>Bed Bdr Rokka</v>
      </c>
      <c r="CU41" s="27" t="s">
        <v>902</v>
      </c>
      <c r="CV41" s="27" t="str">
        <f>VLOOKUP($A41,'[1]Raw Data'!$A$3:$FB$285,102,FALSE)</f>
        <v>Chairman</v>
      </c>
      <c r="CW41" s="27" t="s">
        <v>878</v>
      </c>
      <c r="CX41" s="27">
        <f>VLOOKUP($A41,'[1]Raw Data'!$A$3:$FB$285,103,FALSE)</f>
        <v>9843001361</v>
      </c>
      <c r="CY41" s="27" t="str">
        <f>VLOOKUP($A41,'[1]Raw Data'!$A$3:$FB$285,105,FALSE)</f>
        <v>Susila Tamang</v>
      </c>
      <c r="CZ41" s="27" t="s">
        <v>903</v>
      </c>
      <c r="DA41" s="27" t="str">
        <f>VLOOKUP($A41,'[1]Raw Data'!$A$3:$FB$285,106,FALSE)</f>
        <v>Deputy Chairman</v>
      </c>
      <c r="DB41" s="27" t="s">
        <v>879</v>
      </c>
      <c r="DC41" s="27">
        <f>VLOOKUP($A41,'[1]Raw Data'!$A$3:$FB$285,107,FALSE)</f>
        <v>9841550944</v>
      </c>
      <c r="DD41" s="27" t="str">
        <f>VLOOKUP($A41,'[1]Raw Data'!$A$3:$FB$285,109,FALSE)</f>
        <v>Shyam Kumar Khadka</v>
      </c>
      <c r="DE41" s="27" t="s">
        <v>904</v>
      </c>
      <c r="DF41" s="27" t="str">
        <f>VLOOKUP($A41,'[1]Raw Data'!$A$3:$FB$285,110,FALSE)</f>
        <v>Chief Adminstration Officer</v>
      </c>
      <c r="DG41" s="27" t="s">
        <v>880</v>
      </c>
      <c r="DH41" s="27">
        <f>VLOOKUP($A41,'[1]Raw Data'!$A$3:$FB$285,111,FALSE)</f>
        <v>9851191888</v>
      </c>
      <c r="DI41" s="27" t="str">
        <f>VLOOKUP($A41,'[1]Raw Data'!$A$3:$FB$285,121,FALSE)</f>
        <v>Lal Bdr Thapa</v>
      </c>
      <c r="DJ41" s="27" t="s">
        <v>905</v>
      </c>
      <c r="DK41" s="27" t="str">
        <f>VLOOKUP($A41,'[1]Raw Data'!$A$3:$FB$285,122,FALSE)</f>
        <v>Focal Person</v>
      </c>
      <c r="DL41" s="27" t="s">
        <v>881</v>
      </c>
      <c r="DM41" s="27">
        <f>VLOOKUP($A41,'[1]Raw Data'!$A$3:$FB$285,123,FALSE)</f>
        <v>9848530059</v>
      </c>
      <c r="DN41" s="27" t="str">
        <f>VLOOKUP($A41,'[1]Raw Data'!$A$3:$FB$285,113,FALSE)</f>
        <v xml:space="preserve">Youbaraj Kharel </v>
      </c>
      <c r="DO41" s="27" t="s">
        <v>893</v>
      </c>
      <c r="DP41" s="27" t="str">
        <f>VLOOKUP($A41,'[1]Raw Data'!$A$3:$FB$285,114,FALSE)</f>
        <v>NRA Chief-District</v>
      </c>
      <c r="DQ41" s="27" t="s">
        <v>882</v>
      </c>
      <c r="DR41" s="27">
        <f>VLOOKUP($A41,'[1]Raw Data'!$A$3:$FB$285,115,FALSE)</f>
        <v>9852841350</v>
      </c>
      <c r="DS41" s="27" t="str">
        <f>VLOOKUP($A41,'[1]Raw Data'!$A$3:$FB$285,117,FALSE)</f>
        <v xml:space="preserve">Pravakar Lal Karn </v>
      </c>
      <c r="DT41" s="27" t="s">
        <v>894</v>
      </c>
      <c r="DU41" s="27" t="str">
        <f>VLOOKUP($A41,'[1]Raw Data'!$A$3:$FB$285,118,FALSE)</f>
        <v>DUDBC.DLPIU Chief</v>
      </c>
      <c r="DV41" s="27" t="s">
        <v>883</v>
      </c>
      <c r="DW41" s="27">
        <f>VLOOKUP($A41,'[1]Raw Data'!$A$3:$FB$285,119,FALSE)</f>
        <v>9841507715</v>
      </c>
      <c r="DX41" s="27" t="s">
        <v>339</v>
      </c>
      <c r="DY41" s="27" t="str">
        <f>VLOOKUP($A41,'[1]Raw Data'!$A$3:$FB$285,124,FALSE)</f>
        <v/>
      </c>
      <c r="DZ41" s="27" t="s">
        <v>884</v>
      </c>
      <c r="EA41" s="27" t="str">
        <f>VLOOKUP($A41,'[1]Raw Data'!$A$3:$FB$285,125,FALSE)</f>
        <v/>
      </c>
      <c r="EB41" s="27" t="s">
        <v>341</v>
      </c>
      <c r="EC41" s="27" t="str">
        <f>VLOOKUP($A41,'[1]Raw Data'!$A$3:$FB$285,126,FALSE)</f>
        <v/>
      </c>
      <c r="ED41" t="s">
        <v>478</v>
      </c>
      <c r="EE41" s="27" t="str">
        <f>VLOOKUP($A41,'[1]Raw Data'!$A$3:$FB$285,127,FALSE)</f>
        <v/>
      </c>
      <c r="EF41" s="27" t="s">
        <v>343</v>
      </c>
      <c r="EG41" s="27" t="str">
        <f>VLOOKUP($A41,'[1]Raw Data'!$A$3:$FB$285,128,FALSE)</f>
        <v/>
      </c>
      <c r="EH41" t="s">
        <v>344</v>
      </c>
      <c r="EI41" s="27" t="str">
        <f>VLOOKUP($A41,'[1]Raw Data'!$A$3:$FB$285,129,FALSE)</f>
        <v/>
      </c>
      <c r="EM41" s="27">
        <f>VLOOKUP($A41,'[1]Raw Data'!$A$3:$FB$285,130,FALSE)</f>
        <v>6</v>
      </c>
      <c r="EN41" s="27" t="str">
        <f>VLOOKUP($A41,'[1]Raw Data'!$A$3:$FB$285,131,FALSE)</f>
        <v>3</v>
      </c>
      <c r="EO41" s="27">
        <f>VLOOKUP($A41,'[1]Raw Data'!$A$3:$FB$285,132,FALSE)</f>
        <v>5</v>
      </c>
      <c r="EP41" s="27" t="str">
        <f>VLOOKUP($A41,'[1]Raw Data'!$A$3:$FB$285,133,FALSE)</f>
        <v>4</v>
      </c>
      <c r="EQ41" s="27">
        <f>VLOOKUP($A41,'[1]Raw Data'!$A$3:$FB$285,134,FALSE)</f>
        <v>5</v>
      </c>
      <c r="ER41" s="27" t="str">
        <f>VLOOKUP($A41,'[1]Raw Data'!$A$3:$FB$285,135,FALSE)</f>
        <v>4</v>
      </c>
      <c r="ES41" s="27" t="str">
        <f>VLOOKUP($A41,'[1]Raw Data'!$A$3:$FB$285,136,FALSE)</f>
        <v>150</v>
      </c>
      <c r="ET41" s="27" t="str">
        <f>VLOOKUP($A41,'[1]Raw Data'!$A$3:$FB$285,137,FALSE)</f>
        <v>300</v>
      </c>
      <c r="EU41" s="27" t="str">
        <f>VLOOKUP($A41,'[1]Raw Data'!$A$3:$FB$285,138,FALSE)</f>
        <v>0</v>
      </c>
      <c r="EV41" s="27" t="str">
        <f>VLOOKUP($A41,'[1]Raw Data'!$A$3:$FB$285,139,FALSE)</f>
        <v>50</v>
      </c>
      <c r="EW41" s="38">
        <f>VLOOKUP($A41,[1]Training!$A$2:$I$284,5,FALSE)</f>
        <v>224.15384615384616</v>
      </c>
      <c r="EX41" s="31">
        <f>VLOOKUP($A41,[1]Training!$A$2:$I$284,6,FALSE)</f>
        <v>191</v>
      </c>
      <c r="EY41" s="38">
        <f>VLOOKUP($A41,[1]Training!$A$2:$I$284,8,FALSE)</f>
        <v>344.55848271295463</v>
      </c>
      <c r="EZ41" s="31">
        <f>VLOOKUP($A41,[1]Training!$A$2:$I$284,9,FALSE)</f>
        <v>20</v>
      </c>
      <c r="FA41" s="27">
        <v>1</v>
      </c>
      <c r="FB41" s="27">
        <v>2</v>
      </c>
      <c r="FC41" s="27" t="str">
        <f>VLOOKUP($A41,'[1]Raw Data'!$A$3:$FB$285,148,FALSE)</f>
        <v>Prakash Basnet</v>
      </c>
      <c r="FD41" s="27" t="s">
        <v>895</v>
      </c>
      <c r="FE41" s="27" t="str">
        <f>VLOOKUP($A41,'[1]Raw Data'!$A$3:$FB$285,149,FALSE)</f>
        <v>District Coordinator</v>
      </c>
      <c r="FF41" s="27" t="s">
        <v>885</v>
      </c>
      <c r="FG41" s="27">
        <f>VLOOKUP($A41,'[1]Raw Data'!$A$3:$FB$285,150,FALSE)</f>
        <v>9851154315</v>
      </c>
      <c r="FH41" s="27" t="str">
        <f>VLOOKUP($A41,'[1]Raw Data'!$A$3:$FB$285,156,FALSE)</f>
        <v xml:space="preserve">Sagar Chandra Adhikari </v>
      </c>
      <c r="FI41" s="27" t="s">
        <v>896</v>
      </c>
      <c r="FJ41" s="27" t="str">
        <f>VLOOKUP($A41,'[1]Raw Data'!$A$3:$FB$285,157,FALSE)</f>
        <v>District Technical Officer</v>
      </c>
      <c r="FK41" s="27" t="s">
        <v>886</v>
      </c>
      <c r="FL41" s="27">
        <f>VLOOKUP($A41,'[1]Raw Data'!$A$3:$FB$285,158,FALSE)</f>
        <v>9860022103</v>
      </c>
      <c r="FM41" s="27" t="str">
        <f>VLOOKUP($A41,'[1]Raw Data'!$A$3:$FB$285,152,FALSE)</f>
        <v>Uttam Parajuli</v>
      </c>
      <c r="FN41" s="27" t="s">
        <v>897</v>
      </c>
      <c r="FO41" s="27" t="str">
        <f>VLOOKUP($A41,'[1]Raw Data'!$A$3:$FB$285,153,FALSE)</f>
        <v>DIstrict Information Management Officer</v>
      </c>
      <c r="FP41" s="27" t="s">
        <v>887</v>
      </c>
      <c r="FQ41" s="27">
        <f>VLOOKUP($A41,'[1]Raw Data'!$A$3:$FB$285,154,FALSE)</f>
        <v>9849101335</v>
      </c>
    </row>
    <row r="42" spans="1:173" ht="24" x14ac:dyDescent="0.45">
      <c r="A42" s="27">
        <v>12004</v>
      </c>
      <c r="B42" s="36" t="str">
        <f ca="1">IFERROR(__xludf.DUMMYFUNCTION("""COMPUTED_VALUE"""),"Likhu Gaunpalika")</f>
        <v>Likhu Gaunpalika</v>
      </c>
      <c r="C42" s="37" t="str">
        <f>VLOOKUP(A42,'[1]Palika and District in Nepali '!$D$1:$F$283,3,FALSE)</f>
        <v xml:space="preserve">लिखु गाउँपालिका </v>
      </c>
      <c r="D42" s="36" t="str">
        <f ca="1">IFERROR(__xludf.DUMMYFUNCTION("""COMPUTED_VALUE"""),"Okhaldhunga")</f>
        <v>Okhaldhunga</v>
      </c>
      <c r="E42" s="36"/>
      <c r="F42" s="27">
        <f>VLOOKUP(A42,'[1]Raw Data'!$A$3:$FB$285,4,FALSE)</f>
        <v>497</v>
      </c>
      <c r="G42" s="27">
        <f>VLOOKUP(A42,'[1]Raw Data'!$A$3:$FB$285,5,FALSE)</f>
        <v>3382</v>
      </c>
      <c r="H42" s="27">
        <f>VLOOKUP(A42,'[1]Raw Data'!$A$3:$FB$285,6,FALSE)</f>
        <v>3879</v>
      </c>
      <c r="I42" s="27">
        <f>VLOOKUP($A42,'[1]Raw Data'!$A$3:$FB$285,8,FALSE)</f>
        <v>0.05</v>
      </c>
      <c r="J42" s="27">
        <f>VLOOKUP($A42,'[1]Raw Data'!$A$3:$FB$285,9,FALSE)</f>
        <v>0.38</v>
      </c>
      <c r="K42" s="27">
        <f>VLOOKUP($A42,'[1]Raw Data'!$A$3:$FB$285,11,FALSE)</f>
        <v>98.94</v>
      </c>
      <c r="L42" s="27">
        <f>VLOOKUP($A42,'[1]Raw Data'!$A$3:$FB$285,12,FALSE)</f>
        <v>92.87</v>
      </c>
      <c r="M42" s="27">
        <f>VLOOKUP($A42,'[1]Raw Data'!$A$3:$FB$285,14,FALSE)</f>
        <v>0.03</v>
      </c>
      <c r="N42" s="27">
        <f>VLOOKUP($A42,'[1]Raw Data'!$A$3:$FB$285,15,FALSE)</f>
        <v>0.34</v>
      </c>
      <c r="O42" s="27">
        <f>VLOOKUP($A42,'[1]Raw Data'!$A$3:$FB$285,17,FALSE)</f>
        <v>0</v>
      </c>
      <c r="P42" s="27">
        <f>VLOOKUP($A42,'[1]Raw Data'!$A$3:$FB$285,18,FALSE)</f>
        <v>0.02</v>
      </c>
      <c r="Q42" s="27">
        <f>VLOOKUP($A42,'[1]Raw Data'!$A$3:$FB$285,20,FALSE)</f>
        <v>0</v>
      </c>
      <c r="R42" s="27">
        <f>VLOOKUP($A42,'[1]Raw Data'!$A$3:$FB$285,21,FALSE)</f>
        <v>0.13</v>
      </c>
      <c r="S42" s="27">
        <f>VLOOKUP($A42,'[1]Raw Data'!$A$3:$FB$285,23,FALSE)</f>
        <v>0</v>
      </c>
      <c r="T42" s="27">
        <f>VLOOKUP($A42,'[1]Raw Data'!$A$3:$FB$285,24,FALSE)</f>
        <v>0</v>
      </c>
      <c r="U42" s="27">
        <f>VLOOKUP($A42,'[1]Raw Data'!$A$3:$FB$285,26,FALSE)</f>
        <v>0.23</v>
      </c>
      <c r="V42" s="27">
        <f>VLOOKUP($A42,'[1]Raw Data'!$A$3:$FB$285,27,FALSE)</f>
        <v>1.06</v>
      </c>
      <c r="W42" s="27">
        <f>VLOOKUP($A42,'[1]Raw Data'!$A$3:$FB$285,29,FALSE)</f>
        <v>0</v>
      </c>
      <c r="X42" s="27">
        <f>VLOOKUP($A42,'[1]Raw Data'!$A$3:$FB$285,30,FALSE)</f>
        <v>0</v>
      </c>
      <c r="Y42" s="27">
        <f>VLOOKUP($A42,'[1]Raw Data'!$A$3:$FB$285,32,FALSE)</f>
        <v>0.15</v>
      </c>
      <c r="Z42" s="27">
        <f>VLOOKUP($A42,'[1]Raw Data'!$A$3:$FB$285,33,FALSE)</f>
        <v>0.12</v>
      </c>
      <c r="AA42" s="27">
        <f>VLOOKUP($A42,'[1]Raw Data'!$A$3:$FB$285,35,FALSE)</f>
        <v>0.08</v>
      </c>
      <c r="AB42" s="27">
        <f>VLOOKUP($A42,'[1]Raw Data'!$A$3:$FB$285,36,FALSE)</f>
        <v>4.33</v>
      </c>
      <c r="AC42" s="27">
        <f>VLOOKUP($A42,'[1]Raw Data'!$A$3:$FB$285,38,FALSE)</f>
        <v>0.52</v>
      </c>
      <c r="AD42" s="27">
        <f>VLOOKUP($A42,'[1]Raw Data'!$A$3:$FB$285,39,FALSE)</f>
        <v>0.73</v>
      </c>
      <c r="AE42" s="27">
        <f>VLOOKUP($A42,'[1]Raw Data'!$A$3:$FB$285,41,FALSE)</f>
        <v>0</v>
      </c>
      <c r="AF42" s="27">
        <f>VLOOKUP($A42,'[1]Raw Data'!$A$3:$FB$285,42,FALSE)</f>
        <v>0</v>
      </c>
      <c r="AG42" s="27">
        <f>VLOOKUP($A42,'[1]Raw Data'!$A$3:$FB$285,44,FALSE)</f>
        <v>0</v>
      </c>
      <c r="AH42" s="27">
        <f>VLOOKUP($A42,'[1]Raw Data'!$A$3:$FB$285,45,FALSE)</f>
        <v>0</v>
      </c>
      <c r="AI42" s="27">
        <f>VLOOKUP($A42,'[1]Raw Data'!$A$3:$FB$285,46,FALSE)</f>
        <v>3258</v>
      </c>
      <c r="AJ42" s="27">
        <f>VLOOKUP($A42,'[1]Raw Data'!$A$3:$FB$285,47,FALSE)</f>
        <v>3167</v>
      </c>
      <c r="AK42" s="27">
        <f>VLOOKUP($A42,'[1]Raw Data'!$A$3:$FB$285,48,FALSE)</f>
        <v>3167</v>
      </c>
      <c r="AL42" s="27">
        <f>VLOOKUP($A42,'[1]Raw Data'!$A$3:$FB$285,49,FALSE)</f>
        <v>2950</v>
      </c>
      <c r="AM42" s="27">
        <f>VLOOKUP($A42,'[1]Raw Data'!$A$3:$FB$285,50,FALSE)</f>
        <v>2580</v>
      </c>
      <c r="AN42" s="27">
        <f>VLOOKUP($A42,'[1]Raw Data'!$A$3:$FB$285,51,FALSE)</f>
        <v>2950</v>
      </c>
      <c r="AO42" s="27">
        <f>VLOOKUP($A42,'[1]Raw Data'!$A$3:$FB$285,52,FALSE)</f>
        <v>2580</v>
      </c>
      <c r="AP42" s="27">
        <f>VLOOKUP($A42,'[1]Raw Data'!$A$3:$FB$285,53,FALSE)</f>
        <v>200</v>
      </c>
      <c r="AQ42" s="27">
        <f>VLOOKUP($A42,'[1]Raw Data'!$A$3:$FB$285,54,FALSE)</f>
        <v>122</v>
      </c>
      <c r="AR42" s="27">
        <f>VLOOKUP($A42,'[1]Raw Data'!$A$3:$FB$285,55,FALSE)</f>
        <v>107</v>
      </c>
      <c r="AS42" s="27">
        <f>VLOOKUP($A42,'[1]Raw Data'!$A$3:$FB$285,56,FALSE)</f>
        <v>0</v>
      </c>
      <c r="AT42" s="27">
        <f>VLOOKUP($A42,'[1]Raw Data'!$A$3:$FB$285,57,FALSE)</f>
        <v>0</v>
      </c>
      <c r="AU42" s="27">
        <f>VLOOKUP($A42,'[1]Raw Data'!$A$3:$FB$285,58,FALSE)</f>
        <v>0</v>
      </c>
      <c r="AV42" s="27" t="str">
        <f>VLOOKUP($A42,'[1]Raw Data'!$A$3:$FB$285,59,FALSE)</f>
        <v/>
      </c>
      <c r="AW42" s="27" t="str">
        <f>VLOOKUP($A42,'[1]Raw Data'!$A$3:$FB$285,60,FALSE)</f>
        <v/>
      </c>
      <c r="AX42" s="27" t="str">
        <f>VLOOKUP(A42,'[1]PO''s List'!A40:E322,4,FALSE)</f>
        <v>CRS(Livelihood,Employment ,Shelter)</v>
      </c>
      <c r="AZ42" s="27" t="str">
        <f>VLOOKUP(A42,'[1]PO''s List'!$A$3:$E$285,5,FALSE)</f>
        <v>GON(Shelter),HELVETAS(Shelter),MEDAIR(Shelter),USAID-SABAL(Shelter)</v>
      </c>
      <c r="BB42" s="27">
        <f>VLOOKUP($A42,'[1]Raw Data'!$A$3:$FB$285,63,FALSE)</f>
        <v>46263</v>
      </c>
      <c r="BC42" s="27" t="str">
        <f>VLOOKUP($A42,'[1]Raw Data'!$A$3:$FB$285,64,FALSE)</f>
        <v>Y</v>
      </c>
      <c r="BD42" s="27" t="str">
        <f t="shared" si="0"/>
        <v>छ</v>
      </c>
      <c r="BE42" s="27">
        <f>VLOOKUP($A42,'[1]Raw Data'!$A$3:$FB$285,65,FALSE)</f>
        <v>7800</v>
      </c>
      <c r="BF42" s="27">
        <f>VLOOKUP($A42,'[1]Raw Data'!$A$3:$FB$285,66,FALSE)</f>
        <v>47929</v>
      </c>
      <c r="BG42" s="27" t="str">
        <f>VLOOKUP($A42,'[1]Raw Data'!$A$3:$FB$285,67,FALSE)</f>
        <v>Y</v>
      </c>
      <c r="BH42" s="27" t="str">
        <f t="shared" si="1"/>
        <v>छ</v>
      </c>
      <c r="BI42" s="27">
        <f>VLOOKUP($A42,'[1]Raw Data'!$A$3:$FB$285,68,FALSE)</f>
        <v>12000</v>
      </c>
      <c r="BJ42" s="27">
        <f>VLOOKUP($A42,'[1]Raw Data'!$A$3:$FB$285,69,FALSE)</f>
        <v>4944</v>
      </c>
      <c r="BK42" s="27" t="str">
        <f>VLOOKUP($A42,'[1]Raw Data'!$A$3:$FB$285,70,FALSE)</f>
        <v/>
      </c>
      <c r="BL42" s="27" t="str">
        <f t="shared" si="2"/>
        <v/>
      </c>
      <c r="BM42" s="27">
        <f>VLOOKUP($A42,'[1]Raw Data'!$A$3:$FB$285,71,FALSE)</f>
        <v>17000</v>
      </c>
      <c r="BN42" s="27">
        <f>VLOOKUP($A42,'[1]Raw Data'!$A$3:$FB$285,72,FALSE)</f>
        <v>5721</v>
      </c>
      <c r="BO42" s="27" t="str">
        <f>VLOOKUP($A42,'[1]Raw Data'!$A$3:$FB$285,73,FALSE)</f>
        <v/>
      </c>
      <c r="BP42" s="27" t="str">
        <f t="shared" si="3"/>
        <v/>
      </c>
      <c r="BQ42" s="27" t="str">
        <f>VLOOKUP($A42,'[1]Raw Data'!$A$3:$FB$285,74,FALSE)</f>
        <v>1500</v>
      </c>
      <c r="BR42" s="27" t="str">
        <f>VLOOKUP($A42,'[1]Raw Data'!$A$3:$FB$285,75,FALSE)</f>
        <v/>
      </c>
      <c r="BS42" s="27" t="str">
        <f>VLOOKUP($A42,'[1]Raw Data'!$A$3:$FB$285,76,FALSE)</f>
        <v>Y</v>
      </c>
      <c r="BT42" s="27" t="str">
        <f t="shared" si="4"/>
        <v>छ</v>
      </c>
      <c r="BU42" s="27">
        <f>VLOOKUP($A42,'[1]Raw Data'!$A$3:$FB$285,77,FALSE)</f>
        <v>1150</v>
      </c>
      <c r="BV42" s="27">
        <f>VLOOKUP($A42,'[1]Raw Data'!$A$3:$FB$285,78,FALSE)</f>
        <v>158655</v>
      </c>
      <c r="BW42" s="27" t="str">
        <f>VLOOKUP($A42,'[1]Raw Data'!$A$3:$FB$285,79,FALSE)</f>
        <v>Y</v>
      </c>
      <c r="BX42" s="27" t="str">
        <f t="shared" si="5"/>
        <v>छ</v>
      </c>
      <c r="BY42" s="27">
        <f>VLOOKUP($A42,'[1]Raw Data'!$A$3:$FB$285,80,FALSE)</f>
        <v>1250</v>
      </c>
      <c r="BZ42" s="27">
        <f>VLOOKUP($A42,'[1]Raw Data'!$A$3:$FB$285,81,FALSE)</f>
        <v>500681</v>
      </c>
      <c r="CA42" s="27" t="str">
        <f>VLOOKUP($A42,'[1]Raw Data'!$A$3:$FB$285,82,FALSE)</f>
        <v/>
      </c>
      <c r="CB42" s="27" t="str">
        <f t="shared" si="6"/>
        <v/>
      </c>
      <c r="CC42" s="27">
        <f>VLOOKUP($A42,'[1]Raw Data'!$A$3:$FB$285,83,FALSE)</f>
        <v>100</v>
      </c>
      <c r="CD42" s="27">
        <f>VLOOKUP($A42,'[1]Raw Data'!$A$3:$FB$285,84,FALSE)</f>
        <v>6484</v>
      </c>
      <c r="CE42" s="27" t="str">
        <f>VLOOKUP($A42,'[1]Raw Data'!$A$3:$FB$285,85,FALSE)</f>
        <v/>
      </c>
      <c r="CF42" s="27" t="str">
        <f t="shared" si="7"/>
        <v/>
      </c>
      <c r="CG42" s="27" t="str">
        <f>VLOOKUP($A42,'[1]Raw Data'!$A$3:$FB$285,86,FALSE)</f>
        <v>11000</v>
      </c>
      <c r="CH42" s="27">
        <f>VLOOKUP($A42,'[1]Raw Data'!$A$3:$FB$285,87,FALSE)</f>
        <v>410830</v>
      </c>
      <c r="CI42" s="27" t="str">
        <f>VLOOKUP($A42,'[1]Raw Data'!$A$3:$FB$285,88,FALSE)</f>
        <v/>
      </c>
      <c r="CJ42" s="27" t="str">
        <f t="shared" si="8"/>
        <v/>
      </c>
      <c r="CK42" s="27">
        <f>VLOOKUP($A42,'[1]Raw Data'!$A$3:$FB$285,89,FALSE)</f>
        <v>27</v>
      </c>
      <c r="CL42" s="27">
        <f>VLOOKUP($A42,'[1]Raw Data'!$A$3:$FB$285,91,FALSE)</f>
        <v>1200</v>
      </c>
      <c r="CM42" s="27">
        <f>VLOOKUP($A42,'[1]Raw Data'!$A$3:$FB$285,93,FALSE)</f>
        <v>1000</v>
      </c>
      <c r="CN42" s="27" t="str">
        <f>VLOOKUP($A42,'[1]Raw Data'!$A$3:$FB$285,94,FALSE)</f>
        <v/>
      </c>
      <c r="CO42" s="27" t="str">
        <f>VLOOKUP($A42,'[1]Raw Data'!$A$3:$FB$285,95,FALSE)</f>
        <v/>
      </c>
      <c r="CP42" s="27" t="str">
        <f>VLOOKUP($A42,'[1]Raw Data'!$A$3:$FB$285,96,FALSE)</f>
        <v/>
      </c>
      <c r="CQ42" s="27" t="str">
        <f>VLOOKUP($A42,'[1]Raw Data'!$A$3:$FB$285,97,FALSE)</f>
        <v/>
      </c>
      <c r="CR42" s="27" t="str">
        <f>VLOOKUP($A42,'[1]Raw Data'!$A$3:$FB$285,98,FALSE)</f>
        <v/>
      </c>
      <c r="CS42" s="27" t="str">
        <f>VLOOKUP($A42,'[1]Raw Data'!$A$3:$FB$285,99,FALSE)</f>
        <v/>
      </c>
      <c r="CT42" s="27" t="str">
        <f>VLOOKUP($A42,'[1]Raw Data'!$A$3:$FB$285,101,FALSE)</f>
        <v>Govinda Paudel</v>
      </c>
      <c r="CU42" s="27" t="s">
        <v>906</v>
      </c>
      <c r="CV42" s="27" t="str">
        <f>VLOOKUP($A42,'[1]Raw Data'!$A$3:$FB$285,102,FALSE)</f>
        <v>Chairman</v>
      </c>
      <c r="CW42" s="27" t="s">
        <v>878</v>
      </c>
      <c r="CX42" s="27">
        <f>VLOOKUP($A42,'[1]Raw Data'!$A$3:$FB$285,103,FALSE)</f>
        <v>9741266129</v>
      </c>
      <c r="CY42" s="27" t="str">
        <f>VLOOKUP($A42,'[1]Raw Data'!$A$3:$FB$285,105,FALSE)</f>
        <v>Shanta Dhungel</v>
      </c>
      <c r="CZ42" s="27" t="s">
        <v>907</v>
      </c>
      <c r="DA42" s="27" t="str">
        <f>VLOOKUP($A42,'[1]Raw Data'!$A$3:$FB$285,106,FALSE)</f>
        <v>Deputy Chairman</v>
      </c>
      <c r="DB42" s="27" t="s">
        <v>879</v>
      </c>
      <c r="DC42" s="27">
        <f>VLOOKUP($A42,'[1]Raw Data'!$A$3:$FB$285,107,FALSE)</f>
        <v>9861159678</v>
      </c>
      <c r="DD42" s="27" t="str">
        <f>VLOOKUP($A42,'[1]Raw Data'!$A$3:$FB$285,109,FALSE)</f>
        <v xml:space="preserve">Om Bdr DarjI </v>
      </c>
      <c r="DE42" s="27" t="s">
        <v>908</v>
      </c>
      <c r="DF42" s="27" t="str">
        <f>VLOOKUP($A42,'[1]Raw Data'!$A$3:$FB$285,110,FALSE)</f>
        <v>Chief Adminstration Officer</v>
      </c>
      <c r="DG42" s="27" t="s">
        <v>880</v>
      </c>
      <c r="DH42" s="27">
        <f>VLOOKUP($A42,'[1]Raw Data'!$A$3:$FB$285,111,FALSE)</f>
        <v>9849162772</v>
      </c>
      <c r="DI42" s="27" t="str">
        <f>VLOOKUP($A42,'[1]Raw Data'!$A$3:$FB$285,121,FALSE)</f>
        <v>Bhuwan Adhikari</v>
      </c>
      <c r="DJ42" s="27" t="s">
        <v>909</v>
      </c>
      <c r="DK42" s="27" t="str">
        <f>VLOOKUP($A42,'[1]Raw Data'!$A$3:$FB$285,122,FALSE)</f>
        <v>Focal Person</v>
      </c>
      <c r="DL42" s="27" t="s">
        <v>881</v>
      </c>
      <c r="DM42" s="27">
        <f>VLOOKUP($A42,'[1]Raw Data'!$A$3:$FB$285,123,FALSE)</f>
        <v>9851230915</v>
      </c>
      <c r="DN42" s="27" t="str">
        <f>VLOOKUP($A42,'[1]Raw Data'!$A$3:$FB$285,113,FALSE)</f>
        <v xml:space="preserve">Youbaraj Kharel </v>
      </c>
      <c r="DO42" s="27" t="s">
        <v>893</v>
      </c>
      <c r="DP42" s="27" t="str">
        <f>VLOOKUP($A42,'[1]Raw Data'!$A$3:$FB$285,114,FALSE)</f>
        <v>NRA Chief-District</v>
      </c>
      <c r="DQ42" s="27" t="s">
        <v>882</v>
      </c>
      <c r="DR42" s="27">
        <f>VLOOKUP($A42,'[1]Raw Data'!$A$3:$FB$285,115,FALSE)</f>
        <v>9852841350</v>
      </c>
      <c r="DS42" s="27" t="str">
        <f>VLOOKUP($A42,'[1]Raw Data'!$A$3:$FB$285,117,FALSE)</f>
        <v xml:space="preserve">Pravakar Lal Karn </v>
      </c>
      <c r="DT42" s="27" t="s">
        <v>894</v>
      </c>
      <c r="DU42" s="27" t="str">
        <f>VLOOKUP($A42,'[1]Raw Data'!$A$3:$FB$285,118,FALSE)</f>
        <v>DUDBC.DLPIU Chief</v>
      </c>
      <c r="DV42" s="27" t="s">
        <v>883</v>
      </c>
      <c r="DW42" s="27">
        <f>VLOOKUP($A42,'[1]Raw Data'!$A$3:$FB$285,119,FALSE)</f>
        <v>9841507715</v>
      </c>
      <c r="DX42" s="27" t="s">
        <v>339</v>
      </c>
      <c r="DY42" s="27" t="str">
        <f>VLOOKUP($A42,'[1]Raw Data'!$A$3:$FB$285,124,FALSE)</f>
        <v/>
      </c>
      <c r="DZ42" s="27" t="s">
        <v>884</v>
      </c>
      <c r="EA42" s="27" t="str">
        <f>VLOOKUP($A42,'[1]Raw Data'!$A$3:$FB$285,125,FALSE)</f>
        <v/>
      </c>
      <c r="EB42" s="27" t="s">
        <v>341</v>
      </c>
      <c r="EC42" s="27" t="str">
        <f>VLOOKUP($A42,'[1]Raw Data'!$A$3:$FB$285,126,FALSE)</f>
        <v/>
      </c>
      <c r="ED42" t="s">
        <v>478</v>
      </c>
      <c r="EE42" s="27" t="str">
        <f>VLOOKUP($A42,'[1]Raw Data'!$A$3:$FB$285,127,FALSE)</f>
        <v/>
      </c>
      <c r="EF42" s="27" t="s">
        <v>343</v>
      </c>
      <c r="EG42" s="27" t="str">
        <f>VLOOKUP($A42,'[1]Raw Data'!$A$3:$FB$285,128,FALSE)</f>
        <v/>
      </c>
      <c r="EH42" t="s">
        <v>344</v>
      </c>
      <c r="EI42" s="27" t="str">
        <f>VLOOKUP($A42,'[1]Raw Data'!$A$3:$FB$285,129,FALSE)</f>
        <v/>
      </c>
      <c r="EM42" s="27" t="str">
        <f>VLOOKUP($A42,'[1]Raw Data'!$A$3:$FB$285,130,FALSE)</f>
        <v/>
      </c>
      <c r="EN42" s="27" t="str">
        <f>VLOOKUP($A42,'[1]Raw Data'!$A$3:$FB$285,131,FALSE)</f>
        <v/>
      </c>
      <c r="EO42" s="27" t="str">
        <f>VLOOKUP($A42,'[1]Raw Data'!$A$3:$FB$285,132,FALSE)</f>
        <v/>
      </c>
      <c r="EP42" s="27" t="str">
        <f>VLOOKUP($A42,'[1]Raw Data'!$A$3:$FB$285,133,FALSE)</f>
        <v/>
      </c>
      <c r="EQ42" s="27" t="str">
        <f>VLOOKUP($A42,'[1]Raw Data'!$A$3:$FB$285,134,FALSE)</f>
        <v/>
      </c>
      <c r="ER42" s="27" t="str">
        <f>VLOOKUP($A42,'[1]Raw Data'!$A$3:$FB$285,135,FALSE)</f>
        <v/>
      </c>
      <c r="ES42" s="27" t="str">
        <f>VLOOKUP($A42,'[1]Raw Data'!$A$3:$FB$285,136,FALSE)</f>
        <v/>
      </c>
      <c r="ET42" s="27" t="str">
        <f>VLOOKUP($A42,'[1]Raw Data'!$A$3:$FB$285,137,FALSE)</f>
        <v/>
      </c>
      <c r="EU42" s="27" t="str">
        <f>VLOOKUP($A42,'[1]Raw Data'!$A$3:$FB$285,138,FALSE)</f>
        <v/>
      </c>
      <c r="EV42" s="27" t="str">
        <f>VLOOKUP($A42,'[1]Raw Data'!$A$3:$FB$285,139,FALSE)</f>
        <v/>
      </c>
      <c r="EW42" s="38">
        <f>VLOOKUP($A42,[1]Training!$A$2:$I$284,5,FALSE)</f>
        <v>250.61538461538461</v>
      </c>
      <c r="EX42" s="31">
        <f>VLOOKUP($A42,[1]Training!$A$2:$I$284,6,FALSE)</f>
        <v>109</v>
      </c>
      <c r="EY42" s="38">
        <f>VLOOKUP($A42,[1]Training!$A$2:$I$284,8,FALSE)</f>
        <v>385.23388355484082</v>
      </c>
      <c r="EZ42" s="31">
        <f>VLOOKUP($A42,[1]Training!$A$2:$I$284,9,FALSE)</f>
        <v>342</v>
      </c>
      <c r="FA42" s="27">
        <v>1</v>
      </c>
      <c r="FB42" s="27">
        <v>2</v>
      </c>
      <c r="FC42" s="27" t="str">
        <f>VLOOKUP($A42,'[1]Raw Data'!$A$3:$FB$285,148,FALSE)</f>
        <v>Prakash Basnet</v>
      </c>
      <c r="FD42" s="27" t="s">
        <v>895</v>
      </c>
      <c r="FE42" s="27" t="str">
        <f>VLOOKUP($A42,'[1]Raw Data'!$A$3:$FB$285,149,FALSE)</f>
        <v>District Coordinator</v>
      </c>
      <c r="FF42" s="27" t="s">
        <v>885</v>
      </c>
      <c r="FG42" s="27">
        <f>VLOOKUP($A42,'[1]Raw Data'!$A$3:$FB$285,150,FALSE)</f>
        <v>9851154315</v>
      </c>
      <c r="FH42" s="27" t="str">
        <f>VLOOKUP($A42,'[1]Raw Data'!$A$3:$FB$285,156,FALSE)</f>
        <v xml:space="preserve">Sagar Chandra Adhikari </v>
      </c>
      <c r="FI42" s="27" t="s">
        <v>896</v>
      </c>
      <c r="FJ42" s="27" t="str">
        <f>VLOOKUP($A42,'[1]Raw Data'!$A$3:$FB$285,157,FALSE)</f>
        <v>District Technical Officer</v>
      </c>
      <c r="FK42" s="27" t="s">
        <v>886</v>
      </c>
      <c r="FL42" s="27">
        <f>VLOOKUP($A42,'[1]Raw Data'!$A$3:$FB$285,158,FALSE)</f>
        <v>9860022103</v>
      </c>
      <c r="FM42" s="27" t="str">
        <f>VLOOKUP($A42,'[1]Raw Data'!$A$3:$FB$285,152,FALSE)</f>
        <v>Uttam Parajuli</v>
      </c>
      <c r="FN42" s="27" t="s">
        <v>897</v>
      </c>
      <c r="FO42" s="27" t="str">
        <f>VLOOKUP($A42,'[1]Raw Data'!$A$3:$FB$285,153,FALSE)</f>
        <v>DIstrict Information Management Officer</v>
      </c>
      <c r="FP42" s="27" t="s">
        <v>887</v>
      </c>
      <c r="FQ42" s="27">
        <f>VLOOKUP($A42,'[1]Raw Data'!$A$3:$FB$285,154,FALSE)</f>
        <v>9849101335</v>
      </c>
    </row>
    <row r="43" spans="1:173" ht="24" x14ac:dyDescent="0.45">
      <c r="A43" s="27">
        <v>12005</v>
      </c>
      <c r="B43" s="36" t="str">
        <f ca="1">IFERROR(__xludf.DUMMYFUNCTION("""COMPUTED_VALUE"""),"Manebhanjyang Gaunpalika")</f>
        <v>Manebhanjyang Gaunpalika</v>
      </c>
      <c r="C43" s="37" t="str">
        <f>VLOOKUP(A43,'[1]Palika and District in Nepali '!$D$1:$F$283,3,FALSE)</f>
        <v>मानेभञ्ज्यांङ गाउँपालिका</v>
      </c>
      <c r="D43" s="36" t="str">
        <f ca="1">IFERROR(__xludf.DUMMYFUNCTION("""COMPUTED_VALUE"""),"Okhaldhunga")</f>
        <v>Okhaldhunga</v>
      </c>
      <c r="E43" s="36"/>
      <c r="F43" s="27">
        <f>VLOOKUP(A43,'[1]Raw Data'!$A$3:$FB$285,4,FALSE)</f>
        <v>3333</v>
      </c>
      <c r="G43" s="27">
        <f>VLOOKUP(A43,'[1]Raw Data'!$A$3:$FB$285,5,FALSE)</f>
        <v>1944</v>
      </c>
      <c r="H43" s="27">
        <f>VLOOKUP(A43,'[1]Raw Data'!$A$3:$FB$285,6,FALSE)</f>
        <v>5277</v>
      </c>
      <c r="I43" s="27">
        <f>VLOOKUP($A43,'[1]Raw Data'!$A$3:$FB$285,8,FALSE)</f>
        <v>0.93</v>
      </c>
      <c r="J43" s="27">
        <f>VLOOKUP($A43,'[1]Raw Data'!$A$3:$FB$285,9,FALSE)</f>
        <v>0.38</v>
      </c>
      <c r="K43" s="27">
        <f>VLOOKUP($A43,'[1]Raw Data'!$A$3:$FB$285,11,FALSE)</f>
        <v>93.58</v>
      </c>
      <c r="L43" s="27">
        <f>VLOOKUP($A43,'[1]Raw Data'!$A$3:$FB$285,12,FALSE)</f>
        <v>92.87</v>
      </c>
      <c r="M43" s="27">
        <f>VLOOKUP($A43,'[1]Raw Data'!$A$3:$FB$285,14,FALSE)</f>
        <v>0.11</v>
      </c>
      <c r="N43" s="27">
        <f>VLOOKUP($A43,'[1]Raw Data'!$A$3:$FB$285,15,FALSE)</f>
        <v>0.34</v>
      </c>
      <c r="O43" s="27">
        <f>VLOOKUP($A43,'[1]Raw Data'!$A$3:$FB$285,17,FALSE)</f>
        <v>0.04</v>
      </c>
      <c r="P43" s="27">
        <f>VLOOKUP($A43,'[1]Raw Data'!$A$3:$FB$285,18,FALSE)</f>
        <v>0.02</v>
      </c>
      <c r="Q43" s="27">
        <f>VLOOKUP($A43,'[1]Raw Data'!$A$3:$FB$285,20,FALSE)</f>
        <v>0.32</v>
      </c>
      <c r="R43" s="27">
        <f>VLOOKUP($A43,'[1]Raw Data'!$A$3:$FB$285,21,FALSE)</f>
        <v>0.13</v>
      </c>
      <c r="S43" s="27">
        <f>VLOOKUP($A43,'[1]Raw Data'!$A$3:$FB$285,23,FALSE)</f>
        <v>0</v>
      </c>
      <c r="T43" s="27">
        <f>VLOOKUP($A43,'[1]Raw Data'!$A$3:$FB$285,24,FALSE)</f>
        <v>0</v>
      </c>
      <c r="U43" s="27">
        <f>VLOOKUP($A43,'[1]Raw Data'!$A$3:$FB$285,26,FALSE)</f>
        <v>2.56</v>
      </c>
      <c r="V43" s="27">
        <f>VLOOKUP($A43,'[1]Raw Data'!$A$3:$FB$285,27,FALSE)</f>
        <v>1.06</v>
      </c>
      <c r="W43" s="27">
        <f>VLOOKUP($A43,'[1]Raw Data'!$A$3:$FB$285,29,FALSE)</f>
        <v>0</v>
      </c>
      <c r="X43" s="27">
        <f>VLOOKUP($A43,'[1]Raw Data'!$A$3:$FB$285,30,FALSE)</f>
        <v>0</v>
      </c>
      <c r="Y43" s="27">
        <f>VLOOKUP($A43,'[1]Raw Data'!$A$3:$FB$285,32,FALSE)</f>
        <v>0.09</v>
      </c>
      <c r="Z43" s="27">
        <f>VLOOKUP($A43,'[1]Raw Data'!$A$3:$FB$285,33,FALSE)</f>
        <v>0.12</v>
      </c>
      <c r="AA43" s="27">
        <f>VLOOKUP($A43,'[1]Raw Data'!$A$3:$FB$285,35,FALSE)</f>
        <v>0.17</v>
      </c>
      <c r="AB43" s="27">
        <f>VLOOKUP($A43,'[1]Raw Data'!$A$3:$FB$285,36,FALSE)</f>
        <v>4.33</v>
      </c>
      <c r="AC43" s="27">
        <f>VLOOKUP($A43,'[1]Raw Data'!$A$3:$FB$285,38,FALSE)</f>
        <v>2.1800000000000002</v>
      </c>
      <c r="AD43" s="27">
        <f>VLOOKUP($A43,'[1]Raw Data'!$A$3:$FB$285,39,FALSE)</f>
        <v>0.73</v>
      </c>
      <c r="AE43" s="27">
        <f>VLOOKUP($A43,'[1]Raw Data'!$A$3:$FB$285,41,FALSE)</f>
        <v>0</v>
      </c>
      <c r="AF43" s="27">
        <f>VLOOKUP($A43,'[1]Raw Data'!$A$3:$FB$285,42,FALSE)</f>
        <v>0</v>
      </c>
      <c r="AG43" s="27">
        <f>VLOOKUP($A43,'[1]Raw Data'!$A$3:$FB$285,44,FALSE)</f>
        <v>0</v>
      </c>
      <c r="AH43" s="27">
        <f>VLOOKUP($A43,'[1]Raw Data'!$A$3:$FB$285,45,FALSE)</f>
        <v>0</v>
      </c>
      <c r="AI43" s="27">
        <f>VLOOKUP($A43,'[1]Raw Data'!$A$3:$FB$285,46,FALSE)</f>
        <v>1663</v>
      </c>
      <c r="AJ43" s="27">
        <f>VLOOKUP($A43,'[1]Raw Data'!$A$3:$FB$285,47,FALSE)</f>
        <v>1551</v>
      </c>
      <c r="AK43" s="27">
        <f>VLOOKUP($A43,'[1]Raw Data'!$A$3:$FB$285,48,FALSE)</f>
        <v>1526</v>
      </c>
      <c r="AL43" s="27">
        <f>VLOOKUP($A43,'[1]Raw Data'!$A$3:$FB$285,49,FALSE)</f>
        <v>1248</v>
      </c>
      <c r="AM43" s="27">
        <f>VLOOKUP($A43,'[1]Raw Data'!$A$3:$FB$285,50,FALSE)</f>
        <v>907</v>
      </c>
      <c r="AN43" s="27">
        <f>VLOOKUP($A43,'[1]Raw Data'!$A$3:$FB$285,51,FALSE)</f>
        <v>1248</v>
      </c>
      <c r="AO43" s="27">
        <f>VLOOKUP($A43,'[1]Raw Data'!$A$3:$FB$285,52,FALSE)</f>
        <v>907</v>
      </c>
      <c r="AP43" s="27">
        <f>VLOOKUP($A43,'[1]Raw Data'!$A$3:$FB$285,53,FALSE)</f>
        <v>441</v>
      </c>
      <c r="AQ43" s="27">
        <f>VLOOKUP($A43,'[1]Raw Data'!$A$3:$FB$285,54,FALSE)</f>
        <v>389</v>
      </c>
      <c r="AR43" s="27">
        <f>VLOOKUP($A43,'[1]Raw Data'!$A$3:$FB$285,55,FALSE)</f>
        <v>392</v>
      </c>
      <c r="AS43" s="27">
        <f>VLOOKUP($A43,'[1]Raw Data'!$A$3:$FB$285,56,FALSE)</f>
        <v>0</v>
      </c>
      <c r="AT43" s="27">
        <f>VLOOKUP($A43,'[1]Raw Data'!$A$3:$FB$285,57,FALSE)</f>
        <v>0</v>
      </c>
      <c r="AU43" s="27">
        <f>VLOOKUP($A43,'[1]Raw Data'!$A$3:$FB$285,58,FALSE)</f>
        <v>0</v>
      </c>
      <c r="AV43" s="27" t="str">
        <f>VLOOKUP($A43,'[1]Raw Data'!$A$3:$FB$285,59,FALSE)</f>
        <v/>
      </c>
      <c r="AW43" s="27" t="str">
        <f>VLOOKUP($A43,'[1]Raw Data'!$A$3:$FB$285,60,FALSE)</f>
        <v/>
      </c>
      <c r="AX43" s="27" t="str">
        <f>VLOOKUP(A43,'[1]PO''s List'!A41:E323,4,FALSE)</f>
        <v/>
      </c>
      <c r="AZ43" s="27" t="str">
        <f>VLOOKUP(A43,'[1]PO''s List'!$A$3:$E$285,5,FALSE)</f>
        <v>GON(Shelter),HELVETAS(Shelter),USAID-SABAL(Shelter)</v>
      </c>
      <c r="BB43" s="27">
        <f>VLOOKUP($A43,'[1]Raw Data'!$A$3:$FB$285,63,FALSE)</f>
        <v>34618</v>
      </c>
      <c r="BC43" s="27" t="str">
        <f>VLOOKUP($A43,'[1]Raw Data'!$A$3:$FB$285,64,FALSE)</f>
        <v>Y</v>
      </c>
      <c r="BD43" s="27" t="str">
        <f t="shared" si="0"/>
        <v>छ</v>
      </c>
      <c r="BE43" s="27">
        <f>VLOOKUP($A43,'[1]Raw Data'!$A$3:$FB$285,65,FALSE)</f>
        <v>6500</v>
      </c>
      <c r="BF43" s="27">
        <f>VLOOKUP($A43,'[1]Raw Data'!$A$3:$FB$285,66,FALSE)</f>
        <v>35331</v>
      </c>
      <c r="BG43" s="27" t="str">
        <f>VLOOKUP($A43,'[1]Raw Data'!$A$3:$FB$285,67,FALSE)</f>
        <v>Y</v>
      </c>
      <c r="BH43" s="27" t="str">
        <f t="shared" si="1"/>
        <v>छ</v>
      </c>
      <c r="BI43" s="27" t="str">
        <f>VLOOKUP($A43,'[1]Raw Data'!$A$3:$FB$285,68,FALSE)</f>
        <v/>
      </c>
      <c r="BJ43" s="27">
        <f>VLOOKUP($A43,'[1]Raw Data'!$A$3:$FB$285,69,FALSE)</f>
        <v>3696</v>
      </c>
      <c r="BK43" s="27" t="str">
        <f>VLOOKUP($A43,'[1]Raw Data'!$A$3:$FB$285,70,FALSE)</f>
        <v/>
      </c>
      <c r="BL43" s="27" t="str">
        <f t="shared" si="2"/>
        <v/>
      </c>
      <c r="BM43" s="27" t="str">
        <f>VLOOKUP($A43,'[1]Raw Data'!$A$3:$FB$285,71,FALSE)</f>
        <v/>
      </c>
      <c r="BN43" s="27">
        <f>VLOOKUP($A43,'[1]Raw Data'!$A$3:$FB$285,72,FALSE)</f>
        <v>4264</v>
      </c>
      <c r="BO43" s="27" t="str">
        <f>VLOOKUP($A43,'[1]Raw Data'!$A$3:$FB$285,73,FALSE)</f>
        <v/>
      </c>
      <c r="BP43" s="27" t="str">
        <f t="shared" si="3"/>
        <v/>
      </c>
      <c r="BQ43" s="27" t="str">
        <f>VLOOKUP($A43,'[1]Raw Data'!$A$3:$FB$285,74,FALSE)</f>
        <v>1400</v>
      </c>
      <c r="BR43" s="27" t="str">
        <f>VLOOKUP($A43,'[1]Raw Data'!$A$3:$FB$285,75,FALSE)</f>
        <v/>
      </c>
      <c r="BS43" s="27" t="str">
        <f>VLOOKUP($A43,'[1]Raw Data'!$A$3:$FB$285,76,FALSE)</f>
        <v>Y</v>
      </c>
      <c r="BT43" s="27" t="str">
        <f t="shared" si="4"/>
        <v>छ</v>
      </c>
      <c r="BU43" s="27">
        <f>VLOOKUP($A43,'[1]Raw Data'!$A$3:$FB$285,77,FALSE)</f>
        <v>950</v>
      </c>
      <c r="BV43" s="27">
        <f>VLOOKUP($A43,'[1]Raw Data'!$A$3:$FB$285,78,FALSE)</f>
        <v>118083</v>
      </c>
      <c r="BW43" s="27" t="str">
        <f>VLOOKUP($A43,'[1]Raw Data'!$A$3:$FB$285,79,FALSE)</f>
        <v>Y</v>
      </c>
      <c r="BX43" s="27" t="str">
        <f t="shared" si="5"/>
        <v>छ</v>
      </c>
      <c r="BY43" s="27">
        <f>VLOOKUP($A43,'[1]Raw Data'!$A$3:$FB$285,80,FALSE)</f>
        <v>1000</v>
      </c>
      <c r="BZ43" s="27">
        <f>VLOOKUP($A43,'[1]Raw Data'!$A$3:$FB$285,81,FALSE)</f>
        <v>376853</v>
      </c>
      <c r="CA43" s="27" t="str">
        <f>VLOOKUP($A43,'[1]Raw Data'!$A$3:$FB$285,82,FALSE)</f>
        <v/>
      </c>
      <c r="CB43" s="27" t="str">
        <f t="shared" si="6"/>
        <v/>
      </c>
      <c r="CC43" s="27">
        <f>VLOOKUP($A43,'[1]Raw Data'!$A$3:$FB$285,83,FALSE)</f>
        <v>96</v>
      </c>
      <c r="CD43" s="27">
        <f>VLOOKUP($A43,'[1]Raw Data'!$A$3:$FB$285,84,FALSE)</f>
        <v>4832</v>
      </c>
      <c r="CE43" s="27" t="str">
        <f>VLOOKUP($A43,'[1]Raw Data'!$A$3:$FB$285,85,FALSE)</f>
        <v/>
      </c>
      <c r="CF43" s="27" t="str">
        <f t="shared" si="7"/>
        <v/>
      </c>
      <c r="CG43" s="27" t="str">
        <f>VLOOKUP($A43,'[1]Raw Data'!$A$3:$FB$285,86,FALSE)</f>
        <v>10000</v>
      </c>
      <c r="CH43" s="27">
        <f>VLOOKUP($A43,'[1]Raw Data'!$A$3:$FB$285,87,FALSE)</f>
        <v>506366</v>
      </c>
      <c r="CI43" s="27" t="str">
        <f>VLOOKUP($A43,'[1]Raw Data'!$A$3:$FB$285,88,FALSE)</f>
        <v/>
      </c>
      <c r="CJ43" s="27" t="str">
        <f t="shared" si="8"/>
        <v/>
      </c>
      <c r="CK43" s="27">
        <f>VLOOKUP($A43,'[1]Raw Data'!$A$3:$FB$285,89,FALSE)</f>
        <v>25</v>
      </c>
      <c r="CL43" s="27">
        <f>VLOOKUP($A43,'[1]Raw Data'!$A$3:$FB$285,91,FALSE)</f>
        <v>1200</v>
      </c>
      <c r="CM43" s="27">
        <f>VLOOKUP($A43,'[1]Raw Data'!$A$3:$FB$285,93,FALSE)</f>
        <v>1000</v>
      </c>
      <c r="CN43" s="27" t="str">
        <f>VLOOKUP($A43,'[1]Raw Data'!$A$3:$FB$285,94,FALSE)</f>
        <v/>
      </c>
      <c r="CO43" s="27" t="str">
        <f>VLOOKUP($A43,'[1]Raw Data'!$A$3:$FB$285,95,FALSE)</f>
        <v/>
      </c>
      <c r="CP43" s="27" t="str">
        <f>VLOOKUP($A43,'[1]Raw Data'!$A$3:$FB$285,96,FALSE)</f>
        <v/>
      </c>
      <c r="CQ43" s="27" t="str">
        <f>VLOOKUP($A43,'[1]Raw Data'!$A$3:$FB$285,97,FALSE)</f>
        <v/>
      </c>
      <c r="CR43" s="27" t="str">
        <f>VLOOKUP($A43,'[1]Raw Data'!$A$3:$FB$285,98,FALSE)</f>
        <v/>
      </c>
      <c r="CS43" s="27" t="str">
        <f>VLOOKUP($A43,'[1]Raw Data'!$A$3:$FB$285,99,FALSE)</f>
        <v/>
      </c>
      <c r="CT43" s="27" t="str">
        <f>VLOOKUP($A43,'[1]Raw Data'!$A$3:$FB$285,101,FALSE)</f>
        <v xml:space="preserve">Moti Raj rai </v>
      </c>
      <c r="CU43" s="27" t="s">
        <v>910</v>
      </c>
      <c r="CV43" s="27" t="str">
        <f>VLOOKUP($A43,'[1]Raw Data'!$A$3:$FB$285,102,FALSE)</f>
        <v>Chairman</v>
      </c>
      <c r="CW43" s="27" t="s">
        <v>878</v>
      </c>
      <c r="CX43" s="27">
        <f>VLOOKUP($A43,'[1]Raw Data'!$A$3:$FB$285,103,FALSE)</f>
        <v>9842980901</v>
      </c>
      <c r="CY43" s="27" t="str">
        <f>VLOOKUP($A43,'[1]Raw Data'!$A$3:$FB$285,105,FALSE)</f>
        <v>Sabita Rai</v>
      </c>
      <c r="CZ43" s="27" t="s">
        <v>911</v>
      </c>
      <c r="DA43" s="27" t="str">
        <f>VLOOKUP($A43,'[1]Raw Data'!$A$3:$FB$285,106,FALSE)</f>
        <v>Deputy Chairman</v>
      </c>
      <c r="DB43" s="27" t="s">
        <v>879</v>
      </c>
      <c r="DC43" s="27">
        <f>VLOOKUP($A43,'[1]Raw Data'!$A$3:$FB$285,107,FALSE)</f>
        <v>9852840781</v>
      </c>
      <c r="DD43" s="27" t="str">
        <f>VLOOKUP($A43,'[1]Raw Data'!$A$3:$FB$285,109,FALSE)</f>
        <v>Vagwot Parasd Regmi</v>
      </c>
      <c r="DE43" s="27" t="s">
        <v>912</v>
      </c>
      <c r="DF43" s="27" t="str">
        <f>VLOOKUP($A43,'[1]Raw Data'!$A$3:$FB$285,110,FALSE)</f>
        <v>Chief Adminstration Officer</v>
      </c>
      <c r="DG43" s="27" t="s">
        <v>880</v>
      </c>
      <c r="DH43" s="27">
        <f>VLOOKUP($A43,'[1]Raw Data'!$A$3:$FB$285,111,FALSE)</f>
        <v>9852800002</v>
      </c>
      <c r="DI43" s="27" t="str">
        <f>VLOOKUP($A43,'[1]Raw Data'!$A$3:$FB$285,121,FALSE)</f>
        <v>Ranjan Chaudary</v>
      </c>
      <c r="DJ43" s="27" t="s">
        <v>913</v>
      </c>
      <c r="DK43" s="27" t="str">
        <f>VLOOKUP($A43,'[1]Raw Data'!$A$3:$FB$285,122,FALSE)</f>
        <v>Focal Person</v>
      </c>
      <c r="DL43" s="27" t="s">
        <v>881</v>
      </c>
      <c r="DM43" s="27">
        <f>VLOOKUP($A43,'[1]Raw Data'!$A$3:$FB$285,123,FALSE)</f>
        <v>9843293269</v>
      </c>
      <c r="DN43" s="27" t="str">
        <f>VLOOKUP($A43,'[1]Raw Data'!$A$3:$FB$285,113,FALSE)</f>
        <v xml:space="preserve">Youbaraj Kharel </v>
      </c>
      <c r="DO43" s="27" t="s">
        <v>893</v>
      </c>
      <c r="DP43" s="27" t="str">
        <f>VLOOKUP($A43,'[1]Raw Data'!$A$3:$FB$285,114,FALSE)</f>
        <v>NRA Chief-District</v>
      </c>
      <c r="DQ43" s="27" t="s">
        <v>882</v>
      </c>
      <c r="DR43" s="27">
        <f>VLOOKUP($A43,'[1]Raw Data'!$A$3:$FB$285,115,FALSE)</f>
        <v>9852841350</v>
      </c>
      <c r="DS43" s="27" t="str">
        <f>VLOOKUP($A43,'[1]Raw Data'!$A$3:$FB$285,117,FALSE)</f>
        <v xml:space="preserve">Pravakar Lal Karn </v>
      </c>
      <c r="DT43" s="27" t="s">
        <v>894</v>
      </c>
      <c r="DU43" s="27" t="str">
        <f>VLOOKUP($A43,'[1]Raw Data'!$A$3:$FB$285,118,FALSE)</f>
        <v>DUDBC.DLPIU Chief</v>
      </c>
      <c r="DV43" s="27" t="s">
        <v>883</v>
      </c>
      <c r="DW43" s="27">
        <f>VLOOKUP($A43,'[1]Raw Data'!$A$3:$FB$285,119,FALSE)</f>
        <v>9841507715</v>
      </c>
      <c r="DX43" s="27" t="s">
        <v>339</v>
      </c>
      <c r="DY43" s="27" t="str">
        <f>VLOOKUP($A43,'[1]Raw Data'!$A$3:$FB$285,124,FALSE)</f>
        <v/>
      </c>
      <c r="DZ43" s="27" t="s">
        <v>884</v>
      </c>
      <c r="EA43" s="27" t="str">
        <f>VLOOKUP($A43,'[1]Raw Data'!$A$3:$FB$285,125,FALSE)</f>
        <v/>
      </c>
      <c r="EB43" s="27" t="s">
        <v>341</v>
      </c>
      <c r="EC43" s="27" t="str">
        <f>VLOOKUP($A43,'[1]Raw Data'!$A$3:$FB$285,126,FALSE)</f>
        <v/>
      </c>
      <c r="ED43" t="s">
        <v>478</v>
      </c>
      <c r="EE43" s="27" t="str">
        <f>VLOOKUP($A43,'[1]Raw Data'!$A$3:$FB$285,127,FALSE)</f>
        <v/>
      </c>
      <c r="EF43" s="27" t="s">
        <v>343</v>
      </c>
      <c r="EG43" s="27" t="str">
        <f>VLOOKUP($A43,'[1]Raw Data'!$A$3:$FB$285,128,FALSE)</f>
        <v/>
      </c>
      <c r="EH43" t="s">
        <v>344</v>
      </c>
      <c r="EI43" s="27" t="str">
        <f>VLOOKUP($A43,'[1]Raw Data'!$A$3:$FB$285,129,FALSE)</f>
        <v/>
      </c>
      <c r="EM43" s="27" t="str">
        <f>VLOOKUP($A43,'[1]Raw Data'!$A$3:$FB$285,130,FALSE)</f>
        <v/>
      </c>
      <c r="EN43" s="27" t="str">
        <f>VLOOKUP($A43,'[1]Raw Data'!$A$3:$FB$285,131,FALSE)</f>
        <v/>
      </c>
      <c r="EO43" s="27" t="str">
        <f>VLOOKUP($A43,'[1]Raw Data'!$A$3:$FB$285,132,FALSE)</f>
        <v/>
      </c>
      <c r="EP43" s="27" t="str">
        <f>VLOOKUP($A43,'[1]Raw Data'!$A$3:$FB$285,133,FALSE)</f>
        <v/>
      </c>
      <c r="EQ43" s="27" t="str">
        <f>VLOOKUP($A43,'[1]Raw Data'!$A$3:$FB$285,134,FALSE)</f>
        <v/>
      </c>
      <c r="ER43" s="27" t="str">
        <f>VLOOKUP($A43,'[1]Raw Data'!$A$3:$FB$285,135,FALSE)</f>
        <v/>
      </c>
      <c r="ES43" s="27" t="str">
        <f>VLOOKUP($A43,'[1]Raw Data'!$A$3:$FB$285,136,FALSE)</f>
        <v/>
      </c>
      <c r="ET43" s="27" t="str">
        <f>VLOOKUP($A43,'[1]Raw Data'!$A$3:$FB$285,137,FALSE)</f>
        <v/>
      </c>
      <c r="EU43" s="27" t="str">
        <f>VLOOKUP($A43,'[1]Raw Data'!$A$3:$FB$285,138,FALSE)</f>
        <v/>
      </c>
      <c r="EV43" s="27" t="str">
        <f>VLOOKUP($A43,'[1]Raw Data'!$A$3:$FB$285,139,FALSE)</f>
        <v/>
      </c>
      <c r="EW43" s="38">
        <f>VLOOKUP($A43,[1]Training!$A$2:$I$284,5,FALSE)</f>
        <v>127.92307692307692</v>
      </c>
      <c r="EX43" s="31">
        <f>VLOOKUP($A43,[1]Training!$A$2:$I$284,6,FALSE)</f>
        <v>174</v>
      </c>
      <c r="EY43" s="38">
        <f>VLOOKUP($A43,[1]Training!$A$2:$I$284,8,FALSE)</f>
        <v>196.63718488388591</v>
      </c>
      <c r="EZ43" s="31">
        <f>VLOOKUP($A43,[1]Training!$A$2:$I$284,9,FALSE)</f>
        <v>148</v>
      </c>
      <c r="FA43" s="27">
        <v>1</v>
      </c>
      <c r="FB43" s="27">
        <v>2</v>
      </c>
      <c r="FC43" s="27" t="str">
        <f>VLOOKUP($A43,'[1]Raw Data'!$A$3:$FB$285,148,FALSE)</f>
        <v>Prakash Basnet</v>
      </c>
      <c r="FD43" s="27" t="s">
        <v>895</v>
      </c>
      <c r="FE43" s="27" t="str">
        <f>VLOOKUP($A43,'[1]Raw Data'!$A$3:$FB$285,149,FALSE)</f>
        <v>District Coordinator</v>
      </c>
      <c r="FF43" s="27" t="s">
        <v>885</v>
      </c>
      <c r="FG43" s="27">
        <f>VLOOKUP($A43,'[1]Raw Data'!$A$3:$FB$285,150,FALSE)</f>
        <v>9851154315</v>
      </c>
      <c r="FH43" s="27" t="str">
        <f>VLOOKUP($A43,'[1]Raw Data'!$A$3:$FB$285,156,FALSE)</f>
        <v xml:space="preserve">Sagar Chandra Adhikari </v>
      </c>
      <c r="FI43" s="27" t="s">
        <v>896</v>
      </c>
      <c r="FJ43" s="27" t="str">
        <f>VLOOKUP($A43,'[1]Raw Data'!$A$3:$FB$285,157,FALSE)</f>
        <v>District Technical Officer</v>
      </c>
      <c r="FK43" s="27" t="s">
        <v>886</v>
      </c>
      <c r="FL43" s="27">
        <f>VLOOKUP($A43,'[1]Raw Data'!$A$3:$FB$285,158,FALSE)</f>
        <v>9860022103</v>
      </c>
      <c r="FM43" s="27" t="str">
        <f>VLOOKUP($A43,'[1]Raw Data'!$A$3:$FB$285,152,FALSE)</f>
        <v>Uttam Parajuli</v>
      </c>
      <c r="FN43" s="27" t="s">
        <v>897</v>
      </c>
      <c r="FO43" s="27" t="str">
        <f>VLOOKUP($A43,'[1]Raw Data'!$A$3:$FB$285,153,FALSE)</f>
        <v>DIstrict Information Management Officer</v>
      </c>
      <c r="FP43" s="27" t="s">
        <v>887</v>
      </c>
      <c r="FQ43" s="27">
        <f>VLOOKUP($A43,'[1]Raw Data'!$A$3:$FB$285,154,FALSE)</f>
        <v>9849101335</v>
      </c>
    </row>
    <row r="44" spans="1:173" ht="24" x14ac:dyDescent="0.45">
      <c r="A44" s="27">
        <v>12006</v>
      </c>
      <c r="B44" s="36" t="str">
        <f ca="1">IFERROR(__xludf.DUMMYFUNCTION("""COMPUTED_VALUE"""),"Molung Gaunpalika")</f>
        <v>Molung Gaunpalika</v>
      </c>
      <c r="C44" s="37" t="str">
        <f>VLOOKUP(A44,'[1]Palika and District in Nepali '!$D$1:$F$283,3,FALSE)</f>
        <v>मोलुंङ गाउँपालिका</v>
      </c>
      <c r="D44" s="36" t="str">
        <f ca="1">IFERROR(__xludf.DUMMYFUNCTION("""COMPUTED_VALUE"""),"Okhaldhunga")</f>
        <v>Okhaldhunga</v>
      </c>
      <c r="E44" s="36"/>
      <c r="F44" s="27">
        <f>VLOOKUP(A44,'[1]Raw Data'!$A$3:$FB$285,4,FALSE)</f>
        <v>1626</v>
      </c>
      <c r="G44" s="27">
        <f>VLOOKUP(A44,'[1]Raw Data'!$A$3:$FB$285,5,FALSE)</f>
        <v>3081</v>
      </c>
      <c r="H44" s="27">
        <f>VLOOKUP(A44,'[1]Raw Data'!$A$3:$FB$285,6,FALSE)</f>
        <v>4707</v>
      </c>
      <c r="I44" s="27">
        <f>VLOOKUP($A44,'[1]Raw Data'!$A$3:$FB$285,8,FALSE)</f>
        <v>0.11</v>
      </c>
      <c r="J44" s="27">
        <f>VLOOKUP($A44,'[1]Raw Data'!$A$3:$FB$285,9,FALSE)</f>
        <v>0.38</v>
      </c>
      <c r="K44" s="27">
        <f>VLOOKUP($A44,'[1]Raw Data'!$A$3:$FB$285,11,FALSE)</f>
        <v>97.14</v>
      </c>
      <c r="L44" s="27">
        <f>VLOOKUP($A44,'[1]Raw Data'!$A$3:$FB$285,12,FALSE)</f>
        <v>92.87</v>
      </c>
      <c r="M44" s="27">
        <f>VLOOKUP($A44,'[1]Raw Data'!$A$3:$FB$285,14,FALSE)</f>
        <v>0.06</v>
      </c>
      <c r="N44" s="27">
        <f>VLOOKUP($A44,'[1]Raw Data'!$A$3:$FB$285,15,FALSE)</f>
        <v>0.34</v>
      </c>
      <c r="O44" s="27">
        <f>VLOOKUP($A44,'[1]Raw Data'!$A$3:$FB$285,17,FALSE)</f>
        <v>0</v>
      </c>
      <c r="P44" s="27">
        <f>VLOOKUP($A44,'[1]Raw Data'!$A$3:$FB$285,18,FALSE)</f>
        <v>0.02</v>
      </c>
      <c r="Q44" s="27">
        <f>VLOOKUP($A44,'[1]Raw Data'!$A$3:$FB$285,20,FALSE)</f>
        <v>0.15</v>
      </c>
      <c r="R44" s="27">
        <f>VLOOKUP($A44,'[1]Raw Data'!$A$3:$FB$285,21,FALSE)</f>
        <v>0.13</v>
      </c>
      <c r="S44" s="27">
        <f>VLOOKUP($A44,'[1]Raw Data'!$A$3:$FB$285,23,FALSE)</f>
        <v>0</v>
      </c>
      <c r="T44" s="27">
        <f>VLOOKUP($A44,'[1]Raw Data'!$A$3:$FB$285,24,FALSE)</f>
        <v>0</v>
      </c>
      <c r="U44" s="27">
        <f>VLOOKUP($A44,'[1]Raw Data'!$A$3:$FB$285,26,FALSE)</f>
        <v>1.19</v>
      </c>
      <c r="V44" s="27">
        <f>VLOOKUP($A44,'[1]Raw Data'!$A$3:$FB$285,27,FALSE)</f>
        <v>1.06</v>
      </c>
      <c r="W44" s="27">
        <f>VLOOKUP($A44,'[1]Raw Data'!$A$3:$FB$285,29,FALSE)</f>
        <v>0</v>
      </c>
      <c r="X44" s="27">
        <f>VLOOKUP($A44,'[1]Raw Data'!$A$3:$FB$285,30,FALSE)</f>
        <v>0</v>
      </c>
      <c r="Y44" s="27">
        <f>VLOOKUP($A44,'[1]Raw Data'!$A$3:$FB$285,32,FALSE)</f>
        <v>0.09</v>
      </c>
      <c r="Z44" s="27">
        <f>VLOOKUP($A44,'[1]Raw Data'!$A$3:$FB$285,33,FALSE)</f>
        <v>0.12</v>
      </c>
      <c r="AA44" s="27">
        <f>VLOOKUP($A44,'[1]Raw Data'!$A$3:$FB$285,35,FALSE)</f>
        <v>0.57999999999999996</v>
      </c>
      <c r="AB44" s="27">
        <f>VLOOKUP($A44,'[1]Raw Data'!$A$3:$FB$285,36,FALSE)</f>
        <v>4.33</v>
      </c>
      <c r="AC44" s="27">
        <f>VLOOKUP($A44,'[1]Raw Data'!$A$3:$FB$285,38,FALSE)</f>
        <v>0.68</v>
      </c>
      <c r="AD44" s="27">
        <f>VLOOKUP($A44,'[1]Raw Data'!$A$3:$FB$285,39,FALSE)</f>
        <v>0.73</v>
      </c>
      <c r="AE44" s="27">
        <f>VLOOKUP($A44,'[1]Raw Data'!$A$3:$FB$285,41,FALSE)</f>
        <v>0</v>
      </c>
      <c r="AF44" s="27">
        <f>VLOOKUP($A44,'[1]Raw Data'!$A$3:$FB$285,42,FALSE)</f>
        <v>0</v>
      </c>
      <c r="AG44" s="27">
        <f>VLOOKUP($A44,'[1]Raw Data'!$A$3:$FB$285,44,FALSE)</f>
        <v>0</v>
      </c>
      <c r="AH44" s="27">
        <f>VLOOKUP($A44,'[1]Raw Data'!$A$3:$FB$285,45,FALSE)</f>
        <v>0</v>
      </c>
      <c r="AI44" s="27">
        <f>VLOOKUP($A44,'[1]Raw Data'!$A$3:$FB$285,46,FALSE)</f>
        <v>2976</v>
      </c>
      <c r="AJ44" s="27">
        <f>VLOOKUP($A44,'[1]Raw Data'!$A$3:$FB$285,47,FALSE)</f>
        <v>2807</v>
      </c>
      <c r="AK44" s="27">
        <f>VLOOKUP($A44,'[1]Raw Data'!$A$3:$FB$285,48,FALSE)</f>
        <v>2786</v>
      </c>
      <c r="AL44" s="27">
        <f>VLOOKUP($A44,'[1]Raw Data'!$A$3:$FB$285,49,FALSE)</f>
        <v>2510</v>
      </c>
      <c r="AM44" s="27">
        <f>VLOOKUP($A44,'[1]Raw Data'!$A$3:$FB$285,50,FALSE)</f>
        <v>2164</v>
      </c>
      <c r="AN44" s="27">
        <f>VLOOKUP($A44,'[1]Raw Data'!$A$3:$FB$285,51,FALSE)</f>
        <v>2510</v>
      </c>
      <c r="AO44" s="27">
        <f>VLOOKUP($A44,'[1]Raw Data'!$A$3:$FB$285,52,FALSE)</f>
        <v>2164</v>
      </c>
      <c r="AP44" s="27">
        <f>VLOOKUP($A44,'[1]Raw Data'!$A$3:$FB$285,53,FALSE)</f>
        <v>365</v>
      </c>
      <c r="AQ44" s="27">
        <f>VLOOKUP($A44,'[1]Raw Data'!$A$3:$FB$285,54,FALSE)</f>
        <v>261</v>
      </c>
      <c r="AR44" s="27">
        <f>VLOOKUP($A44,'[1]Raw Data'!$A$3:$FB$285,55,FALSE)</f>
        <v>184</v>
      </c>
      <c r="AS44" s="27">
        <f>VLOOKUP($A44,'[1]Raw Data'!$A$3:$FB$285,56,FALSE)</f>
        <v>0</v>
      </c>
      <c r="AT44" s="27">
        <f>VLOOKUP($A44,'[1]Raw Data'!$A$3:$FB$285,57,FALSE)</f>
        <v>0</v>
      </c>
      <c r="AU44" s="27">
        <f>VLOOKUP($A44,'[1]Raw Data'!$A$3:$FB$285,58,FALSE)</f>
        <v>0</v>
      </c>
      <c r="AV44" s="27" t="str">
        <f>VLOOKUP($A44,'[1]Raw Data'!$A$3:$FB$285,59,FALSE)</f>
        <v/>
      </c>
      <c r="AW44" s="27" t="str">
        <f>VLOOKUP($A44,'[1]Raw Data'!$A$3:$FB$285,60,FALSE)</f>
        <v/>
      </c>
      <c r="AX44" s="27" t="str">
        <f>VLOOKUP(A44,'[1]PO''s List'!A42:E324,4,FALSE)</f>
        <v>NRCS(Livelihood,Education,Employment ,Health,Shelter,Health)</v>
      </c>
      <c r="AZ44" s="27" t="str">
        <f>VLOOKUP(A44,'[1]PO''s List'!$A$3:$E$285,5,FALSE)</f>
        <v>ACTED(Shelter),GON(Shelter),HELVETAS(Shelter)</v>
      </c>
      <c r="BB44" s="27">
        <f>VLOOKUP($A44,'[1]Raw Data'!$A$3:$FB$285,63,FALSE)</f>
        <v>49858</v>
      </c>
      <c r="BC44" s="27" t="str">
        <f>VLOOKUP($A44,'[1]Raw Data'!$A$3:$FB$285,64,FALSE)</f>
        <v>Y</v>
      </c>
      <c r="BD44" s="27" t="str">
        <f t="shared" si="0"/>
        <v>छ</v>
      </c>
      <c r="BE44" s="27">
        <f>VLOOKUP($A44,'[1]Raw Data'!$A$3:$FB$285,65,FALSE)</f>
        <v>7000</v>
      </c>
      <c r="BF44" s="27">
        <f>VLOOKUP($A44,'[1]Raw Data'!$A$3:$FB$285,66,FALSE)</f>
        <v>47551</v>
      </c>
      <c r="BG44" s="27" t="str">
        <f>VLOOKUP($A44,'[1]Raw Data'!$A$3:$FB$285,67,FALSE)</f>
        <v>Y</v>
      </c>
      <c r="BH44" s="27" t="str">
        <f t="shared" si="1"/>
        <v>छ</v>
      </c>
      <c r="BI44" s="27" t="str">
        <f>VLOOKUP($A44,'[1]Raw Data'!$A$3:$FB$285,68,FALSE)</f>
        <v/>
      </c>
      <c r="BJ44" s="27">
        <f>VLOOKUP($A44,'[1]Raw Data'!$A$3:$FB$285,69,FALSE)</f>
        <v>5289</v>
      </c>
      <c r="BK44" s="27" t="str">
        <f>VLOOKUP($A44,'[1]Raw Data'!$A$3:$FB$285,70,FALSE)</f>
        <v/>
      </c>
      <c r="BL44" s="27" t="str">
        <f t="shared" si="2"/>
        <v/>
      </c>
      <c r="BM44" s="27" t="str">
        <f>VLOOKUP($A44,'[1]Raw Data'!$A$3:$FB$285,71,FALSE)</f>
        <v/>
      </c>
      <c r="BN44" s="27">
        <f>VLOOKUP($A44,'[1]Raw Data'!$A$3:$FB$285,72,FALSE)</f>
        <v>5976</v>
      </c>
      <c r="BO44" s="27" t="str">
        <f>VLOOKUP($A44,'[1]Raw Data'!$A$3:$FB$285,73,FALSE)</f>
        <v/>
      </c>
      <c r="BP44" s="27" t="str">
        <f t="shared" si="3"/>
        <v/>
      </c>
      <c r="BQ44" s="27" t="str">
        <f>VLOOKUP($A44,'[1]Raw Data'!$A$3:$FB$285,74,FALSE)</f>
        <v>1450</v>
      </c>
      <c r="BR44" s="27" t="str">
        <f>VLOOKUP($A44,'[1]Raw Data'!$A$3:$FB$285,75,FALSE)</f>
        <v/>
      </c>
      <c r="BS44" s="27" t="str">
        <f>VLOOKUP($A44,'[1]Raw Data'!$A$3:$FB$285,76,FALSE)</f>
        <v>Y</v>
      </c>
      <c r="BT44" s="27" t="str">
        <f t="shared" si="4"/>
        <v>छ</v>
      </c>
      <c r="BU44" s="27">
        <f>VLOOKUP($A44,'[1]Raw Data'!$A$3:$FB$285,77,FALSE)</f>
        <v>1050</v>
      </c>
      <c r="BV44" s="27">
        <f>VLOOKUP($A44,'[1]Raw Data'!$A$3:$FB$285,78,FALSE)</f>
        <v>157253</v>
      </c>
      <c r="BW44" s="27" t="str">
        <f>VLOOKUP($A44,'[1]Raw Data'!$A$3:$FB$285,79,FALSE)</f>
        <v>Y</v>
      </c>
      <c r="BX44" s="27" t="str">
        <f t="shared" si="5"/>
        <v>छ</v>
      </c>
      <c r="BY44" s="27">
        <f>VLOOKUP($A44,'[1]Raw Data'!$A$3:$FB$285,80,FALSE)</f>
        <v>1150</v>
      </c>
      <c r="BZ44" s="27">
        <f>VLOOKUP($A44,'[1]Raw Data'!$A$3:$FB$285,81,FALSE)</f>
        <v>544691</v>
      </c>
      <c r="CA44" s="27" t="str">
        <f>VLOOKUP($A44,'[1]Raw Data'!$A$3:$FB$285,82,FALSE)</f>
        <v/>
      </c>
      <c r="CB44" s="27" t="str">
        <f t="shared" si="6"/>
        <v/>
      </c>
      <c r="CC44" s="27">
        <f>VLOOKUP($A44,'[1]Raw Data'!$A$3:$FB$285,83,FALSE)</f>
        <v>100</v>
      </c>
      <c r="CD44" s="27">
        <f>VLOOKUP($A44,'[1]Raw Data'!$A$3:$FB$285,84,FALSE)</f>
        <v>6416</v>
      </c>
      <c r="CE44" s="27" t="str">
        <f>VLOOKUP($A44,'[1]Raw Data'!$A$3:$FB$285,85,FALSE)</f>
        <v/>
      </c>
      <c r="CF44" s="27" t="str">
        <f t="shared" si="7"/>
        <v/>
      </c>
      <c r="CG44" s="27" t="str">
        <f>VLOOKUP($A44,'[1]Raw Data'!$A$3:$FB$285,86,FALSE)</f>
        <v>10500</v>
      </c>
      <c r="CH44" s="27">
        <f>VLOOKUP($A44,'[1]Raw Data'!$A$3:$FB$285,87,FALSE)</f>
        <v>620256</v>
      </c>
      <c r="CI44" s="27" t="str">
        <f>VLOOKUP($A44,'[1]Raw Data'!$A$3:$FB$285,88,FALSE)</f>
        <v/>
      </c>
      <c r="CJ44" s="27" t="str">
        <f t="shared" si="8"/>
        <v/>
      </c>
      <c r="CK44" s="27">
        <f>VLOOKUP($A44,'[1]Raw Data'!$A$3:$FB$285,89,FALSE)</f>
        <v>26</v>
      </c>
      <c r="CL44" s="27">
        <f>VLOOKUP($A44,'[1]Raw Data'!$A$3:$FB$285,91,FALSE)</f>
        <v>1200</v>
      </c>
      <c r="CM44" s="27">
        <f>VLOOKUP($A44,'[1]Raw Data'!$A$3:$FB$285,93,FALSE)</f>
        <v>1000</v>
      </c>
      <c r="CN44" s="27" t="str">
        <f>VLOOKUP($A44,'[1]Raw Data'!$A$3:$FB$285,94,FALSE)</f>
        <v/>
      </c>
      <c r="CO44" s="27" t="str">
        <f>VLOOKUP($A44,'[1]Raw Data'!$A$3:$FB$285,95,FALSE)</f>
        <v/>
      </c>
      <c r="CP44" s="27" t="str">
        <f>VLOOKUP($A44,'[1]Raw Data'!$A$3:$FB$285,96,FALSE)</f>
        <v/>
      </c>
      <c r="CQ44" s="27" t="str">
        <f>VLOOKUP($A44,'[1]Raw Data'!$A$3:$FB$285,97,FALSE)</f>
        <v/>
      </c>
      <c r="CR44" s="27" t="str">
        <f>VLOOKUP($A44,'[1]Raw Data'!$A$3:$FB$285,98,FALSE)</f>
        <v/>
      </c>
      <c r="CS44" s="27" t="str">
        <f>VLOOKUP($A44,'[1]Raw Data'!$A$3:$FB$285,99,FALSE)</f>
        <v/>
      </c>
      <c r="CT44" s="27" t="str">
        <f>VLOOKUP($A44,'[1]Raw Data'!$A$3:$FB$285,101,FALSE)</f>
        <v>Mani Raj Rai</v>
      </c>
      <c r="CU44" s="27" t="s">
        <v>914</v>
      </c>
      <c r="CV44" s="27" t="str">
        <f>VLOOKUP($A44,'[1]Raw Data'!$A$3:$FB$285,102,FALSE)</f>
        <v>Chairman</v>
      </c>
      <c r="CW44" s="27" t="s">
        <v>878</v>
      </c>
      <c r="CX44" s="27">
        <f>VLOOKUP($A44,'[1]Raw Data'!$A$3:$FB$285,103,FALSE)</f>
        <v>9841535837</v>
      </c>
      <c r="CY44" s="27" t="str">
        <f>VLOOKUP($A44,'[1]Raw Data'!$A$3:$FB$285,105,FALSE)</f>
        <v>Hem Kumari Tamang</v>
      </c>
      <c r="CZ44" s="27" t="s">
        <v>915</v>
      </c>
      <c r="DA44" s="27" t="str">
        <f>VLOOKUP($A44,'[1]Raw Data'!$A$3:$FB$285,106,FALSE)</f>
        <v>Deputy Chairman</v>
      </c>
      <c r="DB44" s="27" t="s">
        <v>879</v>
      </c>
      <c r="DC44" s="27">
        <f>VLOOKUP($A44,'[1]Raw Data'!$A$3:$FB$285,107,FALSE)</f>
        <v>9842967190</v>
      </c>
      <c r="DD44" s="27" t="str">
        <f>VLOOKUP($A44,'[1]Raw Data'!$A$3:$FB$285,109,FALSE)</f>
        <v>Samser Bdr Rai</v>
      </c>
      <c r="DE44" s="27" t="s">
        <v>916</v>
      </c>
      <c r="DF44" s="27" t="str">
        <f>VLOOKUP($A44,'[1]Raw Data'!$A$3:$FB$285,110,FALSE)</f>
        <v>Chief Adminstration Officer</v>
      </c>
      <c r="DG44" s="27" t="s">
        <v>880</v>
      </c>
      <c r="DH44" s="27">
        <f>VLOOKUP($A44,'[1]Raw Data'!$A$3:$FB$285,111,FALSE)</f>
        <v>9852840501</v>
      </c>
      <c r="DI44" s="27" t="str">
        <f>VLOOKUP($A44,'[1]Raw Data'!$A$3:$FB$285,121,FALSE)</f>
        <v>Indra Jit Yadav</v>
      </c>
      <c r="DJ44" s="27" t="s">
        <v>917</v>
      </c>
      <c r="DK44" s="27" t="str">
        <f>VLOOKUP($A44,'[1]Raw Data'!$A$3:$FB$285,122,FALSE)</f>
        <v>Focal Person</v>
      </c>
      <c r="DL44" s="27" t="s">
        <v>881</v>
      </c>
      <c r="DM44" s="27">
        <f>VLOOKUP($A44,'[1]Raw Data'!$A$3:$FB$285,123,FALSE)</f>
        <v>9826722669</v>
      </c>
      <c r="DN44" s="27" t="str">
        <f>VLOOKUP($A44,'[1]Raw Data'!$A$3:$FB$285,113,FALSE)</f>
        <v xml:space="preserve">Youbaraj Kharel </v>
      </c>
      <c r="DO44" s="27" t="s">
        <v>893</v>
      </c>
      <c r="DP44" s="27" t="str">
        <f>VLOOKUP($A44,'[1]Raw Data'!$A$3:$FB$285,114,FALSE)</f>
        <v>NRA Chief-District</v>
      </c>
      <c r="DQ44" s="27" t="s">
        <v>882</v>
      </c>
      <c r="DR44" s="27">
        <f>VLOOKUP($A44,'[1]Raw Data'!$A$3:$FB$285,115,FALSE)</f>
        <v>9852841350</v>
      </c>
      <c r="DS44" s="27" t="str">
        <f>VLOOKUP($A44,'[1]Raw Data'!$A$3:$FB$285,117,FALSE)</f>
        <v xml:space="preserve">Pravakar Lal Karn </v>
      </c>
      <c r="DT44" s="27" t="s">
        <v>894</v>
      </c>
      <c r="DU44" s="27" t="str">
        <f>VLOOKUP($A44,'[1]Raw Data'!$A$3:$FB$285,118,FALSE)</f>
        <v>DUDBC.DLPIU Chief</v>
      </c>
      <c r="DV44" s="27" t="s">
        <v>883</v>
      </c>
      <c r="DW44" s="27">
        <f>VLOOKUP($A44,'[1]Raw Data'!$A$3:$FB$285,119,FALSE)</f>
        <v>9841507715</v>
      </c>
      <c r="DX44" s="27" t="s">
        <v>339</v>
      </c>
      <c r="DY44" s="27" t="str">
        <f>VLOOKUP($A44,'[1]Raw Data'!$A$3:$FB$285,124,FALSE)</f>
        <v/>
      </c>
      <c r="DZ44" s="27" t="s">
        <v>884</v>
      </c>
      <c r="EA44" s="27" t="str">
        <f>VLOOKUP($A44,'[1]Raw Data'!$A$3:$FB$285,125,FALSE)</f>
        <v/>
      </c>
      <c r="EB44" s="27" t="s">
        <v>341</v>
      </c>
      <c r="EC44" s="27" t="str">
        <f>VLOOKUP($A44,'[1]Raw Data'!$A$3:$FB$285,126,FALSE)</f>
        <v/>
      </c>
      <c r="ED44" t="s">
        <v>478</v>
      </c>
      <c r="EE44" s="27" t="str">
        <f>VLOOKUP($A44,'[1]Raw Data'!$A$3:$FB$285,127,FALSE)</f>
        <v/>
      </c>
      <c r="EF44" s="27" t="s">
        <v>343</v>
      </c>
      <c r="EG44" s="27" t="str">
        <f>VLOOKUP($A44,'[1]Raw Data'!$A$3:$FB$285,128,FALSE)</f>
        <v/>
      </c>
      <c r="EH44" t="s">
        <v>344</v>
      </c>
      <c r="EI44" s="27" t="str">
        <f>VLOOKUP($A44,'[1]Raw Data'!$A$3:$FB$285,129,FALSE)</f>
        <v/>
      </c>
      <c r="EM44" s="27" t="str">
        <f>VLOOKUP($A44,'[1]Raw Data'!$A$3:$FB$285,130,FALSE)</f>
        <v/>
      </c>
      <c r="EN44" s="27" t="str">
        <f>VLOOKUP($A44,'[1]Raw Data'!$A$3:$FB$285,131,FALSE)</f>
        <v/>
      </c>
      <c r="EO44" s="27" t="str">
        <f>VLOOKUP($A44,'[1]Raw Data'!$A$3:$FB$285,132,FALSE)</f>
        <v/>
      </c>
      <c r="EP44" s="27" t="str">
        <f>VLOOKUP($A44,'[1]Raw Data'!$A$3:$FB$285,133,FALSE)</f>
        <v/>
      </c>
      <c r="EQ44" s="27" t="str">
        <f>VLOOKUP($A44,'[1]Raw Data'!$A$3:$FB$285,134,FALSE)</f>
        <v/>
      </c>
      <c r="ER44" s="27" t="str">
        <f>VLOOKUP($A44,'[1]Raw Data'!$A$3:$FB$285,135,FALSE)</f>
        <v/>
      </c>
      <c r="ES44" s="27" t="str">
        <f>VLOOKUP($A44,'[1]Raw Data'!$A$3:$FB$285,136,FALSE)</f>
        <v/>
      </c>
      <c r="ET44" s="27" t="str">
        <f>VLOOKUP($A44,'[1]Raw Data'!$A$3:$FB$285,137,FALSE)</f>
        <v/>
      </c>
      <c r="EU44" s="27" t="str">
        <f>VLOOKUP($A44,'[1]Raw Data'!$A$3:$FB$285,138,FALSE)</f>
        <v/>
      </c>
      <c r="EV44" s="27" t="str">
        <f>VLOOKUP($A44,'[1]Raw Data'!$A$3:$FB$285,139,FALSE)</f>
        <v/>
      </c>
      <c r="EW44" s="38">
        <f>VLOOKUP($A44,[1]Training!$A$2:$I$284,5,FALSE)</f>
        <v>228.92307692307693</v>
      </c>
      <c r="EX44" s="31">
        <f>VLOOKUP($A44,[1]Training!$A$2:$I$284,6,FALSE)</f>
        <v>321</v>
      </c>
      <c r="EY44" s="38">
        <f>VLOOKUP($A44,[1]Training!$A$2:$I$284,8,FALSE)</f>
        <v>351.88951426003877</v>
      </c>
      <c r="EZ44" s="31">
        <f>VLOOKUP($A44,[1]Training!$A$2:$I$284,9,FALSE)</f>
        <v>6</v>
      </c>
      <c r="FA44" s="27">
        <v>1</v>
      </c>
      <c r="FB44" s="27">
        <v>2</v>
      </c>
      <c r="FC44" s="27" t="str">
        <f>VLOOKUP($A44,'[1]Raw Data'!$A$3:$FB$285,148,FALSE)</f>
        <v>Prakash Basnet</v>
      </c>
      <c r="FD44" s="27" t="s">
        <v>895</v>
      </c>
      <c r="FE44" s="27" t="str">
        <f>VLOOKUP($A44,'[1]Raw Data'!$A$3:$FB$285,149,FALSE)</f>
        <v>District Coordinator</v>
      </c>
      <c r="FF44" s="27" t="s">
        <v>885</v>
      </c>
      <c r="FG44" s="27">
        <f>VLOOKUP($A44,'[1]Raw Data'!$A$3:$FB$285,150,FALSE)</f>
        <v>9851154315</v>
      </c>
      <c r="FH44" s="27" t="str">
        <f>VLOOKUP($A44,'[1]Raw Data'!$A$3:$FB$285,156,FALSE)</f>
        <v xml:space="preserve">Sagar Chandra Adhikari </v>
      </c>
      <c r="FI44" s="27" t="s">
        <v>896</v>
      </c>
      <c r="FJ44" s="27" t="str">
        <f>VLOOKUP($A44,'[1]Raw Data'!$A$3:$FB$285,157,FALSE)</f>
        <v>District Technical Officer</v>
      </c>
      <c r="FK44" s="27" t="s">
        <v>886</v>
      </c>
      <c r="FL44" s="27">
        <f>VLOOKUP($A44,'[1]Raw Data'!$A$3:$FB$285,158,FALSE)</f>
        <v>9860022103</v>
      </c>
      <c r="FM44" s="27" t="str">
        <f>VLOOKUP($A44,'[1]Raw Data'!$A$3:$FB$285,152,FALSE)</f>
        <v>Uttam Parajuli</v>
      </c>
      <c r="FN44" s="27" t="s">
        <v>897</v>
      </c>
      <c r="FO44" s="27" t="str">
        <f>VLOOKUP($A44,'[1]Raw Data'!$A$3:$FB$285,153,FALSE)</f>
        <v>DIstrict Information Management Officer</v>
      </c>
      <c r="FP44" s="27" t="s">
        <v>887</v>
      </c>
      <c r="FQ44" s="27">
        <f>VLOOKUP($A44,'[1]Raw Data'!$A$3:$FB$285,154,FALSE)</f>
        <v>9849101335</v>
      </c>
    </row>
    <row r="45" spans="1:173" ht="24" x14ac:dyDescent="0.45">
      <c r="A45" s="27">
        <v>12007</v>
      </c>
      <c r="B45" s="36" t="str">
        <f ca="1">IFERROR(__xludf.DUMMYFUNCTION("""COMPUTED_VALUE"""),"Siddhicharan Nagarpalika")</f>
        <v>Siddhicharan Nagarpalika</v>
      </c>
      <c r="C45" s="37" t="str">
        <f>VLOOKUP(A45,'[1]Palika and District in Nepali '!$D$1:$F$283,3,FALSE)</f>
        <v>सिद्दिचरण नगरपालिका</v>
      </c>
      <c r="D45" s="36" t="str">
        <f ca="1">IFERROR(__xludf.DUMMYFUNCTION("""COMPUTED_VALUE"""),"Okhaldhunga")</f>
        <v>Okhaldhunga</v>
      </c>
      <c r="E45" s="36"/>
      <c r="F45" s="27">
        <f>VLOOKUP(A45,'[1]Raw Data'!$A$3:$FB$285,4,FALSE)</f>
        <v>2072</v>
      </c>
      <c r="G45" s="27">
        <f>VLOOKUP(A45,'[1]Raw Data'!$A$3:$FB$285,5,FALSE)</f>
        <v>1669</v>
      </c>
      <c r="H45" s="27">
        <f>VLOOKUP(A45,'[1]Raw Data'!$A$3:$FB$285,6,FALSE)</f>
        <v>3741</v>
      </c>
      <c r="I45" s="27">
        <f>VLOOKUP($A45,'[1]Raw Data'!$A$3:$FB$285,8,FALSE)</f>
        <v>1.29</v>
      </c>
      <c r="J45" s="27">
        <f>VLOOKUP($A45,'[1]Raw Data'!$A$3:$FB$285,9,FALSE)</f>
        <v>0.38</v>
      </c>
      <c r="K45" s="27">
        <f>VLOOKUP($A45,'[1]Raw Data'!$A$3:$FB$285,11,FALSE)</f>
        <v>73.98</v>
      </c>
      <c r="L45" s="27">
        <f>VLOOKUP($A45,'[1]Raw Data'!$A$3:$FB$285,12,FALSE)</f>
        <v>92.87</v>
      </c>
      <c r="M45" s="27">
        <f>VLOOKUP($A45,'[1]Raw Data'!$A$3:$FB$285,14,FALSE)</f>
        <v>2.96</v>
      </c>
      <c r="N45" s="27">
        <f>VLOOKUP($A45,'[1]Raw Data'!$A$3:$FB$285,15,FALSE)</f>
        <v>0.34</v>
      </c>
      <c r="O45" s="27">
        <f>VLOOKUP($A45,'[1]Raw Data'!$A$3:$FB$285,17,FALSE)</f>
        <v>0.12</v>
      </c>
      <c r="P45" s="27">
        <f>VLOOKUP($A45,'[1]Raw Data'!$A$3:$FB$285,18,FALSE)</f>
        <v>0.02</v>
      </c>
      <c r="Q45" s="27">
        <f>VLOOKUP($A45,'[1]Raw Data'!$A$3:$FB$285,20,FALSE)</f>
        <v>0.55000000000000004</v>
      </c>
      <c r="R45" s="27">
        <f>VLOOKUP($A45,'[1]Raw Data'!$A$3:$FB$285,21,FALSE)</f>
        <v>0.13</v>
      </c>
      <c r="S45" s="27">
        <f>VLOOKUP($A45,'[1]Raw Data'!$A$3:$FB$285,23,FALSE)</f>
        <v>0</v>
      </c>
      <c r="T45" s="27">
        <f>VLOOKUP($A45,'[1]Raw Data'!$A$3:$FB$285,24,FALSE)</f>
        <v>0</v>
      </c>
      <c r="U45" s="27">
        <f>VLOOKUP($A45,'[1]Raw Data'!$A$3:$FB$285,26,FALSE)</f>
        <v>1.22</v>
      </c>
      <c r="V45" s="27">
        <f>VLOOKUP($A45,'[1]Raw Data'!$A$3:$FB$285,27,FALSE)</f>
        <v>1.06</v>
      </c>
      <c r="W45" s="27">
        <f>VLOOKUP($A45,'[1]Raw Data'!$A$3:$FB$285,29,FALSE)</f>
        <v>0</v>
      </c>
      <c r="X45" s="27">
        <f>VLOOKUP($A45,'[1]Raw Data'!$A$3:$FB$285,30,FALSE)</f>
        <v>0</v>
      </c>
      <c r="Y45" s="27">
        <f>VLOOKUP($A45,'[1]Raw Data'!$A$3:$FB$285,32,FALSE)</f>
        <v>0.17</v>
      </c>
      <c r="Z45" s="27">
        <f>VLOOKUP($A45,'[1]Raw Data'!$A$3:$FB$285,33,FALSE)</f>
        <v>0.12</v>
      </c>
      <c r="AA45" s="27">
        <f>VLOOKUP($A45,'[1]Raw Data'!$A$3:$FB$285,35,FALSE)</f>
        <v>18.82</v>
      </c>
      <c r="AB45" s="27">
        <f>VLOOKUP($A45,'[1]Raw Data'!$A$3:$FB$285,36,FALSE)</f>
        <v>4.33</v>
      </c>
      <c r="AC45" s="27">
        <f>VLOOKUP($A45,'[1]Raw Data'!$A$3:$FB$285,38,FALSE)</f>
        <v>0.87</v>
      </c>
      <c r="AD45" s="27">
        <f>VLOOKUP($A45,'[1]Raw Data'!$A$3:$FB$285,39,FALSE)</f>
        <v>0.73</v>
      </c>
      <c r="AE45" s="27">
        <f>VLOOKUP($A45,'[1]Raw Data'!$A$3:$FB$285,41,FALSE)</f>
        <v>0</v>
      </c>
      <c r="AF45" s="27">
        <f>VLOOKUP($A45,'[1]Raw Data'!$A$3:$FB$285,42,FALSE)</f>
        <v>0</v>
      </c>
      <c r="AG45" s="27">
        <f>VLOOKUP($A45,'[1]Raw Data'!$A$3:$FB$285,44,FALSE)</f>
        <v>0</v>
      </c>
      <c r="AH45" s="27">
        <f>VLOOKUP($A45,'[1]Raw Data'!$A$3:$FB$285,45,FALSE)</f>
        <v>0</v>
      </c>
      <c r="AI45" s="27">
        <f>VLOOKUP($A45,'[1]Raw Data'!$A$3:$FB$285,46,FALSE)</f>
        <v>2660</v>
      </c>
      <c r="AJ45" s="27">
        <f>VLOOKUP($A45,'[1]Raw Data'!$A$3:$FB$285,47,FALSE)</f>
        <v>2431</v>
      </c>
      <c r="AK45" s="27">
        <f>VLOOKUP($A45,'[1]Raw Data'!$A$3:$FB$285,48,FALSE)</f>
        <v>2425</v>
      </c>
      <c r="AL45" s="27">
        <f>VLOOKUP($A45,'[1]Raw Data'!$A$3:$FB$285,49,FALSE)</f>
        <v>1917</v>
      </c>
      <c r="AM45" s="27">
        <f>VLOOKUP($A45,'[1]Raw Data'!$A$3:$FB$285,50,FALSE)</f>
        <v>1463</v>
      </c>
      <c r="AN45" s="27">
        <f>VLOOKUP($A45,'[1]Raw Data'!$A$3:$FB$285,51,FALSE)</f>
        <v>1917</v>
      </c>
      <c r="AO45" s="27">
        <f>VLOOKUP($A45,'[1]Raw Data'!$A$3:$FB$285,52,FALSE)</f>
        <v>1463</v>
      </c>
      <c r="AP45" s="27">
        <f>VLOOKUP($A45,'[1]Raw Data'!$A$3:$FB$285,53,FALSE)</f>
        <v>573</v>
      </c>
      <c r="AQ45" s="27">
        <f>VLOOKUP($A45,'[1]Raw Data'!$A$3:$FB$285,54,FALSE)</f>
        <v>351</v>
      </c>
      <c r="AR45" s="27">
        <f>VLOOKUP($A45,'[1]Raw Data'!$A$3:$FB$285,55,FALSE)</f>
        <v>347</v>
      </c>
      <c r="AS45" s="27">
        <f>VLOOKUP($A45,'[1]Raw Data'!$A$3:$FB$285,56,FALSE)</f>
        <v>0</v>
      </c>
      <c r="AT45" s="27">
        <f>VLOOKUP($A45,'[1]Raw Data'!$A$3:$FB$285,57,FALSE)</f>
        <v>0</v>
      </c>
      <c r="AU45" s="27">
        <f>VLOOKUP($A45,'[1]Raw Data'!$A$3:$FB$285,58,FALSE)</f>
        <v>0</v>
      </c>
      <c r="AV45" s="27" t="str">
        <f>VLOOKUP($A45,'[1]Raw Data'!$A$3:$FB$285,59,FALSE)</f>
        <v/>
      </c>
      <c r="AW45" s="27" t="str">
        <f>VLOOKUP($A45,'[1]Raw Data'!$A$3:$FB$285,60,FALSE)</f>
        <v/>
      </c>
      <c r="AX45" s="27" t="str">
        <f>VLOOKUP(A45,'[1]PO''s List'!A43:E325,4,FALSE)</f>
        <v>NRCS(Livelihood,Employment ,Health,Shelter,Health)</v>
      </c>
      <c r="AZ45" s="27" t="str">
        <f>VLOOKUP(A45,'[1]PO''s List'!$A$3:$E$285,5,FALSE)</f>
        <v>GON(Shelter),HELVETAS(Shelter),NineH(Education)</v>
      </c>
      <c r="BB45" s="27">
        <f>VLOOKUP($A45,'[1]Raw Data'!$A$3:$FB$285,63,FALSE)</f>
        <v>48061</v>
      </c>
      <c r="BC45" s="27" t="str">
        <f>VLOOKUP($A45,'[1]Raw Data'!$A$3:$FB$285,64,FALSE)</f>
        <v>Y</v>
      </c>
      <c r="BD45" s="27" t="str">
        <f t="shared" si="0"/>
        <v>छ</v>
      </c>
      <c r="BE45" s="27">
        <f>VLOOKUP($A45,'[1]Raw Data'!$A$3:$FB$285,65,FALSE)</f>
        <v>4448</v>
      </c>
      <c r="BF45" s="27">
        <f>VLOOKUP($A45,'[1]Raw Data'!$A$3:$FB$285,66,FALSE)</f>
        <v>49221</v>
      </c>
      <c r="BG45" s="27" t="str">
        <f>VLOOKUP($A45,'[1]Raw Data'!$A$3:$FB$285,67,FALSE)</f>
        <v>Y</v>
      </c>
      <c r="BH45" s="27" t="str">
        <f t="shared" si="1"/>
        <v>छ</v>
      </c>
      <c r="BI45" s="27">
        <f>VLOOKUP($A45,'[1]Raw Data'!$A$3:$FB$285,68,FALSE)</f>
        <v>2720</v>
      </c>
      <c r="BJ45" s="27">
        <f>VLOOKUP($A45,'[1]Raw Data'!$A$3:$FB$285,69,FALSE)</f>
        <v>5133</v>
      </c>
      <c r="BK45" s="27" t="str">
        <f>VLOOKUP($A45,'[1]Raw Data'!$A$3:$FB$285,70,FALSE)</f>
        <v>Y</v>
      </c>
      <c r="BL45" s="27" t="str">
        <f t="shared" si="2"/>
        <v>छ</v>
      </c>
      <c r="BM45" s="27">
        <f>VLOOKUP($A45,'[1]Raw Data'!$A$3:$FB$285,71,FALSE)</f>
        <v>1630</v>
      </c>
      <c r="BN45" s="27">
        <f>VLOOKUP($A45,'[1]Raw Data'!$A$3:$FB$285,72,FALSE)</f>
        <v>5926</v>
      </c>
      <c r="BO45" s="27" t="str">
        <f>VLOOKUP($A45,'[1]Raw Data'!$A$3:$FB$285,73,FALSE)</f>
        <v>Y</v>
      </c>
      <c r="BP45" s="27" t="str">
        <f t="shared" si="3"/>
        <v>छ</v>
      </c>
      <c r="BQ45" s="27" t="str">
        <f>VLOOKUP($A45,'[1]Raw Data'!$A$3:$FB$285,74,FALSE)</f>
        <v>4000</v>
      </c>
      <c r="BR45" s="27" t="str">
        <f>VLOOKUP($A45,'[1]Raw Data'!$A$3:$FB$285,75,FALSE)</f>
        <v/>
      </c>
      <c r="BS45" s="27" t="str">
        <f>VLOOKUP($A45,'[1]Raw Data'!$A$3:$FB$285,76,FALSE)</f>
        <v>Y</v>
      </c>
      <c r="BT45" s="27" t="str">
        <f t="shared" si="4"/>
        <v>छ</v>
      </c>
      <c r="BU45" s="27">
        <f>VLOOKUP($A45,'[1]Raw Data'!$A$3:$FB$285,77,FALSE)</f>
        <v>1250</v>
      </c>
      <c r="BV45" s="27">
        <f>VLOOKUP($A45,'[1]Raw Data'!$A$3:$FB$285,78,FALSE)</f>
        <v>164235</v>
      </c>
      <c r="BW45" s="27" t="str">
        <f>VLOOKUP($A45,'[1]Raw Data'!$A$3:$FB$285,79,FALSE)</f>
        <v>Y</v>
      </c>
      <c r="BX45" s="27" t="str">
        <f t="shared" si="5"/>
        <v>छ</v>
      </c>
      <c r="BY45" s="27">
        <f>VLOOKUP($A45,'[1]Raw Data'!$A$3:$FB$285,80,FALSE)</f>
        <v>1200</v>
      </c>
      <c r="BZ45" s="27">
        <f>VLOOKUP($A45,'[1]Raw Data'!$A$3:$FB$285,81,FALSE)</f>
        <v>522626</v>
      </c>
      <c r="CA45" s="27" t="str">
        <f>VLOOKUP($A45,'[1]Raw Data'!$A$3:$FB$285,82,FALSE)</f>
        <v>Y</v>
      </c>
      <c r="CB45" s="27" t="str">
        <f t="shared" si="6"/>
        <v>छ</v>
      </c>
      <c r="CC45" s="27">
        <f>VLOOKUP($A45,'[1]Raw Data'!$A$3:$FB$285,83,FALSE)</f>
        <v>101</v>
      </c>
      <c r="CD45" s="27">
        <f>VLOOKUP($A45,'[1]Raw Data'!$A$3:$FB$285,84,FALSE)</f>
        <v>6719</v>
      </c>
      <c r="CE45" s="27" t="str">
        <f>VLOOKUP($A45,'[1]Raw Data'!$A$3:$FB$285,85,FALSE)</f>
        <v>Y</v>
      </c>
      <c r="CF45" s="27" t="str">
        <f t="shared" si="7"/>
        <v>छ</v>
      </c>
      <c r="CG45" s="27" t="str">
        <f>VLOOKUP($A45,'[1]Raw Data'!$A$3:$FB$285,86,FALSE)</f>
        <v>13335</v>
      </c>
      <c r="CH45" s="27">
        <f>VLOOKUP($A45,'[1]Raw Data'!$A$3:$FB$285,87,FALSE)</f>
        <v>654254</v>
      </c>
      <c r="CI45" s="27" t="str">
        <f>VLOOKUP($A45,'[1]Raw Data'!$A$3:$FB$285,88,FALSE)</f>
        <v>Y</v>
      </c>
      <c r="CJ45" s="27" t="str">
        <f t="shared" si="8"/>
        <v>छ</v>
      </c>
      <c r="CK45" s="27">
        <f>VLOOKUP($A45,'[1]Raw Data'!$A$3:$FB$285,89,FALSE)</f>
        <v>23</v>
      </c>
      <c r="CL45" s="27">
        <f>VLOOKUP($A45,'[1]Raw Data'!$A$3:$FB$285,91,FALSE)</f>
        <v>1200</v>
      </c>
      <c r="CM45" s="27">
        <f>VLOOKUP($A45,'[1]Raw Data'!$A$3:$FB$285,93,FALSE)</f>
        <v>1000</v>
      </c>
      <c r="CN45" s="27" t="str">
        <f>VLOOKUP($A45,'[1]Raw Data'!$A$3:$FB$285,94,FALSE)</f>
        <v/>
      </c>
      <c r="CO45" s="27" t="str">
        <f>VLOOKUP($A45,'[1]Raw Data'!$A$3:$FB$285,95,FALSE)</f>
        <v/>
      </c>
      <c r="CP45" s="27" t="str">
        <f>VLOOKUP($A45,'[1]Raw Data'!$A$3:$FB$285,96,FALSE)</f>
        <v/>
      </c>
      <c r="CQ45" s="27" t="str">
        <f>VLOOKUP($A45,'[1]Raw Data'!$A$3:$FB$285,97,FALSE)</f>
        <v/>
      </c>
      <c r="CR45" s="27" t="str">
        <f>VLOOKUP($A45,'[1]Raw Data'!$A$3:$FB$285,98,FALSE)</f>
        <v/>
      </c>
      <c r="CS45" s="27" t="str">
        <f>VLOOKUP($A45,'[1]Raw Data'!$A$3:$FB$285,99,FALSE)</f>
        <v/>
      </c>
      <c r="CT45" s="27" t="str">
        <f>VLOOKUP($A45,'[1]Raw Data'!$A$3:$FB$285,101,FALSE)</f>
        <v xml:space="preserve">Mohan Kumar Shrestha </v>
      </c>
      <c r="CU45" s="27" t="s">
        <v>918</v>
      </c>
      <c r="CV45" s="27" t="str">
        <f>VLOOKUP($A45,'[1]Raw Data'!$A$3:$FB$285,102,FALSE)</f>
        <v>Mayor</v>
      </c>
      <c r="CW45" s="27" t="s">
        <v>834</v>
      </c>
      <c r="CX45" s="27">
        <f>VLOOKUP($A45,'[1]Raw Data'!$A$3:$FB$285,103,FALSE)</f>
        <v>9841072101</v>
      </c>
      <c r="CY45" s="27" t="str">
        <f>VLOOKUP($A45,'[1]Raw Data'!$A$3:$FB$285,105,FALSE)</f>
        <v>Eichha Kumari Gurung</v>
      </c>
      <c r="CZ45" s="27" t="s">
        <v>919</v>
      </c>
      <c r="DA45" s="27" t="str">
        <f>VLOOKUP($A45,'[1]Raw Data'!$A$3:$FB$285,106,FALSE)</f>
        <v>Deputy Mayor</v>
      </c>
      <c r="DB45" s="27" t="s">
        <v>888</v>
      </c>
      <c r="DC45" s="27">
        <f>VLOOKUP($A45,'[1]Raw Data'!$A$3:$FB$285,107,FALSE)</f>
        <v>9842858199</v>
      </c>
      <c r="DD45" s="27" t="str">
        <f>VLOOKUP($A45,'[1]Raw Data'!$A$3:$FB$285,109,FALSE)</f>
        <v>Bhoj Raj Khatiwoda</v>
      </c>
      <c r="DE45" s="27" t="s">
        <v>920</v>
      </c>
      <c r="DF45" s="27" t="str">
        <f>VLOOKUP($A45,'[1]Raw Data'!$A$3:$FB$285,110,FALSE)</f>
        <v>Chief Adminstration Officer</v>
      </c>
      <c r="DG45" s="27" t="s">
        <v>880</v>
      </c>
      <c r="DH45" s="27">
        <f>VLOOKUP($A45,'[1]Raw Data'!$A$3:$FB$285,111,FALSE)</f>
        <v>9852823111</v>
      </c>
      <c r="DI45" s="27" t="str">
        <f>VLOOKUP($A45,'[1]Raw Data'!$A$3:$FB$285,121,FALSE)</f>
        <v>Sinjiv Yadav</v>
      </c>
      <c r="DJ45" s="27" t="s">
        <v>921</v>
      </c>
      <c r="DK45" s="27" t="str">
        <f>VLOOKUP($A45,'[1]Raw Data'!$A$3:$FB$285,122,FALSE)</f>
        <v>Focal Person</v>
      </c>
      <c r="DL45" s="27" t="s">
        <v>881</v>
      </c>
      <c r="DM45" s="27">
        <f>VLOOKUP($A45,'[1]Raw Data'!$A$3:$FB$285,123,FALSE)</f>
        <v>9866320574</v>
      </c>
      <c r="DN45" s="27" t="str">
        <f>VLOOKUP($A45,'[1]Raw Data'!$A$3:$FB$285,113,FALSE)</f>
        <v xml:space="preserve">Youbaraj Kharel </v>
      </c>
      <c r="DO45" s="27" t="s">
        <v>893</v>
      </c>
      <c r="DP45" s="27" t="str">
        <f>VLOOKUP($A45,'[1]Raw Data'!$A$3:$FB$285,114,FALSE)</f>
        <v>NRA Chief-District</v>
      </c>
      <c r="DQ45" s="27" t="s">
        <v>882</v>
      </c>
      <c r="DR45" s="27">
        <f>VLOOKUP($A45,'[1]Raw Data'!$A$3:$FB$285,115,FALSE)</f>
        <v>9852841350</v>
      </c>
      <c r="DS45" s="27" t="str">
        <f>VLOOKUP($A45,'[1]Raw Data'!$A$3:$FB$285,117,FALSE)</f>
        <v xml:space="preserve">Pravakar Lal Karn </v>
      </c>
      <c r="DT45" s="27" t="s">
        <v>894</v>
      </c>
      <c r="DU45" s="27" t="str">
        <f>VLOOKUP($A45,'[1]Raw Data'!$A$3:$FB$285,118,FALSE)</f>
        <v>DUDBC.DLPIU Chief</v>
      </c>
      <c r="DV45" s="27" t="s">
        <v>883</v>
      </c>
      <c r="DW45" s="27">
        <f>VLOOKUP($A45,'[1]Raw Data'!$A$3:$FB$285,119,FALSE)</f>
        <v>9841507715</v>
      </c>
      <c r="DX45" s="27" t="s">
        <v>339</v>
      </c>
      <c r="DY45" s="27" t="str">
        <f>VLOOKUP($A45,'[1]Raw Data'!$A$3:$FB$285,124,FALSE)</f>
        <v/>
      </c>
      <c r="DZ45" s="27" t="s">
        <v>884</v>
      </c>
      <c r="EA45" s="27" t="str">
        <f>VLOOKUP($A45,'[1]Raw Data'!$A$3:$FB$285,125,FALSE)</f>
        <v/>
      </c>
      <c r="EB45" s="27" t="s">
        <v>341</v>
      </c>
      <c r="EC45" s="27" t="str">
        <f>VLOOKUP($A45,'[1]Raw Data'!$A$3:$FB$285,126,FALSE)</f>
        <v/>
      </c>
      <c r="ED45" t="s">
        <v>478</v>
      </c>
      <c r="EE45" s="27" t="str">
        <f>VLOOKUP($A45,'[1]Raw Data'!$A$3:$FB$285,127,FALSE)</f>
        <v/>
      </c>
      <c r="EF45" s="27" t="s">
        <v>343</v>
      </c>
      <c r="EG45" s="27" t="str">
        <f>VLOOKUP($A45,'[1]Raw Data'!$A$3:$FB$285,128,FALSE)</f>
        <v/>
      </c>
      <c r="EH45" t="s">
        <v>344</v>
      </c>
      <c r="EI45" s="27" t="str">
        <f>VLOOKUP($A45,'[1]Raw Data'!$A$3:$FB$285,129,FALSE)</f>
        <v/>
      </c>
      <c r="EM45" s="27">
        <f>VLOOKUP($A45,'[1]Raw Data'!$A$3:$FB$285,130,FALSE)</f>
        <v>9</v>
      </c>
      <c r="EN45" s="27" t="str">
        <f>VLOOKUP($A45,'[1]Raw Data'!$A$3:$FB$285,131,FALSE)</f>
        <v>12</v>
      </c>
      <c r="EO45" s="27">
        <f>VLOOKUP($A45,'[1]Raw Data'!$A$3:$FB$285,132,FALSE)</f>
        <v>6</v>
      </c>
      <c r="EP45" s="27" t="str">
        <f>VLOOKUP($A45,'[1]Raw Data'!$A$3:$FB$285,133,FALSE)</f>
        <v>12</v>
      </c>
      <c r="EQ45" s="27">
        <f>VLOOKUP($A45,'[1]Raw Data'!$A$3:$FB$285,134,FALSE)</f>
        <v>4</v>
      </c>
      <c r="ER45" s="27" t="str">
        <f>VLOOKUP($A45,'[1]Raw Data'!$A$3:$FB$285,135,FALSE)</f>
        <v>7</v>
      </c>
      <c r="ES45" s="27" t="str">
        <f>VLOOKUP($A45,'[1]Raw Data'!$A$3:$FB$285,136,FALSE)</f>
        <v/>
      </c>
      <c r="ET45" s="27" t="str">
        <f>VLOOKUP($A45,'[1]Raw Data'!$A$3:$FB$285,137,FALSE)</f>
        <v/>
      </c>
      <c r="EU45" s="27" t="str">
        <f>VLOOKUP($A45,'[1]Raw Data'!$A$3:$FB$285,138,FALSE)</f>
        <v/>
      </c>
      <c r="EV45" s="27" t="str">
        <f>VLOOKUP($A45,'[1]Raw Data'!$A$3:$FB$285,139,FALSE)</f>
        <v/>
      </c>
      <c r="EW45" s="38">
        <f>VLOOKUP($A45,[1]Training!$A$2:$I$284,5,FALSE)</f>
        <v>204.61538461538461</v>
      </c>
      <c r="EX45" s="31">
        <f>VLOOKUP($A45,[1]Training!$A$2:$I$284,6,FALSE)</f>
        <v>136</v>
      </c>
      <c r="EY45" s="38">
        <f>VLOOKUP($A45,[1]Training!$A$2:$I$284,8,FALSE)</f>
        <v>314.52490185877122</v>
      </c>
      <c r="EZ45" s="31">
        <f>VLOOKUP($A45,[1]Training!$A$2:$I$284,9,FALSE)</f>
        <v>36</v>
      </c>
      <c r="FA45" s="27">
        <v>1</v>
      </c>
      <c r="FB45" s="27">
        <v>2</v>
      </c>
      <c r="FC45" s="27" t="str">
        <f>VLOOKUP($A45,'[1]Raw Data'!$A$3:$FB$285,148,FALSE)</f>
        <v>Prakash Basnet</v>
      </c>
      <c r="FD45" s="27" t="s">
        <v>895</v>
      </c>
      <c r="FE45" s="27" t="str">
        <f>VLOOKUP($A45,'[1]Raw Data'!$A$3:$FB$285,149,FALSE)</f>
        <v>District Coordinator</v>
      </c>
      <c r="FF45" s="27" t="s">
        <v>885</v>
      </c>
      <c r="FG45" s="27">
        <f>VLOOKUP($A45,'[1]Raw Data'!$A$3:$FB$285,150,FALSE)</f>
        <v>9851154315</v>
      </c>
      <c r="FH45" s="27" t="str">
        <f>VLOOKUP($A45,'[1]Raw Data'!$A$3:$FB$285,156,FALSE)</f>
        <v xml:space="preserve">Sagar Chandra Adhikari </v>
      </c>
      <c r="FI45" s="27" t="s">
        <v>896</v>
      </c>
      <c r="FJ45" s="27" t="str">
        <f>VLOOKUP($A45,'[1]Raw Data'!$A$3:$FB$285,157,FALSE)</f>
        <v>District Technical Officer</v>
      </c>
      <c r="FK45" s="27" t="s">
        <v>886</v>
      </c>
      <c r="FL45" s="27">
        <f>VLOOKUP($A45,'[1]Raw Data'!$A$3:$FB$285,158,FALSE)</f>
        <v>9860022103</v>
      </c>
      <c r="FM45" s="27" t="str">
        <f>VLOOKUP($A45,'[1]Raw Data'!$A$3:$FB$285,152,FALSE)</f>
        <v>Uttam Parajuli</v>
      </c>
      <c r="FN45" s="27" t="s">
        <v>897</v>
      </c>
      <c r="FO45" s="27" t="str">
        <f>VLOOKUP($A45,'[1]Raw Data'!$A$3:$FB$285,153,FALSE)</f>
        <v>DIstrict Information Management Officer</v>
      </c>
      <c r="FP45" s="27" t="s">
        <v>887</v>
      </c>
      <c r="FQ45" s="27">
        <f>VLOOKUP($A45,'[1]Raw Data'!$A$3:$FB$285,154,FALSE)</f>
        <v>9849101335</v>
      </c>
    </row>
    <row r="46" spans="1:173" ht="24" x14ac:dyDescent="0.45">
      <c r="A46" s="27">
        <v>12008</v>
      </c>
      <c r="B46" s="36" t="str">
        <f ca="1">IFERROR(__xludf.DUMMYFUNCTION("""COMPUTED_VALUE"""),"Sunkoshi Gaunpalika")</f>
        <v>Sunkoshi Gaunpalika</v>
      </c>
      <c r="C46" s="37" t="str">
        <f>VLOOKUP(A46,'[1]Palika and District in Nepali '!$D$1:$F$283,3,FALSE)</f>
        <v>सुनकोशी गाउँपालिका</v>
      </c>
      <c r="D46" s="36" t="str">
        <f ca="1">IFERROR(__xludf.DUMMYFUNCTION("""COMPUTED_VALUE"""),"Okhaldhunga")</f>
        <v>Okhaldhunga</v>
      </c>
      <c r="E46" s="36"/>
      <c r="F46" s="27">
        <f>VLOOKUP(A46,'[1]Raw Data'!$A$3:$FB$285,4,FALSE)</f>
        <v>1824</v>
      </c>
      <c r="G46" s="27">
        <f>VLOOKUP(A46,'[1]Raw Data'!$A$3:$FB$285,5,FALSE)</f>
        <v>3349</v>
      </c>
      <c r="H46" s="27">
        <f>VLOOKUP(A46,'[1]Raw Data'!$A$3:$FB$285,6,FALSE)</f>
        <v>5173</v>
      </c>
      <c r="I46" s="27">
        <f>VLOOKUP($A46,'[1]Raw Data'!$A$3:$FB$285,8,FALSE)</f>
        <v>0.35</v>
      </c>
      <c r="J46" s="27">
        <f>VLOOKUP($A46,'[1]Raw Data'!$A$3:$FB$285,9,FALSE)</f>
        <v>0.38</v>
      </c>
      <c r="K46" s="27">
        <f>VLOOKUP($A46,'[1]Raw Data'!$A$3:$FB$285,11,FALSE)</f>
        <v>88.26</v>
      </c>
      <c r="L46" s="27">
        <f>VLOOKUP($A46,'[1]Raw Data'!$A$3:$FB$285,12,FALSE)</f>
        <v>92.87</v>
      </c>
      <c r="M46" s="27">
        <f>VLOOKUP($A46,'[1]Raw Data'!$A$3:$FB$285,14,FALSE)</f>
        <v>0</v>
      </c>
      <c r="N46" s="27">
        <f>VLOOKUP($A46,'[1]Raw Data'!$A$3:$FB$285,15,FALSE)</f>
        <v>0.34</v>
      </c>
      <c r="O46" s="27">
        <f>VLOOKUP($A46,'[1]Raw Data'!$A$3:$FB$285,17,FALSE)</f>
        <v>0.04</v>
      </c>
      <c r="P46" s="27">
        <f>VLOOKUP($A46,'[1]Raw Data'!$A$3:$FB$285,18,FALSE)</f>
        <v>0.02</v>
      </c>
      <c r="Q46" s="27">
        <f>VLOOKUP($A46,'[1]Raw Data'!$A$3:$FB$285,20,FALSE)</f>
        <v>0.04</v>
      </c>
      <c r="R46" s="27">
        <f>VLOOKUP($A46,'[1]Raw Data'!$A$3:$FB$285,21,FALSE)</f>
        <v>0.13</v>
      </c>
      <c r="S46" s="27">
        <f>VLOOKUP($A46,'[1]Raw Data'!$A$3:$FB$285,23,FALSE)</f>
        <v>0</v>
      </c>
      <c r="T46" s="27">
        <f>VLOOKUP($A46,'[1]Raw Data'!$A$3:$FB$285,24,FALSE)</f>
        <v>0</v>
      </c>
      <c r="U46" s="27">
        <f>VLOOKUP($A46,'[1]Raw Data'!$A$3:$FB$285,26,FALSE)</f>
        <v>0.15</v>
      </c>
      <c r="V46" s="27">
        <f>VLOOKUP($A46,'[1]Raw Data'!$A$3:$FB$285,27,FALSE)</f>
        <v>1.06</v>
      </c>
      <c r="W46" s="27">
        <f>VLOOKUP($A46,'[1]Raw Data'!$A$3:$FB$285,29,FALSE)</f>
        <v>0</v>
      </c>
      <c r="X46" s="27">
        <f>VLOOKUP($A46,'[1]Raw Data'!$A$3:$FB$285,30,FALSE)</f>
        <v>0</v>
      </c>
      <c r="Y46" s="27">
        <f>VLOOKUP($A46,'[1]Raw Data'!$A$3:$FB$285,32,FALSE)</f>
        <v>0.1</v>
      </c>
      <c r="Z46" s="27">
        <f>VLOOKUP($A46,'[1]Raw Data'!$A$3:$FB$285,33,FALSE)</f>
        <v>0.12</v>
      </c>
      <c r="AA46" s="27">
        <f>VLOOKUP($A46,'[1]Raw Data'!$A$3:$FB$285,35,FALSE)</f>
        <v>10.96</v>
      </c>
      <c r="AB46" s="27">
        <f>VLOOKUP($A46,'[1]Raw Data'!$A$3:$FB$285,36,FALSE)</f>
        <v>4.33</v>
      </c>
      <c r="AC46" s="27">
        <f>VLOOKUP($A46,'[1]Raw Data'!$A$3:$FB$285,38,FALSE)</f>
        <v>0.1</v>
      </c>
      <c r="AD46" s="27">
        <f>VLOOKUP($A46,'[1]Raw Data'!$A$3:$FB$285,39,FALSE)</f>
        <v>0.73</v>
      </c>
      <c r="AE46" s="27">
        <f>VLOOKUP($A46,'[1]Raw Data'!$A$3:$FB$285,41,FALSE)</f>
        <v>0</v>
      </c>
      <c r="AF46" s="27">
        <f>VLOOKUP($A46,'[1]Raw Data'!$A$3:$FB$285,42,FALSE)</f>
        <v>0</v>
      </c>
      <c r="AG46" s="27">
        <f>VLOOKUP($A46,'[1]Raw Data'!$A$3:$FB$285,44,FALSE)</f>
        <v>0</v>
      </c>
      <c r="AH46" s="27">
        <f>VLOOKUP($A46,'[1]Raw Data'!$A$3:$FB$285,45,FALSE)</f>
        <v>0</v>
      </c>
      <c r="AI46" s="27">
        <f>VLOOKUP($A46,'[1]Raw Data'!$A$3:$FB$285,46,FALSE)</f>
        <v>3268</v>
      </c>
      <c r="AJ46" s="27">
        <f>VLOOKUP($A46,'[1]Raw Data'!$A$3:$FB$285,47,FALSE)</f>
        <v>3130</v>
      </c>
      <c r="AK46" s="27">
        <f>VLOOKUP($A46,'[1]Raw Data'!$A$3:$FB$285,48,FALSE)</f>
        <v>3106</v>
      </c>
      <c r="AL46" s="27">
        <f>VLOOKUP($A46,'[1]Raw Data'!$A$3:$FB$285,49,FALSE)</f>
        <v>2899</v>
      </c>
      <c r="AM46" s="27">
        <f>VLOOKUP($A46,'[1]Raw Data'!$A$3:$FB$285,50,FALSE)</f>
        <v>2428</v>
      </c>
      <c r="AN46" s="27">
        <f>VLOOKUP($A46,'[1]Raw Data'!$A$3:$FB$285,51,FALSE)</f>
        <v>2899</v>
      </c>
      <c r="AO46" s="27">
        <f>VLOOKUP($A46,'[1]Raw Data'!$A$3:$FB$285,52,FALSE)</f>
        <v>2438</v>
      </c>
      <c r="AP46" s="27">
        <f>VLOOKUP($A46,'[1]Raw Data'!$A$3:$FB$285,53,FALSE)</f>
        <v>330</v>
      </c>
      <c r="AQ46" s="27">
        <f>VLOOKUP($A46,'[1]Raw Data'!$A$3:$FB$285,54,FALSE)</f>
        <v>70</v>
      </c>
      <c r="AR46" s="27">
        <f>VLOOKUP($A46,'[1]Raw Data'!$A$3:$FB$285,55,FALSE)</f>
        <v>80</v>
      </c>
      <c r="AS46" s="27">
        <f>VLOOKUP($A46,'[1]Raw Data'!$A$3:$FB$285,56,FALSE)</f>
        <v>0</v>
      </c>
      <c r="AT46" s="27">
        <f>VLOOKUP($A46,'[1]Raw Data'!$A$3:$FB$285,57,FALSE)</f>
        <v>0</v>
      </c>
      <c r="AU46" s="27">
        <f>VLOOKUP($A46,'[1]Raw Data'!$A$3:$FB$285,58,FALSE)</f>
        <v>0</v>
      </c>
      <c r="AV46" s="27" t="str">
        <f>VLOOKUP($A46,'[1]Raw Data'!$A$3:$FB$285,59,FALSE)</f>
        <v/>
      </c>
      <c r="AW46" s="27" t="str">
        <f>VLOOKUP($A46,'[1]Raw Data'!$A$3:$FB$285,60,FALSE)</f>
        <v/>
      </c>
      <c r="AX46" s="27" t="str">
        <f>VLOOKUP(A46,'[1]PO''s List'!A44:E326,4,FALSE)</f>
        <v/>
      </c>
      <c r="AZ46" s="27" t="str">
        <f>VLOOKUP(A46,'[1]PO''s List'!$A$3:$E$285,5,FALSE)</f>
        <v>ACTED(Shelter),GON(Shelter),HELVETAS(Shelter)</v>
      </c>
      <c r="BB46" s="27">
        <f>VLOOKUP($A46,'[1]Raw Data'!$A$3:$FB$285,63,FALSE)</f>
        <v>61452</v>
      </c>
      <c r="BC46" s="27" t="str">
        <f>VLOOKUP($A46,'[1]Raw Data'!$A$3:$FB$285,64,FALSE)</f>
        <v>Y</v>
      </c>
      <c r="BD46" s="27" t="str">
        <f t="shared" si="0"/>
        <v>छ</v>
      </c>
      <c r="BE46" s="27">
        <f>VLOOKUP($A46,'[1]Raw Data'!$A$3:$FB$285,65,FALSE)</f>
        <v>7000</v>
      </c>
      <c r="BF46" s="27">
        <f>VLOOKUP($A46,'[1]Raw Data'!$A$3:$FB$285,66,FALSE)</f>
        <v>64480</v>
      </c>
      <c r="BG46" s="27" t="str">
        <f>VLOOKUP($A46,'[1]Raw Data'!$A$3:$FB$285,67,FALSE)</f>
        <v>Y</v>
      </c>
      <c r="BH46" s="27" t="str">
        <f t="shared" si="1"/>
        <v>छ</v>
      </c>
      <c r="BI46" s="27" t="str">
        <f>VLOOKUP($A46,'[1]Raw Data'!$A$3:$FB$285,68,FALSE)</f>
        <v/>
      </c>
      <c r="BJ46" s="27">
        <f>VLOOKUP($A46,'[1]Raw Data'!$A$3:$FB$285,69,FALSE)</f>
        <v>6574</v>
      </c>
      <c r="BK46" s="27" t="str">
        <f>VLOOKUP($A46,'[1]Raw Data'!$A$3:$FB$285,70,FALSE)</f>
        <v/>
      </c>
      <c r="BL46" s="27" t="str">
        <f t="shared" si="2"/>
        <v/>
      </c>
      <c r="BM46" s="27">
        <f>VLOOKUP($A46,'[1]Raw Data'!$A$3:$FB$285,71,FALSE)</f>
        <v>16000</v>
      </c>
      <c r="BN46" s="27">
        <f>VLOOKUP($A46,'[1]Raw Data'!$A$3:$FB$285,72,FALSE)</f>
        <v>7631</v>
      </c>
      <c r="BO46" s="27" t="str">
        <f>VLOOKUP($A46,'[1]Raw Data'!$A$3:$FB$285,73,FALSE)</f>
        <v/>
      </c>
      <c r="BP46" s="27" t="str">
        <f t="shared" si="3"/>
        <v/>
      </c>
      <c r="BQ46" s="27" t="str">
        <f>VLOOKUP($A46,'[1]Raw Data'!$A$3:$FB$285,74,FALSE)</f>
        <v>1450</v>
      </c>
      <c r="BR46" s="27" t="str">
        <f>VLOOKUP($A46,'[1]Raw Data'!$A$3:$FB$285,75,FALSE)</f>
        <v/>
      </c>
      <c r="BS46" s="27" t="str">
        <f>VLOOKUP($A46,'[1]Raw Data'!$A$3:$FB$285,76,FALSE)</f>
        <v>Y</v>
      </c>
      <c r="BT46" s="27" t="str">
        <f t="shared" si="4"/>
        <v>छ</v>
      </c>
      <c r="BU46" s="27">
        <f>VLOOKUP($A46,'[1]Raw Data'!$A$3:$FB$285,77,FALSE)</f>
        <v>1100</v>
      </c>
      <c r="BV46" s="27">
        <f>VLOOKUP($A46,'[1]Raw Data'!$A$3:$FB$285,78,FALSE)</f>
        <v>212393</v>
      </c>
      <c r="BW46" s="27" t="str">
        <f>VLOOKUP($A46,'[1]Raw Data'!$A$3:$FB$285,79,FALSE)</f>
        <v>Y</v>
      </c>
      <c r="BX46" s="27" t="str">
        <f t="shared" si="5"/>
        <v>छ</v>
      </c>
      <c r="BY46" s="27">
        <f>VLOOKUP($A46,'[1]Raw Data'!$A$3:$FB$285,80,FALSE)</f>
        <v>1200</v>
      </c>
      <c r="BZ46" s="27">
        <f>VLOOKUP($A46,'[1]Raw Data'!$A$3:$FB$285,81,FALSE)</f>
        <v>662606</v>
      </c>
      <c r="CA46" s="27" t="str">
        <f>VLOOKUP($A46,'[1]Raw Data'!$A$3:$FB$285,82,FALSE)</f>
        <v/>
      </c>
      <c r="CB46" s="27" t="str">
        <f t="shared" si="6"/>
        <v/>
      </c>
      <c r="CC46" s="27">
        <f>VLOOKUP($A46,'[1]Raw Data'!$A$3:$FB$285,83,FALSE)</f>
        <v>100</v>
      </c>
      <c r="CD46" s="27">
        <f>VLOOKUP($A46,'[1]Raw Data'!$A$3:$FB$285,84,FALSE)</f>
        <v>8676</v>
      </c>
      <c r="CE46" s="27" t="str">
        <f>VLOOKUP($A46,'[1]Raw Data'!$A$3:$FB$285,85,FALSE)</f>
        <v/>
      </c>
      <c r="CF46" s="27" t="str">
        <f t="shared" si="7"/>
        <v/>
      </c>
      <c r="CG46" s="27" t="str">
        <f>VLOOKUP($A46,'[1]Raw Data'!$A$3:$FB$285,86,FALSE)</f>
        <v>10500</v>
      </c>
      <c r="CH46" s="27">
        <f>VLOOKUP($A46,'[1]Raw Data'!$A$3:$FB$285,87,FALSE)</f>
        <v>344741</v>
      </c>
      <c r="CI46" s="27" t="str">
        <f>VLOOKUP($A46,'[1]Raw Data'!$A$3:$FB$285,88,FALSE)</f>
        <v/>
      </c>
      <c r="CJ46" s="27" t="str">
        <f t="shared" si="8"/>
        <v/>
      </c>
      <c r="CK46" s="27">
        <f>VLOOKUP($A46,'[1]Raw Data'!$A$3:$FB$285,89,FALSE)</f>
        <v>26</v>
      </c>
      <c r="CL46" s="27">
        <f>VLOOKUP($A46,'[1]Raw Data'!$A$3:$FB$285,91,FALSE)</f>
        <v>1200</v>
      </c>
      <c r="CM46" s="27">
        <f>VLOOKUP($A46,'[1]Raw Data'!$A$3:$FB$285,93,FALSE)</f>
        <v>1000</v>
      </c>
      <c r="CN46" s="27" t="str">
        <f>VLOOKUP($A46,'[1]Raw Data'!$A$3:$FB$285,94,FALSE)</f>
        <v/>
      </c>
      <c r="CO46" s="27" t="str">
        <f>VLOOKUP($A46,'[1]Raw Data'!$A$3:$FB$285,95,FALSE)</f>
        <v/>
      </c>
      <c r="CP46" s="27" t="str">
        <f>VLOOKUP($A46,'[1]Raw Data'!$A$3:$FB$285,96,FALSE)</f>
        <v/>
      </c>
      <c r="CQ46" s="27" t="str">
        <f>VLOOKUP($A46,'[1]Raw Data'!$A$3:$FB$285,97,FALSE)</f>
        <v/>
      </c>
      <c r="CR46" s="27" t="str">
        <f>VLOOKUP($A46,'[1]Raw Data'!$A$3:$FB$285,98,FALSE)</f>
        <v/>
      </c>
      <c r="CS46" s="27" t="str">
        <f>VLOOKUP($A46,'[1]Raw Data'!$A$3:$FB$285,99,FALSE)</f>
        <v/>
      </c>
      <c r="CT46" s="27" t="str">
        <f>VLOOKUP($A46,'[1]Raw Data'!$A$3:$FB$285,101,FALSE)</f>
        <v>Rudra parsad Adhikari</v>
      </c>
      <c r="CU46" s="27" t="s">
        <v>922</v>
      </c>
      <c r="CV46" s="27" t="str">
        <f>VLOOKUP($A46,'[1]Raw Data'!$A$3:$FB$285,102,FALSE)</f>
        <v>Chairman</v>
      </c>
      <c r="CW46" s="27" t="s">
        <v>878</v>
      </c>
      <c r="CX46" s="27">
        <f>VLOOKUP($A46,'[1]Raw Data'!$A$3:$FB$285,103,FALSE)</f>
        <v>9852840242</v>
      </c>
      <c r="CY46" s="27" t="str">
        <f>VLOOKUP($A46,'[1]Raw Data'!$A$3:$FB$285,105,FALSE)</f>
        <v>Durga Tamang</v>
      </c>
      <c r="CZ46" s="27" t="s">
        <v>923</v>
      </c>
      <c r="DA46" s="27" t="str">
        <f>VLOOKUP($A46,'[1]Raw Data'!$A$3:$FB$285,106,FALSE)</f>
        <v>Deputy Chairman</v>
      </c>
      <c r="DB46" s="27" t="s">
        <v>879</v>
      </c>
      <c r="DC46" s="27">
        <f>VLOOKUP($A46,'[1]Raw Data'!$A$3:$FB$285,107,FALSE)</f>
        <v>9743041327</v>
      </c>
      <c r="DD46" s="27" t="str">
        <f>VLOOKUP($A46,'[1]Raw Data'!$A$3:$FB$285,109,FALSE)</f>
        <v xml:space="preserve">Ram Kumar Karki </v>
      </c>
      <c r="DE46" s="27" t="s">
        <v>924</v>
      </c>
      <c r="DF46" s="27" t="str">
        <f>VLOOKUP($A46,'[1]Raw Data'!$A$3:$FB$285,110,FALSE)</f>
        <v>Chief Adminstration Officer</v>
      </c>
      <c r="DG46" s="27" t="s">
        <v>880</v>
      </c>
      <c r="DH46" s="27">
        <f>VLOOKUP($A46,'[1]Raw Data'!$A$3:$FB$285,111,FALSE)</f>
        <v>9753000077</v>
      </c>
      <c r="DI46" s="27" t="str">
        <f>VLOOKUP($A46,'[1]Raw Data'!$A$3:$FB$285,121,FALSE)</f>
        <v>Mukesh Kumar Thakur</v>
      </c>
      <c r="DJ46" s="27" t="s">
        <v>925</v>
      </c>
      <c r="DK46" s="27" t="str">
        <f>VLOOKUP($A46,'[1]Raw Data'!$A$3:$FB$285,122,FALSE)</f>
        <v>Focal Person</v>
      </c>
      <c r="DL46" s="27" t="s">
        <v>881</v>
      </c>
      <c r="DM46" s="27">
        <f>VLOOKUP($A46,'[1]Raw Data'!$A$3:$FB$285,123,FALSE)</f>
        <v>9807842533</v>
      </c>
      <c r="DN46" s="27" t="str">
        <f>VLOOKUP($A46,'[1]Raw Data'!$A$3:$FB$285,113,FALSE)</f>
        <v xml:space="preserve">Youbaraj Kharel </v>
      </c>
      <c r="DO46" s="27" t="s">
        <v>893</v>
      </c>
      <c r="DP46" s="27" t="str">
        <f>VLOOKUP($A46,'[1]Raw Data'!$A$3:$FB$285,114,FALSE)</f>
        <v>NRA Chief-District</v>
      </c>
      <c r="DQ46" s="27" t="s">
        <v>882</v>
      </c>
      <c r="DR46" s="27">
        <f>VLOOKUP($A46,'[1]Raw Data'!$A$3:$FB$285,115,FALSE)</f>
        <v>9852841350</v>
      </c>
      <c r="DS46" s="27" t="str">
        <f>VLOOKUP($A46,'[1]Raw Data'!$A$3:$FB$285,117,FALSE)</f>
        <v xml:space="preserve">Pravakar Lal Karn </v>
      </c>
      <c r="DT46" s="27" t="s">
        <v>894</v>
      </c>
      <c r="DU46" s="27" t="str">
        <f>VLOOKUP($A46,'[1]Raw Data'!$A$3:$FB$285,118,FALSE)</f>
        <v>DUDBC.DLPIU Chief</v>
      </c>
      <c r="DV46" s="27" t="s">
        <v>883</v>
      </c>
      <c r="DW46" s="27">
        <f>VLOOKUP($A46,'[1]Raw Data'!$A$3:$FB$285,119,FALSE)</f>
        <v>9841507715</v>
      </c>
      <c r="DX46" s="27" t="s">
        <v>339</v>
      </c>
      <c r="DY46" s="27" t="str">
        <f>VLOOKUP($A46,'[1]Raw Data'!$A$3:$FB$285,124,FALSE)</f>
        <v/>
      </c>
      <c r="DZ46" s="27" t="s">
        <v>884</v>
      </c>
      <c r="EA46" s="27" t="str">
        <f>VLOOKUP($A46,'[1]Raw Data'!$A$3:$FB$285,125,FALSE)</f>
        <v/>
      </c>
      <c r="EB46" s="27" t="s">
        <v>341</v>
      </c>
      <c r="EC46" s="27" t="str">
        <f>VLOOKUP($A46,'[1]Raw Data'!$A$3:$FB$285,126,FALSE)</f>
        <v/>
      </c>
      <c r="ED46" t="s">
        <v>478</v>
      </c>
      <c r="EE46" s="27" t="str">
        <f>VLOOKUP($A46,'[1]Raw Data'!$A$3:$FB$285,127,FALSE)</f>
        <v/>
      </c>
      <c r="EF46" s="27" t="s">
        <v>343</v>
      </c>
      <c r="EG46" s="27" t="str">
        <f>VLOOKUP($A46,'[1]Raw Data'!$A$3:$FB$285,128,FALSE)</f>
        <v/>
      </c>
      <c r="EH46" t="s">
        <v>344</v>
      </c>
      <c r="EI46" s="27" t="str">
        <f>VLOOKUP($A46,'[1]Raw Data'!$A$3:$FB$285,129,FALSE)</f>
        <v/>
      </c>
      <c r="EM46" s="27" t="str">
        <f>VLOOKUP($A46,'[1]Raw Data'!$A$3:$FB$285,130,FALSE)</f>
        <v/>
      </c>
      <c r="EN46" s="27" t="str">
        <f>VLOOKUP($A46,'[1]Raw Data'!$A$3:$FB$285,131,FALSE)</f>
        <v/>
      </c>
      <c r="EO46" s="27" t="str">
        <f>VLOOKUP($A46,'[1]Raw Data'!$A$3:$FB$285,132,FALSE)</f>
        <v/>
      </c>
      <c r="EP46" s="27" t="str">
        <f>VLOOKUP($A46,'[1]Raw Data'!$A$3:$FB$285,133,FALSE)</f>
        <v/>
      </c>
      <c r="EQ46" s="27" t="str">
        <f>VLOOKUP($A46,'[1]Raw Data'!$A$3:$FB$285,134,FALSE)</f>
        <v/>
      </c>
      <c r="ER46" s="27" t="str">
        <f>VLOOKUP($A46,'[1]Raw Data'!$A$3:$FB$285,135,FALSE)</f>
        <v/>
      </c>
      <c r="ES46" s="27" t="str">
        <f>VLOOKUP($A46,'[1]Raw Data'!$A$3:$FB$285,136,FALSE)</f>
        <v/>
      </c>
      <c r="ET46" s="27" t="str">
        <f>VLOOKUP($A46,'[1]Raw Data'!$A$3:$FB$285,137,FALSE)</f>
        <v/>
      </c>
      <c r="EU46" s="27" t="str">
        <f>VLOOKUP($A46,'[1]Raw Data'!$A$3:$FB$285,138,FALSE)</f>
        <v/>
      </c>
      <c r="EV46" s="27" t="str">
        <f>VLOOKUP($A46,'[1]Raw Data'!$A$3:$FB$285,139,FALSE)</f>
        <v/>
      </c>
      <c r="EW46" s="38">
        <f>VLOOKUP($A46,[1]Training!$A$2:$I$284,5,FALSE)</f>
        <v>251.38461538461539</v>
      </c>
      <c r="EX46" s="31">
        <f>VLOOKUP($A46,[1]Training!$A$2:$I$284,6,FALSE)</f>
        <v>140</v>
      </c>
      <c r="EY46" s="38">
        <f>VLOOKUP($A46,[1]Training!$A$2:$I$284,8,FALSE)</f>
        <v>386.41630799791892</v>
      </c>
      <c r="EZ46" s="31">
        <f>VLOOKUP($A46,[1]Training!$A$2:$I$284,9,FALSE)</f>
        <v>0</v>
      </c>
      <c r="FA46" s="27">
        <v>1</v>
      </c>
      <c r="FB46" s="27">
        <v>2</v>
      </c>
      <c r="FC46" s="27" t="str">
        <f>VLOOKUP($A46,'[1]Raw Data'!$A$3:$FB$285,148,FALSE)</f>
        <v>Prakash Basnet</v>
      </c>
      <c r="FD46" s="27" t="s">
        <v>895</v>
      </c>
      <c r="FE46" s="27" t="str">
        <f>VLOOKUP($A46,'[1]Raw Data'!$A$3:$FB$285,149,FALSE)</f>
        <v>District Coordinator</v>
      </c>
      <c r="FF46" s="27" t="s">
        <v>885</v>
      </c>
      <c r="FG46" s="27">
        <f>VLOOKUP($A46,'[1]Raw Data'!$A$3:$FB$285,150,FALSE)</f>
        <v>9851154315</v>
      </c>
      <c r="FH46" s="27" t="str">
        <f>VLOOKUP($A46,'[1]Raw Data'!$A$3:$FB$285,156,FALSE)</f>
        <v xml:space="preserve">Sagar Chandra Adhikari </v>
      </c>
      <c r="FI46" s="27" t="s">
        <v>896</v>
      </c>
      <c r="FJ46" s="27" t="str">
        <f>VLOOKUP($A46,'[1]Raw Data'!$A$3:$FB$285,157,FALSE)</f>
        <v>District Technical Officer</v>
      </c>
      <c r="FK46" s="27" t="s">
        <v>886</v>
      </c>
      <c r="FL46" s="27">
        <f>VLOOKUP($A46,'[1]Raw Data'!$A$3:$FB$285,158,FALSE)</f>
        <v>9860022103</v>
      </c>
      <c r="FM46" s="27" t="str">
        <f>VLOOKUP($A46,'[1]Raw Data'!$A$3:$FB$285,152,FALSE)</f>
        <v>Uttam Parajuli</v>
      </c>
      <c r="FN46" s="27" t="s">
        <v>897</v>
      </c>
      <c r="FO46" s="27" t="str">
        <f>VLOOKUP($A46,'[1]Raw Data'!$A$3:$FB$285,153,FALSE)</f>
        <v>DIstrict Information Management Officer</v>
      </c>
      <c r="FP46" s="27" t="s">
        <v>887</v>
      </c>
      <c r="FQ46" s="27">
        <f>VLOOKUP($A46,'[1]Raw Data'!$A$3:$FB$285,154,FALSE)</f>
        <v>9849101335</v>
      </c>
    </row>
    <row r="47" spans="1:173" ht="24" x14ac:dyDescent="0.45">
      <c r="A47" s="27">
        <v>13001</v>
      </c>
      <c r="B47" s="36" t="str">
        <f ca="1">IFERROR(__xludf.DUMMYFUNCTION("""COMPUTED_VALUE"""),"Ainselukhark Gaunpalika")</f>
        <v>Ainselukhark Gaunpalika</v>
      </c>
      <c r="C47" s="37" t="str">
        <f>VLOOKUP(A47,'[1]Palika and District in Nepali '!$D$1:$F$283,3,FALSE)</f>
        <v>ऐसेलुखर्क गाऊँपालिका</v>
      </c>
      <c r="D47" s="36" t="str">
        <f ca="1">IFERROR(__xludf.DUMMYFUNCTION("""COMPUTED_VALUE"""),"Khotang")</f>
        <v>Khotang</v>
      </c>
      <c r="E47" s="36"/>
      <c r="F47" s="27">
        <f>VLOOKUP(A47,'[1]Raw Data'!$A$3:$FB$285,4,FALSE)</f>
        <v>381</v>
      </c>
      <c r="G47" s="27">
        <f>VLOOKUP(A47,'[1]Raw Data'!$A$3:$FB$285,5,FALSE)</f>
        <v>850</v>
      </c>
      <c r="H47" s="27">
        <f>VLOOKUP(A47,'[1]Raw Data'!$A$3:$FB$285,6,FALSE)</f>
        <v>1231</v>
      </c>
      <c r="I47" s="27">
        <f>VLOOKUP($A47,'[1]Raw Data'!$A$3:$FB$285,8,FALSE)</f>
        <v>0</v>
      </c>
      <c r="J47" s="27">
        <f>VLOOKUP($A47,'[1]Raw Data'!$A$3:$FB$285,9,FALSE)</f>
        <v>0.14000000000000001</v>
      </c>
      <c r="K47" s="27">
        <f>VLOOKUP($A47,'[1]Raw Data'!$A$3:$FB$285,11,FALSE)</f>
        <v>98.94</v>
      </c>
      <c r="L47" s="27">
        <f>VLOOKUP($A47,'[1]Raw Data'!$A$3:$FB$285,12,FALSE)</f>
        <v>92.74</v>
      </c>
      <c r="M47" s="27">
        <f>VLOOKUP($A47,'[1]Raw Data'!$A$3:$FB$285,14,FALSE)</f>
        <v>0</v>
      </c>
      <c r="N47" s="27">
        <f>VLOOKUP($A47,'[1]Raw Data'!$A$3:$FB$285,15,FALSE)</f>
        <v>0.02</v>
      </c>
      <c r="O47" s="27">
        <f>VLOOKUP($A47,'[1]Raw Data'!$A$3:$FB$285,17,FALSE)</f>
        <v>0.08</v>
      </c>
      <c r="P47" s="27">
        <f>VLOOKUP($A47,'[1]Raw Data'!$A$3:$FB$285,18,FALSE)</f>
        <v>0.05</v>
      </c>
      <c r="Q47" s="27">
        <f>VLOOKUP($A47,'[1]Raw Data'!$A$3:$FB$285,20,FALSE)</f>
        <v>0.16</v>
      </c>
      <c r="R47" s="27">
        <f>VLOOKUP($A47,'[1]Raw Data'!$A$3:$FB$285,21,FALSE)</f>
        <v>0.02</v>
      </c>
      <c r="S47" s="27">
        <f>VLOOKUP($A47,'[1]Raw Data'!$A$3:$FB$285,23,FALSE)</f>
        <v>0</v>
      </c>
      <c r="T47" s="27">
        <f>VLOOKUP($A47,'[1]Raw Data'!$A$3:$FB$285,24,FALSE)</f>
        <v>0</v>
      </c>
      <c r="U47" s="27">
        <f>VLOOKUP($A47,'[1]Raw Data'!$A$3:$FB$285,26,FALSE)</f>
        <v>0.16</v>
      </c>
      <c r="V47" s="27">
        <f>VLOOKUP($A47,'[1]Raw Data'!$A$3:$FB$285,27,FALSE)</f>
        <v>0.28999999999999998</v>
      </c>
      <c r="W47" s="27">
        <f>VLOOKUP($A47,'[1]Raw Data'!$A$3:$FB$285,29,FALSE)</f>
        <v>0</v>
      </c>
      <c r="X47" s="27">
        <f>VLOOKUP($A47,'[1]Raw Data'!$A$3:$FB$285,30,FALSE)</f>
        <v>0</v>
      </c>
      <c r="Y47" s="27">
        <f>VLOOKUP($A47,'[1]Raw Data'!$A$3:$FB$285,32,FALSE)</f>
        <v>0.41</v>
      </c>
      <c r="Z47" s="27">
        <f>VLOOKUP($A47,'[1]Raw Data'!$A$3:$FB$285,33,FALSE)</f>
        <v>0.25</v>
      </c>
      <c r="AA47" s="27">
        <f>VLOOKUP($A47,'[1]Raw Data'!$A$3:$FB$285,35,FALSE)</f>
        <v>0.16</v>
      </c>
      <c r="AB47" s="27">
        <f>VLOOKUP($A47,'[1]Raw Data'!$A$3:$FB$285,36,FALSE)</f>
        <v>6.28</v>
      </c>
      <c r="AC47" s="27">
        <f>VLOOKUP($A47,'[1]Raw Data'!$A$3:$FB$285,38,FALSE)</f>
        <v>0.08</v>
      </c>
      <c r="AD47" s="27">
        <f>VLOOKUP($A47,'[1]Raw Data'!$A$3:$FB$285,39,FALSE)</f>
        <v>0.23</v>
      </c>
      <c r="AE47" s="27">
        <f>VLOOKUP($A47,'[1]Raw Data'!$A$3:$FB$285,41,FALSE)</f>
        <v>0</v>
      </c>
      <c r="AF47" s="27">
        <f>VLOOKUP($A47,'[1]Raw Data'!$A$3:$FB$285,42,FALSE)</f>
        <v>0</v>
      </c>
      <c r="AG47" s="27">
        <f>VLOOKUP($A47,'[1]Raw Data'!$A$3:$FB$285,44,FALSE)</f>
        <v>0</v>
      </c>
      <c r="AH47" s="27">
        <f>VLOOKUP($A47,'[1]Raw Data'!$A$3:$FB$285,45,FALSE)</f>
        <v>0</v>
      </c>
      <c r="AI47" s="27">
        <f>VLOOKUP($A47,'[1]Raw Data'!$A$3:$FB$285,46,FALSE)</f>
        <v>775</v>
      </c>
      <c r="AJ47" s="27">
        <f>VLOOKUP($A47,'[1]Raw Data'!$A$3:$FB$285,47,FALSE)</f>
        <v>55</v>
      </c>
      <c r="AK47" s="27">
        <f>VLOOKUP($A47,'[1]Raw Data'!$A$3:$FB$285,48,FALSE)</f>
        <v>55</v>
      </c>
      <c r="AL47" s="27">
        <f>VLOOKUP($A47,'[1]Raw Data'!$A$3:$FB$285,49,FALSE)</f>
        <v>0</v>
      </c>
      <c r="AM47" s="27">
        <f>VLOOKUP($A47,'[1]Raw Data'!$A$3:$FB$285,50,FALSE)</f>
        <v>0</v>
      </c>
      <c r="AN47" s="27" t="str">
        <f>VLOOKUP($A47,'[1]Raw Data'!$A$3:$FB$285,51,FALSE)</f>
        <v/>
      </c>
      <c r="AO47" s="27" t="str">
        <f>VLOOKUP($A47,'[1]Raw Data'!$A$3:$FB$285,52,FALSE)</f>
        <v/>
      </c>
      <c r="AP47" s="27">
        <f>VLOOKUP($A47,'[1]Raw Data'!$A$3:$FB$285,53,FALSE)</f>
        <v>66</v>
      </c>
      <c r="AQ47" s="27" t="str">
        <f>VLOOKUP($A47,'[1]Raw Data'!$A$3:$FB$285,54,FALSE)</f>
        <v/>
      </c>
      <c r="AR47" s="27" t="str">
        <f>VLOOKUP($A47,'[1]Raw Data'!$A$3:$FB$285,55,FALSE)</f>
        <v/>
      </c>
      <c r="AS47" s="27" t="str">
        <f>VLOOKUP($A47,'[1]Raw Data'!$A$3:$FB$285,56,FALSE)</f>
        <v/>
      </c>
      <c r="AT47" s="27" t="str">
        <f>VLOOKUP($A47,'[1]Raw Data'!$A$3:$FB$285,57,FALSE)</f>
        <v/>
      </c>
      <c r="AU47" s="27" t="str">
        <f>VLOOKUP($A47,'[1]Raw Data'!$A$3:$FB$285,58,FALSE)</f>
        <v/>
      </c>
      <c r="AV47" s="27" t="str">
        <f>VLOOKUP($A47,'[1]Raw Data'!$A$3:$FB$285,59,FALSE)</f>
        <v/>
      </c>
      <c r="AW47" s="27" t="str">
        <f>VLOOKUP($A47,'[1]Raw Data'!$A$3:$FB$285,60,FALSE)</f>
        <v/>
      </c>
      <c r="AX47" s="27" t="str">
        <f>VLOOKUP(A47,'[1]PO''s List'!A45:E327,4,FALSE)</f>
        <v/>
      </c>
      <c r="AZ47" s="27" t="str">
        <f>VLOOKUP(A47,'[1]PO''s List'!$A$3:$E$285,5,FALSE)</f>
        <v/>
      </c>
      <c r="BB47" s="27">
        <f>VLOOKUP($A47,'[1]Raw Data'!$A$3:$FB$285,63,FALSE)</f>
        <v>4719</v>
      </c>
      <c r="BC47" s="27" t="str">
        <f>VLOOKUP($A47,'[1]Raw Data'!$A$3:$FB$285,64,FALSE)</f>
        <v/>
      </c>
      <c r="BD47" s="27" t="str">
        <f t="shared" si="0"/>
        <v/>
      </c>
      <c r="BE47" s="27" t="str">
        <f>VLOOKUP($A47,'[1]Raw Data'!$A$3:$FB$285,65,FALSE)</f>
        <v/>
      </c>
      <c r="BF47" s="27">
        <f>VLOOKUP($A47,'[1]Raw Data'!$A$3:$FB$285,66,FALSE)</f>
        <v>5057</v>
      </c>
      <c r="BG47" s="27" t="str">
        <f>VLOOKUP($A47,'[1]Raw Data'!$A$3:$FB$285,67,FALSE)</f>
        <v/>
      </c>
      <c r="BH47" s="27" t="str">
        <f t="shared" si="1"/>
        <v/>
      </c>
      <c r="BI47" s="27" t="str">
        <f>VLOOKUP($A47,'[1]Raw Data'!$A$3:$FB$285,68,FALSE)</f>
        <v/>
      </c>
      <c r="BJ47" s="27">
        <f>VLOOKUP($A47,'[1]Raw Data'!$A$3:$FB$285,69,FALSE)</f>
        <v>506</v>
      </c>
      <c r="BK47" s="27" t="str">
        <f>VLOOKUP($A47,'[1]Raw Data'!$A$3:$FB$285,70,FALSE)</f>
        <v/>
      </c>
      <c r="BL47" s="27" t="str">
        <f t="shared" si="2"/>
        <v/>
      </c>
      <c r="BM47" s="27" t="str">
        <f>VLOOKUP($A47,'[1]Raw Data'!$A$3:$FB$285,71,FALSE)</f>
        <v/>
      </c>
      <c r="BN47" s="27">
        <f>VLOOKUP($A47,'[1]Raw Data'!$A$3:$FB$285,72,FALSE)</f>
        <v>590</v>
      </c>
      <c r="BO47" s="27" t="str">
        <f>VLOOKUP($A47,'[1]Raw Data'!$A$3:$FB$285,73,FALSE)</f>
        <v/>
      </c>
      <c r="BP47" s="27" t="str">
        <f t="shared" si="3"/>
        <v/>
      </c>
      <c r="BQ47" s="27" t="str">
        <f>VLOOKUP($A47,'[1]Raw Data'!$A$3:$FB$285,74,FALSE)</f>
        <v/>
      </c>
      <c r="BR47" s="27" t="str">
        <f>VLOOKUP($A47,'[1]Raw Data'!$A$3:$FB$285,75,FALSE)</f>
        <v/>
      </c>
      <c r="BS47" s="27" t="str">
        <f>VLOOKUP($A47,'[1]Raw Data'!$A$3:$FB$285,76,FALSE)</f>
        <v/>
      </c>
      <c r="BT47" s="27" t="str">
        <f t="shared" si="4"/>
        <v/>
      </c>
      <c r="BU47" s="27" t="str">
        <f>VLOOKUP($A47,'[1]Raw Data'!$A$3:$FB$285,77,FALSE)</f>
        <v/>
      </c>
      <c r="BV47" s="27">
        <f>VLOOKUP($A47,'[1]Raw Data'!$A$3:$FB$285,78,FALSE)</f>
        <v>16518</v>
      </c>
      <c r="BW47" s="27" t="str">
        <f>VLOOKUP($A47,'[1]Raw Data'!$A$3:$FB$285,79,FALSE)</f>
        <v/>
      </c>
      <c r="BX47" s="27" t="str">
        <f t="shared" si="5"/>
        <v/>
      </c>
      <c r="BY47" s="27" t="str">
        <f>VLOOKUP($A47,'[1]Raw Data'!$A$3:$FB$285,80,FALSE)</f>
        <v/>
      </c>
      <c r="BZ47" s="27">
        <f>VLOOKUP($A47,'[1]Raw Data'!$A$3:$FB$285,81,FALSE)</f>
        <v>50566</v>
      </c>
      <c r="CA47" s="27" t="str">
        <f>VLOOKUP($A47,'[1]Raw Data'!$A$3:$FB$285,82,FALSE)</f>
        <v/>
      </c>
      <c r="CB47" s="27" t="str">
        <f t="shared" si="6"/>
        <v/>
      </c>
      <c r="CC47" s="27" t="str">
        <f>VLOOKUP($A47,'[1]Raw Data'!$A$3:$FB$285,83,FALSE)</f>
        <v/>
      </c>
      <c r="CD47" s="27">
        <f>VLOOKUP($A47,'[1]Raw Data'!$A$3:$FB$285,84,FALSE)</f>
        <v>674</v>
      </c>
      <c r="CE47" s="27" t="str">
        <f>VLOOKUP($A47,'[1]Raw Data'!$A$3:$FB$285,85,FALSE)</f>
        <v/>
      </c>
      <c r="CF47" s="27" t="str">
        <f t="shared" si="7"/>
        <v/>
      </c>
      <c r="CG47" s="27" t="str">
        <f>VLOOKUP($A47,'[1]Raw Data'!$A$3:$FB$285,86,FALSE)</f>
        <v/>
      </c>
      <c r="CH47" s="27">
        <f>VLOOKUP($A47,'[1]Raw Data'!$A$3:$FB$285,87,FALSE)</f>
        <v>0</v>
      </c>
      <c r="CI47" s="27" t="str">
        <f>VLOOKUP($A47,'[1]Raw Data'!$A$3:$FB$285,88,FALSE)</f>
        <v/>
      </c>
      <c r="CJ47" s="27" t="str">
        <f t="shared" si="8"/>
        <v/>
      </c>
      <c r="CK47" s="27" t="str">
        <f>VLOOKUP($A47,'[1]Raw Data'!$A$3:$FB$285,89,FALSE)</f>
        <v/>
      </c>
      <c r="CL47" s="27" t="str">
        <f>VLOOKUP($A47,'[1]Raw Data'!$A$3:$FB$285,91,FALSE)</f>
        <v/>
      </c>
      <c r="CM47" s="27" t="str">
        <f>VLOOKUP($A47,'[1]Raw Data'!$A$3:$FB$285,93,FALSE)</f>
        <v/>
      </c>
      <c r="CN47" s="27" t="str">
        <f>VLOOKUP($A47,'[1]Raw Data'!$A$3:$FB$285,94,FALSE)</f>
        <v/>
      </c>
      <c r="CO47" s="27" t="str">
        <f>VLOOKUP($A47,'[1]Raw Data'!$A$3:$FB$285,95,FALSE)</f>
        <v/>
      </c>
      <c r="CP47" s="27" t="str">
        <f>VLOOKUP($A47,'[1]Raw Data'!$A$3:$FB$285,96,FALSE)</f>
        <v/>
      </c>
      <c r="CQ47" s="27" t="str">
        <f>VLOOKUP($A47,'[1]Raw Data'!$A$3:$FB$285,97,FALSE)</f>
        <v/>
      </c>
      <c r="CR47" s="27" t="str">
        <f>VLOOKUP($A47,'[1]Raw Data'!$A$3:$FB$285,98,FALSE)</f>
        <v/>
      </c>
      <c r="CS47" s="27" t="str">
        <f>VLOOKUP($A47,'[1]Raw Data'!$A$3:$FB$285,99,FALSE)</f>
        <v/>
      </c>
      <c r="CT47" s="27" t="str">
        <f>VLOOKUP($A47,'[1]Raw Data'!$A$3:$FB$285,101,FALSE)</f>
        <v/>
      </c>
      <c r="CV47" s="27" t="str">
        <f>VLOOKUP($A47,'[1]Raw Data'!$A$3:$FB$285,102,FALSE)</f>
        <v>Chairman</v>
      </c>
      <c r="CW47" s="27" t="s">
        <v>878</v>
      </c>
      <c r="CX47" s="27" t="str">
        <f>VLOOKUP($A47,'[1]Raw Data'!$A$3:$FB$285,103,FALSE)</f>
        <v/>
      </c>
      <c r="CY47" s="27" t="str">
        <f>VLOOKUP($A47,'[1]Raw Data'!$A$3:$FB$285,105,FALSE)</f>
        <v/>
      </c>
      <c r="DA47" s="27" t="str">
        <f>VLOOKUP($A47,'[1]Raw Data'!$A$3:$FB$285,106,FALSE)</f>
        <v>Deputy Chairman</v>
      </c>
      <c r="DB47" s="27" t="s">
        <v>879</v>
      </c>
      <c r="DC47" s="27" t="str">
        <f>VLOOKUP($A47,'[1]Raw Data'!$A$3:$FB$285,107,FALSE)</f>
        <v/>
      </c>
      <c r="DD47" s="27" t="str">
        <f>VLOOKUP($A47,'[1]Raw Data'!$A$3:$FB$285,109,FALSE)</f>
        <v/>
      </c>
      <c r="DF47" s="27" t="str">
        <f>VLOOKUP($A47,'[1]Raw Data'!$A$3:$FB$285,110,FALSE)</f>
        <v>Adminstration Officer</v>
      </c>
      <c r="DG47" s="27" t="s">
        <v>880</v>
      </c>
      <c r="DH47" s="27" t="str">
        <f>VLOOKUP($A47,'[1]Raw Data'!$A$3:$FB$285,111,FALSE)</f>
        <v/>
      </c>
      <c r="DI47" s="27" t="str">
        <f>VLOOKUP($A47,'[1]Raw Data'!$A$3:$FB$285,121,FALSE)</f>
        <v/>
      </c>
      <c r="DK47" s="27" t="str">
        <f>VLOOKUP($A47,'[1]Raw Data'!$A$3:$FB$285,122,FALSE)</f>
        <v>Focal Person</v>
      </c>
      <c r="DL47" s="27" t="s">
        <v>881</v>
      </c>
      <c r="DM47" s="27" t="str">
        <f>VLOOKUP($A47,'[1]Raw Data'!$A$3:$FB$285,123,FALSE)</f>
        <v/>
      </c>
      <c r="DN47" s="27" t="str">
        <f>VLOOKUP($A47,'[1]Raw Data'!$A$3:$FB$285,113,FALSE)</f>
        <v/>
      </c>
      <c r="DP47" s="27" t="str">
        <f>VLOOKUP($A47,'[1]Raw Data'!$A$3:$FB$285,114,FALSE)</f>
        <v>NRA Chief-District</v>
      </c>
      <c r="DQ47" s="27" t="s">
        <v>882</v>
      </c>
      <c r="DR47" s="27" t="str">
        <f>VLOOKUP($A47,'[1]Raw Data'!$A$3:$FB$285,115,FALSE)</f>
        <v/>
      </c>
      <c r="DS47" s="27" t="str">
        <f>VLOOKUP($A47,'[1]Raw Data'!$A$3:$FB$285,117,FALSE)</f>
        <v/>
      </c>
      <c r="DU47" s="27" t="str">
        <f>VLOOKUP($A47,'[1]Raw Data'!$A$3:$FB$285,118,FALSE)</f>
        <v>DUDBC.DLPIU Chief</v>
      </c>
      <c r="DV47" s="27" t="s">
        <v>883</v>
      </c>
      <c r="DW47" s="27" t="str">
        <f>VLOOKUP($A47,'[1]Raw Data'!$A$3:$FB$285,119,FALSE)</f>
        <v/>
      </c>
      <c r="DX47" s="27" t="s">
        <v>339</v>
      </c>
      <c r="DY47" s="27" t="str">
        <f>VLOOKUP($A47,'[1]Raw Data'!$A$3:$FB$285,124,FALSE)</f>
        <v/>
      </c>
      <c r="DZ47" s="27" t="s">
        <v>884</v>
      </c>
      <c r="EA47" s="27" t="str">
        <f>VLOOKUP($A47,'[1]Raw Data'!$A$3:$FB$285,125,FALSE)</f>
        <v/>
      </c>
      <c r="EB47" s="27" t="s">
        <v>341</v>
      </c>
      <c r="EC47" s="27" t="str">
        <f>VLOOKUP($A47,'[1]Raw Data'!$A$3:$FB$285,126,FALSE)</f>
        <v/>
      </c>
      <c r="ED47" t="s">
        <v>478</v>
      </c>
      <c r="EE47" s="27" t="str">
        <f>VLOOKUP($A47,'[1]Raw Data'!$A$3:$FB$285,127,FALSE)</f>
        <v/>
      </c>
      <c r="EF47" s="27" t="s">
        <v>343</v>
      </c>
      <c r="EG47" s="27" t="str">
        <f>VLOOKUP($A47,'[1]Raw Data'!$A$3:$FB$285,128,FALSE)</f>
        <v/>
      </c>
      <c r="EH47" t="s">
        <v>344</v>
      </c>
      <c r="EI47" s="27" t="str">
        <f>VLOOKUP($A47,'[1]Raw Data'!$A$3:$FB$285,129,FALSE)</f>
        <v/>
      </c>
      <c r="EM47" s="27" t="str">
        <f>VLOOKUP($A47,'[1]Raw Data'!$A$3:$FB$285,130,FALSE)</f>
        <v/>
      </c>
      <c r="EN47" s="27" t="str">
        <f>VLOOKUP($A47,'[1]Raw Data'!$A$3:$FB$285,131,FALSE)</f>
        <v/>
      </c>
      <c r="EO47" s="27" t="str">
        <f>VLOOKUP($A47,'[1]Raw Data'!$A$3:$FB$285,132,FALSE)</f>
        <v/>
      </c>
      <c r="EP47" s="27" t="str">
        <f>VLOOKUP($A47,'[1]Raw Data'!$A$3:$FB$285,133,FALSE)</f>
        <v/>
      </c>
      <c r="EQ47" s="27" t="str">
        <f>VLOOKUP($A47,'[1]Raw Data'!$A$3:$FB$285,134,FALSE)</f>
        <v/>
      </c>
      <c r="ER47" s="27" t="str">
        <f>VLOOKUP($A47,'[1]Raw Data'!$A$3:$FB$285,135,FALSE)</f>
        <v/>
      </c>
      <c r="ES47" s="27" t="str">
        <f>VLOOKUP($A47,'[1]Raw Data'!$A$3:$FB$285,136,FALSE)</f>
        <v/>
      </c>
      <c r="ET47" s="27" t="str">
        <f>VLOOKUP($A47,'[1]Raw Data'!$A$3:$FB$285,137,FALSE)</f>
        <v/>
      </c>
      <c r="EU47" s="27" t="str">
        <f>VLOOKUP($A47,'[1]Raw Data'!$A$3:$FB$285,138,FALSE)</f>
        <v/>
      </c>
      <c r="EV47" s="27" t="str">
        <f>VLOOKUP($A47,'[1]Raw Data'!$A$3:$FB$285,139,FALSE)</f>
        <v/>
      </c>
      <c r="EW47" s="38">
        <f>VLOOKUP($A47,[1]Training!$A$2:$I$284,5,FALSE)</f>
        <v>59.615384615384613</v>
      </c>
      <c r="EX47" s="31">
        <f>VLOOKUP($A47,[1]Training!$A$2:$I$284,6,FALSE)</f>
        <v>0</v>
      </c>
      <c r="EY47" s="38">
        <f>VLOOKUP($A47,[1]Training!$A$2:$I$284,8,FALSE)</f>
        <v>70.454545454545453</v>
      </c>
      <c r="EZ47" s="31">
        <f>VLOOKUP($A47,[1]Training!$A$2:$I$284,9,FALSE)</f>
        <v>37</v>
      </c>
      <c r="FA47" s="27">
        <v>1</v>
      </c>
      <c r="FB47" s="27">
        <v>2</v>
      </c>
      <c r="FC47" s="27" t="str">
        <f>VLOOKUP($A47,'[1]Raw Data'!$A$3:$FB$285,148,FALSE)</f>
        <v/>
      </c>
      <c r="FE47" s="27" t="str">
        <f>VLOOKUP($A47,'[1]Raw Data'!$A$3:$FB$285,149,FALSE)</f>
        <v>District Coordinator</v>
      </c>
      <c r="FF47" s="27" t="s">
        <v>885</v>
      </c>
      <c r="FG47" s="27" t="str">
        <f>VLOOKUP($A47,'[1]Raw Data'!$A$3:$FB$285,150,FALSE)</f>
        <v/>
      </c>
      <c r="FH47" s="27" t="str">
        <f>VLOOKUP($A47,'[1]Raw Data'!$A$3:$FB$285,156,FALSE)</f>
        <v/>
      </c>
      <c r="FJ47" s="27" t="str">
        <f>VLOOKUP($A47,'[1]Raw Data'!$A$3:$FB$285,157,FALSE)</f>
        <v>District Technical Officer</v>
      </c>
      <c r="FK47" s="27" t="s">
        <v>886</v>
      </c>
      <c r="FL47" s="27" t="str">
        <f>VLOOKUP($A47,'[1]Raw Data'!$A$3:$FB$285,158,FALSE)</f>
        <v/>
      </c>
      <c r="FM47" s="27" t="str">
        <f>VLOOKUP($A47,'[1]Raw Data'!$A$3:$FB$285,152,FALSE)</f>
        <v/>
      </c>
      <c r="FO47" s="27" t="str">
        <f>VLOOKUP($A47,'[1]Raw Data'!$A$3:$FB$285,153,FALSE)</f>
        <v>DIstrict Information Management Officer</v>
      </c>
      <c r="FP47" s="27" t="s">
        <v>887</v>
      </c>
      <c r="FQ47" s="27" t="str">
        <f>VLOOKUP($A47,'[1]Raw Data'!$A$3:$FB$285,154,FALSE)</f>
        <v/>
      </c>
    </row>
    <row r="48" spans="1:173" ht="24" x14ac:dyDescent="0.45">
      <c r="A48" s="27">
        <v>13002</v>
      </c>
      <c r="B48" s="36" t="str">
        <f ca="1">IFERROR(__xludf.DUMMYFUNCTION("""COMPUTED_VALUE"""),"Barahapokhari Gaunpalika")</f>
        <v>Barahapokhari Gaunpalika</v>
      </c>
      <c r="C48" s="37" t="str">
        <f>VLOOKUP(A48,'[1]Palika and District in Nepali '!$D$1:$F$283,3,FALSE)</f>
        <v>बाराहपोखरी गाऊँपालिका</v>
      </c>
      <c r="D48" s="36" t="str">
        <f ca="1">IFERROR(__xludf.DUMMYFUNCTION("""COMPUTED_VALUE"""),"Khotang")</f>
        <v>Khotang</v>
      </c>
      <c r="E48" s="36"/>
      <c r="F48" s="27">
        <f>VLOOKUP(A48,'[1]Raw Data'!$A$3:$FB$285,4,FALSE)</f>
        <v>91</v>
      </c>
      <c r="G48" s="27">
        <f>VLOOKUP(A48,'[1]Raw Data'!$A$3:$FB$285,5,FALSE)</f>
        <v>470</v>
      </c>
      <c r="H48" s="27">
        <f>VLOOKUP(A48,'[1]Raw Data'!$A$3:$FB$285,6,FALSE)</f>
        <v>561</v>
      </c>
      <c r="I48" s="27">
        <f>VLOOKUP($A48,'[1]Raw Data'!$A$3:$FB$285,8,FALSE)</f>
        <v>0.18</v>
      </c>
      <c r="J48" s="27">
        <f>VLOOKUP($A48,'[1]Raw Data'!$A$3:$FB$285,9,FALSE)</f>
        <v>0.14000000000000001</v>
      </c>
      <c r="K48" s="27">
        <f>VLOOKUP($A48,'[1]Raw Data'!$A$3:$FB$285,11,FALSE)</f>
        <v>98.57</v>
      </c>
      <c r="L48" s="27">
        <f>VLOOKUP($A48,'[1]Raw Data'!$A$3:$FB$285,12,FALSE)</f>
        <v>92.74</v>
      </c>
      <c r="M48" s="27">
        <f>VLOOKUP($A48,'[1]Raw Data'!$A$3:$FB$285,14,FALSE)</f>
        <v>0</v>
      </c>
      <c r="N48" s="27">
        <f>VLOOKUP($A48,'[1]Raw Data'!$A$3:$FB$285,15,FALSE)</f>
        <v>0.02</v>
      </c>
      <c r="O48" s="27">
        <f>VLOOKUP($A48,'[1]Raw Data'!$A$3:$FB$285,17,FALSE)</f>
        <v>0</v>
      </c>
      <c r="P48" s="27">
        <f>VLOOKUP($A48,'[1]Raw Data'!$A$3:$FB$285,18,FALSE)</f>
        <v>0.05</v>
      </c>
      <c r="Q48" s="27">
        <f>VLOOKUP($A48,'[1]Raw Data'!$A$3:$FB$285,20,FALSE)</f>
        <v>0</v>
      </c>
      <c r="R48" s="27">
        <f>VLOOKUP($A48,'[1]Raw Data'!$A$3:$FB$285,21,FALSE)</f>
        <v>0.02</v>
      </c>
      <c r="S48" s="27">
        <f>VLOOKUP($A48,'[1]Raw Data'!$A$3:$FB$285,23,FALSE)</f>
        <v>0</v>
      </c>
      <c r="T48" s="27">
        <f>VLOOKUP($A48,'[1]Raw Data'!$A$3:$FB$285,24,FALSE)</f>
        <v>0</v>
      </c>
      <c r="U48" s="27">
        <f>VLOOKUP($A48,'[1]Raw Data'!$A$3:$FB$285,26,FALSE)</f>
        <v>0.18</v>
      </c>
      <c r="V48" s="27">
        <f>VLOOKUP($A48,'[1]Raw Data'!$A$3:$FB$285,27,FALSE)</f>
        <v>0.28999999999999998</v>
      </c>
      <c r="W48" s="27">
        <f>VLOOKUP($A48,'[1]Raw Data'!$A$3:$FB$285,29,FALSE)</f>
        <v>0</v>
      </c>
      <c r="X48" s="27">
        <f>VLOOKUP($A48,'[1]Raw Data'!$A$3:$FB$285,30,FALSE)</f>
        <v>0</v>
      </c>
      <c r="Y48" s="27">
        <f>VLOOKUP($A48,'[1]Raw Data'!$A$3:$FB$285,32,FALSE)</f>
        <v>0.18</v>
      </c>
      <c r="Z48" s="27">
        <f>VLOOKUP($A48,'[1]Raw Data'!$A$3:$FB$285,33,FALSE)</f>
        <v>0.25</v>
      </c>
      <c r="AA48" s="27">
        <f>VLOOKUP($A48,'[1]Raw Data'!$A$3:$FB$285,35,FALSE)</f>
        <v>0.71</v>
      </c>
      <c r="AB48" s="27">
        <f>VLOOKUP($A48,'[1]Raw Data'!$A$3:$FB$285,36,FALSE)</f>
        <v>6.28</v>
      </c>
      <c r="AC48" s="27">
        <f>VLOOKUP($A48,'[1]Raw Data'!$A$3:$FB$285,38,FALSE)</f>
        <v>0.18</v>
      </c>
      <c r="AD48" s="27">
        <f>VLOOKUP($A48,'[1]Raw Data'!$A$3:$FB$285,39,FALSE)</f>
        <v>0.23</v>
      </c>
      <c r="AE48" s="27">
        <f>VLOOKUP($A48,'[1]Raw Data'!$A$3:$FB$285,41,FALSE)</f>
        <v>0</v>
      </c>
      <c r="AF48" s="27">
        <f>VLOOKUP($A48,'[1]Raw Data'!$A$3:$FB$285,42,FALSE)</f>
        <v>0</v>
      </c>
      <c r="AG48" s="27">
        <f>VLOOKUP($A48,'[1]Raw Data'!$A$3:$FB$285,44,FALSE)</f>
        <v>0</v>
      </c>
      <c r="AH48" s="27">
        <f>VLOOKUP($A48,'[1]Raw Data'!$A$3:$FB$285,45,FALSE)</f>
        <v>0</v>
      </c>
      <c r="AI48" s="27">
        <f>VLOOKUP($A48,'[1]Raw Data'!$A$3:$FB$285,46,FALSE)</f>
        <v>475</v>
      </c>
      <c r="AJ48" s="27">
        <f>VLOOKUP($A48,'[1]Raw Data'!$A$3:$FB$285,47,FALSE)</f>
        <v>170</v>
      </c>
      <c r="AK48" s="27">
        <f>VLOOKUP($A48,'[1]Raw Data'!$A$3:$FB$285,48,FALSE)</f>
        <v>170</v>
      </c>
      <c r="AL48" s="27">
        <f>VLOOKUP($A48,'[1]Raw Data'!$A$3:$FB$285,49,FALSE)</f>
        <v>113</v>
      </c>
      <c r="AM48" s="27">
        <f>VLOOKUP($A48,'[1]Raw Data'!$A$3:$FB$285,50,FALSE)</f>
        <v>0</v>
      </c>
      <c r="AN48" s="27" t="str">
        <f>VLOOKUP($A48,'[1]Raw Data'!$A$3:$FB$285,51,FALSE)</f>
        <v/>
      </c>
      <c r="AO48" s="27" t="str">
        <f>VLOOKUP($A48,'[1]Raw Data'!$A$3:$FB$285,52,FALSE)</f>
        <v/>
      </c>
      <c r="AP48" s="27">
        <f>VLOOKUP($A48,'[1]Raw Data'!$A$3:$FB$285,53,FALSE)</f>
        <v>7</v>
      </c>
      <c r="AQ48" s="27" t="str">
        <f>VLOOKUP($A48,'[1]Raw Data'!$A$3:$FB$285,54,FALSE)</f>
        <v/>
      </c>
      <c r="AR48" s="27" t="str">
        <f>VLOOKUP($A48,'[1]Raw Data'!$A$3:$FB$285,55,FALSE)</f>
        <v/>
      </c>
      <c r="AS48" s="27" t="str">
        <f>VLOOKUP($A48,'[1]Raw Data'!$A$3:$FB$285,56,FALSE)</f>
        <v/>
      </c>
      <c r="AT48" s="27" t="str">
        <f>VLOOKUP($A48,'[1]Raw Data'!$A$3:$FB$285,57,FALSE)</f>
        <v/>
      </c>
      <c r="AU48" s="27" t="str">
        <f>VLOOKUP($A48,'[1]Raw Data'!$A$3:$FB$285,58,FALSE)</f>
        <v/>
      </c>
      <c r="AV48" s="27" t="str">
        <f>VLOOKUP($A48,'[1]Raw Data'!$A$3:$FB$285,59,FALSE)</f>
        <v/>
      </c>
      <c r="AW48" s="27" t="str">
        <f>VLOOKUP($A48,'[1]Raw Data'!$A$3:$FB$285,60,FALSE)</f>
        <v/>
      </c>
      <c r="AX48" s="27" t="str">
        <f>VLOOKUP(A48,'[1]PO''s List'!A46:E328,4,FALSE)</f>
        <v/>
      </c>
      <c r="AZ48" s="27" t="str">
        <f>VLOOKUP(A48,'[1]PO''s List'!$A$3:$E$285,5,FALSE)</f>
        <v/>
      </c>
      <c r="BB48" s="27">
        <f>VLOOKUP($A48,'[1]Raw Data'!$A$3:$FB$285,63,FALSE)</f>
        <v>8034</v>
      </c>
      <c r="BC48" s="27" t="str">
        <f>VLOOKUP($A48,'[1]Raw Data'!$A$3:$FB$285,64,FALSE)</f>
        <v/>
      </c>
      <c r="BD48" s="27" t="str">
        <f t="shared" si="0"/>
        <v/>
      </c>
      <c r="BE48" s="27" t="str">
        <f>VLOOKUP($A48,'[1]Raw Data'!$A$3:$FB$285,65,FALSE)</f>
        <v/>
      </c>
      <c r="BF48" s="27">
        <f>VLOOKUP($A48,'[1]Raw Data'!$A$3:$FB$285,66,FALSE)</f>
        <v>8173</v>
      </c>
      <c r="BG48" s="27" t="str">
        <f>VLOOKUP($A48,'[1]Raw Data'!$A$3:$FB$285,67,FALSE)</f>
        <v/>
      </c>
      <c r="BH48" s="27" t="str">
        <f t="shared" si="1"/>
        <v/>
      </c>
      <c r="BI48" s="27" t="str">
        <f>VLOOKUP($A48,'[1]Raw Data'!$A$3:$FB$285,68,FALSE)</f>
        <v/>
      </c>
      <c r="BJ48" s="27">
        <f>VLOOKUP($A48,'[1]Raw Data'!$A$3:$FB$285,69,FALSE)</f>
        <v>858</v>
      </c>
      <c r="BK48" s="27" t="str">
        <f>VLOOKUP($A48,'[1]Raw Data'!$A$3:$FB$285,70,FALSE)</f>
        <v/>
      </c>
      <c r="BL48" s="27" t="str">
        <f t="shared" si="2"/>
        <v/>
      </c>
      <c r="BM48" s="27" t="str">
        <f>VLOOKUP($A48,'[1]Raw Data'!$A$3:$FB$285,71,FALSE)</f>
        <v/>
      </c>
      <c r="BN48" s="27">
        <f>VLOOKUP($A48,'[1]Raw Data'!$A$3:$FB$285,72,FALSE)</f>
        <v>989</v>
      </c>
      <c r="BO48" s="27" t="str">
        <f>VLOOKUP($A48,'[1]Raw Data'!$A$3:$FB$285,73,FALSE)</f>
        <v/>
      </c>
      <c r="BP48" s="27" t="str">
        <f t="shared" si="3"/>
        <v/>
      </c>
      <c r="BQ48" s="27" t="str">
        <f>VLOOKUP($A48,'[1]Raw Data'!$A$3:$FB$285,74,FALSE)</f>
        <v/>
      </c>
      <c r="BR48" s="27" t="str">
        <f>VLOOKUP($A48,'[1]Raw Data'!$A$3:$FB$285,75,FALSE)</f>
        <v/>
      </c>
      <c r="BS48" s="27" t="str">
        <f>VLOOKUP($A48,'[1]Raw Data'!$A$3:$FB$285,76,FALSE)</f>
        <v/>
      </c>
      <c r="BT48" s="27" t="str">
        <f t="shared" si="4"/>
        <v/>
      </c>
      <c r="BU48" s="27" t="str">
        <f>VLOOKUP($A48,'[1]Raw Data'!$A$3:$FB$285,77,FALSE)</f>
        <v/>
      </c>
      <c r="BV48" s="27">
        <f>VLOOKUP($A48,'[1]Raw Data'!$A$3:$FB$285,78,FALSE)</f>
        <v>27358</v>
      </c>
      <c r="BW48" s="27" t="str">
        <f>VLOOKUP($A48,'[1]Raw Data'!$A$3:$FB$285,79,FALSE)</f>
        <v/>
      </c>
      <c r="BX48" s="27" t="str">
        <f t="shared" si="5"/>
        <v/>
      </c>
      <c r="BY48" s="27" t="str">
        <f>VLOOKUP($A48,'[1]Raw Data'!$A$3:$FB$285,80,FALSE)</f>
        <v/>
      </c>
      <c r="BZ48" s="27">
        <f>VLOOKUP($A48,'[1]Raw Data'!$A$3:$FB$285,81,FALSE)</f>
        <v>87552</v>
      </c>
      <c r="CA48" s="27" t="str">
        <f>VLOOKUP($A48,'[1]Raw Data'!$A$3:$FB$285,82,FALSE)</f>
        <v/>
      </c>
      <c r="CB48" s="27" t="str">
        <f t="shared" si="6"/>
        <v/>
      </c>
      <c r="CC48" s="27" t="str">
        <f>VLOOKUP($A48,'[1]Raw Data'!$A$3:$FB$285,83,FALSE)</f>
        <v/>
      </c>
      <c r="CD48" s="27">
        <f>VLOOKUP($A48,'[1]Raw Data'!$A$3:$FB$285,84,FALSE)</f>
        <v>1120</v>
      </c>
      <c r="CE48" s="27" t="str">
        <f>VLOOKUP($A48,'[1]Raw Data'!$A$3:$FB$285,85,FALSE)</f>
        <v/>
      </c>
      <c r="CF48" s="27" t="str">
        <f t="shared" si="7"/>
        <v/>
      </c>
      <c r="CG48" s="27" t="str">
        <f>VLOOKUP($A48,'[1]Raw Data'!$A$3:$FB$285,86,FALSE)</f>
        <v/>
      </c>
      <c r="CH48" s="27">
        <f>VLOOKUP($A48,'[1]Raw Data'!$A$3:$FB$285,87,FALSE)</f>
        <v>125271</v>
      </c>
      <c r="CI48" s="27" t="str">
        <f>VLOOKUP($A48,'[1]Raw Data'!$A$3:$FB$285,88,FALSE)</f>
        <v/>
      </c>
      <c r="CJ48" s="27" t="str">
        <f t="shared" si="8"/>
        <v/>
      </c>
      <c r="CK48" s="27" t="str">
        <f>VLOOKUP($A48,'[1]Raw Data'!$A$3:$FB$285,89,FALSE)</f>
        <v/>
      </c>
      <c r="CL48" s="27" t="str">
        <f>VLOOKUP($A48,'[1]Raw Data'!$A$3:$FB$285,91,FALSE)</f>
        <v/>
      </c>
      <c r="CM48" s="27" t="str">
        <f>VLOOKUP($A48,'[1]Raw Data'!$A$3:$FB$285,93,FALSE)</f>
        <v/>
      </c>
      <c r="CN48" s="27" t="str">
        <f>VLOOKUP($A48,'[1]Raw Data'!$A$3:$FB$285,94,FALSE)</f>
        <v/>
      </c>
      <c r="CO48" s="27" t="str">
        <f>VLOOKUP($A48,'[1]Raw Data'!$A$3:$FB$285,95,FALSE)</f>
        <v/>
      </c>
      <c r="CP48" s="27" t="str">
        <f>VLOOKUP($A48,'[1]Raw Data'!$A$3:$FB$285,96,FALSE)</f>
        <v/>
      </c>
      <c r="CQ48" s="27" t="str">
        <f>VLOOKUP($A48,'[1]Raw Data'!$A$3:$FB$285,97,FALSE)</f>
        <v/>
      </c>
      <c r="CR48" s="27" t="str">
        <f>VLOOKUP($A48,'[1]Raw Data'!$A$3:$FB$285,98,FALSE)</f>
        <v/>
      </c>
      <c r="CS48" s="27" t="str">
        <f>VLOOKUP($A48,'[1]Raw Data'!$A$3:$FB$285,99,FALSE)</f>
        <v/>
      </c>
      <c r="CT48" s="27" t="str">
        <f>VLOOKUP($A48,'[1]Raw Data'!$A$3:$FB$285,101,FALSE)</f>
        <v/>
      </c>
      <c r="CV48" s="27" t="str">
        <f>VLOOKUP($A48,'[1]Raw Data'!$A$3:$FB$285,102,FALSE)</f>
        <v>Chairman</v>
      </c>
      <c r="CW48" s="27" t="s">
        <v>878</v>
      </c>
      <c r="CX48" s="27" t="str">
        <f>VLOOKUP($A48,'[1]Raw Data'!$A$3:$FB$285,103,FALSE)</f>
        <v/>
      </c>
      <c r="CY48" s="27" t="str">
        <f>VLOOKUP($A48,'[1]Raw Data'!$A$3:$FB$285,105,FALSE)</f>
        <v/>
      </c>
      <c r="DA48" s="27" t="str">
        <f>VLOOKUP($A48,'[1]Raw Data'!$A$3:$FB$285,106,FALSE)</f>
        <v>Deputy Chairman</v>
      </c>
      <c r="DB48" s="27" t="s">
        <v>879</v>
      </c>
      <c r="DC48" s="27" t="str">
        <f>VLOOKUP($A48,'[1]Raw Data'!$A$3:$FB$285,107,FALSE)</f>
        <v/>
      </c>
      <c r="DD48" s="27" t="str">
        <f>VLOOKUP($A48,'[1]Raw Data'!$A$3:$FB$285,109,FALSE)</f>
        <v/>
      </c>
      <c r="DF48" s="27" t="str">
        <f>VLOOKUP($A48,'[1]Raw Data'!$A$3:$FB$285,110,FALSE)</f>
        <v>Adminstration Officer</v>
      </c>
      <c r="DG48" s="27" t="s">
        <v>880</v>
      </c>
      <c r="DH48" s="27" t="str">
        <f>VLOOKUP($A48,'[1]Raw Data'!$A$3:$FB$285,111,FALSE)</f>
        <v/>
      </c>
      <c r="DI48" s="27" t="str">
        <f>VLOOKUP($A48,'[1]Raw Data'!$A$3:$FB$285,121,FALSE)</f>
        <v/>
      </c>
      <c r="DK48" s="27" t="str">
        <f>VLOOKUP($A48,'[1]Raw Data'!$A$3:$FB$285,122,FALSE)</f>
        <v>Focal Person</v>
      </c>
      <c r="DL48" s="27" t="s">
        <v>881</v>
      </c>
      <c r="DM48" s="27" t="str">
        <f>VLOOKUP($A48,'[1]Raw Data'!$A$3:$FB$285,123,FALSE)</f>
        <v/>
      </c>
      <c r="DN48" s="27" t="str">
        <f>VLOOKUP($A48,'[1]Raw Data'!$A$3:$FB$285,113,FALSE)</f>
        <v/>
      </c>
      <c r="DP48" s="27" t="str">
        <f>VLOOKUP($A48,'[1]Raw Data'!$A$3:$FB$285,114,FALSE)</f>
        <v>NRA Chief-District</v>
      </c>
      <c r="DQ48" s="27" t="s">
        <v>882</v>
      </c>
      <c r="DR48" s="27" t="str">
        <f>VLOOKUP($A48,'[1]Raw Data'!$A$3:$FB$285,115,FALSE)</f>
        <v/>
      </c>
      <c r="DS48" s="27" t="str">
        <f>VLOOKUP($A48,'[1]Raw Data'!$A$3:$FB$285,117,FALSE)</f>
        <v/>
      </c>
      <c r="DU48" s="27" t="str">
        <f>VLOOKUP($A48,'[1]Raw Data'!$A$3:$FB$285,118,FALSE)</f>
        <v>DUDBC.DLPIU Chief</v>
      </c>
      <c r="DV48" s="27" t="s">
        <v>883</v>
      </c>
      <c r="DW48" s="27" t="str">
        <f>VLOOKUP($A48,'[1]Raw Data'!$A$3:$FB$285,119,FALSE)</f>
        <v/>
      </c>
      <c r="DX48" s="27" t="s">
        <v>339</v>
      </c>
      <c r="DY48" s="27" t="str">
        <f>VLOOKUP($A48,'[1]Raw Data'!$A$3:$FB$285,124,FALSE)</f>
        <v/>
      </c>
      <c r="DZ48" s="27" t="s">
        <v>884</v>
      </c>
      <c r="EA48" s="27" t="str">
        <f>VLOOKUP($A48,'[1]Raw Data'!$A$3:$FB$285,125,FALSE)</f>
        <v/>
      </c>
      <c r="EB48" s="27" t="s">
        <v>341</v>
      </c>
      <c r="EC48" s="27" t="str">
        <f>VLOOKUP($A48,'[1]Raw Data'!$A$3:$FB$285,126,FALSE)</f>
        <v/>
      </c>
      <c r="ED48" t="s">
        <v>478</v>
      </c>
      <c r="EE48" s="27" t="str">
        <f>VLOOKUP($A48,'[1]Raw Data'!$A$3:$FB$285,127,FALSE)</f>
        <v/>
      </c>
      <c r="EF48" s="27" t="s">
        <v>343</v>
      </c>
      <c r="EG48" s="27" t="str">
        <f>VLOOKUP($A48,'[1]Raw Data'!$A$3:$FB$285,128,FALSE)</f>
        <v/>
      </c>
      <c r="EH48" t="s">
        <v>344</v>
      </c>
      <c r="EI48" s="27" t="str">
        <f>VLOOKUP($A48,'[1]Raw Data'!$A$3:$FB$285,129,FALSE)</f>
        <v/>
      </c>
      <c r="EM48" s="27" t="str">
        <f>VLOOKUP($A48,'[1]Raw Data'!$A$3:$FB$285,130,FALSE)</f>
        <v/>
      </c>
      <c r="EN48" s="27" t="str">
        <f>VLOOKUP($A48,'[1]Raw Data'!$A$3:$FB$285,131,FALSE)</f>
        <v/>
      </c>
      <c r="EO48" s="27" t="str">
        <f>VLOOKUP($A48,'[1]Raw Data'!$A$3:$FB$285,132,FALSE)</f>
        <v/>
      </c>
      <c r="EP48" s="27" t="str">
        <f>VLOOKUP($A48,'[1]Raw Data'!$A$3:$FB$285,133,FALSE)</f>
        <v/>
      </c>
      <c r="EQ48" s="27" t="str">
        <f>VLOOKUP($A48,'[1]Raw Data'!$A$3:$FB$285,134,FALSE)</f>
        <v/>
      </c>
      <c r="ER48" s="27" t="str">
        <f>VLOOKUP($A48,'[1]Raw Data'!$A$3:$FB$285,135,FALSE)</f>
        <v/>
      </c>
      <c r="ES48" s="27" t="str">
        <f>VLOOKUP($A48,'[1]Raw Data'!$A$3:$FB$285,136,FALSE)</f>
        <v/>
      </c>
      <c r="ET48" s="27" t="str">
        <f>VLOOKUP($A48,'[1]Raw Data'!$A$3:$FB$285,137,FALSE)</f>
        <v/>
      </c>
      <c r="EU48" s="27" t="str">
        <f>VLOOKUP($A48,'[1]Raw Data'!$A$3:$FB$285,138,FALSE)</f>
        <v/>
      </c>
      <c r="EV48" s="27" t="str">
        <f>VLOOKUP($A48,'[1]Raw Data'!$A$3:$FB$285,139,FALSE)</f>
        <v/>
      </c>
      <c r="EW48" s="38">
        <f>VLOOKUP($A48,[1]Training!$A$2:$I$284,5,FALSE)</f>
        <v>36.53846153846154</v>
      </c>
      <c r="EX48" s="31">
        <f>VLOOKUP($A48,[1]Training!$A$2:$I$284,6,FALSE)</f>
        <v>0</v>
      </c>
      <c r="EY48" s="38">
        <f>VLOOKUP($A48,[1]Training!$A$2:$I$284,8,FALSE)</f>
        <v>43.18181818181818</v>
      </c>
      <c r="EZ48" s="31">
        <f>VLOOKUP($A48,[1]Training!$A$2:$I$284,9,FALSE)</f>
        <v>68</v>
      </c>
      <c r="FA48" s="27">
        <v>1</v>
      </c>
      <c r="FB48" s="27">
        <v>2</v>
      </c>
      <c r="FC48" s="27" t="str">
        <f>VLOOKUP($A48,'[1]Raw Data'!$A$3:$FB$285,148,FALSE)</f>
        <v/>
      </c>
      <c r="FE48" s="27" t="str">
        <f>VLOOKUP($A48,'[1]Raw Data'!$A$3:$FB$285,149,FALSE)</f>
        <v>District Coordinator</v>
      </c>
      <c r="FF48" s="27" t="s">
        <v>885</v>
      </c>
      <c r="FG48" s="27" t="str">
        <f>VLOOKUP($A48,'[1]Raw Data'!$A$3:$FB$285,150,FALSE)</f>
        <v/>
      </c>
      <c r="FH48" s="27" t="str">
        <f>VLOOKUP($A48,'[1]Raw Data'!$A$3:$FB$285,156,FALSE)</f>
        <v/>
      </c>
      <c r="FJ48" s="27" t="str">
        <f>VLOOKUP($A48,'[1]Raw Data'!$A$3:$FB$285,157,FALSE)</f>
        <v>District Technical Officer</v>
      </c>
      <c r="FK48" s="27" t="s">
        <v>886</v>
      </c>
      <c r="FL48" s="27" t="str">
        <f>VLOOKUP($A48,'[1]Raw Data'!$A$3:$FB$285,158,FALSE)</f>
        <v/>
      </c>
      <c r="FM48" s="27" t="str">
        <f>VLOOKUP($A48,'[1]Raw Data'!$A$3:$FB$285,152,FALSE)</f>
        <v/>
      </c>
      <c r="FO48" s="27" t="str">
        <f>VLOOKUP($A48,'[1]Raw Data'!$A$3:$FB$285,153,FALSE)</f>
        <v>DIstrict Information Management Officer</v>
      </c>
      <c r="FP48" s="27" t="s">
        <v>887</v>
      </c>
      <c r="FQ48" s="27" t="str">
        <f>VLOOKUP($A48,'[1]Raw Data'!$A$3:$FB$285,154,FALSE)</f>
        <v/>
      </c>
    </row>
    <row r="49" spans="1:173" ht="24" x14ac:dyDescent="0.45">
      <c r="A49" s="27">
        <v>13003</v>
      </c>
      <c r="B49" s="36" t="str">
        <f ca="1">IFERROR(__xludf.DUMMYFUNCTION("""COMPUTED_VALUE"""),"Diprung Gaunpalika")</f>
        <v>Diprung Gaunpalika</v>
      </c>
      <c r="C49" s="37" t="str">
        <f>VLOOKUP(A49,'[1]Palika and District in Nepali '!$D$1:$F$283,3,FALSE)</f>
        <v>दिपरुंङ गाऊपालिका</v>
      </c>
      <c r="D49" s="36" t="str">
        <f ca="1">IFERROR(__xludf.DUMMYFUNCTION("""COMPUTED_VALUE"""),"Khotang")</f>
        <v>Khotang</v>
      </c>
      <c r="E49" s="36"/>
      <c r="F49" s="27">
        <f>VLOOKUP(A49,'[1]Raw Data'!$A$3:$FB$285,4,FALSE)</f>
        <v>504</v>
      </c>
      <c r="G49" s="27">
        <f>VLOOKUP(A49,'[1]Raw Data'!$A$3:$FB$285,5,FALSE)</f>
        <v>535</v>
      </c>
      <c r="H49" s="27">
        <f>VLOOKUP(A49,'[1]Raw Data'!$A$3:$FB$285,6,FALSE)</f>
        <v>1039</v>
      </c>
      <c r="I49" s="27">
        <f>VLOOKUP($A49,'[1]Raw Data'!$A$3:$FB$285,8,FALSE)</f>
        <v>0</v>
      </c>
      <c r="J49" s="27">
        <f>VLOOKUP($A49,'[1]Raw Data'!$A$3:$FB$285,9,FALSE)</f>
        <v>0.14000000000000001</v>
      </c>
      <c r="K49" s="27">
        <f>VLOOKUP($A49,'[1]Raw Data'!$A$3:$FB$285,11,FALSE)</f>
        <v>81.14</v>
      </c>
      <c r="L49" s="27">
        <f>VLOOKUP($A49,'[1]Raw Data'!$A$3:$FB$285,12,FALSE)</f>
        <v>92.74</v>
      </c>
      <c r="M49" s="27">
        <f>VLOOKUP($A49,'[1]Raw Data'!$A$3:$FB$285,14,FALSE)</f>
        <v>0</v>
      </c>
      <c r="N49" s="27">
        <f>VLOOKUP($A49,'[1]Raw Data'!$A$3:$FB$285,15,FALSE)</f>
        <v>0.02</v>
      </c>
      <c r="O49" s="27">
        <f>VLOOKUP($A49,'[1]Raw Data'!$A$3:$FB$285,17,FALSE)</f>
        <v>0.19</v>
      </c>
      <c r="P49" s="27">
        <f>VLOOKUP($A49,'[1]Raw Data'!$A$3:$FB$285,18,FALSE)</f>
        <v>0.05</v>
      </c>
      <c r="Q49" s="27">
        <f>VLOOKUP($A49,'[1]Raw Data'!$A$3:$FB$285,20,FALSE)</f>
        <v>0</v>
      </c>
      <c r="R49" s="27">
        <f>VLOOKUP($A49,'[1]Raw Data'!$A$3:$FB$285,21,FALSE)</f>
        <v>0.02</v>
      </c>
      <c r="S49" s="27">
        <f>VLOOKUP($A49,'[1]Raw Data'!$A$3:$FB$285,23,FALSE)</f>
        <v>0</v>
      </c>
      <c r="T49" s="27">
        <f>VLOOKUP($A49,'[1]Raw Data'!$A$3:$FB$285,24,FALSE)</f>
        <v>0</v>
      </c>
      <c r="U49" s="27">
        <f>VLOOKUP($A49,'[1]Raw Data'!$A$3:$FB$285,26,FALSE)</f>
        <v>0.38</v>
      </c>
      <c r="V49" s="27">
        <f>VLOOKUP($A49,'[1]Raw Data'!$A$3:$FB$285,27,FALSE)</f>
        <v>0.28999999999999998</v>
      </c>
      <c r="W49" s="27">
        <f>VLOOKUP($A49,'[1]Raw Data'!$A$3:$FB$285,29,FALSE)</f>
        <v>0</v>
      </c>
      <c r="X49" s="27">
        <f>VLOOKUP($A49,'[1]Raw Data'!$A$3:$FB$285,30,FALSE)</f>
        <v>0</v>
      </c>
      <c r="Y49" s="27">
        <f>VLOOKUP($A49,'[1]Raw Data'!$A$3:$FB$285,32,FALSE)</f>
        <v>0.19</v>
      </c>
      <c r="Z49" s="27">
        <f>VLOOKUP($A49,'[1]Raw Data'!$A$3:$FB$285,33,FALSE)</f>
        <v>0.25</v>
      </c>
      <c r="AA49" s="27">
        <f>VLOOKUP($A49,'[1]Raw Data'!$A$3:$FB$285,35,FALSE)</f>
        <v>17.71</v>
      </c>
      <c r="AB49" s="27">
        <f>VLOOKUP($A49,'[1]Raw Data'!$A$3:$FB$285,36,FALSE)</f>
        <v>6.28</v>
      </c>
      <c r="AC49" s="27">
        <f>VLOOKUP($A49,'[1]Raw Data'!$A$3:$FB$285,38,FALSE)</f>
        <v>0.38</v>
      </c>
      <c r="AD49" s="27">
        <f>VLOOKUP($A49,'[1]Raw Data'!$A$3:$FB$285,39,FALSE)</f>
        <v>0.23</v>
      </c>
      <c r="AE49" s="27">
        <f>VLOOKUP($A49,'[1]Raw Data'!$A$3:$FB$285,41,FALSE)</f>
        <v>0</v>
      </c>
      <c r="AF49" s="27">
        <f>VLOOKUP($A49,'[1]Raw Data'!$A$3:$FB$285,42,FALSE)</f>
        <v>0</v>
      </c>
      <c r="AG49" s="27">
        <f>VLOOKUP($A49,'[1]Raw Data'!$A$3:$FB$285,44,FALSE)</f>
        <v>0</v>
      </c>
      <c r="AH49" s="27">
        <f>VLOOKUP($A49,'[1]Raw Data'!$A$3:$FB$285,45,FALSE)</f>
        <v>0</v>
      </c>
      <c r="AI49" s="27">
        <f>VLOOKUP($A49,'[1]Raw Data'!$A$3:$FB$285,46,FALSE)</f>
        <v>524</v>
      </c>
      <c r="AJ49" s="27">
        <f>VLOOKUP($A49,'[1]Raw Data'!$A$3:$FB$285,47,FALSE)</f>
        <v>282</v>
      </c>
      <c r="AK49" s="27">
        <f>VLOOKUP($A49,'[1]Raw Data'!$A$3:$FB$285,48,FALSE)</f>
        <v>282</v>
      </c>
      <c r="AL49" s="27">
        <f>VLOOKUP($A49,'[1]Raw Data'!$A$3:$FB$285,49,FALSE)</f>
        <v>267</v>
      </c>
      <c r="AM49" s="27">
        <f>VLOOKUP($A49,'[1]Raw Data'!$A$3:$FB$285,50,FALSE)</f>
        <v>0</v>
      </c>
      <c r="AN49" s="27" t="str">
        <f>VLOOKUP($A49,'[1]Raw Data'!$A$3:$FB$285,51,FALSE)</f>
        <v/>
      </c>
      <c r="AO49" s="27" t="str">
        <f>VLOOKUP($A49,'[1]Raw Data'!$A$3:$FB$285,52,FALSE)</f>
        <v/>
      </c>
      <c r="AP49" s="27">
        <f>VLOOKUP($A49,'[1]Raw Data'!$A$3:$FB$285,53,FALSE)</f>
        <v>1</v>
      </c>
      <c r="AQ49" s="27" t="str">
        <f>VLOOKUP($A49,'[1]Raw Data'!$A$3:$FB$285,54,FALSE)</f>
        <v/>
      </c>
      <c r="AR49" s="27" t="str">
        <f>VLOOKUP($A49,'[1]Raw Data'!$A$3:$FB$285,55,FALSE)</f>
        <v/>
      </c>
      <c r="AS49" s="27" t="str">
        <f>VLOOKUP($A49,'[1]Raw Data'!$A$3:$FB$285,56,FALSE)</f>
        <v/>
      </c>
      <c r="AT49" s="27" t="str">
        <f>VLOOKUP($A49,'[1]Raw Data'!$A$3:$FB$285,57,FALSE)</f>
        <v/>
      </c>
      <c r="AU49" s="27" t="str">
        <f>VLOOKUP($A49,'[1]Raw Data'!$A$3:$FB$285,58,FALSE)</f>
        <v/>
      </c>
      <c r="AV49" s="27" t="str">
        <f>VLOOKUP($A49,'[1]Raw Data'!$A$3:$FB$285,59,FALSE)</f>
        <v/>
      </c>
      <c r="AW49" s="27" t="str">
        <f>VLOOKUP($A49,'[1]Raw Data'!$A$3:$FB$285,60,FALSE)</f>
        <v/>
      </c>
      <c r="AX49" s="27" t="str">
        <f>VLOOKUP(A49,'[1]PO''s List'!A47:E329,4,FALSE)</f>
        <v/>
      </c>
      <c r="AZ49" s="27" t="str">
        <f>VLOOKUP(A49,'[1]PO''s List'!$A$3:$E$285,5,FALSE)</f>
        <v/>
      </c>
      <c r="BB49" s="27">
        <f>VLOOKUP($A49,'[1]Raw Data'!$A$3:$FB$285,63,FALSE)</f>
        <v>16214</v>
      </c>
      <c r="BC49" s="27" t="str">
        <f>VLOOKUP($A49,'[1]Raw Data'!$A$3:$FB$285,64,FALSE)</f>
        <v/>
      </c>
      <c r="BD49" s="27" t="str">
        <f t="shared" si="0"/>
        <v/>
      </c>
      <c r="BE49" s="27" t="str">
        <f>VLOOKUP($A49,'[1]Raw Data'!$A$3:$FB$285,65,FALSE)</f>
        <v/>
      </c>
      <c r="BF49" s="27">
        <f>VLOOKUP($A49,'[1]Raw Data'!$A$3:$FB$285,66,FALSE)</f>
        <v>17185</v>
      </c>
      <c r="BG49" s="27" t="str">
        <f>VLOOKUP($A49,'[1]Raw Data'!$A$3:$FB$285,67,FALSE)</f>
        <v/>
      </c>
      <c r="BH49" s="27" t="str">
        <f t="shared" si="1"/>
        <v/>
      </c>
      <c r="BI49" s="27" t="str">
        <f>VLOOKUP($A49,'[1]Raw Data'!$A$3:$FB$285,68,FALSE)</f>
        <v/>
      </c>
      <c r="BJ49" s="27">
        <f>VLOOKUP($A49,'[1]Raw Data'!$A$3:$FB$285,69,FALSE)</f>
        <v>1736</v>
      </c>
      <c r="BK49" s="27" t="str">
        <f>VLOOKUP($A49,'[1]Raw Data'!$A$3:$FB$285,70,FALSE)</f>
        <v/>
      </c>
      <c r="BL49" s="27" t="str">
        <f t="shared" si="2"/>
        <v/>
      </c>
      <c r="BM49" s="27" t="str">
        <f>VLOOKUP($A49,'[1]Raw Data'!$A$3:$FB$285,71,FALSE)</f>
        <v/>
      </c>
      <c r="BN49" s="27">
        <f>VLOOKUP($A49,'[1]Raw Data'!$A$3:$FB$285,72,FALSE)</f>
        <v>2020</v>
      </c>
      <c r="BO49" s="27" t="str">
        <f>VLOOKUP($A49,'[1]Raw Data'!$A$3:$FB$285,73,FALSE)</f>
        <v/>
      </c>
      <c r="BP49" s="27" t="str">
        <f t="shared" si="3"/>
        <v/>
      </c>
      <c r="BQ49" s="27" t="str">
        <f>VLOOKUP($A49,'[1]Raw Data'!$A$3:$FB$285,74,FALSE)</f>
        <v/>
      </c>
      <c r="BR49" s="27" t="str">
        <f>VLOOKUP($A49,'[1]Raw Data'!$A$3:$FB$285,75,FALSE)</f>
        <v/>
      </c>
      <c r="BS49" s="27" t="str">
        <f>VLOOKUP($A49,'[1]Raw Data'!$A$3:$FB$285,76,FALSE)</f>
        <v/>
      </c>
      <c r="BT49" s="27" t="str">
        <f t="shared" si="4"/>
        <v/>
      </c>
      <c r="BU49" s="27" t="str">
        <f>VLOOKUP($A49,'[1]Raw Data'!$A$3:$FB$285,77,FALSE)</f>
        <v/>
      </c>
      <c r="BV49" s="27">
        <f>VLOOKUP($A49,'[1]Raw Data'!$A$3:$FB$285,78,FALSE)</f>
        <v>56421</v>
      </c>
      <c r="BW49" s="27" t="str">
        <f>VLOOKUP($A49,'[1]Raw Data'!$A$3:$FB$285,79,FALSE)</f>
        <v/>
      </c>
      <c r="BX49" s="27" t="str">
        <f t="shared" si="5"/>
        <v/>
      </c>
      <c r="BY49" s="27" t="str">
        <f>VLOOKUP($A49,'[1]Raw Data'!$A$3:$FB$285,80,FALSE)</f>
        <v/>
      </c>
      <c r="BZ49" s="27">
        <f>VLOOKUP($A49,'[1]Raw Data'!$A$3:$FB$285,81,FALSE)</f>
        <v>174347</v>
      </c>
      <c r="CA49" s="27" t="str">
        <f>VLOOKUP($A49,'[1]Raw Data'!$A$3:$FB$285,82,FALSE)</f>
        <v/>
      </c>
      <c r="CB49" s="27" t="str">
        <f t="shared" si="6"/>
        <v/>
      </c>
      <c r="CC49" s="27" t="str">
        <f>VLOOKUP($A49,'[1]Raw Data'!$A$3:$FB$285,83,FALSE)</f>
        <v/>
      </c>
      <c r="CD49" s="27">
        <f>VLOOKUP($A49,'[1]Raw Data'!$A$3:$FB$285,84,FALSE)</f>
        <v>2304</v>
      </c>
      <c r="CE49" s="27" t="str">
        <f>VLOOKUP($A49,'[1]Raw Data'!$A$3:$FB$285,85,FALSE)</f>
        <v/>
      </c>
      <c r="CF49" s="27" t="str">
        <f t="shared" si="7"/>
        <v/>
      </c>
      <c r="CG49" s="27" t="str">
        <f>VLOOKUP($A49,'[1]Raw Data'!$A$3:$FB$285,86,FALSE)</f>
        <v/>
      </c>
      <c r="CH49" s="27">
        <f>VLOOKUP($A49,'[1]Raw Data'!$A$3:$FB$285,87,FALSE)</f>
        <v>53657</v>
      </c>
      <c r="CI49" s="27" t="str">
        <f>VLOOKUP($A49,'[1]Raw Data'!$A$3:$FB$285,88,FALSE)</f>
        <v/>
      </c>
      <c r="CJ49" s="27" t="str">
        <f t="shared" si="8"/>
        <v/>
      </c>
      <c r="CK49" s="27" t="str">
        <f>VLOOKUP($A49,'[1]Raw Data'!$A$3:$FB$285,89,FALSE)</f>
        <v/>
      </c>
      <c r="CL49" s="27" t="str">
        <f>VLOOKUP($A49,'[1]Raw Data'!$A$3:$FB$285,91,FALSE)</f>
        <v/>
      </c>
      <c r="CM49" s="27" t="str">
        <f>VLOOKUP($A49,'[1]Raw Data'!$A$3:$FB$285,93,FALSE)</f>
        <v/>
      </c>
      <c r="CN49" s="27" t="str">
        <f>VLOOKUP($A49,'[1]Raw Data'!$A$3:$FB$285,94,FALSE)</f>
        <v/>
      </c>
      <c r="CO49" s="27" t="str">
        <f>VLOOKUP($A49,'[1]Raw Data'!$A$3:$FB$285,95,FALSE)</f>
        <v/>
      </c>
      <c r="CP49" s="27" t="str">
        <f>VLOOKUP($A49,'[1]Raw Data'!$A$3:$FB$285,96,FALSE)</f>
        <v/>
      </c>
      <c r="CQ49" s="27" t="str">
        <f>VLOOKUP($A49,'[1]Raw Data'!$A$3:$FB$285,97,FALSE)</f>
        <v/>
      </c>
      <c r="CR49" s="27" t="str">
        <f>VLOOKUP($A49,'[1]Raw Data'!$A$3:$FB$285,98,FALSE)</f>
        <v/>
      </c>
      <c r="CS49" s="27" t="str">
        <f>VLOOKUP($A49,'[1]Raw Data'!$A$3:$FB$285,99,FALSE)</f>
        <v/>
      </c>
      <c r="CT49" s="27" t="str">
        <f>VLOOKUP($A49,'[1]Raw Data'!$A$3:$FB$285,101,FALSE)</f>
        <v/>
      </c>
      <c r="CV49" s="27" t="str">
        <f>VLOOKUP($A49,'[1]Raw Data'!$A$3:$FB$285,102,FALSE)</f>
        <v>Chairman</v>
      </c>
      <c r="CW49" s="27" t="s">
        <v>878</v>
      </c>
      <c r="CX49" s="27" t="str">
        <f>VLOOKUP($A49,'[1]Raw Data'!$A$3:$FB$285,103,FALSE)</f>
        <v/>
      </c>
      <c r="CY49" s="27" t="str">
        <f>VLOOKUP($A49,'[1]Raw Data'!$A$3:$FB$285,105,FALSE)</f>
        <v/>
      </c>
      <c r="DA49" s="27" t="str">
        <f>VLOOKUP($A49,'[1]Raw Data'!$A$3:$FB$285,106,FALSE)</f>
        <v>Deputy Chairman</v>
      </c>
      <c r="DB49" s="27" t="s">
        <v>879</v>
      </c>
      <c r="DC49" s="27" t="str">
        <f>VLOOKUP($A49,'[1]Raw Data'!$A$3:$FB$285,107,FALSE)</f>
        <v/>
      </c>
      <c r="DD49" s="27" t="str">
        <f>VLOOKUP($A49,'[1]Raw Data'!$A$3:$FB$285,109,FALSE)</f>
        <v/>
      </c>
      <c r="DF49" s="27" t="str">
        <f>VLOOKUP($A49,'[1]Raw Data'!$A$3:$FB$285,110,FALSE)</f>
        <v>Adminstration Officer</v>
      </c>
      <c r="DG49" s="27" t="s">
        <v>880</v>
      </c>
      <c r="DH49" s="27" t="str">
        <f>VLOOKUP($A49,'[1]Raw Data'!$A$3:$FB$285,111,FALSE)</f>
        <v/>
      </c>
      <c r="DI49" s="27" t="str">
        <f>VLOOKUP($A49,'[1]Raw Data'!$A$3:$FB$285,121,FALSE)</f>
        <v/>
      </c>
      <c r="DK49" s="27" t="str">
        <f>VLOOKUP($A49,'[1]Raw Data'!$A$3:$FB$285,122,FALSE)</f>
        <v>Focal Person</v>
      </c>
      <c r="DL49" s="27" t="s">
        <v>881</v>
      </c>
      <c r="DM49" s="27" t="str">
        <f>VLOOKUP($A49,'[1]Raw Data'!$A$3:$FB$285,123,FALSE)</f>
        <v/>
      </c>
      <c r="DN49" s="27" t="str">
        <f>VLOOKUP($A49,'[1]Raw Data'!$A$3:$FB$285,113,FALSE)</f>
        <v/>
      </c>
      <c r="DP49" s="27" t="str">
        <f>VLOOKUP($A49,'[1]Raw Data'!$A$3:$FB$285,114,FALSE)</f>
        <v>NRA Chief-District</v>
      </c>
      <c r="DQ49" s="27" t="s">
        <v>882</v>
      </c>
      <c r="DR49" s="27" t="str">
        <f>VLOOKUP($A49,'[1]Raw Data'!$A$3:$FB$285,115,FALSE)</f>
        <v/>
      </c>
      <c r="DS49" s="27" t="str">
        <f>VLOOKUP($A49,'[1]Raw Data'!$A$3:$FB$285,117,FALSE)</f>
        <v/>
      </c>
      <c r="DU49" s="27" t="str">
        <f>VLOOKUP($A49,'[1]Raw Data'!$A$3:$FB$285,118,FALSE)</f>
        <v>DUDBC.DLPIU Chief</v>
      </c>
      <c r="DV49" s="27" t="s">
        <v>883</v>
      </c>
      <c r="DW49" s="27" t="str">
        <f>VLOOKUP($A49,'[1]Raw Data'!$A$3:$FB$285,119,FALSE)</f>
        <v/>
      </c>
      <c r="DX49" s="27" t="s">
        <v>339</v>
      </c>
      <c r="DY49" s="27" t="str">
        <f>VLOOKUP($A49,'[1]Raw Data'!$A$3:$FB$285,124,FALSE)</f>
        <v/>
      </c>
      <c r="DZ49" s="27" t="s">
        <v>884</v>
      </c>
      <c r="EA49" s="27" t="str">
        <f>VLOOKUP($A49,'[1]Raw Data'!$A$3:$FB$285,125,FALSE)</f>
        <v/>
      </c>
      <c r="EB49" s="27" t="s">
        <v>341</v>
      </c>
      <c r="EC49" s="27" t="str">
        <f>VLOOKUP($A49,'[1]Raw Data'!$A$3:$FB$285,126,FALSE)</f>
        <v/>
      </c>
      <c r="ED49" t="s">
        <v>478</v>
      </c>
      <c r="EE49" s="27" t="str">
        <f>VLOOKUP($A49,'[1]Raw Data'!$A$3:$FB$285,127,FALSE)</f>
        <v/>
      </c>
      <c r="EF49" s="27" t="s">
        <v>343</v>
      </c>
      <c r="EG49" s="27" t="str">
        <f>VLOOKUP($A49,'[1]Raw Data'!$A$3:$FB$285,128,FALSE)</f>
        <v/>
      </c>
      <c r="EH49" t="s">
        <v>344</v>
      </c>
      <c r="EI49" s="27" t="str">
        <f>VLOOKUP($A49,'[1]Raw Data'!$A$3:$FB$285,129,FALSE)</f>
        <v/>
      </c>
      <c r="EM49" s="27" t="str">
        <f>VLOOKUP($A49,'[1]Raw Data'!$A$3:$FB$285,130,FALSE)</f>
        <v/>
      </c>
      <c r="EN49" s="27" t="str">
        <f>VLOOKUP($A49,'[1]Raw Data'!$A$3:$FB$285,131,FALSE)</f>
        <v/>
      </c>
      <c r="EO49" s="27" t="str">
        <f>VLOOKUP($A49,'[1]Raw Data'!$A$3:$FB$285,132,FALSE)</f>
        <v/>
      </c>
      <c r="EP49" s="27" t="str">
        <f>VLOOKUP($A49,'[1]Raw Data'!$A$3:$FB$285,133,FALSE)</f>
        <v/>
      </c>
      <c r="EQ49" s="27" t="str">
        <f>VLOOKUP($A49,'[1]Raw Data'!$A$3:$FB$285,134,FALSE)</f>
        <v/>
      </c>
      <c r="ER49" s="27" t="str">
        <f>VLOOKUP($A49,'[1]Raw Data'!$A$3:$FB$285,135,FALSE)</f>
        <v/>
      </c>
      <c r="ES49" s="27" t="str">
        <f>VLOOKUP($A49,'[1]Raw Data'!$A$3:$FB$285,136,FALSE)</f>
        <v/>
      </c>
      <c r="ET49" s="27" t="str">
        <f>VLOOKUP($A49,'[1]Raw Data'!$A$3:$FB$285,137,FALSE)</f>
        <v/>
      </c>
      <c r="EU49" s="27" t="str">
        <f>VLOOKUP($A49,'[1]Raw Data'!$A$3:$FB$285,138,FALSE)</f>
        <v/>
      </c>
      <c r="EV49" s="27" t="str">
        <f>VLOOKUP($A49,'[1]Raw Data'!$A$3:$FB$285,139,FALSE)</f>
        <v/>
      </c>
      <c r="EW49" s="38">
        <f>VLOOKUP($A49,[1]Training!$A$2:$I$284,5,FALSE)</f>
        <v>40.307692307692307</v>
      </c>
      <c r="EX49" s="31">
        <f>VLOOKUP($A49,[1]Training!$A$2:$I$284,6,FALSE)</f>
        <v>0</v>
      </c>
      <c r="EY49" s="38">
        <f>VLOOKUP($A49,[1]Training!$A$2:$I$284,8,FALSE)</f>
        <v>47.636363636363633</v>
      </c>
      <c r="EZ49" s="31">
        <f>VLOOKUP($A49,[1]Training!$A$2:$I$284,9,FALSE)</f>
        <v>33</v>
      </c>
      <c r="FA49" s="27">
        <v>1</v>
      </c>
      <c r="FB49" s="27">
        <v>2</v>
      </c>
      <c r="FC49" s="27" t="str">
        <f>VLOOKUP($A49,'[1]Raw Data'!$A$3:$FB$285,148,FALSE)</f>
        <v/>
      </c>
      <c r="FE49" s="27" t="str">
        <f>VLOOKUP($A49,'[1]Raw Data'!$A$3:$FB$285,149,FALSE)</f>
        <v>District Coordinator</v>
      </c>
      <c r="FF49" s="27" t="s">
        <v>885</v>
      </c>
      <c r="FG49" s="27" t="str">
        <f>VLOOKUP($A49,'[1]Raw Data'!$A$3:$FB$285,150,FALSE)</f>
        <v/>
      </c>
      <c r="FH49" s="27" t="str">
        <f>VLOOKUP($A49,'[1]Raw Data'!$A$3:$FB$285,156,FALSE)</f>
        <v/>
      </c>
      <c r="FJ49" s="27" t="str">
        <f>VLOOKUP($A49,'[1]Raw Data'!$A$3:$FB$285,157,FALSE)</f>
        <v>District Technical Officer</v>
      </c>
      <c r="FK49" s="27" t="s">
        <v>886</v>
      </c>
      <c r="FL49" s="27" t="str">
        <f>VLOOKUP($A49,'[1]Raw Data'!$A$3:$FB$285,158,FALSE)</f>
        <v/>
      </c>
      <c r="FM49" s="27" t="str">
        <f>VLOOKUP($A49,'[1]Raw Data'!$A$3:$FB$285,152,FALSE)</f>
        <v/>
      </c>
      <c r="FO49" s="27" t="str">
        <f>VLOOKUP($A49,'[1]Raw Data'!$A$3:$FB$285,153,FALSE)</f>
        <v>DIstrict Information Management Officer</v>
      </c>
      <c r="FP49" s="27" t="s">
        <v>887</v>
      </c>
      <c r="FQ49" s="27" t="str">
        <f>VLOOKUP($A49,'[1]Raw Data'!$A$3:$FB$285,154,FALSE)</f>
        <v/>
      </c>
    </row>
    <row r="50" spans="1:173" ht="24" x14ac:dyDescent="0.45">
      <c r="A50" s="27">
        <v>13004</v>
      </c>
      <c r="B50" s="36" t="str">
        <f ca="1">IFERROR(__xludf.DUMMYFUNCTION("""COMPUTED_VALUE"""),"Halesi Tuwachung Nagarpalika")</f>
        <v>Halesi Tuwachung Nagarpalika</v>
      </c>
      <c r="C50" s="37" t="str">
        <f>VLOOKUP(A50,'[1]Palika and District in Nepali '!$D$1:$F$283,3,FALSE)</f>
        <v>हलेसी तुवाचुंङ नगरपलिका</v>
      </c>
      <c r="D50" s="36" t="str">
        <f ca="1">IFERROR(__xludf.DUMMYFUNCTION("""COMPUTED_VALUE"""),"Khotang")</f>
        <v>Khotang</v>
      </c>
      <c r="E50" s="36"/>
      <c r="F50" s="27">
        <f>VLOOKUP(A50,'[1]Raw Data'!$A$3:$FB$285,4,FALSE)</f>
        <v>722</v>
      </c>
      <c r="G50" s="27">
        <f>VLOOKUP(A50,'[1]Raw Data'!$A$3:$FB$285,5,FALSE)</f>
        <v>1804</v>
      </c>
      <c r="H50" s="27">
        <f>VLOOKUP(A50,'[1]Raw Data'!$A$3:$FB$285,6,FALSE)</f>
        <v>2526</v>
      </c>
      <c r="I50" s="27">
        <f>VLOOKUP($A50,'[1]Raw Data'!$A$3:$FB$285,8,FALSE)</f>
        <v>0.4</v>
      </c>
      <c r="J50" s="27">
        <f>VLOOKUP($A50,'[1]Raw Data'!$A$3:$FB$285,9,FALSE)</f>
        <v>0.14000000000000001</v>
      </c>
      <c r="K50" s="27">
        <f>VLOOKUP($A50,'[1]Raw Data'!$A$3:$FB$285,11,FALSE)</f>
        <v>97.07</v>
      </c>
      <c r="L50" s="27">
        <f>VLOOKUP($A50,'[1]Raw Data'!$A$3:$FB$285,12,FALSE)</f>
        <v>92.74</v>
      </c>
      <c r="M50" s="27">
        <f>VLOOKUP($A50,'[1]Raw Data'!$A$3:$FB$285,14,FALSE)</f>
        <v>0.08</v>
      </c>
      <c r="N50" s="27">
        <f>VLOOKUP($A50,'[1]Raw Data'!$A$3:$FB$285,15,FALSE)</f>
        <v>0.02</v>
      </c>
      <c r="O50" s="27">
        <f>VLOOKUP($A50,'[1]Raw Data'!$A$3:$FB$285,17,FALSE)</f>
        <v>0</v>
      </c>
      <c r="P50" s="27">
        <f>VLOOKUP($A50,'[1]Raw Data'!$A$3:$FB$285,18,FALSE)</f>
        <v>0.05</v>
      </c>
      <c r="Q50" s="27">
        <f>VLOOKUP($A50,'[1]Raw Data'!$A$3:$FB$285,20,FALSE)</f>
        <v>0</v>
      </c>
      <c r="R50" s="27">
        <f>VLOOKUP($A50,'[1]Raw Data'!$A$3:$FB$285,21,FALSE)</f>
        <v>0.02</v>
      </c>
      <c r="S50" s="27">
        <f>VLOOKUP($A50,'[1]Raw Data'!$A$3:$FB$285,23,FALSE)</f>
        <v>0</v>
      </c>
      <c r="T50" s="27">
        <f>VLOOKUP($A50,'[1]Raw Data'!$A$3:$FB$285,24,FALSE)</f>
        <v>0</v>
      </c>
      <c r="U50" s="27">
        <f>VLOOKUP($A50,'[1]Raw Data'!$A$3:$FB$285,26,FALSE)</f>
        <v>0.4</v>
      </c>
      <c r="V50" s="27">
        <f>VLOOKUP($A50,'[1]Raw Data'!$A$3:$FB$285,27,FALSE)</f>
        <v>0.28999999999999998</v>
      </c>
      <c r="W50" s="27">
        <f>VLOOKUP($A50,'[1]Raw Data'!$A$3:$FB$285,29,FALSE)</f>
        <v>0</v>
      </c>
      <c r="X50" s="27">
        <f>VLOOKUP($A50,'[1]Raw Data'!$A$3:$FB$285,30,FALSE)</f>
        <v>0</v>
      </c>
      <c r="Y50" s="27">
        <f>VLOOKUP($A50,'[1]Raw Data'!$A$3:$FB$285,32,FALSE)</f>
        <v>0.79</v>
      </c>
      <c r="Z50" s="27">
        <f>VLOOKUP($A50,'[1]Raw Data'!$A$3:$FB$285,33,FALSE)</f>
        <v>0.25</v>
      </c>
      <c r="AA50" s="27">
        <f>VLOOKUP($A50,'[1]Raw Data'!$A$3:$FB$285,35,FALSE)</f>
        <v>0.71</v>
      </c>
      <c r="AB50" s="27">
        <f>VLOOKUP($A50,'[1]Raw Data'!$A$3:$FB$285,36,FALSE)</f>
        <v>6.28</v>
      </c>
      <c r="AC50" s="27">
        <f>VLOOKUP($A50,'[1]Raw Data'!$A$3:$FB$285,38,FALSE)</f>
        <v>0.55000000000000004</v>
      </c>
      <c r="AD50" s="27">
        <f>VLOOKUP($A50,'[1]Raw Data'!$A$3:$FB$285,39,FALSE)</f>
        <v>0.23</v>
      </c>
      <c r="AE50" s="27">
        <f>VLOOKUP($A50,'[1]Raw Data'!$A$3:$FB$285,41,FALSE)</f>
        <v>0</v>
      </c>
      <c r="AF50" s="27">
        <f>VLOOKUP($A50,'[1]Raw Data'!$A$3:$FB$285,42,FALSE)</f>
        <v>0</v>
      </c>
      <c r="AG50" s="27">
        <f>VLOOKUP($A50,'[1]Raw Data'!$A$3:$FB$285,44,FALSE)</f>
        <v>0</v>
      </c>
      <c r="AH50" s="27">
        <f>VLOOKUP($A50,'[1]Raw Data'!$A$3:$FB$285,45,FALSE)</f>
        <v>0</v>
      </c>
      <c r="AI50" s="27">
        <f>VLOOKUP($A50,'[1]Raw Data'!$A$3:$FB$285,46,FALSE)</f>
        <v>1754</v>
      </c>
      <c r="AJ50" s="27">
        <f>VLOOKUP($A50,'[1]Raw Data'!$A$3:$FB$285,47,FALSE)</f>
        <v>577</v>
      </c>
      <c r="AK50" s="27">
        <f>VLOOKUP($A50,'[1]Raw Data'!$A$3:$FB$285,48,FALSE)</f>
        <v>577</v>
      </c>
      <c r="AL50" s="27">
        <f>VLOOKUP($A50,'[1]Raw Data'!$A$3:$FB$285,49,FALSE)</f>
        <v>238</v>
      </c>
      <c r="AM50" s="27">
        <f>VLOOKUP($A50,'[1]Raw Data'!$A$3:$FB$285,50,FALSE)</f>
        <v>0</v>
      </c>
      <c r="AN50" s="27" t="str">
        <f>VLOOKUP($A50,'[1]Raw Data'!$A$3:$FB$285,51,FALSE)</f>
        <v/>
      </c>
      <c r="AO50" s="27" t="str">
        <f>VLOOKUP($A50,'[1]Raw Data'!$A$3:$FB$285,52,FALSE)</f>
        <v/>
      </c>
      <c r="AP50" s="27">
        <f>VLOOKUP($A50,'[1]Raw Data'!$A$3:$FB$285,53,FALSE)</f>
        <v>33</v>
      </c>
      <c r="AQ50" s="27" t="str">
        <f>VLOOKUP($A50,'[1]Raw Data'!$A$3:$FB$285,54,FALSE)</f>
        <v/>
      </c>
      <c r="AR50" s="27" t="str">
        <f>VLOOKUP($A50,'[1]Raw Data'!$A$3:$FB$285,55,FALSE)</f>
        <v/>
      </c>
      <c r="AS50" s="27" t="str">
        <f>VLOOKUP($A50,'[1]Raw Data'!$A$3:$FB$285,56,FALSE)</f>
        <v/>
      </c>
      <c r="AT50" s="27" t="str">
        <f>VLOOKUP($A50,'[1]Raw Data'!$A$3:$FB$285,57,FALSE)</f>
        <v/>
      </c>
      <c r="AU50" s="27" t="str">
        <f>VLOOKUP($A50,'[1]Raw Data'!$A$3:$FB$285,58,FALSE)</f>
        <v/>
      </c>
      <c r="AV50" s="27" t="str">
        <f>VLOOKUP($A50,'[1]Raw Data'!$A$3:$FB$285,59,FALSE)</f>
        <v/>
      </c>
      <c r="AW50" s="27" t="str">
        <f>VLOOKUP($A50,'[1]Raw Data'!$A$3:$FB$285,60,FALSE)</f>
        <v/>
      </c>
      <c r="AX50" s="27" t="str">
        <f>VLOOKUP(A50,'[1]PO''s List'!A48:E330,4,FALSE)</f>
        <v/>
      </c>
      <c r="AZ50" s="27" t="str">
        <f>VLOOKUP(A50,'[1]PO''s List'!$A$3:$E$285,5,FALSE)</f>
        <v/>
      </c>
      <c r="BB50" s="27">
        <f>VLOOKUP($A50,'[1]Raw Data'!$A$3:$FB$285,63,FALSE)</f>
        <v>1922</v>
      </c>
      <c r="BC50" s="27" t="str">
        <f>VLOOKUP($A50,'[1]Raw Data'!$A$3:$FB$285,64,FALSE)</f>
        <v/>
      </c>
      <c r="BD50" s="27" t="str">
        <f t="shared" si="0"/>
        <v/>
      </c>
      <c r="BE50" s="27" t="str">
        <f>VLOOKUP($A50,'[1]Raw Data'!$A$3:$FB$285,65,FALSE)</f>
        <v/>
      </c>
      <c r="BF50" s="27">
        <f>VLOOKUP($A50,'[1]Raw Data'!$A$3:$FB$285,66,FALSE)</f>
        <v>2039</v>
      </c>
      <c r="BG50" s="27" t="str">
        <f>VLOOKUP($A50,'[1]Raw Data'!$A$3:$FB$285,67,FALSE)</f>
        <v/>
      </c>
      <c r="BH50" s="27" t="str">
        <f t="shared" si="1"/>
        <v/>
      </c>
      <c r="BI50" s="27" t="str">
        <f>VLOOKUP($A50,'[1]Raw Data'!$A$3:$FB$285,68,FALSE)</f>
        <v/>
      </c>
      <c r="BJ50" s="27">
        <f>VLOOKUP($A50,'[1]Raw Data'!$A$3:$FB$285,69,FALSE)</f>
        <v>206</v>
      </c>
      <c r="BK50" s="27" t="str">
        <f>VLOOKUP($A50,'[1]Raw Data'!$A$3:$FB$285,70,FALSE)</f>
        <v/>
      </c>
      <c r="BL50" s="27" t="str">
        <f t="shared" si="2"/>
        <v/>
      </c>
      <c r="BM50" s="27" t="str">
        <f>VLOOKUP($A50,'[1]Raw Data'!$A$3:$FB$285,71,FALSE)</f>
        <v/>
      </c>
      <c r="BN50" s="27">
        <f>VLOOKUP($A50,'[1]Raw Data'!$A$3:$FB$285,72,FALSE)</f>
        <v>240</v>
      </c>
      <c r="BO50" s="27" t="str">
        <f>VLOOKUP($A50,'[1]Raw Data'!$A$3:$FB$285,73,FALSE)</f>
        <v/>
      </c>
      <c r="BP50" s="27" t="str">
        <f t="shared" si="3"/>
        <v/>
      </c>
      <c r="BQ50" s="27" t="str">
        <f>VLOOKUP($A50,'[1]Raw Data'!$A$3:$FB$285,74,FALSE)</f>
        <v/>
      </c>
      <c r="BR50" s="27" t="str">
        <f>VLOOKUP($A50,'[1]Raw Data'!$A$3:$FB$285,75,FALSE)</f>
        <v/>
      </c>
      <c r="BS50" s="27" t="str">
        <f>VLOOKUP($A50,'[1]Raw Data'!$A$3:$FB$285,76,FALSE)</f>
        <v/>
      </c>
      <c r="BT50" s="27" t="str">
        <f t="shared" si="4"/>
        <v/>
      </c>
      <c r="BU50" s="27" t="str">
        <f>VLOOKUP($A50,'[1]Raw Data'!$A$3:$FB$285,77,FALSE)</f>
        <v/>
      </c>
      <c r="BV50" s="27">
        <f>VLOOKUP($A50,'[1]Raw Data'!$A$3:$FB$285,78,FALSE)</f>
        <v>6692</v>
      </c>
      <c r="BW50" s="27" t="str">
        <f>VLOOKUP($A50,'[1]Raw Data'!$A$3:$FB$285,79,FALSE)</f>
        <v/>
      </c>
      <c r="BX50" s="27" t="str">
        <f t="shared" si="5"/>
        <v/>
      </c>
      <c r="BY50" s="27" t="str">
        <f>VLOOKUP($A50,'[1]Raw Data'!$A$3:$FB$285,80,FALSE)</f>
        <v/>
      </c>
      <c r="BZ50" s="27">
        <f>VLOOKUP($A50,'[1]Raw Data'!$A$3:$FB$285,81,FALSE)</f>
        <v>20659</v>
      </c>
      <c r="CA50" s="27" t="str">
        <f>VLOOKUP($A50,'[1]Raw Data'!$A$3:$FB$285,82,FALSE)</f>
        <v/>
      </c>
      <c r="CB50" s="27" t="str">
        <f t="shared" si="6"/>
        <v/>
      </c>
      <c r="CC50" s="27" t="str">
        <f>VLOOKUP($A50,'[1]Raw Data'!$A$3:$FB$285,83,FALSE)</f>
        <v/>
      </c>
      <c r="CD50" s="27">
        <f>VLOOKUP($A50,'[1]Raw Data'!$A$3:$FB$285,84,FALSE)</f>
        <v>273</v>
      </c>
      <c r="CE50" s="27" t="str">
        <f>VLOOKUP($A50,'[1]Raw Data'!$A$3:$FB$285,85,FALSE)</f>
        <v/>
      </c>
      <c r="CF50" s="27" t="str">
        <f t="shared" si="7"/>
        <v/>
      </c>
      <c r="CG50" s="27" t="str">
        <f>VLOOKUP($A50,'[1]Raw Data'!$A$3:$FB$285,86,FALSE)</f>
        <v/>
      </c>
      <c r="CH50" s="27">
        <f>VLOOKUP($A50,'[1]Raw Data'!$A$3:$FB$285,87,FALSE)</f>
        <v>5719</v>
      </c>
      <c r="CI50" s="27" t="str">
        <f>VLOOKUP($A50,'[1]Raw Data'!$A$3:$FB$285,88,FALSE)</f>
        <v/>
      </c>
      <c r="CJ50" s="27" t="str">
        <f t="shared" si="8"/>
        <v/>
      </c>
      <c r="CK50" s="27" t="str">
        <f>VLOOKUP($A50,'[1]Raw Data'!$A$3:$FB$285,89,FALSE)</f>
        <v/>
      </c>
      <c r="CL50" s="27" t="str">
        <f>VLOOKUP($A50,'[1]Raw Data'!$A$3:$FB$285,91,FALSE)</f>
        <v/>
      </c>
      <c r="CM50" s="27" t="str">
        <f>VLOOKUP($A50,'[1]Raw Data'!$A$3:$FB$285,93,FALSE)</f>
        <v/>
      </c>
      <c r="CN50" s="27" t="str">
        <f>VLOOKUP($A50,'[1]Raw Data'!$A$3:$FB$285,94,FALSE)</f>
        <v/>
      </c>
      <c r="CO50" s="27" t="str">
        <f>VLOOKUP($A50,'[1]Raw Data'!$A$3:$FB$285,95,FALSE)</f>
        <v/>
      </c>
      <c r="CP50" s="27" t="str">
        <f>VLOOKUP($A50,'[1]Raw Data'!$A$3:$FB$285,96,FALSE)</f>
        <v/>
      </c>
      <c r="CQ50" s="27" t="str">
        <f>VLOOKUP($A50,'[1]Raw Data'!$A$3:$FB$285,97,FALSE)</f>
        <v/>
      </c>
      <c r="CR50" s="27" t="str">
        <f>VLOOKUP($A50,'[1]Raw Data'!$A$3:$FB$285,98,FALSE)</f>
        <v/>
      </c>
      <c r="CS50" s="27" t="str">
        <f>VLOOKUP($A50,'[1]Raw Data'!$A$3:$FB$285,99,FALSE)</f>
        <v/>
      </c>
      <c r="CT50" s="27" t="str">
        <f>VLOOKUP($A50,'[1]Raw Data'!$A$3:$FB$285,101,FALSE)</f>
        <v/>
      </c>
      <c r="CV50" s="27" t="str">
        <f>VLOOKUP($A50,'[1]Raw Data'!$A$3:$FB$285,102,FALSE)</f>
        <v>Mayor</v>
      </c>
      <c r="CW50" s="27" t="s">
        <v>834</v>
      </c>
      <c r="CX50" s="27" t="str">
        <f>VLOOKUP($A50,'[1]Raw Data'!$A$3:$FB$285,103,FALSE)</f>
        <v/>
      </c>
      <c r="CY50" s="27" t="str">
        <f>VLOOKUP($A50,'[1]Raw Data'!$A$3:$FB$285,105,FALSE)</f>
        <v/>
      </c>
      <c r="DA50" s="27" t="str">
        <f>VLOOKUP($A50,'[1]Raw Data'!$A$3:$FB$285,106,FALSE)</f>
        <v>Deputy Mayor</v>
      </c>
      <c r="DB50" s="27" t="s">
        <v>888</v>
      </c>
      <c r="DC50" s="27" t="str">
        <f>VLOOKUP($A50,'[1]Raw Data'!$A$3:$FB$285,107,FALSE)</f>
        <v/>
      </c>
      <c r="DD50" s="27" t="str">
        <f>VLOOKUP($A50,'[1]Raw Data'!$A$3:$FB$285,109,FALSE)</f>
        <v/>
      </c>
      <c r="DF50" s="27" t="str">
        <f>VLOOKUP($A50,'[1]Raw Data'!$A$3:$FB$285,110,FALSE)</f>
        <v>Adminstration Officer</v>
      </c>
      <c r="DG50" s="27" t="s">
        <v>880</v>
      </c>
      <c r="DH50" s="27" t="str">
        <f>VLOOKUP($A50,'[1]Raw Data'!$A$3:$FB$285,111,FALSE)</f>
        <v/>
      </c>
      <c r="DI50" s="27" t="str">
        <f>VLOOKUP($A50,'[1]Raw Data'!$A$3:$FB$285,121,FALSE)</f>
        <v/>
      </c>
      <c r="DK50" s="27" t="str">
        <f>VLOOKUP($A50,'[1]Raw Data'!$A$3:$FB$285,122,FALSE)</f>
        <v>Focal Person</v>
      </c>
      <c r="DL50" s="27" t="s">
        <v>881</v>
      </c>
      <c r="DM50" s="27" t="str">
        <f>VLOOKUP($A50,'[1]Raw Data'!$A$3:$FB$285,123,FALSE)</f>
        <v/>
      </c>
      <c r="DN50" s="27" t="str">
        <f>VLOOKUP($A50,'[1]Raw Data'!$A$3:$FB$285,113,FALSE)</f>
        <v/>
      </c>
      <c r="DP50" s="27" t="str">
        <f>VLOOKUP($A50,'[1]Raw Data'!$A$3:$FB$285,114,FALSE)</f>
        <v>NRA Chief-District</v>
      </c>
      <c r="DQ50" s="27" t="s">
        <v>882</v>
      </c>
      <c r="DR50" s="27" t="str">
        <f>VLOOKUP($A50,'[1]Raw Data'!$A$3:$FB$285,115,FALSE)</f>
        <v/>
      </c>
      <c r="DS50" s="27" t="str">
        <f>VLOOKUP($A50,'[1]Raw Data'!$A$3:$FB$285,117,FALSE)</f>
        <v/>
      </c>
      <c r="DU50" s="27" t="str">
        <f>VLOOKUP($A50,'[1]Raw Data'!$A$3:$FB$285,118,FALSE)</f>
        <v>DUDBC.DLPIU Chief</v>
      </c>
      <c r="DV50" s="27" t="s">
        <v>883</v>
      </c>
      <c r="DW50" s="27" t="str">
        <f>VLOOKUP($A50,'[1]Raw Data'!$A$3:$FB$285,119,FALSE)</f>
        <v/>
      </c>
      <c r="DX50" s="27" t="s">
        <v>339</v>
      </c>
      <c r="DY50" s="27" t="str">
        <f>VLOOKUP($A50,'[1]Raw Data'!$A$3:$FB$285,124,FALSE)</f>
        <v/>
      </c>
      <c r="DZ50" s="27" t="s">
        <v>884</v>
      </c>
      <c r="EA50" s="27" t="str">
        <f>VLOOKUP($A50,'[1]Raw Data'!$A$3:$FB$285,125,FALSE)</f>
        <v/>
      </c>
      <c r="EB50" s="27" t="s">
        <v>341</v>
      </c>
      <c r="EC50" s="27" t="str">
        <f>VLOOKUP($A50,'[1]Raw Data'!$A$3:$FB$285,126,FALSE)</f>
        <v/>
      </c>
      <c r="ED50" t="s">
        <v>478</v>
      </c>
      <c r="EE50" s="27" t="str">
        <f>VLOOKUP($A50,'[1]Raw Data'!$A$3:$FB$285,127,FALSE)</f>
        <v/>
      </c>
      <c r="EF50" s="27" t="s">
        <v>343</v>
      </c>
      <c r="EG50" s="27" t="str">
        <f>VLOOKUP($A50,'[1]Raw Data'!$A$3:$FB$285,128,FALSE)</f>
        <v/>
      </c>
      <c r="EH50" t="s">
        <v>344</v>
      </c>
      <c r="EI50" s="27" t="str">
        <f>VLOOKUP($A50,'[1]Raw Data'!$A$3:$FB$285,129,FALSE)</f>
        <v/>
      </c>
      <c r="EM50" s="27" t="str">
        <f>VLOOKUP($A50,'[1]Raw Data'!$A$3:$FB$285,130,FALSE)</f>
        <v/>
      </c>
      <c r="EN50" s="27" t="str">
        <f>VLOOKUP($A50,'[1]Raw Data'!$A$3:$FB$285,131,FALSE)</f>
        <v/>
      </c>
      <c r="EO50" s="27" t="str">
        <f>VLOOKUP($A50,'[1]Raw Data'!$A$3:$FB$285,132,FALSE)</f>
        <v/>
      </c>
      <c r="EP50" s="27" t="str">
        <f>VLOOKUP($A50,'[1]Raw Data'!$A$3:$FB$285,133,FALSE)</f>
        <v/>
      </c>
      <c r="EQ50" s="27" t="str">
        <f>VLOOKUP($A50,'[1]Raw Data'!$A$3:$FB$285,134,FALSE)</f>
        <v/>
      </c>
      <c r="ER50" s="27" t="str">
        <f>VLOOKUP($A50,'[1]Raw Data'!$A$3:$FB$285,135,FALSE)</f>
        <v/>
      </c>
      <c r="ES50" s="27" t="str">
        <f>VLOOKUP($A50,'[1]Raw Data'!$A$3:$FB$285,136,FALSE)</f>
        <v/>
      </c>
      <c r="ET50" s="27" t="str">
        <f>VLOOKUP($A50,'[1]Raw Data'!$A$3:$FB$285,137,FALSE)</f>
        <v/>
      </c>
      <c r="EU50" s="27" t="str">
        <f>VLOOKUP($A50,'[1]Raw Data'!$A$3:$FB$285,138,FALSE)</f>
        <v/>
      </c>
      <c r="EV50" s="27" t="str">
        <f>VLOOKUP($A50,'[1]Raw Data'!$A$3:$FB$285,139,FALSE)</f>
        <v/>
      </c>
      <c r="EW50" s="38">
        <f>VLOOKUP($A50,[1]Training!$A$2:$I$284,5,FALSE)</f>
        <v>134.92307692307693</v>
      </c>
      <c r="EX50" s="31">
        <f>VLOOKUP($A50,[1]Training!$A$2:$I$284,6,FALSE)</f>
        <v>0</v>
      </c>
      <c r="EY50" s="38">
        <f>VLOOKUP($A50,[1]Training!$A$2:$I$284,8,FALSE)</f>
        <v>159.45454545454547</v>
      </c>
      <c r="EZ50" s="31">
        <f>VLOOKUP($A50,[1]Training!$A$2:$I$284,9,FALSE)</f>
        <v>115</v>
      </c>
      <c r="FA50" s="27">
        <v>1</v>
      </c>
      <c r="FB50" s="27">
        <v>2</v>
      </c>
      <c r="FC50" s="27" t="str">
        <f>VLOOKUP($A50,'[1]Raw Data'!$A$3:$FB$285,148,FALSE)</f>
        <v/>
      </c>
      <c r="FE50" s="27" t="str">
        <f>VLOOKUP($A50,'[1]Raw Data'!$A$3:$FB$285,149,FALSE)</f>
        <v>District Coordinator</v>
      </c>
      <c r="FF50" s="27" t="s">
        <v>885</v>
      </c>
      <c r="FG50" s="27" t="str">
        <f>VLOOKUP($A50,'[1]Raw Data'!$A$3:$FB$285,150,FALSE)</f>
        <v/>
      </c>
      <c r="FH50" s="27" t="str">
        <f>VLOOKUP($A50,'[1]Raw Data'!$A$3:$FB$285,156,FALSE)</f>
        <v/>
      </c>
      <c r="FJ50" s="27" t="str">
        <f>VLOOKUP($A50,'[1]Raw Data'!$A$3:$FB$285,157,FALSE)</f>
        <v>District Technical Officer</v>
      </c>
      <c r="FK50" s="27" t="s">
        <v>886</v>
      </c>
      <c r="FL50" s="27" t="str">
        <f>VLOOKUP($A50,'[1]Raw Data'!$A$3:$FB$285,158,FALSE)</f>
        <v/>
      </c>
      <c r="FM50" s="27" t="str">
        <f>VLOOKUP($A50,'[1]Raw Data'!$A$3:$FB$285,152,FALSE)</f>
        <v/>
      </c>
      <c r="FO50" s="27" t="str">
        <f>VLOOKUP($A50,'[1]Raw Data'!$A$3:$FB$285,153,FALSE)</f>
        <v>DIstrict Information Management Officer</v>
      </c>
      <c r="FP50" s="27" t="s">
        <v>887</v>
      </c>
      <c r="FQ50" s="27" t="str">
        <f>VLOOKUP($A50,'[1]Raw Data'!$A$3:$FB$285,154,FALSE)</f>
        <v/>
      </c>
    </row>
    <row r="51" spans="1:173" ht="24" x14ac:dyDescent="0.45">
      <c r="A51" s="27">
        <v>13005</v>
      </c>
      <c r="B51" s="36" t="str">
        <f ca="1">IFERROR(__xludf.DUMMYFUNCTION("""COMPUTED_VALUE"""),"Jantedhunga Gaunpalika")</f>
        <v>Jantedhunga Gaunpalika</v>
      </c>
      <c r="C51" s="37" t="str">
        <f>VLOOKUP(A51,'[1]Palika and District in Nepali '!$D$1:$F$283,3,FALSE)</f>
        <v>जानतेनढूंगा गाऊपालिका</v>
      </c>
      <c r="D51" s="36" t="str">
        <f ca="1">IFERROR(__xludf.DUMMYFUNCTION("""COMPUTED_VALUE"""),"Khotang")</f>
        <v>Khotang</v>
      </c>
      <c r="E51" s="36"/>
      <c r="F51" s="27">
        <f>VLOOKUP(A51,'[1]Raw Data'!$A$3:$FB$285,4,FALSE)</f>
        <v>258</v>
      </c>
      <c r="G51" s="27">
        <f>VLOOKUP(A51,'[1]Raw Data'!$A$3:$FB$285,5,FALSE)</f>
        <v>506</v>
      </c>
      <c r="H51" s="27">
        <f>VLOOKUP(A51,'[1]Raw Data'!$A$3:$FB$285,6,FALSE)</f>
        <v>764</v>
      </c>
      <c r="I51" s="27">
        <f>VLOOKUP($A51,'[1]Raw Data'!$A$3:$FB$285,8,FALSE)</f>
        <v>0</v>
      </c>
      <c r="J51" s="27">
        <f>VLOOKUP($A51,'[1]Raw Data'!$A$3:$FB$285,9,FALSE)</f>
        <v>0.14000000000000001</v>
      </c>
      <c r="K51" s="27">
        <f>VLOOKUP($A51,'[1]Raw Data'!$A$3:$FB$285,11,FALSE)</f>
        <v>72.25</v>
      </c>
      <c r="L51" s="27">
        <f>VLOOKUP($A51,'[1]Raw Data'!$A$3:$FB$285,12,FALSE)</f>
        <v>92.74</v>
      </c>
      <c r="M51" s="27">
        <f>VLOOKUP($A51,'[1]Raw Data'!$A$3:$FB$285,14,FALSE)</f>
        <v>0</v>
      </c>
      <c r="N51" s="27">
        <f>VLOOKUP($A51,'[1]Raw Data'!$A$3:$FB$285,15,FALSE)</f>
        <v>0.02</v>
      </c>
      <c r="O51" s="27">
        <f>VLOOKUP($A51,'[1]Raw Data'!$A$3:$FB$285,17,FALSE)</f>
        <v>0</v>
      </c>
      <c r="P51" s="27">
        <f>VLOOKUP($A51,'[1]Raw Data'!$A$3:$FB$285,18,FALSE)</f>
        <v>0.05</v>
      </c>
      <c r="Q51" s="27">
        <f>VLOOKUP($A51,'[1]Raw Data'!$A$3:$FB$285,20,FALSE)</f>
        <v>0</v>
      </c>
      <c r="R51" s="27">
        <f>VLOOKUP($A51,'[1]Raw Data'!$A$3:$FB$285,21,FALSE)</f>
        <v>0.02</v>
      </c>
      <c r="S51" s="27">
        <f>VLOOKUP($A51,'[1]Raw Data'!$A$3:$FB$285,23,FALSE)</f>
        <v>0</v>
      </c>
      <c r="T51" s="27">
        <f>VLOOKUP($A51,'[1]Raw Data'!$A$3:$FB$285,24,FALSE)</f>
        <v>0</v>
      </c>
      <c r="U51" s="27">
        <f>VLOOKUP($A51,'[1]Raw Data'!$A$3:$FB$285,26,FALSE)</f>
        <v>0.39</v>
      </c>
      <c r="V51" s="27">
        <f>VLOOKUP($A51,'[1]Raw Data'!$A$3:$FB$285,27,FALSE)</f>
        <v>0.28999999999999998</v>
      </c>
      <c r="W51" s="27">
        <f>VLOOKUP($A51,'[1]Raw Data'!$A$3:$FB$285,29,FALSE)</f>
        <v>0</v>
      </c>
      <c r="X51" s="27">
        <f>VLOOKUP($A51,'[1]Raw Data'!$A$3:$FB$285,30,FALSE)</f>
        <v>0</v>
      </c>
      <c r="Y51" s="27">
        <f>VLOOKUP($A51,'[1]Raw Data'!$A$3:$FB$285,32,FALSE)</f>
        <v>0</v>
      </c>
      <c r="Z51" s="27">
        <f>VLOOKUP($A51,'[1]Raw Data'!$A$3:$FB$285,33,FALSE)</f>
        <v>0.25</v>
      </c>
      <c r="AA51" s="27">
        <f>VLOOKUP($A51,'[1]Raw Data'!$A$3:$FB$285,35,FALSE)</f>
        <v>26.7</v>
      </c>
      <c r="AB51" s="27">
        <f>VLOOKUP($A51,'[1]Raw Data'!$A$3:$FB$285,36,FALSE)</f>
        <v>6.28</v>
      </c>
      <c r="AC51" s="27">
        <f>VLOOKUP($A51,'[1]Raw Data'!$A$3:$FB$285,38,FALSE)</f>
        <v>0.65</v>
      </c>
      <c r="AD51" s="27">
        <f>VLOOKUP($A51,'[1]Raw Data'!$A$3:$FB$285,39,FALSE)</f>
        <v>0.23</v>
      </c>
      <c r="AE51" s="27">
        <f>VLOOKUP($A51,'[1]Raw Data'!$A$3:$FB$285,41,FALSE)</f>
        <v>0</v>
      </c>
      <c r="AF51" s="27">
        <f>VLOOKUP($A51,'[1]Raw Data'!$A$3:$FB$285,42,FALSE)</f>
        <v>0</v>
      </c>
      <c r="AG51" s="27">
        <f>VLOOKUP($A51,'[1]Raw Data'!$A$3:$FB$285,44,FALSE)</f>
        <v>0</v>
      </c>
      <c r="AH51" s="27">
        <f>VLOOKUP($A51,'[1]Raw Data'!$A$3:$FB$285,45,FALSE)</f>
        <v>0</v>
      </c>
      <c r="AI51" s="27">
        <f>VLOOKUP($A51,'[1]Raw Data'!$A$3:$FB$285,46,FALSE)</f>
        <v>464</v>
      </c>
      <c r="AJ51" s="27">
        <f>VLOOKUP($A51,'[1]Raw Data'!$A$3:$FB$285,47,FALSE)</f>
        <v>69</v>
      </c>
      <c r="AK51" s="27">
        <f>VLOOKUP($A51,'[1]Raw Data'!$A$3:$FB$285,48,FALSE)</f>
        <v>69</v>
      </c>
      <c r="AL51" s="27">
        <f>VLOOKUP($A51,'[1]Raw Data'!$A$3:$FB$285,49,FALSE)</f>
        <v>0</v>
      </c>
      <c r="AM51" s="27">
        <f>VLOOKUP($A51,'[1]Raw Data'!$A$3:$FB$285,50,FALSE)</f>
        <v>0</v>
      </c>
      <c r="AN51" s="27" t="str">
        <f>VLOOKUP($A51,'[1]Raw Data'!$A$3:$FB$285,51,FALSE)</f>
        <v/>
      </c>
      <c r="AO51" s="27" t="str">
        <f>VLOOKUP($A51,'[1]Raw Data'!$A$3:$FB$285,52,FALSE)</f>
        <v/>
      </c>
      <c r="AP51" s="27">
        <f>VLOOKUP($A51,'[1]Raw Data'!$A$3:$FB$285,53,FALSE)</f>
        <v>15</v>
      </c>
      <c r="AQ51" s="27" t="str">
        <f>VLOOKUP($A51,'[1]Raw Data'!$A$3:$FB$285,54,FALSE)</f>
        <v/>
      </c>
      <c r="AR51" s="27" t="str">
        <f>VLOOKUP($A51,'[1]Raw Data'!$A$3:$FB$285,55,FALSE)</f>
        <v/>
      </c>
      <c r="AS51" s="27" t="str">
        <f>VLOOKUP($A51,'[1]Raw Data'!$A$3:$FB$285,56,FALSE)</f>
        <v/>
      </c>
      <c r="AT51" s="27" t="str">
        <f>VLOOKUP($A51,'[1]Raw Data'!$A$3:$FB$285,57,FALSE)</f>
        <v/>
      </c>
      <c r="AU51" s="27" t="str">
        <f>VLOOKUP($A51,'[1]Raw Data'!$A$3:$FB$285,58,FALSE)</f>
        <v/>
      </c>
      <c r="AV51" s="27" t="str">
        <f>VLOOKUP($A51,'[1]Raw Data'!$A$3:$FB$285,59,FALSE)</f>
        <v/>
      </c>
      <c r="AW51" s="27" t="str">
        <f>VLOOKUP($A51,'[1]Raw Data'!$A$3:$FB$285,60,FALSE)</f>
        <v/>
      </c>
      <c r="AX51" s="27" t="str">
        <f>VLOOKUP(A51,'[1]PO''s List'!A49:E331,4,FALSE)</f>
        <v/>
      </c>
      <c r="AZ51" s="27" t="str">
        <f>VLOOKUP(A51,'[1]PO''s List'!$A$3:$E$285,5,FALSE)</f>
        <v/>
      </c>
      <c r="BB51" s="27">
        <f>VLOOKUP($A51,'[1]Raw Data'!$A$3:$FB$285,63,FALSE)</f>
        <v>2324</v>
      </c>
      <c r="BC51" s="27" t="str">
        <f>VLOOKUP($A51,'[1]Raw Data'!$A$3:$FB$285,64,FALSE)</f>
        <v/>
      </c>
      <c r="BD51" s="27" t="str">
        <f t="shared" si="0"/>
        <v/>
      </c>
      <c r="BE51" s="27" t="str">
        <f>VLOOKUP($A51,'[1]Raw Data'!$A$3:$FB$285,65,FALSE)</f>
        <v/>
      </c>
      <c r="BF51" s="27">
        <f>VLOOKUP($A51,'[1]Raw Data'!$A$3:$FB$285,66,FALSE)</f>
        <v>2490</v>
      </c>
      <c r="BG51" s="27" t="str">
        <f>VLOOKUP($A51,'[1]Raw Data'!$A$3:$FB$285,67,FALSE)</f>
        <v/>
      </c>
      <c r="BH51" s="27" t="str">
        <f t="shared" si="1"/>
        <v/>
      </c>
      <c r="BI51" s="27" t="str">
        <f>VLOOKUP($A51,'[1]Raw Data'!$A$3:$FB$285,68,FALSE)</f>
        <v/>
      </c>
      <c r="BJ51" s="27">
        <f>VLOOKUP($A51,'[1]Raw Data'!$A$3:$FB$285,69,FALSE)</f>
        <v>249</v>
      </c>
      <c r="BK51" s="27" t="str">
        <f>VLOOKUP($A51,'[1]Raw Data'!$A$3:$FB$285,70,FALSE)</f>
        <v/>
      </c>
      <c r="BL51" s="27" t="str">
        <f t="shared" si="2"/>
        <v/>
      </c>
      <c r="BM51" s="27" t="str">
        <f>VLOOKUP($A51,'[1]Raw Data'!$A$3:$FB$285,71,FALSE)</f>
        <v/>
      </c>
      <c r="BN51" s="27">
        <f>VLOOKUP($A51,'[1]Raw Data'!$A$3:$FB$285,72,FALSE)</f>
        <v>291</v>
      </c>
      <c r="BO51" s="27" t="str">
        <f>VLOOKUP($A51,'[1]Raw Data'!$A$3:$FB$285,73,FALSE)</f>
        <v/>
      </c>
      <c r="BP51" s="27" t="str">
        <f t="shared" si="3"/>
        <v/>
      </c>
      <c r="BQ51" s="27" t="str">
        <f>VLOOKUP($A51,'[1]Raw Data'!$A$3:$FB$285,74,FALSE)</f>
        <v/>
      </c>
      <c r="BR51" s="27" t="str">
        <f>VLOOKUP($A51,'[1]Raw Data'!$A$3:$FB$285,75,FALSE)</f>
        <v/>
      </c>
      <c r="BS51" s="27" t="str">
        <f>VLOOKUP($A51,'[1]Raw Data'!$A$3:$FB$285,76,FALSE)</f>
        <v/>
      </c>
      <c r="BT51" s="27" t="str">
        <f t="shared" si="4"/>
        <v/>
      </c>
      <c r="BU51" s="27" t="str">
        <f>VLOOKUP($A51,'[1]Raw Data'!$A$3:$FB$285,77,FALSE)</f>
        <v/>
      </c>
      <c r="BV51" s="27">
        <f>VLOOKUP($A51,'[1]Raw Data'!$A$3:$FB$285,78,FALSE)</f>
        <v>8134</v>
      </c>
      <c r="BW51" s="27" t="str">
        <f>VLOOKUP($A51,'[1]Raw Data'!$A$3:$FB$285,79,FALSE)</f>
        <v/>
      </c>
      <c r="BX51" s="27" t="str">
        <f t="shared" si="5"/>
        <v/>
      </c>
      <c r="BY51" s="27" t="str">
        <f>VLOOKUP($A51,'[1]Raw Data'!$A$3:$FB$285,80,FALSE)</f>
        <v/>
      </c>
      <c r="BZ51" s="27">
        <f>VLOOKUP($A51,'[1]Raw Data'!$A$3:$FB$285,81,FALSE)</f>
        <v>24900</v>
      </c>
      <c r="CA51" s="27" t="str">
        <f>VLOOKUP($A51,'[1]Raw Data'!$A$3:$FB$285,82,FALSE)</f>
        <v/>
      </c>
      <c r="CB51" s="27" t="str">
        <f t="shared" si="6"/>
        <v/>
      </c>
      <c r="CC51" s="27" t="str">
        <f>VLOOKUP($A51,'[1]Raw Data'!$A$3:$FB$285,83,FALSE)</f>
        <v/>
      </c>
      <c r="CD51" s="27">
        <f>VLOOKUP($A51,'[1]Raw Data'!$A$3:$FB$285,84,FALSE)</f>
        <v>332</v>
      </c>
      <c r="CE51" s="27" t="str">
        <f>VLOOKUP($A51,'[1]Raw Data'!$A$3:$FB$285,85,FALSE)</f>
        <v/>
      </c>
      <c r="CF51" s="27" t="str">
        <f t="shared" si="7"/>
        <v/>
      </c>
      <c r="CG51" s="27" t="str">
        <f>VLOOKUP($A51,'[1]Raw Data'!$A$3:$FB$285,86,FALSE)</f>
        <v/>
      </c>
      <c r="CH51" s="27">
        <f>VLOOKUP($A51,'[1]Raw Data'!$A$3:$FB$285,87,FALSE)</f>
        <v>0</v>
      </c>
      <c r="CI51" s="27" t="str">
        <f>VLOOKUP($A51,'[1]Raw Data'!$A$3:$FB$285,88,FALSE)</f>
        <v/>
      </c>
      <c r="CJ51" s="27" t="str">
        <f t="shared" si="8"/>
        <v/>
      </c>
      <c r="CK51" s="27" t="str">
        <f>VLOOKUP($A51,'[1]Raw Data'!$A$3:$FB$285,89,FALSE)</f>
        <v/>
      </c>
      <c r="CL51" s="27" t="str">
        <f>VLOOKUP($A51,'[1]Raw Data'!$A$3:$FB$285,91,FALSE)</f>
        <v/>
      </c>
      <c r="CM51" s="27" t="str">
        <f>VLOOKUP($A51,'[1]Raw Data'!$A$3:$FB$285,93,FALSE)</f>
        <v/>
      </c>
      <c r="CN51" s="27" t="str">
        <f>VLOOKUP($A51,'[1]Raw Data'!$A$3:$FB$285,94,FALSE)</f>
        <v/>
      </c>
      <c r="CO51" s="27" t="str">
        <f>VLOOKUP($A51,'[1]Raw Data'!$A$3:$FB$285,95,FALSE)</f>
        <v/>
      </c>
      <c r="CP51" s="27" t="str">
        <f>VLOOKUP($A51,'[1]Raw Data'!$A$3:$FB$285,96,FALSE)</f>
        <v/>
      </c>
      <c r="CQ51" s="27" t="str">
        <f>VLOOKUP($A51,'[1]Raw Data'!$A$3:$FB$285,97,FALSE)</f>
        <v/>
      </c>
      <c r="CR51" s="27" t="str">
        <f>VLOOKUP($A51,'[1]Raw Data'!$A$3:$FB$285,98,FALSE)</f>
        <v/>
      </c>
      <c r="CS51" s="27" t="str">
        <f>VLOOKUP($A51,'[1]Raw Data'!$A$3:$FB$285,99,FALSE)</f>
        <v/>
      </c>
      <c r="CT51" s="27" t="str">
        <f>VLOOKUP($A51,'[1]Raw Data'!$A$3:$FB$285,101,FALSE)</f>
        <v/>
      </c>
      <c r="CV51" s="27" t="str">
        <f>VLOOKUP($A51,'[1]Raw Data'!$A$3:$FB$285,102,FALSE)</f>
        <v>Chairman</v>
      </c>
      <c r="CW51" s="27" t="s">
        <v>878</v>
      </c>
      <c r="CX51" s="27" t="str">
        <f>VLOOKUP($A51,'[1]Raw Data'!$A$3:$FB$285,103,FALSE)</f>
        <v/>
      </c>
      <c r="CY51" s="27" t="str">
        <f>VLOOKUP($A51,'[1]Raw Data'!$A$3:$FB$285,105,FALSE)</f>
        <v/>
      </c>
      <c r="DA51" s="27" t="str">
        <f>VLOOKUP($A51,'[1]Raw Data'!$A$3:$FB$285,106,FALSE)</f>
        <v>Deputy Chairman</v>
      </c>
      <c r="DB51" s="27" t="s">
        <v>879</v>
      </c>
      <c r="DC51" s="27" t="str">
        <f>VLOOKUP($A51,'[1]Raw Data'!$A$3:$FB$285,107,FALSE)</f>
        <v/>
      </c>
      <c r="DD51" s="27" t="str">
        <f>VLOOKUP($A51,'[1]Raw Data'!$A$3:$FB$285,109,FALSE)</f>
        <v/>
      </c>
      <c r="DF51" s="27" t="str">
        <f>VLOOKUP($A51,'[1]Raw Data'!$A$3:$FB$285,110,FALSE)</f>
        <v>Adminstration Officer</v>
      </c>
      <c r="DG51" s="27" t="s">
        <v>880</v>
      </c>
      <c r="DH51" s="27" t="str">
        <f>VLOOKUP($A51,'[1]Raw Data'!$A$3:$FB$285,111,FALSE)</f>
        <v/>
      </c>
      <c r="DI51" s="27" t="str">
        <f>VLOOKUP($A51,'[1]Raw Data'!$A$3:$FB$285,121,FALSE)</f>
        <v/>
      </c>
      <c r="DK51" s="27" t="str">
        <f>VLOOKUP($A51,'[1]Raw Data'!$A$3:$FB$285,122,FALSE)</f>
        <v>Focal Person</v>
      </c>
      <c r="DL51" s="27" t="s">
        <v>881</v>
      </c>
      <c r="DM51" s="27" t="str">
        <f>VLOOKUP($A51,'[1]Raw Data'!$A$3:$FB$285,123,FALSE)</f>
        <v/>
      </c>
      <c r="DN51" s="27" t="str">
        <f>VLOOKUP($A51,'[1]Raw Data'!$A$3:$FB$285,113,FALSE)</f>
        <v/>
      </c>
      <c r="DP51" s="27" t="str">
        <f>VLOOKUP($A51,'[1]Raw Data'!$A$3:$FB$285,114,FALSE)</f>
        <v>NRA Chief-District</v>
      </c>
      <c r="DQ51" s="27" t="s">
        <v>882</v>
      </c>
      <c r="DR51" s="27" t="str">
        <f>VLOOKUP($A51,'[1]Raw Data'!$A$3:$FB$285,115,FALSE)</f>
        <v/>
      </c>
      <c r="DS51" s="27" t="str">
        <f>VLOOKUP($A51,'[1]Raw Data'!$A$3:$FB$285,117,FALSE)</f>
        <v/>
      </c>
      <c r="DU51" s="27" t="str">
        <f>VLOOKUP($A51,'[1]Raw Data'!$A$3:$FB$285,118,FALSE)</f>
        <v>DUDBC.DLPIU Chief</v>
      </c>
      <c r="DV51" s="27" t="s">
        <v>883</v>
      </c>
      <c r="DW51" s="27" t="str">
        <f>VLOOKUP($A51,'[1]Raw Data'!$A$3:$FB$285,119,FALSE)</f>
        <v/>
      </c>
      <c r="DX51" s="27" t="s">
        <v>339</v>
      </c>
      <c r="DY51" s="27" t="str">
        <f>VLOOKUP($A51,'[1]Raw Data'!$A$3:$FB$285,124,FALSE)</f>
        <v/>
      </c>
      <c r="DZ51" s="27" t="s">
        <v>884</v>
      </c>
      <c r="EA51" s="27" t="str">
        <f>VLOOKUP($A51,'[1]Raw Data'!$A$3:$FB$285,125,FALSE)</f>
        <v/>
      </c>
      <c r="EB51" s="27" t="s">
        <v>341</v>
      </c>
      <c r="EC51" s="27" t="str">
        <f>VLOOKUP($A51,'[1]Raw Data'!$A$3:$FB$285,126,FALSE)</f>
        <v/>
      </c>
      <c r="ED51" t="s">
        <v>478</v>
      </c>
      <c r="EE51" s="27" t="str">
        <f>VLOOKUP($A51,'[1]Raw Data'!$A$3:$FB$285,127,FALSE)</f>
        <v/>
      </c>
      <c r="EF51" s="27" t="s">
        <v>343</v>
      </c>
      <c r="EG51" s="27" t="str">
        <f>VLOOKUP($A51,'[1]Raw Data'!$A$3:$FB$285,128,FALSE)</f>
        <v/>
      </c>
      <c r="EH51" t="s">
        <v>344</v>
      </c>
      <c r="EI51" s="27" t="str">
        <f>VLOOKUP($A51,'[1]Raw Data'!$A$3:$FB$285,129,FALSE)</f>
        <v/>
      </c>
      <c r="EM51" s="27" t="str">
        <f>VLOOKUP($A51,'[1]Raw Data'!$A$3:$FB$285,130,FALSE)</f>
        <v/>
      </c>
      <c r="EN51" s="27" t="str">
        <f>VLOOKUP($A51,'[1]Raw Data'!$A$3:$FB$285,131,FALSE)</f>
        <v/>
      </c>
      <c r="EO51" s="27" t="str">
        <f>VLOOKUP($A51,'[1]Raw Data'!$A$3:$FB$285,132,FALSE)</f>
        <v/>
      </c>
      <c r="EP51" s="27" t="str">
        <f>VLOOKUP($A51,'[1]Raw Data'!$A$3:$FB$285,133,FALSE)</f>
        <v/>
      </c>
      <c r="EQ51" s="27" t="str">
        <f>VLOOKUP($A51,'[1]Raw Data'!$A$3:$FB$285,134,FALSE)</f>
        <v/>
      </c>
      <c r="ER51" s="27" t="str">
        <f>VLOOKUP($A51,'[1]Raw Data'!$A$3:$FB$285,135,FALSE)</f>
        <v/>
      </c>
      <c r="ES51" s="27" t="str">
        <f>VLOOKUP($A51,'[1]Raw Data'!$A$3:$FB$285,136,FALSE)</f>
        <v/>
      </c>
      <c r="ET51" s="27" t="str">
        <f>VLOOKUP($A51,'[1]Raw Data'!$A$3:$FB$285,137,FALSE)</f>
        <v/>
      </c>
      <c r="EU51" s="27" t="str">
        <f>VLOOKUP($A51,'[1]Raw Data'!$A$3:$FB$285,138,FALSE)</f>
        <v/>
      </c>
      <c r="EV51" s="27" t="str">
        <f>VLOOKUP($A51,'[1]Raw Data'!$A$3:$FB$285,139,FALSE)</f>
        <v/>
      </c>
      <c r="EW51" s="38">
        <f>VLOOKUP($A51,[1]Training!$A$2:$I$284,5,FALSE)</f>
        <v>35.692307692307693</v>
      </c>
      <c r="EX51" s="31">
        <f>VLOOKUP($A51,[1]Training!$A$2:$I$284,6,FALSE)</f>
        <v>0</v>
      </c>
      <c r="EY51" s="38">
        <f>VLOOKUP($A51,[1]Training!$A$2:$I$284,8,FALSE)</f>
        <v>42.18181818181818</v>
      </c>
      <c r="EZ51" s="31">
        <f>VLOOKUP($A51,[1]Training!$A$2:$I$284,9,FALSE)</f>
        <v>40</v>
      </c>
      <c r="FA51" s="27">
        <v>1</v>
      </c>
      <c r="FB51" s="27">
        <v>2</v>
      </c>
      <c r="FC51" s="27" t="str">
        <f>VLOOKUP($A51,'[1]Raw Data'!$A$3:$FB$285,148,FALSE)</f>
        <v/>
      </c>
      <c r="FE51" s="27" t="str">
        <f>VLOOKUP($A51,'[1]Raw Data'!$A$3:$FB$285,149,FALSE)</f>
        <v>District Coordinator</v>
      </c>
      <c r="FF51" s="27" t="s">
        <v>885</v>
      </c>
      <c r="FG51" s="27" t="str">
        <f>VLOOKUP($A51,'[1]Raw Data'!$A$3:$FB$285,150,FALSE)</f>
        <v/>
      </c>
      <c r="FH51" s="27" t="str">
        <f>VLOOKUP($A51,'[1]Raw Data'!$A$3:$FB$285,156,FALSE)</f>
        <v/>
      </c>
      <c r="FJ51" s="27" t="str">
        <f>VLOOKUP($A51,'[1]Raw Data'!$A$3:$FB$285,157,FALSE)</f>
        <v>District Technical Officer</v>
      </c>
      <c r="FK51" s="27" t="s">
        <v>886</v>
      </c>
      <c r="FL51" s="27" t="str">
        <f>VLOOKUP($A51,'[1]Raw Data'!$A$3:$FB$285,158,FALSE)</f>
        <v/>
      </c>
      <c r="FM51" s="27" t="str">
        <f>VLOOKUP($A51,'[1]Raw Data'!$A$3:$FB$285,152,FALSE)</f>
        <v/>
      </c>
      <c r="FO51" s="27" t="str">
        <f>VLOOKUP($A51,'[1]Raw Data'!$A$3:$FB$285,153,FALSE)</f>
        <v>DIstrict Information Management Officer</v>
      </c>
      <c r="FP51" s="27" t="s">
        <v>887</v>
      </c>
      <c r="FQ51" s="27" t="str">
        <f>VLOOKUP($A51,'[1]Raw Data'!$A$3:$FB$285,154,FALSE)</f>
        <v/>
      </c>
    </row>
    <row r="52" spans="1:173" ht="24" x14ac:dyDescent="0.45">
      <c r="A52" s="27">
        <v>13006</v>
      </c>
      <c r="B52" s="36" t="str">
        <f ca="1">IFERROR(__xludf.DUMMYFUNCTION("""COMPUTED_VALUE"""),"Kepilasagadhi Gaunpalika")</f>
        <v>Kepilasagadhi Gaunpalika</v>
      </c>
      <c r="C52" s="37" t="str">
        <f>VLOOKUP(A52,'[1]Palika and District in Nepali '!$D$1:$F$283,3,FALSE)</f>
        <v>केपिलासागढी गाऊपालिका</v>
      </c>
      <c r="D52" s="36" t="str">
        <f ca="1">IFERROR(__xludf.DUMMYFUNCTION("""COMPUTED_VALUE"""),"Khotang")</f>
        <v>Khotang</v>
      </c>
      <c r="E52" s="36"/>
      <c r="F52" s="27">
        <f>VLOOKUP(A52,'[1]Raw Data'!$A$3:$FB$285,4,FALSE)</f>
        <v>84</v>
      </c>
      <c r="G52" s="27">
        <f>VLOOKUP(A52,'[1]Raw Data'!$A$3:$FB$285,5,FALSE)</f>
        <v>672</v>
      </c>
      <c r="H52" s="27">
        <f>VLOOKUP(A52,'[1]Raw Data'!$A$3:$FB$285,6,FALSE)</f>
        <v>756</v>
      </c>
      <c r="I52" s="27">
        <f>VLOOKUP($A52,'[1]Raw Data'!$A$3:$FB$285,8,FALSE)</f>
        <v>0</v>
      </c>
      <c r="J52" s="27">
        <f>VLOOKUP($A52,'[1]Raw Data'!$A$3:$FB$285,9,FALSE)</f>
        <v>0.14000000000000001</v>
      </c>
      <c r="K52" s="27">
        <f>VLOOKUP($A52,'[1]Raw Data'!$A$3:$FB$285,11,FALSE)</f>
        <v>99.07</v>
      </c>
      <c r="L52" s="27">
        <f>VLOOKUP($A52,'[1]Raw Data'!$A$3:$FB$285,12,FALSE)</f>
        <v>92.74</v>
      </c>
      <c r="M52" s="27">
        <f>VLOOKUP($A52,'[1]Raw Data'!$A$3:$FB$285,14,FALSE)</f>
        <v>0</v>
      </c>
      <c r="N52" s="27">
        <f>VLOOKUP($A52,'[1]Raw Data'!$A$3:$FB$285,15,FALSE)</f>
        <v>0.02</v>
      </c>
      <c r="O52" s="27">
        <f>VLOOKUP($A52,'[1]Raw Data'!$A$3:$FB$285,17,FALSE)</f>
        <v>0</v>
      </c>
      <c r="P52" s="27">
        <f>VLOOKUP($A52,'[1]Raw Data'!$A$3:$FB$285,18,FALSE)</f>
        <v>0.05</v>
      </c>
      <c r="Q52" s="27">
        <f>VLOOKUP($A52,'[1]Raw Data'!$A$3:$FB$285,20,FALSE)</f>
        <v>0</v>
      </c>
      <c r="R52" s="27">
        <f>VLOOKUP($A52,'[1]Raw Data'!$A$3:$FB$285,21,FALSE)</f>
        <v>0.02</v>
      </c>
      <c r="S52" s="27">
        <f>VLOOKUP($A52,'[1]Raw Data'!$A$3:$FB$285,23,FALSE)</f>
        <v>0</v>
      </c>
      <c r="T52" s="27">
        <f>VLOOKUP($A52,'[1]Raw Data'!$A$3:$FB$285,24,FALSE)</f>
        <v>0</v>
      </c>
      <c r="U52" s="27">
        <f>VLOOKUP($A52,'[1]Raw Data'!$A$3:$FB$285,26,FALSE)</f>
        <v>0.4</v>
      </c>
      <c r="V52" s="27">
        <f>VLOOKUP($A52,'[1]Raw Data'!$A$3:$FB$285,27,FALSE)</f>
        <v>0.28999999999999998</v>
      </c>
      <c r="W52" s="27">
        <f>VLOOKUP($A52,'[1]Raw Data'!$A$3:$FB$285,29,FALSE)</f>
        <v>0</v>
      </c>
      <c r="X52" s="27">
        <f>VLOOKUP($A52,'[1]Raw Data'!$A$3:$FB$285,30,FALSE)</f>
        <v>0</v>
      </c>
      <c r="Y52" s="27">
        <f>VLOOKUP($A52,'[1]Raw Data'!$A$3:$FB$285,32,FALSE)</f>
        <v>0</v>
      </c>
      <c r="Z52" s="27">
        <f>VLOOKUP($A52,'[1]Raw Data'!$A$3:$FB$285,33,FALSE)</f>
        <v>0.25</v>
      </c>
      <c r="AA52" s="27">
        <f>VLOOKUP($A52,'[1]Raw Data'!$A$3:$FB$285,35,FALSE)</f>
        <v>0.53</v>
      </c>
      <c r="AB52" s="27">
        <f>VLOOKUP($A52,'[1]Raw Data'!$A$3:$FB$285,36,FALSE)</f>
        <v>6.28</v>
      </c>
      <c r="AC52" s="27">
        <f>VLOOKUP($A52,'[1]Raw Data'!$A$3:$FB$285,38,FALSE)</f>
        <v>0</v>
      </c>
      <c r="AD52" s="27">
        <f>VLOOKUP($A52,'[1]Raw Data'!$A$3:$FB$285,39,FALSE)</f>
        <v>0.23</v>
      </c>
      <c r="AE52" s="27">
        <f>VLOOKUP($A52,'[1]Raw Data'!$A$3:$FB$285,41,FALSE)</f>
        <v>0</v>
      </c>
      <c r="AF52" s="27">
        <f>VLOOKUP($A52,'[1]Raw Data'!$A$3:$FB$285,42,FALSE)</f>
        <v>0</v>
      </c>
      <c r="AG52" s="27">
        <f>VLOOKUP($A52,'[1]Raw Data'!$A$3:$FB$285,44,FALSE)</f>
        <v>0</v>
      </c>
      <c r="AH52" s="27">
        <f>VLOOKUP($A52,'[1]Raw Data'!$A$3:$FB$285,45,FALSE)</f>
        <v>0</v>
      </c>
      <c r="AI52" s="27">
        <f>VLOOKUP($A52,'[1]Raw Data'!$A$3:$FB$285,46,FALSE)</f>
        <v>662</v>
      </c>
      <c r="AJ52" s="27">
        <f>VLOOKUP($A52,'[1]Raw Data'!$A$3:$FB$285,47,FALSE)</f>
        <v>83</v>
      </c>
      <c r="AK52" s="27">
        <f>VLOOKUP($A52,'[1]Raw Data'!$A$3:$FB$285,48,FALSE)</f>
        <v>83</v>
      </c>
      <c r="AL52" s="27">
        <f>VLOOKUP($A52,'[1]Raw Data'!$A$3:$FB$285,49,FALSE)</f>
        <v>21</v>
      </c>
      <c r="AM52" s="27">
        <f>VLOOKUP($A52,'[1]Raw Data'!$A$3:$FB$285,50,FALSE)</f>
        <v>0</v>
      </c>
      <c r="AN52" s="27" t="str">
        <f>VLOOKUP($A52,'[1]Raw Data'!$A$3:$FB$285,51,FALSE)</f>
        <v/>
      </c>
      <c r="AO52" s="27" t="str">
        <f>VLOOKUP($A52,'[1]Raw Data'!$A$3:$FB$285,52,FALSE)</f>
        <v/>
      </c>
      <c r="AP52" s="27">
        <f>VLOOKUP($A52,'[1]Raw Data'!$A$3:$FB$285,53,FALSE)</f>
        <v>7</v>
      </c>
      <c r="AQ52" s="27" t="str">
        <f>VLOOKUP($A52,'[1]Raw Data'!$A$3:$FB$285,54,FALSE)</f>
        <v/>
      </c>
      <c r="AR52" s="27" t="str">
        <f>VLOOKUP($A52,'[1]Raw Data'!$A$3:$FB$285,55,FALSE)</f>
        <v/>
      </c>
      <c r="AS52" s="27" t="str">
        <f>VLOOKUP($A52,'[1]Raw Data'!$A$3:$FB$285,56,FALSE)</f>
        <v/>
      </c>
      <c r="AT52" s="27" t="str">
        <f>VLOOKUP($A52,'[1]Raw Data'!$A$3:$FB$285,57,FALSE)</f>
        <v/>
      </c>
      <c r="AU52" s="27" t="str">
        <f>VLOOKUP($A52,'[1]Raw Data'!$A$3:$FB$285,58,FALSE)</f>
        <v/>
      </c>
      <c r="AV52" s="27" t="str">
        <f>VLOOKUP($A52,'[1]Raw Data'!$A$3:$FB$285,59,FALSE)</f>
        <v/>
      </c>
      <c r="AW52" s="27" t="str">
        <f>VLOOKUP($A52,'[1]Raw Data'!$A$3:$FB$285,60,FALSE)</f>
        <v/>
      </c>
      <c r="AX52" s="27" t="str">
        <f>VLOOKUP(A52,'[1]PO''s List'!A50:E332,4,FALSE)</f>
        <v/>
      </c>
      <c r="AZ52" s="27" t="str">
        <f>VLOOKUP(A52,'[1]PO''s List'!$A$3:$E$285,5,FALSE)</f>
        <v/>
      </c>
      <c r="BB52" s="27">
        <f>VLOOKUP($A52,'[1]Raw Data'!$A$3:$FB$285,63,FALSE)</f>
        <v>7288</v>
      </c>
      <c r="BC52" s="27" t="str">
        <f>VLOOKUP($A52,'[1]Raw Data'!$A$3:$FB$285,64,FALSE)</f>
        <v/>
      </c>
      <c r="BD52" s="27" t="str">
        <f t="shared" si="0"/>
        <v/>
      </c>
      <c r="BE52" s="27" t="str">
        <f>VLOOKUP($A52,'[1]Raw Data'!$A$3:$FB$285,65,FALSE)</f>
        <v/>
      </c>
      <c r="BF52" s="27">
        <f>VLOOKUP($A52,'[1]Raw Data'!$A$3:$FB$285,66,FALSE)</f>
        <v>7712</v>
      </c>
      <c r="BG52" s="27" t="str">
        <f>VLOOKUP($A52,'[1]Raw Data'!$A$3:$FB$285,67,FALSE)</f>
        <v/>
      </c>
      <c r="BH52" s="27" t="str">
        <f t="shared" si="1"/>
        <v/>
      </c>
      <c r="BI52" s="27" t="str">
        <f>VLOOKUP($A52,'[1]Raw Data'!$A$3:$FB$285,68,FALSE)</f>
        <v/>
      </c>
      <c r="BJ52" s="27">
        <f>VLOOKUP($A52,'[1]Raw Data'!$A$3:$FB$285,69,FALSE)</f>
        <v>780</v>
      </c>
      <c r="BK52" s="27" t="str">
        <f>VLOOKUP($A52,'[1]Raw Data'!$A$3:$FB$285,70,FALSE)</f>
        <v/>
      </c>
      <c r="BL52" s="27" t="str">
        <f t="shared" si="2"/>
        <v/>
      </c>
      <c r="BM52" s="27" t="str">
        <f>VLOOKUP($A52,'[1]Raw Data'!$A$3:$FB$285,71,FALSE)</f>
        <v/>
      </c>
      <c r="BN52" s="27">
        <f>VLOOKUP($A52,'[1]Raw Data'!$A$3:$FB$285,72,FALSE)</f>
        <v>907</v>
      </c>
      <c r="BO52" s="27" t="str">
        <f>VLOOKUP($A52,'[1]Raw Data'!$A$3:$FB$285,73,FALSE)</f>
        <v/>
      </c>
      <c r="BP52" s="27" t="str">
        <f t="shared" si="3"/>
        <v/>
      </c>
      <c r="BQ52" s="27" t="str">
        <f>VLOOKUP($A52,'[1]Raw Data'!$A$3:$FB$285,74,FALSE)</f>
        <v/>
      </c>
      <c r="BR52" s="27" t="str">
        <f>VLOOKUP($A52,'[1]Raw Data'!$A$3:$FB$285,75,FALSE)</f>
        <v/>
      </c>
      <c r="BS52" s="27" t="str">
        <f>VLOOKUP($A52,'[1]Raw Data'!$A$3:$FB$285,76,FALSE)</f>
        <v/>
      </c>
      <c r="BT52" s="27" t="str">
        <f t="shared" si="4"/>
        <v/>
      </c>
      <c r="BU52" s="27" t="str">
        <f>VLOOKUP($A52,'[1]Raw Data'!$A$3:$FB$285,77,FALSE)</f>
        <v/>
      </c>
      <c r="BV52" s="27">
        <f>VLOOKUP($A52,'[1]Raw Data'!$A$3:$FB$285,78,FALSE)</f>
        <v>25339</v>
      </c>
      <c r="BW52" s="27" t="str">
        <f>VLOOKUP($A52,'[1]Raw Data'!$A$3:$FB$285,79,FALSE)</f>
        <v/>
      </c>
      <c r="BX52" s="27" t="str">
        <f t="shared" si="5"/>
        <v/>
      </c>
      <c r="BY52" s="27" t="str">
        <f>VLOOKUP($A52,'[1]Raw Data'!$A$3:$FB$285,80,FALSE)</f>
        <v/>
      </c>
      <c r="BZ52" s="27">
        <f>VLOOKUP($A52,'[1]Raw Data'!$A$3:$FB$285,81,FALSE)</f>
        <v>78406</v>
      </c>
      <c r="CA52" s="27" t="str">
        <f>VLOOKUP($A52,'[1]Raw Data'!$A$3:$FB$285,82,FALSE)</f>
        <v/>
      </c>
      <c r="CB52" s="27" t="str">
        <f t="shared" si="6"/>
        <v/>
      </c>
      <c r="CC52" s="27" t="str">
        <f>VLOOKUP($A52,'[1]Raw Data'!$A$3:$FB$285,83,FALSE)</f>
        <v/>
      </c>
      <c r="CD52" s="27">
        <f>VLOOKUP($A52,'[1]Raw Data'!$A$3:$FB$285,84,FALSE)</f>
        <v>1035</v>
      </c>
      <c r="CE52" s="27" t="str">
        <f>VLOOKUP($A52,'[1]Raw Data'!$A$3:$FB$285,85,FALSE)</f>
        <v/>
      </c>
      <c r="CF52" s="27" t="str">
        <f t="shared" si="7"/>
        <v/>
      </c>
      <c r="CG52" s="27" t="str">
        <f>VLOOKUP($A52,'[1]Raw Data'!$A$3:$FB$285,86,FALSE)</f>
        <v/>
      </c>
      <c r="CH52" s="27">
        <f>VLOOKUP($A52,'[1]Raw Data'!$A$3:$FB$285,87,FALSE)</f>
        <v>27640</v>
      </c>
      <c r="CI52" s="27" t="str">
        <f>VLOOKUP($A52,'[1]Raw Data'!$A$3:$FB$285,88,FALSE)</f>
        <v/>
      </c>
      <c r="CJ52" s="27" t="str">
        <f t="shared" si="8"/>
        <v/>
      </c>
      <c r="CK52" s="27" t="str">
        <f>VLOOKUP($A52,'[1]Raw Data'!$A$3:$FB$285,89,FALSE)</f>
        <v/>
      </c>
      <c r="CL52" s="27" t="str">
        <f>VLOOKUP($A52,'[1]Raw Data'!$A$3:$FB$285,91,FALSE)</f>
        <v/>
      </c>
      <c r="CM52" s="27" t="str">
        <f>VLOOKUP($A52,'[1]Raw Data'!$A$3:$FB$285,93,FALSE)</f>
        <v/>
      </c>
      <c r="CN52" s="27" t="str">
        <f>VLOOKUP($A52,'[1]Raw Data'!$A$3:$FB$285,94,FALSE)</f>
        <v/>
      </c>
      <c r="CO52" s="27" t="str">
        <f>VLOOKUP($A52,'[1]Raw Data'!$A$3:$FB$285,95,FALSE)</f>
        <v/>
      </c>
      <c r="CP52" s="27" t="str">
        <f>VLOOKUP($A52,'[1]Raw Data'!$A$3:$FB$285,96,FALSE)</f>
        <v/>
      </c>
      <c r="CQ52" s="27" t="str">
        <f>VLOOKUP($A52,'[1]Raw Data'!$A$3:$FB$285,97,FALSE)</f>
        <v/>
      </c>
      <c r="CR52" s="27" t="str">
        <f>VLOOKUP($A52,'[1]Raw Data'!$A$3:$FB$285,98,FALSE)</f>
        <v/>
      </c>
      <c r="CS52" s="27" t="str">
        <f>VLOOKUP($A52,'[1]Raw Data'!$A$3:$FB$285,99,FALSE)</f>
        <v/>
      </c>
      <c r="CT52" s="27" t="str">
        <f>VLOOKUP($A52,'[1]Raw Data'!$A$3:$FB$285,101,FALSE)</f>
        <v/>
      </c>
      <c r="CV52" s="27" t="str">
        <f>VLOOKUP($A52,'[1]Raw Data'!$A$3:$FB$285,102,FALSE)</f>
        <v>Chairman</v>
      </c>
      <c r="CW52" s="27" t="s">
        <v>878</v>
      </c>
      <c r="CX52" s="27" t="str">
        <f>VLOOKUP($A52,'[1]Raw Data'!$A$3:$FB$285,103,FALSE)</f>
        <v/>
      </c>
      <c r="CY52" s="27" t="str">
        <f>VLOOKUP($A52,'[1]Raw Data'!$A$3:$FB$285,105,FALSE)</f>
        <v/>
      </c>
      <c r="DA52" s="27" t="str">
        <f>VLOOKUP($A52,'[1]Raw Data'!$A$3:$FB$285,106,FALSE)</f>
        <v>Deputy Chairman</v>
      </c>
      <c r="DB52" s="27" t="s">
        <v>879</v>
      </c>
      <c r="DC52" s="27" t="str">
        <f>VLOOKUP($A52,'[1]Raw Data'!$A$3:$FB$285,107,FALSE)</f>
        <v/>
      </c>
      <c r="DD52" s="27" t="str">
        <f>VLOOKUP($A52,'[1]Raw Data'!$A$3:$FB$285,109,FALSE)</f>
        <v/>
      </c>
      <c r="DF52" s="27" t="str">
        <f>VLOOKUP($A52,'[1]Raw Data'!$A$3:$FB$285,110,FALSE)</f>
        <v>Adminstration Officer</v>
      </c>
      <c r="DG52" s="27" t="s">
        <v>880</v>
      </c>
      <c r="DH52" s="27" t="str">
        <f>VLOOKUP($A52,'[1]Raw Data'!$A$3:$FB$285,111,FALSE)</f>
        <v/>
      </c>
      <c r="DI52" s="27" t="str">
        <f>VLOOKUP($A52,'[1]Raw Data'!$A$3:$FB$285,121,FALSE)</f>
        <v/>
      </c>
      <c r="DK52" s="27" t="str">
        <f>VLOOKUP($A52,'[1]Raw Data'!$A$3:$FB$285,122,FALSE)</f>
        <v>Focal Person</v>
      </c>
      <c r="DL52" s="27" t="s">
        <v>881</v>
      </c>
      <c r="DM52" s="27" t="str">
        <f>VLOOKUP($A52,'[1]Raw Data'!$A$3:$FB$285,123,FALSE)</f>
        <v/>
      </c>
      <c r="DN52" s="27" t="str">
        <f>VLOOKUP($A52,'[1]Raw Data'!$A$3:$FB$285,113,FALSE)</f>
        <v/>
      </c>
      <c r="DP52" s="27" t="str">
        <f>VLOOKUP($A52,'[1]Raw Data'!$A$3:$FB$285,114,FALSE)</f>
        <v>NRA Chief-District</v>
      </c>
      <c r="DQ52" s="27" t="s">
        <v>882</v>
      </c>
      <c r="DR52" s="27" t="str">
        <f>VLOOKUP($A52,'[1]Raw Data'!$A$3:$FB$285,115,FALSE)</f>
        <v/>
      </c>
      <c r="DS52" s="27" t="str">
        <f>VLOOKUP($A52,'[1]Raw Data'!$A$3:$FB$285,117,FALSE)</f>
        <v/>
      </c>
      <c r="DU52" s="27" t="str">
        <f>VLOOKUP($A52,'[1]Raw Data'!$A$3:$FB$285,118,FALSE)</f>
        <v>DUDBC.DLPIU Chief</v>
      </c>
      <c r="DV52" s="27" t="s">
        <v>883</v>
      </c>
      <c r="DW52" s="27" t="str">
        <f>VLOOKUP($A52,'[1]Raw Data'!$A$3:$FB$285,119,FALSE)</f>
        <v/>
      </c>
      <c r="DX52" s="27" t="s">
        <v>339</v>
      </c>
      <c r="DY52" s="27" t="str">
        <f>VLOOKUP($A52,'[1]Raw Data'!$A$3:$FB$285,124,FALSE)</f>
        <v/>
      </c>
      <c r="DZ52" s="27" t="s">
        <v>884</v>
      </c>
      <c r="EA52" s="27" t="str">
        <f>VLOOKUP($A52,'[1]Raw Data'!$A$3:$FB$285,125,FALSE)</f>
        <v/>
      </c>
      <c r="EB52" s="27" t="s">
        <v>341</v>
      </c>
      <c r="EC52" s="27" t="str">
        <f>VLOOKUP($A52,'[1]Raw Data'!$A$3:$FB$285,126,FALSE)</f>
        <v/>
      </c>
      <c r="ED52" t="s">
        <v>478</v>
      </c>
      <c r="EE52" s="27" t="str">
        <f>VLOOKUP($A52,'[1]Raw Data'!$A$3:$FB$285,127,FALSE)</f>
        <v/>
      </c>
      <c r="EF52" s="27" t="s">
        <v>343</v>
      </c>
      <c r="EG52" s="27" t="str">
        <f>VLOOKUP($A52,'[1]Raw Data'!$A$3:$FB$285,128,FALSE)</f>
        <v/>
      </c>
      <c r="EH52" t="s">
        <v>344</v>
      </c>
      <c r="EI52" s="27" t="str">
        <f>VLOOKUP($A52,'[1]Raw Data'!$A$3:$FB$285,129,FALSE)</f>
        <v/>
      </c>
      <c r="EM52" s="27" t="str">
        <f>VLOOKUP($A52,'[1]Raw Data'!$A$3:$FB$285,130,FALSE)</f>
        <v/>
      </c>
      <c r="EN52" s="27" t="str">
        <f>VLOOKUP($A52,'[1]Raw Data'!$A$3:$FB$285,131,FALSE)</f>
        <v/>
      </c>
      <c r="EO52" s="27" t="str">
        <f>VLOOKUP($A52,'[1]Raw Data'!$A$3:$FB$285,132,FALSE)</f>
        <v/>
      </c>
      <c r="EP52" s="27" t="str">
        <f>VLOOKUP($A52,'[1]Raw Data'!$A$3:$FB$285,133,FALSE)</f>
        <v/>
      </c>
      <c r="EQ52" s="27" t="str">
        <f>VLOOKUP($A52,'[1]Raw Data'!$A$3:$FB$285,134,FALSE)</f>
        <v/>
      </c>
      <c r="ER52" s="27" t="str">
        <f>VLOOKUP($A52,'[1]Raw Data'!$A$3:$FB$285,135,FALSE)</f>
        <v/>
      </c>
      <c r="ES52" s="27" t="str">
        <f>VLOOKUP($A52,'[1]Raw Data'!$A$3:$FB$285,136,FALSE)</f>
        <v/>
      </c>
      <c r="ET52" s="27" t="str">
        <f>VLOOKUP($A52,'[1]Raw Data'!$A$3:$FB$285,137,FALSE)</f>
        <v/>
      </c>
      <c r="EU52" s="27" t="str">
        <f>VLOOKUP($A52,'[1]Raw Data'!$A$3:$FB$285,138,FALSE)</f>
        <v/>
      </c>
      <c r="EV52" s="27" t="str">
        <f>VLOOKUP($A52,'[1]Raw Data'!$A$3:$FB$285,139,FALSE)</f>
        <v/>
      </c>
      <c r="EW52" s="38">
        <f>VLOOKUP($A52,[1]Training!$A$2:$I$284,5,FALSE)</f>
        <v>50.92307692307692</v>
      </c>
      <c r="EX52" s="31">
        <f>VLOOKUP($A52,[1]Training!$A$2:$I$284,6,FALSE)</f>
        <v>0</v>
      </c>
      <c r="EY52" s="38">
        <f>VLOOKUP($A52,[1]Training!$A$2:$I$284,8,FALSE)</f>
        <v>60.18181818181818</v>
      </c>
      <c r="EZ52" s="31">
        <f>VLOOKUP($A52,[1]Training!$A$2:$I$284,9,FALSE)</f>
        <v>353</v>
      </c>
      <c r="FA52" s="27">
        <v>1</v>
      </c>
      <c r="FB52" s="27">
        <v>2</v>
      </c>
      <c r="FC52" s="27" t="str">
        <f>VLOOKUP($A52,'[1]Raw Data'!$A$3:$FB$285,148,FALSE)</f>
        <v/>
      </c>
      <c r="FE52" s="27" t="str">
        <f>VLOOKUP($A52,'[1]Raw Data'!$A$3:$FB$285,149,FALSE)</f>
        <v>District Coordinator</v>
      </c>
      <c r="FF52" s="27" t="s">
        <v>885</v>
      </c>
      <c r="FG52" s="27" t="str">
        <f>VLOOKUP($A52,'[1]Raw Data'!$A$3:$FB$285,150,FALSE)</f>
        <v/>
      </c>
      <c r="FH52" s="27" t="str">
        <f>VLOOKUP($A52,'[1]Raw Data'!$A$3:$FB$285,156,FALSE)</f>
        <v/>
      </c>
      <c r="FJ52" s="27" t="str">
        <f>VLOOKUP($A52,'[1]Raw Data'!$A$3:$FB$285,157,FALSE)</f>
        <v>District Technical Officer</v>
      </c>
      <c r="FK52" s="27" t="s">
        <v>886</v>
      </c>
      <c r="FL52" s="27" t="str">
        <f>VLOOKUP($A52,'[1]Raw Data'!$A$3:$FB$285,158,FALSE)</f>
        <v/>
      </c>
      <c r="FM52" s="27" t="str">
        <f>VLOOKUP($A52,'[1]Raw Data'!$A$3:$FB$285,152,FALSE)</f>
        <v/>
      </c>
      <c r="FO52" s="27" t="str">
        <f>VLOOKUP($A52,'[1]Raw Data'!$A$3:$FB$285,153,FALSE)</f>
        <v>DIstrict Information Management Officer</v>
      </c>
      <c r="FP52" s="27" t="s">
        <v>887</v>
      </c>
      <c r="FQ52" s="27" t="str">
        <f>VLOOKUP($A52,'[1]Raw Data'!$A$3:$FB$285,154,FALSE)</f>
        <v/>
      </c>
    </row>
    <row r="53" spans="1:173" ht="24" x14ac:dyDescent="0.45">
      <c r="A53" s="27">
        <v>13007</v>
      </c>
      <c r="B53" s="36" t="str">
        <f ca="1">IFERROR(__xludf.DUMMYFUNCTION("""COMPUTED_VALUE"""),"Khotehang Gaunpalika")</f>
        <v>Khotehang Gaunpalika</v>
      </c>
      <c r="C53" s="37" t="str">
        <f>VLOOKUP(A53,'[1]Palika and District in Nepali '!$D$1:$F$283,3,FALSE)</f>
        <v>खोटेहांङ गाऊपालिका</v>
      </c>
      <c r="D53" s="36" t="str">
        <f ca="1">IFERROR(__xludf.DUMMYFUNCTION("""COMPUTED_VALUE"""),"Khotang")</f>
        <v>Khotang</v>
      </c>
      <c r="E53" s="36"/>
      <c r="F53" s="27">
        <f>VLOOKUP(A53,'[1]Raw Data'!$A$3:$FB$285,4,FALSE)</f>
        <v>503</v>
      </c>
      <c r="G53" s="27">
        <f>VLOOKUP(A53,'[1]Raw Data'!$A$3:$FB$285,5,FALSE)</f>
        <v>917</v>
      </c>
      <c r="H53" s="27">
        <f>VLOOKUP(A53,'[1]Raw Data'!$A$3:$FB$285,6,FALSE)</f>
        <v>1420</v>
      </c>
      <c r="I53" s="27">
        <f>VLOOKUP($A53,'[1]Raw Data'!$A$3:$FB$285,8,FALSE)</f>
        <v>0.21</v>
      </c>
      <c r="J53" s="27">
        <f>VLOOKUP($A53,'[1]Raw Data'!$A$3:$FB$285,9,FALSE)</f>
        <v>0.14000000000000001</v>
      </c>
      <c r="K53" s="27">
        <f>VLOOKUP($A53,'[1]Raw Data'!$A$3:$FB$285,11,FALSE)</f>
        <v>71.760000000000005</v>
      </c>
      <c r="L53" s="27">
        <f>VLOOKUP($A53,'[1]Raw Data'!$A$3:$FB$285,12,FALSE)</f>
        <v>92.74</v>
      </c>
      <c r="M53" s="27">
        <f>VLOOKUP($A53,'[1]Raw Data'!$A$3:$FB$285,14,FALSE)</f>
        <v>0</v>
      </c>
      <c r="N53" s="27">
        <f>VLOOKUP($A53,'[1]Raw Data'!$A$3:$FB$285,15,FALSE)</f>
        <v>0.02</v>
      </c>
      <c r="O53" s="27">
        <f>VLOOKUP($A53,'[1]Raw Data'!$A$3:$FB$285,17,FALSE)</f>
        <v>0.21</v>
      </c>
      <c r="P53" s="27">
        <f>VLOOKUP($A53,'[1]Raw Data'!$A$3:$FB$285,18,FALSE)</f>
        <v>0.05</v>
      </c>
      <c r="Q53" s="27">
        <f>VLOOKUP($A53,'[1]Raw Data'!$A$3:$FB$285,20,FALSE)</f>
        <v>0</v>
      </c>
      <c r="R53" s="27">
        <f>VLOOKUP($A53,'[1]Raw Data'!$A$3:$FB$285,21,FALSE)</f>
        <v>0.02</v>
      </c>
      <c r="S53" s="27">
        <f>VLOOKUP($A53,'[1]Raw Data'!$A$3:$FB$285,23,FALSE)</f>
        <v>0</v>
      </c>
      <c r="T53" s="27">
        <f>VLOOKUP($A53,'[1]Raw Data'!$A$3:$FB$285,24,FALSE)</f>
        <v>0</v>
      </c>
      <c r="U53" s="27">
        <f>VLOOKUP($A53,'[1]Raw Data'!$A$3:$FB$285,26,FALSE)</f>
        <v>0.28000000000000003</v>
      </c>
      <c r="V53" s="27">
        <f>VLOOKUP($A53,'[1]Raw Data'!$A$3:$FB$285,27,FALSE)</f>
        <v>0.28999999999999998</v>
      </c>
      <c r="W53" s="27">
        <f>VLOOKUP($A53,'[1]Raw Data'!$A$3:$FB$285,29,FALSE)</f>
        <v>0</v>
      </c>
      <c r="X53" s="27">
        <f>VLOOKUP($A53,'[1]Raw Data'!$A$3:$FB$285,30,FALSE)</f>
        <v>0</v>
      </c>
      <c r="Y53" s="27">
        <f>VLOOKUP($A53,'[1]Raw Data'!$A$3:$FB$285,32,FALSE)</f>
        <v>0.21</v>
      </c>
      <c r="Z53" s="27">
        <f>VLOOKUP($A53,'[1]Raw Data'!$A$3:$FB$285,33,FALSE)</f>
        <v>0.25</v>
      </c>
      <c r="AA53" s="27">
        <f>VLOOKUP($A53,'[1]Raw Data'!$A$3:$FB$285,35,FALSE)</f>
        <v>27.32</v>
      </c>
      <c r="AB53" s="27">
        <f>VLOOKUP($A53,'[1]Raw Data'!$A$3:$FB$285,36,FALSE)</f>
        <v>6.28</v>
      </c>
      <c r="AC53" s="27">
        <f>VLOOKUP($A53,'[1]Raw Data'!$A$3:$FB$285,38,FALSE)</f>
        <v>0</v>
      </c>
      <c r="AD53" s="27">
        <f>VLOOKUP($A53,'[1]Raw Data'!$A$3:$FB$285,39,FALSE)</f>
        <v>0.23</v>
      </c>
      <c r="AE53" s="27">
        <f>VLOOKUP($A53,'[1]Raw Data'!$A$3:$FB$285,41,FALSE)</f>
        <v>0</v>
      </c>
      <c r="AF53" s="27">
        <f>VLOOKUP($A53,'[1]Raw Data'!$A$3:$FB$285,42,FALSE)</f>
        <v>0</v>
      </c>
      <c r="AG53" s="27">
        <f>VLOOKUP($A53,'[1]Raw Data'!$A$3:$FB$285,44,FALSE)</f>
        <v>0</v>
      </c>
      <c r="AH53" s="27">
        <f>VLOOKUP($A53,'[1]Raw Data'!$A$3:$FB$285,45,FALSE)</f>
        <v>0</v>
      </c>
      <c r="AI53" s="27">
        <f>VLOOKUP($A53,'[1]Raw Data'!$A$3:$FB$285,46,FALSE)</f>
        <v>907</v>
      </c>
      <c r="AJ53" s="27">
        <f>VLOOKUP($A53,'[1]Raw Data'!$A$3:$FB$285,47,FALSE)</f>
        <v>259</v>
      </c>
      <c r="AK53" s="27">
        <f>VLOOKUP($A53,'[1]Raw Data'!$A$3:$FB$285,48,FALSE)</f>
        <v>259</v>
      </c>
      <c r="AL53" s="27">
        <f>VLOOKUP($A53,'[1]Raw Data'!$A$3:$FB$285,49,FALSE)</f>
        <v>99</v>
      </c>
      <c r="AM53" s="27">
        <f>VLOOKUP($A53,'[1]Raw Data'!$A$3:$FB$285,50,FALSE)</f>
        <v>0</v>
      </c>
      <c r="AN53" s="27" t="str">
        <f>VLOOKUP($A53,'[1]Raw Data'!$A$3:$FB$285,51,FALSE)</f>
        <v/>
      </c>
      <c r="AO53" s="27" t="str">
        <f>VLOOKUP($A53,'[1]Raw Data'!$A$3:$FB$285,52,FALSE)</f>
        <v/>
      </c>
      <c r="AP53" s="27">
        <f>VLOOKUP($A53,'[1]Raw Data'!$A$3:$FB$285,53,FALSE)</f>
        <v>4</v>
      </c>
      <c r="AQ53" s="27" t="str">
        <f>VLOOKUP($A53,'[1]Raw Data'!$A$3:$FB$285,54,FALSE)</f>
        <v/>
      </c>
      <c r="AR53" s="27" t="str">
        <f>VLOOKUP($A53,'[1]Raw Data'!$A$3:$FB$285,55,FALSE)</f>
        <v/>
      </c>
      <c r="AS53" s="27" t="str">
        <f>VLOOKUP($A53,'[1]Raw Data'!$A$3:$FB$285,56,FALSE)</f>
        <v/>
      </c>
      <c r="AT53" s="27" t="str">
        <f>VLOOKUP($A53,'[1]Raw Data'!$A$3:$FB$285,57,FALSE)</f>
        <v/>
      </c>
      <c r="AU53" s="27" t="str">
        <f>VLOOKUP($A53,'[1]Raw Data'!$A$3:$FB$285,58,FALSE)</f>
        <v/>
      </c>
      <c r="AV53" s="27" t="str">
        <f>VLOOKUP($A53,'[1]Raw Data'!$A$3:$FB$285,59,FALSE)</f>
        <v/>
      </c>
      <c r="AW53" s="27" t="str">
        <f>VLOOKUP($A53,'[1]Raw Data'!$A$3:$FB$285,60,FALSE)</f>
        <v/>
      </c>
      <c r="AX53" s="27" t="str">
        <f>VLOOKUP(A53,'[1]PO''s List'!A51:E333,4,FALSE)</f>
        <v/>
      </c>
      <c r="AZ53" s="27" t="str">
        <f>VLOOKUP(A53,'[1]PO''s List'!$A$3:$E$285,5,FALSE)</f>
        <v/>
      </c>
      <c r="BB53" s="27">
        <f>VLOOKUP($A53,'[1]Raw Data'!$A$3:$FB$285,63,FALSE)</f>
        <v>2797</v>
      </c>
      <c r="BC53" s="27" t="str">
        <f>VLOOKUP($A53,'[1]Raw Data'!$A$3:$FB$285,64,FALSE)</f>
        <v/>
      </c>
      <c r="BD53" s="27" t="str">
        <f t="shared" si="0"/>
        <v/>
      </c>
      <c r="BE53" s="27" t="str">
        <f>VLOOKUP($A53,'[1]Raw Data'!$A$3:$FB$285,65,FALSE)</f>
        <v/>
      </c>
      <c r="BF53" s="27">
        <f>VLOOKUP($A53,'[1]Raw Data'!$A$3:$FB$285,66,FALSE)</f>
        <v>2976</v>
      </c>
      <c r="BG53" s="27" t="str">
        <f>VLOOKUP($A53,'[1]Raw Data'!$A$3:$FB$285,67,FALSE)</f>
        <v/>
      </c>
      <c r="BH53" s="27" t="str">
        <f t="shared" si="1"/>
        <v/>
      </c>
      <c r="BI53" s="27" t="str">
        <f>VLOOKUP($A53,'[1]Raw Data'!$A$3:$FB$285,68,FALSE)</f>
        <v/>
      </c>
      <c r="BJ53" s="27">
        <f>VLOOKUP($A53,'[1]Raw Data'!$A$3:$FB$285,69,FALSE)</f>
        <v>300</v>
      </c>
      <c r="BK53" s="27" t="str">
        <f>VLOOKUP($A53,'[1]Raw Data'!$A$3:$FB$285,70,FALSE)</f>
        <v/>
      </c>
      <c r="BL53" s="27" t="str">
        <f t="shared" si="2"/>
        <v/>
      </c>
      <c r="BM53" s="27" t="str">
        <f>VLOOKUP($A53,'[1]Raw Data'!$A$3:$FB$285,71,FALSE)</f>
        <v/>
      </c>
      <c r="BN53" s="27">
        <f>VLOOKUP($A53,'[1]Raw Data'!$A$3:$FB$285,72,FALSE)</f>
        <v>349</v>
      </c>
      <c r="BO53" s="27" t="str">
        <f>VLOOKUP($A53,'[1]Raw Data'!$A$3:$FB$285,73,FALSE)</f>
        <v/>
      </c>
      <c r="BP53" s="27" t="str">
        <f t="shared" si="3"/>
        <v/>
      </c>
      <c r="BQ53" s="27" t="str">
        <f>VLOOKUP($A53,'[1]Raw Data'!$A$3:$FB$285,74,FALSE)</f>
        <v/>
      </c>
      <c r="BR53" s="27" t="str">
        <f>VLOOKUP($A53,'[1]Raw Data'!$A$3:$FB$285,75,FALSE)</f>
        <v/>
      </c>
      <c r="BS53" s="27" t="str">
        <f>VLOOKUP($A53,'[1]Raw Data'!$A$3:$FB$285,76,FALSE)</f>
        <v/>
      </c>
      <c r="BT53" s="27" t="str">
        <f t="shared" si="4"/>
        <v/>
      </c>
      <c r="BU53" s="27" t="str">
        <f>VLOOKUP($A53,'[1]Raw Data'!$A$3:$FB$285,77,FALSE)</f>
        <v/>
      </c>
      <c r="BV53" s="27">
        <f>VLOOKUP($A53,'[1]Raw Data'!$A$3:$FB$285,78,FALSE)</f>
        <v>9754</v>
      </c>
      <c r="BW53" s="27" t="str">
        <f>VLOOKUP($A53,'[1]Raw Data'!$A$3:$FB$285,79,FALSE)</f>
        <v/>
      </c>
      <c r="BX53" s="27" t="str">
        <f t="shared" si="5"/>
        <v/>
      </c>
      <c r="BY53" s="27" t="str">
        <f>VLOOKUP($A53,'[1]Raw Data'!$A$3:$FB$285,80,FALSE)</f>
        <v/>
      </c>
      <c r="BZ53" s="27">
        <f>VLOOKUP($A53,'[1]Raw Data'!$A$3:$FB$285,81,FALSE)</f>
        <v>30043</v>
      </c>
      <c r="CA53" s="27" t="str">
        <f>VLOOKUP($A53,'[1]Raw Data'!$A$3:$FB$285,82,FALSE)</f>
        <v/>
      </c>
      <c r="CB53" s="27" t="str">
        <f t="shared" si="6"/>
        <v/>
      </c>
      <c r="CC53" s="27" t="str">
        <f>VLOOKUP($A53,'[1]Raw Data'!$A$3:$FB$285,83,FALSE)</f>
        <v/>
      </c>
      <c r="CD53" s="27">
        <f>VLOOKUP($A53,'[1]Raw Data'!$A$3:$FB$285,84,FALSE)</f>
        <v>398</v>
      </c>
      <c r="CE53" s="27" t="str">
        <f>VLOOKUP($A53,'[1]Raw Data'!$A$3:$FB$285,85,FALSE)</f>
        <v/>
      </c>
      <c r="CF53" s="27" t="str">
        <f t="shared" si="7"/>
        <v/>
      </c>
      <c r="CG53" s="27" t="str">
        <f>VLOOKUP($A53,'[1]Raw Data'!$A$3:$FB$285,86,FALSE)</f>
        <v/>
      </c>
      <c r="CH53" s="27">
        <f>VLOOKUP($A53,'[1]Raw Data'!$A$3:$FB$285,87,FALSE)</f>
        <v>6019</v>
      </c>
      <c r="CI53" s="27" t="str">
        <f>VLOOKUP($A53,'[1]Raw Data'!$A$3:$FB$285,88,FALSE)</f>
        <v/>
      </c>
      <c r="CJ53" s="27" t="str">
        <f t="shared" si="8"/>
        <v/>
      </c>
      <c r="CK53" s="27" t="str">
        <f>VLOOKUP($A53,'[1]Raw Data'!$A$3:$FB$285,89,FALSE)</f>
        <v/>
      </c>
      <c r="CL53" s="27" t="str">
        <f>VLOOKUP($A53,'[1]Raw Data'!$A$3:$FB$285,91,FALSE)</f>
        <v/>
      </c>
      <c r="CM53" s="27" t="str">
        <f>VLOOKUP($A53,'[1]Raw Data'!$A$3:$FB$285,93,FALSE)</f>
        <v/>
      </c>
      <c r="CN53" s="27" t="str">
        <f>VLOOKUP($A53,'[1]Raw Data'!$A$3:$FB$285,94,FALSE)</f>
        <v/>
      </c>
      <c r="CO53" s="27" t="str">
        <f>VLOOKUP($A53,'[1]Raw Data'!$A$3:$FB$285,95,FALSE)</f>
        <v/>
      </c>
      <c r="CP53" s="27" t="str">
        <f>VLOOKUP($A53,'[1]Raw Data'!$A$3:$FB$285,96,FALSE)</f>
        <v/>
      </c>
      <c r="CQ53" s="27" t="str">
        <f>VLOOKUP($A53,'[1]Raw Data'!$A$3:$FB$285,97,FALSE)</f>
        <v/>
      </c>
      <c r="CR53" s="27" t="str">
        <f>VLOOKUP($A53,'[1]Raw Data'!$A$3:$FB$285,98,FALSE)</f>
        <v/>
      </c>
      <c r="CS53" s="27" t="str">
        <f>VLOOKUP($A53,'[1]Raw Data'!$A$3:$FB$285,99,FALSE)</f>
        <v/>
      </c>
      <c r="CT53" s="27" t="str">
        <f>VLOOKUP($A53,'[1]Raw Data'!$A$3:$FB$285,101,FALSE)</f>
        <v/>
      </c>
      <c r="CV53" s="27" t="str">
        <f>VLOOKUP($A53,'[1]Raw Data'!$A$3:$FB$285,102,FALSE)</f>
        <v>Chairman</v>
      </c>
      <c r="CW53" s="27" t="s">
        <v>878</v>
      </c>
      <c r="CX53" s="27" t="str">
        <f>VLOOKUP($A53,'[1]Raw Data'!$A$3:$FB$285,103,FALSE)</f>
        <v/>
      </c>
      <c r="CY53" s="27" t="str">
        <f>VLOOKUP($A53,'[1]Raw Data'!$A$3:$FB$285,105,FALSE)</f>
        <v/>
      </c>
      <c r="DA53" s="27" t="str">
        <f>VLOOKUP($A53,'[1]Raw Data'!$A$3:$FB$285,106,FALSE)</f>
        <v>Deputy Chairman</v>
      </c>
      <c r="DB53" s="27" t="s">
        <v>879</v>
      </c>
      <c r="DC53" s="27" t="str">
        <f>VLOOKUP($A53,'[1]Raw Data'!$A$3:$FB$285,107,FALSE)</f>
        <v/>
      </c>
      <c r="DD53" s="27" t="str">
        <f>VLOOKUP($A53,'[1]Raw Data'!$A$3:$FB$285,109,FALSE)</f>
        <v/>
      </c>
      <c r="DF53" s="27" t="str">
        <f>VLOOKUP($A53,'[1]Raw Data'!$A$3:$FB$285,110,FALSE)</f>
        <v>Adminstration Officer</v>
      </c>
      <c r="DG53" s="27" t="s">
        <v>880</v>
      </c>
      <c r="DH53" s="27" t="str">
        <f>VLOOKUP($A53,'[1]Raw Data'!$A$3:$FB$285,111,FALSE)</f>
        <v/>
      </c>
      <c r="DI53" s="27" t="str">
        <f>VLOOKUP($A53,'[1]Raw Data'!$A$3:$FB$285,121,FALSE)</f>
        <v/>
      </c>
      <c r="DK53" s="27" t="str">
        <f>VLOOKUP($A53,'[1]Raw Data'!$A$3:$FB$285,122,FALSE)</f>
        <v>Focal Person</v>
      </c>
      <c r="DL53" s="27" t="s">
        <v>881</v>
      </c>
      <c r="DM53" s="27" t="str">
        <f>VLOOKUP($A53,'[1]Raw Data'!$A$3:$FB$285,123,FALSE)</f>
        <v/>
      </c>
      <c r="DN53" s="27" t="str">
        <f>VLOOKUP($A53,'[1]Raw Data'!$A$3:$FB$285,113,FALSE)</f>
        <v/>
      </c>
      <c r="DP53" s="27" t="str">
        <f>VLOOKUP($A53,'[1]Raw Data'!$A$3:$FB$285,114,FALSE)</f>
        <v>NRA Chief-District</v>
      </c>
      <c r="DQ53" s="27" t="s">
        <v>882</v>
      </c>
      <c r="DR53" s="27" t="str">
        <f>VLOOKUP($A53,'[1]Raw Data'!$A$3:$FB$285,115,FALSE)</f>
        <v/>
      </c>
      <c r="DS53" s="27" t="str">
        <f>VLOOKUP($A53,'[1]Raw Data'!$A$3:$FB$285,117,FALSE)</f>
        <v/>
      </c>
      <c r="DU53" s="27" t="str">
        <f>VLOOKUP($A53,'[1]Raw Data'!$A$3:$FB$285,118,FALSE)</f>
        <v>DUDBC.DLPIU Chief</v>
      </c>
      <c r="DV53" s="27" t="s">
        <v>883</v>
      </c>
      <c r="DW53" s="27" t="str">
        <f>VLOOKUP($A53,'[1]Raw Data'!$A$3:$FB$285,119,FALSE)</f>
        <v/>
      </c>
      <c r="DX53" s="27" t="s">
        <v>339</v>
      </c>
      <c r="DY53" s="27" t="str">
        <f>VLOOKUP($A53,'[1]Raw Data'!$A$3:$FB$285,124,FALSE)</f>
        <v/>
      </c>
      <c r="DZ53" s="27" t="s">
        <v>884</v>
      </c>
      <c r="EA53" s="27" t="str">
        <f>VLOOKUP($A53,'[1]Raw Data'!$A$3:$FB$285,125,FALSE)</f>
        <v/>
      </c>
      <c r="EB53" s="27" t="s">
        <v>341</v>
      </c>
      <c r="EC53" s="27" t="str">
        <f>VLOOKUP($A53,'[1]Raw Data'!$A$3:$FB$285,126,FALSE)</f>
        <v/>
      </c>
      <c r="ED53" t="s">
        <v>478</v>
      </c>
      <c r="EE53" s="27" t="str">
        <f>VLOOKUP($A53,'[1]Raw Data'!$A$3:$FB$285,127,FALSE)</f>
        <v/>
      </c>
      <c r="EF53" s="27" t="s">
        <v>343</v>
      </c>
      <c r="EG53" s="27" t="str">
        <f>VLOOKUP($A53,'[1]Raw Data'!$A$3:$FB$285,128,FALSE)</f>
        <v/>
      </c>
      <c r="EH53" t="s">
        <v>344</v>
      </c>
      <c r="EI53" s="27" t="str">
        <f>VLOOKUP($A53,'[1]Raw Data'!$A$3:$FB$285,129,FALSE)</f>
        <v/>
      </c>
      <c r="EM53" s="27" t="str">
        <f>VLOOKUP($A53,'[1]Raw Data'!$A$3:$FB$285,130,FALSE)</f>
        <v/>
      </c>
      <c r="EN53" s="27" t="str">
        <f>VLOOKUP($A53,'[1]Raw Data'!$A$3:$FB$285,131,FALSE)</f>
        <v/>
      </c>
      <c r="EO53" s="27" t="str">
        <f>VLOOKUP($A53,'[1]Raw Data'!$A$3:$FB$285,132,FALSE)</f>
        <v/>
      </c>
      <c r="EP53" s="27" t="str">
        <f>VLOOKUP($A53,'[1]Raw Data'!$A$3:$FB$285,133,FALSE)</f>
        <v/>
      </c>
      <c r="EQ53" s="27" t="str">
        <f>VLOOKUP($A53,'[1]Raw Data'!$A$3:$FB$285,134,FALSE)</f>
        <v/>
      </c>
      <c r="ER53" s="27" t="str">
        <f>VLOOKUP($A53,'[1]Raw Data'!$A$3:$FB$285,135,FALSE)</f>
        <v/>
      </c>
      <c r="ES53" s="27" t="str">
        <f>VLOOKUP($A53,'[1]Raw Data'!$A$3:$FB$285,136,FALSE)</f>
        <v/>
      </c>
      <c r="ET53" s="27" t="str">
        <f>VLOOKUP($A53,'[1]Raw Data'!$A$3:$FB$285,137,FALSE)</f>
        <v/>
      </c>
      <c r="EU53" s="27" t="str">
        <f>VLOOKUP($A53,'[1]Raw Data'!$A$3:$FB$285,138,FALSE)</f>
        <v/>
      </c>
      <c r="EV53" s="27" t="str">
        <f>VLOOKUP($A53,'[1]Raw Data'!$A$3:$FB$285,139,FALSE)</f>
        <v/>
      </c>
      <c r="EW53" s="38">
        <f>VLOOKUP($A53,[1]Training!$A$2:$I$284,5,FALSE)</f>
        <v>69.769230769230774</v>
      </c>
      <c r="EX53" s="31">
        <f>VLOOKUP($A53,[1]Training!$A$2:$I$284,6,FALSE)</f>
        <v>0</v>
      </c>
      <c r="EY53" s="38">
        <f>VLOOKUP($A53,[1]Training!$A$2:$I$284,8,FALSE)</f>
        <v>82.454545454545453</v>
      </c>
      <c r="EZ53" s="31">
        <f>VLOOKUP($A53,[1]Training!$A$2:$I$284,9,FALSE)</f>
        <v>18</v>
      </c>
      <c r="FA53" s="27">
        <v>1</v>
      </c>
      <c r="FB53" s="27">
        <v>2</v>
      </c>
      <c r="FC53" s="27" t="str">
        <f>VLOOKUP($A53,'[1]Raw Data'!$A$3:$FB$285,148,FALSE)</f>
        <v/>
      </c>
      <c r="FE53" s="27" t="str">
        <f>VLOOKUP($A53,'[1]Raw Data'!$A$3:$FB$285,149,FALSE)</f>
        <v>District Coordinator</v>
      </c>
      <c r="FF53" s="27" t="s">
        <v>885</v>
      </c>
      <c r="FG53" s="27" t="str">
        <f>VLOOKUP($A53,'[1]Raw Data'!$A$3:$FB$285,150,FALSE)</f>
        <v/>
      </c>
      <c r="FH53" s="27" t="str">
        <f>VLOOKUP($A53,'[1]Raw Data'!$A$3:$FB$285,156,FALSE)</f>
        <v/>
      </c>
      <c r="FJ53" s="27" t="str">
        <f>VLOOKUP($A53,'[1]Raw Data'!$A$3:$FB$285,157,FALSE)</f>
        <v>District Technical Officer</v>
      </c>
      <c r="FK53" s="27" t="s">
        <v>886</v>
      </c>
      <c r="FL53" s="27" t="str">
        <f>VLOOKUP($A53,'[1]Raw Data'!$A$3:$FB$285,158,FALSE)</f>
        <v/>
      </c>
      <c r="FM53" s="27" t="str">
        <f>VLOOKUP($A53,'[1]Raw Data'!$A$3:$FB$285,152,FALSE)</f>
        <v/>
      </c>
      <c r="FO53" s="27" t="str">
        <f>VLOOKUP($A53,'[1]Raw Data'!$A$3:$FB$285,153,FALSE)</f>
        <v>DIstrict Information Management Officer</v>
      </c>
      <c r="FP53" s="27" t="s">
        <v>887</v>
      </c>
      <c r="FQ53" s="27" t="str">
        <f>VLOOKUP($A53,'[1]Raw Data'!$A$3:$FB$285,154,FALSE)</f>
        <v/>
      </c>
    </row>
    <row r="54" spans="1:173" ht="24" x14ac:dyDescent="0.45">
      <c r="A54" s="27">
        <v>13008</v>
      </c>
      <c r="B54" s="36" t="str">
        <f ca="1">IFERROR(__xludf.DUMMYFUNCTION("""COMPUTED_VALUE"""),"Lamidanda Gaunpalika")</f>
        <v>Lamidanda Gaunpalika</v>
      </c>
      <c r="C54" s="37" t="str">
        <f>VLOOKUP(A54,'[1]Palika and District in Nepali '!$D$1:$F$283,3,FALSE)</f>
        <v>लामीडाँडा गाउँपालिका</v>
      </c>
      <c r="D54" s="36" t="str">
        <f ca="1">IFERROR(__xludf.DUMMYFUNCTION("""COMPUTED_VALUE"""),"Khotang")</f>
        <v>Khotang</v>
      </c>
      <c r="E54" s="36"/>
      <c r="F54" s="27">
        <f>VLOOKUP(A54,'[1]Raw Data'!$A$3:$FB$285,4,FALSE)</f>
        <v>624</v>
      </c>
      <c r="G54" s="27">
        <f>VLOOKUP(A54,'[1]Raw Data'!$A$3:$FB$285,5,FALSE)</f>
        <v>929</v>
      </c>
      <c r="H54" s="27">
        <f>VLOOKUP(A54,'[1]Raw Data'!$A$3:$FB$285,6,FALSE)</f>
        <v>1553</v>
      </c>
      <c r="I54" s="27">
        <f>VLOOKUP($A54,'[1]Raw Data'!$A$3:$FB$285,8,FALSE)</f>
        <v>0</v>
      </c>
      <c r="J54" s="27">
        <f>VLOOKUP($A54,'[1]Raw Data'!$A$3:$FB$285,9,FALSE)</f>
        <v>0.14000000000000001</v>
      </c>
      <c r="K54" s="27">
        <f>VLOOKUP($A54,'[1]Raw Data'!$A$3:$FB$285,11,FALSE)</f>
        <v>99.29</v>
      </c>
      <c r="L54" s="27">
        <f>VLOOKUP($A54,'[1]Raw Data'!$A$3:$FB$285,12,FALSE)</f>
        <v>92.74</v>
      </c>
      <c r="M54" s="27">
        <f>VLOOKUP($A54,'[1]Raw Data'!$A$3:$FB$285,14,FALSE)</f>
        <v>0</v>
      </c>
      <c r="N54" s="27">
        <f>VLOOKUP($A54,'[1]Raw Data'!$A$3:$FB$285,15,FALSE)</f>
        <v>0.02</v>
      </c>
      <c r="O54" s="27">
        <f>VLOOKUP($A54,'[1]Raw Data'!$A$3:$FB$285,17,FALSE)</f>
        <v>0</v>
      </c>
      <c r="P54" s="27">
        <f>VLOOKUP($A54,'[1]Raw Data'!$A$3:$FB$285,18,FALSE)</f>
        <v>0.05</v>
      </c>
      <c r="Q54" s="27">
        <f>VLOOKUP($A54,'[1]Raw Data'!$A$3:$FB$285,20,FALSE)</f>
        <v>0</v>
      </c>
      <c r="R54" s="27">
        <f>VLOOKUP($A54,'[1]Raw Data'!$A$3:$FB$285,21,FALSE)</f>
        <v>0.02</v>
      </c>
      <c r="S54" s="27">
        <f>VLOOKUP($A54,'[1]Raw Data'!$A$3:$FB$285,23,FALSE)</f>
        <v>0</v>
      </c>
      <c r="T54" s="27">
        <f>VLOOKUP($A54,'[1]Raw Data'!$A$3:$FB$285,24,FALSE)</f>
        <v>0</v>
      </c>
      <c r="U54" s="27">
        <f>VLOOKUP($A54,'[1]Raw Data'!$A$3:$FB$285,26,FALSE)</f>
        <v>0.39</v>
      </c>
      <c r="V54" s="27">
        <f>VLOOKUP($A54,'[1]Raw Data'!$A$3:$FB$285,27,FALSE)</f>
        <v>0.28999999999999998</v>
      </c>
      <c r="W54" s="27">
        <f>VLOOKUP($A54,'[1]Raw Data'!$A$3:$FB$285,29,FALSE)</f>
        <v>0</v>
      </c>
      <c r="X54" s="27">
        <f>VLOOKUP($A54,'[1]Raw Data'!$A$3:$FB$285,30,FALSE)</f>
        <v>0</v>
      </c>
      <c r="Y54" s="27">
        <f>VLOOKUP($A54,'[1]Raw Data'!$A$3:$FB$285,32,FALSE)</f>
        <v>0.06</v>
      </c>
      <c r="Z54" s="27">
        <f>VLOOKUP($A54,'[1]Raw Data'!$A$3:$FB$285,33,FALSE)</f>
        <v>0.25</v>
      </c>
      <c r="AA54" s="27">
        <f>VLOOKUP($A54,'[1]Raw Data'!$A$3:$FB$285,35,FALSE)</f>
        <v>0.13</v>
      </c>
      <c r="AB54" s="27">
        <f>VLOOKUP($A54,'[1]Raw Data'!$A$3:$FB$285,36,FALSE)</f>
        <v>6.28</v>
      </c>
      <c r="AC54" s="27">
        <f>VLOOKUP($A54,'[1]Raw Data'!$A$3:$FB$285,38,FALSE)</f>
        <v>0.13</v>
      </c>
      <c r="AD54" s="27">
        <f>VLOOKUP($A54,'[1]Raw Data'!$A$3:$FB$285,39,FALSE)</f>
        <v>0.23</v>
      </c>
      <c r="AE54" s="27">
        <f>VLOOKUP($A54,'[1]Raw Data'!$A$3:$FB$285,41,FALSE)</f>
        <v>0</v>
      </c>
      <c r="AF54" s="27">
        <f>VLOOKUP($A54,'[1]Raw Data'!$A$3:$FB$285,42,FALSE)</f>
        <v>0</v>
      </c>
      <c r="AG54" s="27">
        <f>VLOOKUP($A54,'[1]Raw Data'!$A$3:$FB$285,44,FALSE)</f>
        <v>0</v>
      </c>
      <c r="AH54" s="27">
        <f>VLOOKUP($A54,'[1]Raw Data'!$A$3:$FB$285,45,FALSE)</f>
        <v>0</v>
      </c>
      <c r="AI54" s="27">
        <f>VLOOKUP($A54,'[1]Raw Data'!$A$3:$FB$285,46,FALSE)</f>
        <v>839</v>
      </c>
      <c r="AJ54" s="27">
        <f>VLOOKUP($A54,'[1]Raw Data'!$A$3:$FB$285,47,FALSE)</f>
        <v>100</v>
      </c>
      <c r="AK54" s="27">
        <f>VLOOKUP($A54,'[1]Raw Data'!$A$3:$FB$285,48,FALSE)</f>
        <v>100</v>
      </c>
      <c r="AL54" s="27">
        <f>VLOOKUP($A54,'[1]Raw Data'!$A$3:$FB$285,49,FALSE)</f>
        <v>68</v>
      </c>
      <c r="AM54" s="27">
        <f>VLOOKUP($A54,'[1]Raw Data'!$A$3:$FB$285,50,FALSE)</f>
        <v>0</v>
      </c>
      <c r="AN54" s="27" t="str">
        <f>VLOOKUP($A54,'[1]Raw Data'!$A$3:$FB$285,51,FALSE)</f>
        <v/>
      </c>
      <c r="AO54" s="27" t="str">
        <f>VLOOKUP($A54,'[1]Raw Data'!$A$3:$FB$285,52,FALSE)</f>
        <v/>
      </c>
      <c r="AP54" s="27">
        <f>VLOOKUP($A54,'[1]Raw Data'!$A$3:$FB$285,53,FALSE)</f>
        <v>48</v>
      </c>
      <c r="AQ54" s="27" t="str">
        <f>VLOOKUP($A54,'[1]Raw Data'!$A$3:$FB$285,54,FALSE)</f>
        <v/>
      </c>
      <c r="AR54" s="27" t="str">
        <f>VLOOKUP($A54,'[1]Raw Data'!$A$3:$FB$285,55,FALSE)</f>
        <v/>
      </c>
      <c r="AS54" s="27" t="str">
        <f>VLOOKUP($A54,'[1]Raw Data'!$A$3:$FB$285,56,FALSE)</f>
        <v/>
      </c>
      <c r="AT54" s="27" t="str">
        <f>VLOOKUP($A54,'[1]Raw Data'!$A$3:$FB$285,57,FALSE)</f>
        <v/>
      </c>
      <c r="AU54" s="27" t="str">
        <f>VLOOKUP($A54,'[1]Raw Data'!$A$3:$FB$285,58,FALSE)</f>
        <v/>
      </c>
      <c r="AV54" s="27" t="str">
        <f>VLOOKUP($A54,'[1]Raw Data'!$A$3:$FB$285,59,FALSE)</f>
        <v/>
      </c>
      <c r="AW54" s="27" t="str">
        <f>VLOOKUP($A54,'[1]Raw Data'!$A$3:$FB$285,60,FALSE)</f>
        <v/>
      </c>
      <c r="AX54" s="27" t="str">
        <f>VLOOKUP(A54,'[1]PO''s List'!A52:E334,4,FALSE)</f>
        <v/>
      </c>
      <c r="AZ54" s="27" t="str">
        <f>VLOOKUP(A54,'[1]PO''s List'!$A$3:$E$285,5,FALSE)</f>
        <v/>
      </c>
      <c r="BB54" s="27">
        <f>VLOOKUP($A54,'[1]Raw Data'!$A$3:$FB$285,63,FALSE)</f>
        <v>13366</v>
      </c>
      <c r="BC54" s="27" t="str">
        <f>VLOOKUP($A54,'[1]Raw Data'!$A$3:$FB$285,64,FALSE)</f>
        <v/>
      </c>
      <c r="BD54" s="27" t="str">
        <f t="shared" si="0"/>
        <v/>
      </c>
      <c r="BE54" s="27" t="str">
        <f>VLOOKUP($A54,'[1]Raw Data'!$A$3:$FB$285,65,FALSE)</f>
        <v/>
      </c>
      <c r="BF54" s="27">
        <f>VLOOKUP($A54,'[1]Raw Data'!$A$3:$FB$285,66,FALSE)</f>
        <v>13928</v>
      </c>
      <c r="BG54" s="27" t="str">
        <f>VLOOKUP($A54,'[1]Raw Data'!$A$3:$FB$285,67,FALSE)</f>
        <v/>
      </c>
      <c r="BH54" s="27" t="str">
        <f t="shared" si="1"/>
        <v/>
      </c>
      <c r="BI54" s="27" t="str">
        <f>VLOOKUP($A54,'[1]Raw Data'!$A$3:$FB$285,68,FALSE)</f>
        <v/>
      </c>
      <c r="BJ54" s="27">
        <f>VLOOKUP($A54,'[1]Raw Data'!$A$3:$FB$285,69,FALSE)</f>
        <v>1429</v>
      </c>
      <c r="BK54" s="27" t="str">
        <f>VLOOKUP($A54,'[1]Raw Data'!$A$3:$FB$285,70,FALSE)</f>
        <v/>
      </c>
      <c r="BL54" s="27" t="str">
        <f t="shared" si="2"/>
        <v/>
      </c>
      <c r="BM54" s="27" t="str">
        <f>VLOOKUP($A54,'[1]Raw Data'!$A$3:$FB$285,71,FALSE)</f>
        <v/>
      </c>
      <c r="BN54" s="27">
        <f>VLOOKUP($A54,'[1]Raw Data'!$A$3:$FB$285,72,FALSE)</f>
        <v>1657</v>
      </c>
      <c r="BO54" s="27" t="str">
        <f>VLOOKUP($A54,'[1]Raw Data'!$A$3:$FB$285,73,FALSE)</f>
        <v/>
      </c>
      <c r="BP54" s="27" t="str">
        <f t="shared" si="3"/>
        <v/>
      </c>
      <c r="BQ54" s="27" t="str">
        <f>VLOOKUP($A54,'[1]Raw Data'!$A$3:$FB$285,74,FALSE)</f>
        <v/>
      </c>
      <c r="BR54" s="27" t="str">
        <f>VLOOKUP($A54,'[1]Raw Data'!$A$3:$FB$285,75,FALSE)</f>
        <v/>
      </c>
      <c r="BS54" s="27" t="str">
        <f>VLOOKUP($A54,'[1]Raw Data'!$A$3:$FB$285,76,FALSE)</f>
        <v/>
      </c>
      <c r="BT54" s="27" t="str">
        <f t="shared" si="4"/>
        <v/>
      </c>
      <c r="BU54" s="27" t="str">
        <f>VLOOKUP($A54,'[1]Raw Data'!$A$3:$FB$285,77,FALSE)</f>
        <v/>
      </c>
      <c r="BV54" s="27">
        <f>VLOOKUP($A54,'[1]Raw Data'!$A$3:$FB$285,78,FALSE)</f>
        <v>46093</v>
      </c>
      <c r="BW54" s="27" t="str">
        <f>VLOOKUP($A54,'[1]Raw Data'!$A$3:$FB$285,79,FALSE)</f>
        <v/>
      </c>
      <c r="BX54" s="27" t="str">
        <f t="shared" si="5"/>
        <v/>
      </c>
      <c r="BY54" s="27" t="str">
        <f>VLOOKUP($A54,'[1]Raw Data'!$A$3:$FB$285,80,FALSE)</f>
        <v/>
      </c>
      <c r="BZ54" s="27">
        <f>VLOOKUP($A54,'[1]Raw Data'!$A$3:$FB$285,81,FALSE)</f>
        <v>144532</v>
      </c>
      <c r="CA54" s="27" t="str">
        <f>VLOOKUP($A54,'[1]Raw Data'!$A$3:$FB$285,82,FALSE)</f>
        <v/>
      </c>
      <c r="CB54" s="27" t="str">
        <f t="shared" si="6"/>
        <v/>
      </c>
      <c r="CC54" s="27" t="str">
        <f>VLOOKUP($A54,'[1]Raw Data'!$A$3:$FB$285,83,FALSE)</f>
        <v/>
      </c>
      <c r="CD54" s="27">
        <f>VLOOKUP($A54,'[1]Raw Data'!$A$3:$FB$285,84,FALSE)</f>
        <v>1884</v>
      </c>
      <c r="CE54" s="27" t="str">
        <f>VLOOKUP($A54,'[1]Raw Data'!$A$3:$FB$285,85,FALSE)</f>
        <v/>
      </c>
      <c r="CF54" s="27" t="str">
        <f t="shared" si="7"/>
        <v/>
      </c>
      <c r="CG54" s="27" t="str">
        <f>VLOOKUP($A54,'[1]Raw Data'!$A$3:$FB$285,86,FALSE)</f>
        <v/>
      </c>
      <c r="CH54" s="27">
        <f>VLOOKUP($A54,'[1]Raw Data'!$A$3:$FB$285,87,FALSE)</f>
        <v>112971</v>
      </c>
      <c r="CI54" s="27" t="str">
        <f>VLOOKUP($A54,'[1]Raw Data'!$A$3:$FB$285,88,FALSE)</f>
        <v/>
      </c>
      <c r="CJ54" s="27" t="str">
        <f t="shared" si="8"/>
        <v/>
      </c>
      <c r="CK54" s="27" t="str">
        <f>VLOOKUP($A54,'[1]Raw Data'!$A$3:$FB$285,89,FALSE)</f>
        <v/>
      </c>
      <c r="CL54" s="27" t="str">
        <f>VLOOKUP($A54,'[1]Raw Data'!$A$3:$FB$285,91,FALSE)</f>
        <v/>
      </c>
      <c r="CM54" s="27" t="str">
        <f>VLOOKUP($A54,'[1]Raw Data'!$A$3:$FB$285,93,FALSE)</f>
        <v/>
      </c>
      <c r="CN54" s="27" t="str">
        <f>VLOOKUP($A54,'[1]Raw Data'!$A$3:$FB$285,94,FALSE)</f>
        <v/>
      </c>
      <c r="CO54" s="27" t="str">
        <f>VLOOKUP($A54,'[1]Raw Data'!$A$3:$FB$285,95,FALSE)</f>
        <v/>
      </c>
      <c r="CP54" s="27" t="str">
        <f>VLOOKUP($A54,'[1]Raw Data'!$A$3:$FB$285,96,FALSE)</f>
        <v/>
      </c>
      <c r="CQ54" s="27" t="str">
        <f>VLOOKUP($A54,'[1]Raw Data'!$A$3:$FB$285,97,FALSE)</f>
        <v/>
      </c>
      <c r="CR54" s="27" t="str">
        <f>VLOOKUP($A54,'[1]Raw Data'!$A$3:$FB$285,98,FALSE)</f>
        <v/>
      </c>
      <c r="CS54" s="27" t="str">
        <f>VLOOKUP($A54,'[1]Raw Data'!$A$3:$FB$285,99,FALSE)</f>
        <v/>
      </c>
      <c r="CT54" s="27" t="str">
        <f>VLOOKUP($A54,'[1]Raw Data'!$A$3:$FB$285,101,FALSE)</f>
        <v/>
      </c>
      <c r="CV54" s="27" t="str">
        <f>VLOOKUP($A54,'[1]Raw Data'!$A$3:$FB$285,102,FALSE)</f>
        <v>Chairman</v>
      </c>
      <c r="CW54" s="27" t="s">
        <v>878</v>
      </c>
      <c r="CX54" s="27" t="str">
        <f>VLOOKUP($A54,'[1]Raw Data'!$A$3:$FB$285,103,FALSE)</f>
        <v/>
      </c>
      <c r="CY54" s="27" t="str">
        <f>VLOOKUP($A54,'[1]Raw Data'!$A$3:$FB$285,105,FALSE)</f>
        <v/>
      </c>
      <c r="DA54" s="27" t="str">
        <f>VLOOKUP($A54,'[1]Raw Data'!$A$3:$FB$285,106,FALSE)</f>
        <v>Deputy Chairman</v>
      </c>
      <c r="DB54" s="27" t="s">
        <v>879</v>
      </c>
      <c r="DC54" s="27" t="str">
        <f>VLOOKUP($A54,'[1]Raw Data'!$A$3:$FB$285,107,FALSE)</f>
        <v/>
      </c>
      <c r="DD54" s="27" t="str">
        <f>VLOOKUP($A54,'[1]Raw Data'!$A$3:$FB$285,109,FALSE)</f>
        <v/>
      </c>
      <c r="DF54" s="27" t="str">
        <f>VLOOKUP($A54,'[1]Raw Data'!$A$3:$FB$285,110,FALSE)</f>
        <v>Adminstration Officer</v>
      </c>
      <c r="DG54" s="27" t="s">
        <v>880</v>
      </c>
      <c r="DH54" s="27" t="str">
        <f>VLOOKUP($A54,'[1]Raw Data'!$A$3:$FB$285,111,FALSE)</f>
        <v/>
      </c>
      <c r="DI54" s="27" t="str">
        <f>VLOOKUP($A54,'[1]Raw Data'!$A$3:$FB$285,121,FALSE)</f>
        <v/>
      </c>
      <c r="DK54" s="27" t="str">
        <f>VLOOKUP($A54,'[1]Raw Data'!$A$3:$FB$285,122,FALSE)</f>
        <v>Focal Person</v>
      </c>
      <c r="DL54" s="27" t="s">
        <v>881</v>
      </c>
      <c r="DM54" s="27" t="str">
        <f>VLOOKUP($A54,'[1]Raw Data'!$A$3:$FB$285,123,FALSE)</f>
        <v/>
      </c>
      <c r="DN54" s="27" t="str">
        <f>VLOOKUP($A54,'[1]Raw Data'!$A$3:$FB$285,113,FALSE)</f>
        <v/>
      </c>
      <c r="DP54" s="27" t="str">
        <f>VLOOKUP($A54,'[1]Raw Data'!$A$3:$FB$285,114,FALSE)</f>
        <v>NRA Chief-District</v>
      </c>
      <c r="DQ54" s="27" t="s">
        <v>882</v>
      </c>
      <c r="DR54" s="27" t="str">
        <f>VLOOKUP($A54,'[1]Raw Data'!$A$3:$FB$285,115,FALSE)</f>
        <v/>
      </c>
      <c r="DS54" s="27" t="str">
        <f>VLOOKUP($A54,'[1]Raw Data'!$A$3:$FB$285,117,FALSE)</f>
        <v/>
      </c>
      <c r="DU54" s="27" t="str">
        <f>VLOOKUP($A54,'[1]Raw Data'!$A$3:$FB$285,118,FALSE)</f>
        <v>DUDBC.DLPIU Chief</v>
      </c>
      <c r="DV54" s="27" t="s">
        <v>883</v>
      </c>
      <c r="DW54" s="27" t="str">
        <f>VLOOKUP($A54,'[1]Raw Data'!$A$3:$FB$285,119,FALSE)</f>
        <v/>
      </c>
      <c r="DX54" s="27" t="s">
        <v>339</v>
      </c>
      <c r="DY54" s="27" t="str">
        <f>VLOOKUP($A54,'[1]Raw Data'!$A$3:$FB$285,124,FALSE)</f>
        <v/>
      </c>
      <c r="DZ54" s="27" t="s">
        <v>884</v>
      </c>
      <c r="EA54" s="27" t="str">
        <f>VLOOKUP($A54,'[1]Raw Data'!$A$3:$FB$285,125,FALSE)</f>
        <v/>
      </c>
      <c r="EB54" s="27" t="s">
        <v>341</v>
      </c>
      <c r="EC54" s="27" t="str">
        <f>VLOOKUP($A54,'[1]Raw Data'!$A$3:$FB$285,126,FALSE)</f>
        <v/>
      </c>
      <c r="ED54" t="s">
        <v>478</v>
      </c>
      <c r="EE54" s="27" t="str">
        <f>VLOOKUP($A54,'[1]Raw Data'!$A$3:$FB$285,127,FALSE)</f>
        <v/>
      </c>
      <c r="EF54" s="27" t="s">
        <v>343</v>
      </c>
      <c r="EG54" s="27" t="str">
        <f>VLOOKUP($A54,'[1]Raw Data'!$A$3:$FB$285,128,FALSE)</f>
        <v/>
      </c>
      <c r="EH54" t="s">
        <v>344</v>
      </c>
      <c r="EI54" s="27" t="str">
        <f>VLOOKUP($A54,'[1]Raw Data'!$A$3:$FB$285,129,FALSE)</f>
        <v/>
      </c>
      <c r="EM54" s="27" t="str">
        <f>VLOOKUP($A54,'[1]Raw Data'!$A$3:$FB$285,130,FALSE)</f>
        <v/>
      </c>
      <c r="EN54" s="27" t="str">
        <f>VLOOKUP($A54,'[1]Raw Data'!$A$3:$FB$285,131,FALSE)</f>
        <v/>
      </c>
      <c r="EO54" s="27" t="str">
        <f>VLOOKUP($A54,'[1]Raw Data'!$A$3:$FB$285,132,FALSE)</f>
        <v/>
      </c>
      <c r="EP54" s="27" t="str">
        <f>VLOOKUP($A54,'[1]Raw Data'!$A$3:$FB$285,133,FALSE)</f>
        <v/>
      </c>
      <c r="EQ54" s="27" t="str">
        <f>VLOOKUP($A54,'[1]Raw Data'!$A$3:$FB$285,134,FALSE)</f>
        <v/>
      </c>
      <c r="ER54" s="27" t="str">
        <f>VLOOKUP($A54,'[1]Raw Data'!$A$3:$FB$285,135,FALSE)</f>
        <v/>
      </c>
      <c r="ES54" s="27" t="str">
        <f>VLOOKUP($A54,'[1]Raw Data'!$A$3:$FB$285,136,FALSE)</f>
        <v/>
      </c>
      <c r="ET54" s="27" t="str">
        <f>VLOOKUP($A54,'[1]Raw Data'!$A$3:$FB$285,137,FALSE)</f>
        <v/>
      </c>
      <c r="EU54" s="27" t="str">
        <f>VLOOKUP($A54,'[1]Raw Data'!$A$3:$FB$285,138,FALSE)</f>
        <v/>
      </c>
      <c r="EV54" s="27" t="str">
        <f>VLOOKUP($A54,'[1]Raw Data'!$A$3:$FB$285,139,FALSE)</f>
        <v/>
      </c>
      <c r="EW54" s="38">
        <f>VLOOKUP($A54,[1]Training!$A$2:$I$284,5,FALSE)</f>
        <v>64.538461538461533</v>
      </c>
      <c r="EX54" s="31">
        <f>VLOOKUP($A54,[1]Training!$A$2:$I$284,6,FALSE)</f>
        <v>0</v>
      </c>
      <c r="EY54" s="38">
        <f>VLOOKUP($A54,[1]Training!$A$2:$I$284,8,FALSE)</f>
        <v>76.272727272727266</v>
      </c>
      <c r="EZ54" s="31">
        <f>VLOOKUP($A54,[1]Training!$A$2:$I$284,9,FALSE)</f>
        <v>456</v>
      </c>
      <c r="FA54" s="27">
        <v>1</v>
      </c>
      <c r="FB54" s="27">
        <v>2</v>
      </c>
      <c r="FC54" s="27" t="str">
        <f>VLOOKUP($A54,'[1]Raw Data'!$A$3:$FB$285,148,FALSE)</f>
        <v/>
      </c>
      <c r="FE54" s="27" t="str">
        <f>VLOOKUP($A54,'[1]Raw Data'!$A$3:$FB$285,149,FALSE)</f>
        <v>District Coordinator</v>
      </c>
      <c r="FF54" s="27" t="s">
        <v>885</v>
      </c>
      <c r="FG54" s="27" t="str">
        <f>VLOOKUP($A54,'[1]Raw Data'!$A$3:$FB$285,150,FALSE)</f>
        <v/>
      </c>
      <c r="FH54" s="27" t="str">
        <f>VLOOKUP($A54,'[1]Raw Data'!$A$3:$FB$285,156,FALSE)</f>
        <v/>
      </c>
      <c r="FJ54" s="27" t="str">
        <f>VLOOKUP($A54,'[1]Raw Data'!$A$3:$FB$285,157,FALSE)</f>
        <v>District Technical Officer</v>
      </c>
      <c r="FK54" s="27" t="s">
        <v>886</v>
      </c>
      <c r="FL54" s="27" t="str">
        <f>VLOOKUP($A54,'[1]Raw Data'!$A$3:$FB$285,158,FALSE)</f>
        <v/>
      </c>
      <c r="FM54" s="27" t="str">
        <f>VLOOKUP($A54,'[1]Raw Data'!$A$3:$FB$285,152,FALSE)</f>
        <v/>
      </c>
      <c r="FO54" s="27" t="str">
        <f>VLOOKUP($A54,'[1]Raw Data'!$A$3:$FB$285,153,FALSE)</f>
        <v>DIstrict Information Management Officer</v>
      </c>
      <c r="FP54" s="27" t="s">
        <v>887</v>
      </c>
      <c r="FQ54" s="27" t="str">
        <f>VLOOKUP($A54,'[1]Raw Data'!$A$3:$FB$285,154,FALSE)</f>
        <v/>
      </c>
    </row>
    <row r="55" spans="1:173" ht="24" x14ac:dyDescent="0.45">
      <c r="A55" s="27">
        <v>13009</v>
      </c>
      <c r="B55" s="36" t="str">
        <f ca="1">IFERROR(__xludf.DUMMYFUNCTION("""COMPUTED_VALUE"""),"Rupakot huwagadhi Nagarpalika")</f>
        <v>Rupakot huwagadhi Nagarpalika</v>
      </c>
      <c r="C55" s="37" t="str">
        <f>VLOOKUP(A55,'[1]Palika and District in Nepali '!$D$1:$F$283,3,FALSE)</f>
        <v>रुपाकोट नगरपालिका</v>
      </c>
      <c r="D55" s="36" t="str">
        <f ca="1">IFERROR(__xludf.DUMMYFUNCTION("""COMPUTED_VALUE"""),"Khotang")</f>
        <v>Khotang</v>
      </c>
      <c r="E55" s="36"/>
      <c r="F55" s="27">
        <f>VLOOKUP(A55,'[1]Raw Data'!$A$3:$FB$285,4,FALSE)</f>
        <v>646</v>
      </c>
      <c r="G55" s="27">
        <f>VLOOKUP(A55,'[1]Raw Data'!$A$3:$FB$285,5,FALSE)</f>
        <v>1632</v>
      </c>
      <c r="H55" s="27">
        <f>VLOOKUP(A55,'[1]Raw Data'!$A$3:$FB$285,6,FALSE)</f>
        <v>2278</v>
      </c>
      <c r="I55" s="27">
        <f>VLOOKUP($A55,'[1]Raw Data'!$A$3:$FB$285,8,FALSE)</f>
        <v>0.18</v>
      </c>
      <c r="J55" s="27">
        <f>VLOOKUP($A55,'[1]Raw Data'!$A$3:$FB$285,9,FALSE)</f>
        <v>0.14000000000000001</v>
      </c>
      <c r="K55" s="27">
        <f>VLOOKUP($A55,'[1]Raw Data'!$A$3:$FB$285,11,FALSE)</f>
        <v>99.34</v>
      </c>
      <c r="L55" s="27">
        <f>VLOOKUP($A55,'[1]Raw Data'!$A$3:$FB$285,12,FALSE)</f>
        <v>92.74</v>
      </c>
      <c r="M55" s="27">
        <f>VLOOKUP($A55,'[1]Raw Data'!$A$3:$FB$285,14,FALSE)</f>
        <v>0</v>
      </c>
      <c r="N55" s="27">
        <f>VLOOKUP($A55,'[1]Raw Data'!$A$3:$FB$285,15,FALSE)</f>
        <v>0.02</v>
      </c>
      <c r="O55" s="27">
        <f>VLOOKUP($A55,'[1]Raw Data'!$A$3:$FB$285,17,FALSE)</f>
        <v>0</v>
      </c>
      <c r="P55" s="27">
        <f>VLOOKUP($A55,'[1]Raw Data'!$A$3:$FB$285,18,FALSE)</f>
        <v>0.05</v>
      </c>
      <c r="Q55" s="27">
        <f>VLOOKUP($A55,'[1]Raw Data'!$A$3:$FB$285,20,FALSE)</f>
        <v>0</v>
      </c>
      <c r="R55" s="27">
        <f>VLOOKUP($A55,'[1]Raw Data'!$A$3:$FB$285,21,FALSE)</f>
        <v>0.02</v>
      </c>
      <c r="S55" s="27">
        <f>VLOOKUP($A55,'[1]Raw Data'!$A$3:$FB$285,23,FALSE)</f>
        <v>0</v>
      </c>
      <c r="T55" s="27">
        <f>VLOOKUP($A55,'[1]Raw Data'!$A$3:$FB$285,24,FALSE)</f>
        <v>0</v>
      </c>
      <c r="U55" s="27">
        <f>VLOOKUP($A55,'[1]Raw Data'!$A$3:$FB$285,26,FALSE)</f>
        <v>0.18</v>
      </c>
      <c r="V55" s="27">
        <f>VLOOKUP($A55,'[1]Raw Data'!$A$3:$FB$285,27,FALSE)</f>
        <v>0.28999999999999998</v>
      </c>
      <c r="W55" s="27">
        <f>VLOOKUP($A55,'[1]Raw Data'!$A$3:$FB$285,29,FALSE)</f>
        <v>0</v>
      </c>
      <c r="X55" s="27">
        <f>VLOOKUP($A55,'[1]Raw Data'!$A$3:$FB$285,30,FALSE)</f>
        <v>0</v>
      </c>
      <c r="Y55" s="27">
        <f>VLOOKUP($A55,'[1]Raw Data'!$A$3:$FB$285,32,FALSE)</f>
        <v>0</v>
      </c>
      <c r="Z55" s="27">
        <f>VLOOKUP($A55,'[1]Raw Data'!$A$3:$FB$285,33,FALSE)</f>
        <v>0.25</v>
      </c>
      <c r="AA55" s="27">
        <f>VLOOKUP($A55,'[1]Raw Data'!$A$3:$FB$285,35,FALSE)</f>
        <v>0.18</v>
      </c>
      <c r="AB55" s="27">
        <f>VLOOKUP($A55,'[1]Raw Data'!$A$3:$FB$285,36,FALSE)</f>
        <v>6.28</v>
      </c>
      <c r="AC55" s="27">
        <f>VLOOKUP($A55,'[1]Raw Data'!$A$3:$FB$285,38,FALSE)</f>
        <v>0.13</v>
      </c>
      <c r="AD55" s="27">
        <f>VLOOKUP($A55,'[1]Raw Data'!$A$3:$FB$285,39,FALSE)</f>
        <v>0.23</v>
      </c>
      <c r="AE55" s="27">
        <f>VLOOKUP($A55,'[1]Raw Data'!$A$3:$FB$285,41,FALSE)</f>
        <v>0</v>
      </c>
      <c r="AF55" s="27">
        <f>VLOOKUP($A55,'[1]Raw Data'!$A$3:$FB$285,42,FALSE)</f>
        <v>0</v>
      </c>
      <c r="AG55" s="27">
        <f>VLOOKUP($A55,'[1]Raw Data'!$A$3:$FB$285,44,FALSE)</f>
        <v>0</v>
      </c>
      <c r="AH55" s="27">
        <f>VLOOKUP($A55,'[1]Raw Data'!$A$3:$FB$285,45,FALSE)</f>
        <v>0</v>
      </c>
      <c r="AI55" s="27">
        <f>VLOOKUP($A55,'[1]Raw Data'!$A$3:$FB$285,46,FALSE)</f>
        <v>1511</v>
      </c>
      <c r="AJ55" s="27">
        <f>VLOOKUP($A55,'[1]Raw Data'!$A$3:$FB$285,47,FALSE)</f>
        <v>471</v>
      </c>
      <c r="AK55" s="27">
        <f>VLOOKUP($A55,'[1]Raw Data'!$A$3:$FB$285,48,FALSE)</f>
        <v>471</v>
      </c>
      <c r="AL55" s="27">
        <f>VLOOKUP($A55,'[1]Raw Data'!$A$3:$FB$285,49,FALSE)</f>
        <v>270</v>
      </c>
      <c r="AM55" s="27">
        <f>VLOOKUP($A55,'[1]Raw Data'!$A$3:$FB$285,50,FALSE)</f>
        <v>0</v>
      </c>
      <c r="AN55" s="27" t="str">
        <f>VLOOKUP($A55,'[1]Raw Data'!$A$3:$FB$285,51,FALSE)</f>
        <v/>
      </c>
      <c r="AO55" s="27" t="str">
        <f>VLOOKUP($A55,'[1]Raw Data'!$A$3:$FB$285,52,FALSE)</f>
        <v/>
      </c>
      <c r="AP55" s="27">
        <f>VLOOKUP($A55,'[1]Raw Data'!$A$3:$FB$285,53,FALSE)</f>
        <v>57</v>
      </c>
      <c r="AQ55" s="27" t="str">
        <f>VLOOKUP($A55,'[1]Raw Data'!$A$3:$FB$285,54,FALSE)</f>
        <v/>
      </c>
      <c r="AR55" s="27" t="str">
        <f>VLOOKUP($A55,'[1]Raw Data'!$A$3:$FB$285,55,FALSE)</f>
        <v/>
      </c>
      <c r="AS55" s="27" t="str">
        <f>VLOOKUP($A55,'[1]Raw Data'!$A$3:$FB$285,56,FALSE)</f>
        <v/>
      </c>
      <c r="AT55" s="27" t="str">
        <f>VLOOKUP($A55,'[1]Raw Data'!$A$3:$FB$285,57,FALSE)</f>
        <v/>
      </c>
      <c r="AU55" s="27" t="str">
        <f>VLOOKUP($A55,'[1]Raw Data'!$A$3:$FB$285,58,FALSE)</f>
        <v/>
      </c>
      <c r="AV55" s="27" t="str">
        <f>VLOOKUP($A55,'[1]Raw Data'!$A$3:$FB$285,59,FALSE)</f>
        <v/>
      </c>
      <c r="AW55" s="27" t="str">
        <f>VLOOKUP($A55,'[1]Raw Data'!$A$3:$FB$285,60,FALSE)</f>
        <v/>
      </c>
      <c r="AX55" s="27" t="str">
        <f>VLOOKUP(A55,'[1]PO''s List'!A53:E335,4,FALSE)</f>
        <v/>
      </c>
      <c r="AZ55" s="27" t="str">
        <f>VLOOKUP(A55,'[1]PO''s List'!$A$3:$E$285,5,FALSE)</f>
        <v/>
      </c>
      <c r="BB55" s="27">
        <f>VLOOKUP($A55,'[1]Raw Data'!$A$3:$FB$285,63,FALSE)</f>
        <v>3745</v>
      </c>
      <c r="BC55" s="27" t="str">
        <f>VLOOKUP($A55,'[1]Raw Data'!$A$3:$FB$285,64,FALSE)</f>
        <v/>
      </c>
      <c r="BD55" s="27" t="str">
        <f t="shared" si="0"/>
        <v/>
      </c>
      <c r="BE55" s="27" t="str">
        <f>VLOOKUP($A55,'[1]Raw Data'!$A$3:$FB$285,65,FALSE)</f>
        <v/>
      </c>
      <c r="BF55" s="27">
        <f>VLOOKUP($A55,'[1]Raw Data'!$A$3:$FB$285,66,FALSE)</f>
        <v>3966</v>
      </c>
      <c r="BG55" s="27" t="str">
        <f>VLOOKUP($A55,'[1]Raw Data'!$A$3:$FB$285,67,FALSE)</f>
        <v/>
      </c>
      <c r="BH55" s="27" t="str">
        <f t="shared" si="1"/>
        <v/>
      </c>
      <c r="BI55" s="27" t="str">
        <f>VLOOKUP($A55,'[1]Raw Data'!$A$3:$FB$285,68,FALSE)</f>
        <v/>
      </c>
      <c r="BJ55" s="27">
        <f>VLOOKUP($A55,'[1]Raw Data'!$A$3:$FB$285,69,FALSE)</f>
        <v>401</v>
      </c>
      <c r="BK55" s="27" t="str">
        <f>VLOOKUP($A55,'[1]Raw Data'!$A$3:$FB$285,70,FALSE)</f>
        <v/>
      </c>
      <c r="BL55" s="27" t="str">
        <f t="shared" si="2"/>
        <v/>
      </c>
      <c r="BM55" s="27" t="str">
        <f>VLOOKUP($A55,'[1]Raw Data'!$A$3:$FB$285,71,FALSE)</f>
        <v/>
      </c>
      <c r="BN55" s="27">
        <f>VLOOKUP($A55,'[1]Raw Data'!$A$3:$FB$285,72,FALSE)</f>
        <v>466</v>
      </c>
      <c r="BO55" s="27" t="str">
        <f>VLOOKUP($A55,'[1]Raw Data'!$A$3:$FB$285,73,FALSE)</f>
        <v/>
      </c>
      <c r="BP55" s="27" t="str">
        <f t="shared" si="3"/>
        <v/>
      </c>
      <c r="BQ55" s="27" t="str">
        <f>VLOOKUP($A55,'[1]Raw Data'!$A$3:$FB$285,74,FALSE)</f>
        <v/>
      </c>
      <c r="BR55" s="27" t="str">
        <f>VLOOKUP($A55,'[1]Raw Data'!$A$3:$FB$285,75,FALSE)</f>
        <v/>
      </c>
      <c r="BS55" s="27" t="str">
        <f>VLOOKUP($A55,'[1]Raw Data'!$A$3:$FB$285,76,FALSE)</f>
        <v/>
      </c>
      <c r="BT55" s="27" t="str">
        <f t="shared" si="4"/>
        <v/>
      </c>
      <c r="BU55" s="27" t="str">
        <f>VLOOKUP($A55,'[1]Raw Data'!$A$3:$FB$285,77,FALSE)</f>
        <v/>
      </c>
      <c r="BV55" s="27">
        <f>VLOOKUP($A55,'[1]Raw Data'!$A$3:$FB$285,78,FALSE)</f>
        <v>13026</v>
      </c>
      <c r="BW55" s="27" t="str">
        <f>VLOOKUP($A55,'[1]Raw Data'!$A$3:$FB$285,79,FALSE)</f>
        <v/>
      </c>
      <c r="BX55" s="27" t="str">
        <f t="shared" si="5"/>
        <v/>
      </c>
      <c r="BY55" s="27" t="str">
        <f>VLOOKUP($A55,'[1]Raw Data'!$A$3:$FB$285,80,FALSE)</f>
        <v/>
      </c>
      <c r="BZ55" s="27">
        <f>VLOOKUP($A55,'[1]Raw Data'!$A$3:$FB$285,81,FALSE)</f>
        <v>40287</v>
      </c>
      <c r="CA55" s="27" t="str">
        <f>VLOOKUP($A55,'[1]Raw Data'!$A$3:$FB$285,82,FALSE)</f>
        <v/>
      </c>
      <c r="CB55" s="27" t="str">
        <f t="shared" si="6"/>
        <v/>
      </c>
      <c r="CC55" s="27" t="str">
        <f>VLOOKUP($A55,'[1]Raw Data'!$A$3:$FB$285,83,FALSE)</f>
        <v/>
      </c>
      <c r="CD55" s="27">
        <f>VLOOKUP($A55,'[1]Raw Data'!$A$3:$FB$285,84,FALSE)</f>
        <v>532</v>
      </c>
      <c r="CE55" s="27" t="str">
        <f>VLOOKUP($A55,'[1]Raw Data'!$A$3:$FB$285,85,FALSE)</f>
        <v/>
      </c>
      <c r="CF55" s="27" t="str">
        <f t="shared" si="7"/>
        <v/>
      </c>
      <c r="CG55" s="27" t="str">
        <f>VLOOKUP($A55,'[1]Raw Data'!$A$3:$FB$285,86,FALSE)</f>
        <v/>
      </c>
      <c r="CH55" s="27">
        <f>VLOOKUP($A55,'[1]Raw Data'!$A$3:$FB$285,87,FALSE)</f>
        <v>13522</v>
      </c>
      <c r="CI55" s="27" t="str">
        <f>VLOOKUP($A55,'[1]Raw Data'!$A$3:$FB$285,88,FALSE)</f>
        <v/>
      </c>
      <c r="CJ55" s="27" t="str">
        <f t="shared" si="8"/>
        <v/>
      </c>
      <c r="CK55" s="27" t="str">
        <f>VLOOKUP($A55,'[1]Raw Data'!$A$3:$FB$285,89,FALSE)</f>
        <v/>
      </c>
      <c r="CL55" s="27" t="str">
        <f>VLOOKUP($A55,'[1]Raw Data'!$A$3:$FB$285,91,FALSE)</f>
        <v/>
      </c>
      <c r="CM55" s="27" t="str">
        <f>VLOOKUP($A55,'[1]Raw Data'!$A$3:$FB$285,93,FALSE)</f>
        <v/>
      </c>
      <c r="CN55" s="27" t="str">
        <f>VLOOKUP($A55,'[1]Raw Data'!$A$3:$FB$285,94,FALSE)</f>
        <v/>
      </c>
      <c r="CO55" s="27" t="str">
        <f>VLOOKUP($A55,'[1]Raw Data'!$A$3:$FB$285,95,FALSE)</f>
        <v/>
      </c>
      <c r="CP55" s="27" t="str">
        <f>VLOOKUP($A55,'[1]Raw Data'!$A$3:$FB$285,96,FALSE)</f>
        <v/>
      </c>
      <c r="CQ55" s="27" t="str">
        <f>VLOOKUP($A55,'[1]Raw Data'!$A$3:$FB$285,97,FALSE)</f>
        <v/>
      </c>
      <c r="CR55" s="27" t="str">
        <f>VLOOKUP($A55,'[1]Raw Data'!$A$3:$FB$285,98,FALSE)</f>
        <v/>
      </c>
      <c r="CS55" s="27" t="str">
        <f>VLOOKUP($A55,'[1]Raw Data'!$A$3:$FB$285,99,FALSE)</f>
        <v/>
      </c>
      <c r="CT55" s="27" t="str">
        <f>VLOOKUP($A55,'[1]Raw Data'!$A$3:$FB$285,101,FALSE)</f>
        <v/>
      </c>
      <c r="CV55" s="27" t="str">
        <f>VLOOKUP($A55,'[1]Raw Data'!$A$3:$FB$285,102,FALSE)</f>
        <v>Mayor</v>
      </c>
      <c r="CW55" s="27" t="s">
        <v>834</v>
      </c>
      <c r="CX55" s="27" t="str">
        <f>VLOOKUP($A55,'[1]Raw Data'!$A$3:$FB$285,103,FALSE)</f>
        <v/>
      </c>
      <c r="CY55" s="27" t="str">
        <f>VLOOKUP($A55,'[1]Raw Data'!$A$3:$FB$285,105,FALSE)</f>
        <v/>
      </c>
      <c r="DA55" s="27" t="str">
        <f>VLOOKUP($A55,'[1]Raw Data'!$A$3:$FB$285,106,FALSE)</f>
        <v>Deputy Mayor</v>
      </c>
      <c r="DB55" s="27" t="s">
        <v>888</v>
      </c>
      <c r="DC55" s="27" t="str">
        <f>VLOOKUP($A55,'[1]Raw Data'!$A$3:$FB$285,107,FALSE)</f>
        <v/>
      </c>
      <c r="DD55" s="27" t="str">
        <f>VLOOKUP($A55,'[1]Raw Data'!$A$3:$FB$285,109,FALSE)</f>
        <v/>
      </c>
      <c r="DF55" s="27" t="str">
        <f>VLOOKUP($A55,'[1]Raw Data'!$A$3:$FB$285,110,FALSE)</f>
        <v>Adminstration Officer</v>
      </c>
      <c r="DG55" s="27" t="s">
        <v>880</v>
      </c>
      <c r="DH55" s="27" t="str">
        <f>VLOOKUP($A55,'[1]Raw Data'!$A$3:$FB$285,111,FALSE)</f>
        <v/>
      </c>
      <c r="DI55" s="27" t="str">
        <f>VLOOKUP($A55,'[1]Raw Data'!$A$3:$FB$285,121,FALSE)</f>
        <v/>
      </c>
      <c r="DK55" s="27" t="str">
        <f>VLOOKUP($A55,'[1]Raw Data'!$A$3:$FB$285,122,FALSE)</f>
        <v>Focal Person</v>
      </c>
      <c r="DL55" s="27" t="s">
        <v>881</v>
      </c>
      <c r="DM55" s="27" t="str">
        <f>VLOOKUP($A55,'[1]Raw Data'!$A$3:$FB$285,123,FALSE)</f>
        <v/>
      </c>
      <c r="DN55" s="27" t="str">
        <f>VLOOKUP($A55,'[1]Raw Data'!$A$3:$FB$285,113,FALSE)</f>
        <v/>
      </c>
      <c r="DP55" s="27" t="str">
        <f>VLOOKUP($A55,'[1]Raw Data'!$A$3:$FB$285,114,FALSE)</f>
        <v>NRA Chief-District</v>
      </c>
      <c r="DQ55" s="27" t="s">
        <v>882</v>
      </c>
      <c r="DR55" s="27" t="str">
        <f>VLOOKUP($A55,'[1]Raw Data'!$A$3:$FB$285,115,FALSE)</f>
        <v/>
      </c>
      <c r="DS55" s="27" t="str">
        <f>VLOOKUP($A55,'[1]Raw Data'!$A$3:$FB$285,117,FALSE)</f>
        <v/>
      </c>
      <c r="DU55" s="27" t="str">
        <f>VLOOKUP($A55,'[1]Raw Data'!$A$3:$FB$285,118,FALSE)</f>
        <v>DUDBC.DLPIU Chief</v>
      </c>
      <c r="DV55" s="27" t="s">
        <v>883</v>
      </c>
      <c r="DW55" s="27" t="str">
        <f>VLOOKUP($A55,'[1]Raw Data'!$A$3:$FB$285,119,FALSE)</f>
        <v/>
      </c>
      <c r="DX55" s="27" t="s">
        <v>339</v>
      </c>
      <c r="DY55" s="27" t="str">
        <f>VLOOKUP($A55,'[1]Raw Data'!$A$3:$FB$285,124,FALSE)</f>
        <v/>
      </c>
      <c r="DZ55" s="27" t="s">
        <v>884</v>
      </c>
      <c r="EA55" s="27" t="str">
        <f>VLOOKUP($A55,'[1]Raw Data'!$A$3:$FB$285,125,FALSE)</f>
        <v/>
      </c>
      <c r="EB55" s="27" t="s">
        <v>341</v>
      </c>
      <c r="EC55" s="27" t="str">
        <f>VLOOKUP($A55,'[1]Raw Data'!$A$3:$FB$285,126,FALSE)</f>
        <v/>
      </c>
      <c r="ED55" t="s">
        <v>478</v>
      </c>
      <c r="EE55" s="27" t="str">
        <f>VLOOKUP($A55,'[1]Raw Data'!$A$3:$FB$285,127,FALSE)</f>
        <v/>
      </c>
      <c r="EF55" s="27" t="s">
        <v>343</v>
      </c>
      <c r="EG55" s="27" t="str">
        <f>VLOOKUP($A55,'[1]Raw Data'!$A$3:$FB$285,128,FALSE)</f>
        <v/>
      </c>
      <c r="EH55" t="s">
        <v>344</v>
      </c>
      <c r="EI55" s="27" t="str">
        <f>VLOOKUP($A55,'[1]Raw Data'!$A$3:$FB$285,129,FALSE)</f>
        <v/>
      </c>
      <c r="EM55" s="27" t="str">
        <f>VLOOKUP($A55,'[1]Raw Data'!$A$3:$FB$285,130,FALSE)</f>
        <v/>
      </c>
      <c r="EN55" s="27" t="str">
        <f>VLOOKUP($A55,'[1]Raw Data'!$A$3:$FB$285,131,FALSE)</f>
        <v/>
      </c>
      <c r="EO55" s="27" t="str">
        <f>VLOOKUP($A55,'[1]Raw Data'!$A$3:$FB$285,132,FALSE)</f>
        <v/>
      </c>
      <c r="EP55" s="27" t="str">
        <f>VLOOKUP($A55,'[1]Raw Data'!$A$3:$FB$285,133,FALSE)</f>
        <v/>
      </c>
      <c r="EQ55" s="27" t="str">
        <f>VLOOKUP($A55,'[1]Raw Data'!$A$3:$FB$285,134,FALSE)</f>
        <v/>
      </c>
      <c r="ER55" s="27" t="str">
        <f>VLOOKUP($A55,'[1]Raw Data'!$A$3:$FB$285,135,FALSE)</f>
        <v/>
      </c>
      <c r="ES55" s="27" t="str">
        <f>VLOOKUP($A55,'[1]Raw Data'!$A$3:$FB$285,136,FALSE)</f>
        <v/>
      </c>
      <c r="ET55" s="27" t="str">
        <f>VLOOKUP($A55,'[1]Raw Data'!$A$3:$FB$285,137,FALSE)</f>
        <v/>
      </c>
      <c r="EU55" s="27" t="str">
        <f>VLOOKUP($A55,'[1]Raw Data'!$A$3:$FB$285,138,FALSE)</f>
        <v/>
      </c>
      <c r="EV55" s="27" t="str">
        <f>VLOOKUP($A55,'[1]Raw Data'!$A$3:$FB$285,139,FALSE)</f>
        <v/>
      </c>
      <c r="EW55" s="38">
        <f>VLOOKUP($A55,[1]Training!$A$2:$I$284,5,FALSE)</f>
        <v>116.23076923076923</v>
      </c>
      <c r="EX55" s="31">
        <f>VLOOKUP($A55,[1]Training!$A$2:$I$284,6,FALSE)</f>
        <v>0</v>
      </c>
      <c r="EY55" s="38">
        <f>VLOOKUP($A55,[1]Training!$A$2:$I$284,8,FALSE)</f>
        <v>137.36363636363637</v>
      </c>
      <c r="EZ55" s="31">
        <f>VLOOKUP($A55,[1]Training!$A$2:$I$284,9,FALSE)</f>
        <v>59</v>
      </c>
      <c r="FA55" s="27">
        <v>1</v>
      </c>
      <c r="FB55" s="27">
        <v>2</v>
      </c>
      <c r="FC55" s="27" t="str">
        <f>VLOOKUP($A55,'[1]Raw Data'!$A$3:$FB$285,148,FALSE)</f>
        <v/>
      </c>
      <c r="FE55" s="27" t="str">
        <f>VLOOKUP($A55,'[1]Raw Data'!$A$3:$FB$285,149,FALSE)</f>
        <v>District Coordinator</v>
      </c>
      <c r="FF55" s="27" t="s">
        <v>885</v>
      </c>
      <c r="FG55" s="27" t="str">
        <f>VLOOKUP($A55,'[1]Raw Data'!$A$3:$FB$285,150,FALSE)</f>
        <v/>
      </c>
      <c r="FH55" s="27" t="str">
        <f>VLOOKUP($A55,'[1]Raw Data'!$A$3:$FB$285,156,FALSE)</f>
        <v/>
      </c>
      <c r="FJ55" s="27" t="str">
        <f>VLOOKUP($A55,'[1]Raw Data'!$A$3:$FB$285,157,FALSE)</f>
        <v>District Technical Officer</v>
      </c>
      <c r="FK55" s="27" t="s">
        <v>886</v>
      </c>
      <c r="FL55" s="27" t="str">
        <f>VLOOKUP($A55,'[1]Raw Data'!$A$3:$FB$285,158,FALSE)</f>
        <v/>
      </c>
      <c r="FM55" s="27" t="str">
        <f>VLOOKUP($A55,'[1]Raw Data'!$A$3:$FB$285,152,FALSE)</f>
        <v/>
      </c>
      <c r="FO55" s="27" t="str">
        <f>VLOOKUP($A55,'[1]Raw Data'!$A$3:$FB$285,153,FALSE)</f>
        <v>DIstrict Information Management Officer</v>
      </c>
      <c r="FP55" s="27" t="s">
        <v>887</v>
      </c>
      <c r="FQ55" s="27" t="str">
        <f>VLOOKUP($A55,'[1]Raw Data'!$A$3:$FB$285,154,FALSE)</f>
        <v/>
      </c>
    </row>
    <row r="56" spans="1:173" ht="24" x14ac:dyDescent="0.45">
      <c r="A56" s="27">
        <v>13010</v>
      </c>
      <c r="B56" s="36" t="str">
        <f ca="1">IFERROR(__xludf.DUMMYFUNCTION("""COMPUTED_VALUE"""),"Sakela Gaunpalika")</f>
        <v>Sakela Gaunpalika</v>
      </c>
      <c r="C56" s="37" t="str">
        <f>VLOOKUP(A56,'[1]Palika and District in Nepali '!$D$1:$F$283,3,FALSE)</f>
        <v xml:space="preserve">साकेला गाउँपालिका </v>
      </c>
      <c r="D56" s="36" t="str">
        <f ca="1">IFERROR(__xludf.DUMMYFUNCTION("""COMPUTED_VALUE"""),"Khotang")</f>
        <v>Khotang</v>
      </c>
      <c r="E56" s="36"/>
      <c r="F56" s="27">
        <f>VLOOKUP(A56,'[1]Raw Data'!$A$3:$FB$285,4,FALSE)</f>
        <v>221</v>
      </c>
      <c r="G56" s="27">
        <f>VLOOKUP(A56,'[1]Raw Data'!$A$3:$FB$285,5,FALSE)</f>
        <v>550</v>
      </c>
      <c r="H56" s="27">
        <f>VLOOKUP(A56,'[1]Raw Data'!$A$3:$FB$285,6,FALSE)</f>
        <v>771</v>
      </c>
      <c r="I56" s="27">
        <f>VLOOKUP($A56,'[1]Raw Data'!$A$3:$FB$285,8,FALSE)</f>
        <v>0</v>
      </c>
      <c r="J56" s="27">
        <f>VLOOKUP($A56,'[1]Raw Data'!$A$3:$FB$285,9,FALSE)</f>
        <v>0.14000000000000001</v>
      </c>
      <c r="K56" s="27">
        <f>VLOOKUP($A56,'[1]Raw Data'!$A$3:$FB$285,11,FALSE)</f>
        <v>100</v>
      </c>
      <c r="L56" s="27">
        <f>VLOOKUP($A56,'[1]Raw Data'!$A$3:$FB$285,12,FALSE)</f>
        <v>92.74</v>
      </c>
      <c r="M56" s="27">
        <f>VLOOKUP($A56,'[1]Raw Data'!$A$3:$FB$285,14,FALSE)</f>
        <v>0</v>
      </c>
      <c r="N56" s="27">
        <f>VLOOKUP($A56,'[1]Raw Data'!$A$3:$FB$285,15,FALSE)</f>
        <v>0.02</v>
      </c>
      <c r="O56" s="27">
        <f>VLOOKUP($A56,'[1]Raw Data'!$A$3:$FB$285,17,FALSE)</f>
        <v>0</v>
      </c>
      <c r="P56" s="27">
        <f>VLOOKUP($A56,'[1]Raw Data'!$A$3:$FB$285,18,FALSE)</f>
        <v>0.05</v>
      </c>
      <c r="Q56" s="27">
        <f>VLOOKUP($A56,'[1]Raw Data'!$A$3:$FB$285,20,FALSE)</f>
        <v>0</v>
      </c>
      <c r="R56" s="27">
        <f>VLOOKUP($A56,'[1]Raw Data'!$A$3:$FB$285,21,FALSE)</f>
        <v>0.02</v>
      </c>
      <c r="S56" s="27">
        <f>VLOOKUP($A56,'[1]Raw Data'!$A$3:$FB$285,23,FALSE)</f>
        <v>0</v>
      </c>
      <c r="T56" s="27">
        <f>VLOOKUP($A56,'[1]Raw Data'!$A$3:$FB$285,24,FALSE)</f>
        <v>0</v>
      </c>
      <c r="U56" s="27">
        <f>VLOOKUP($A56,'[1]Raw Data'!$A$3:$FB$285,26,FALSE)</f>
        <v>0</v>
      </c>
      <c r="V56" s="27">
        <f>VLOOKUP($A56,'[1]Raw Data'!$A$3:$FB$285,27,FALSE)</f>
        <v>0.28999999999999998</v>
      </c>
      <c r="W56" s="27">
        <f>VLOOKUP($A56,'[1]Raw Data'!$A$3:$FB$285,29,FALSE)</f>
        <v>0</v>
      </c>
      <c r="X56" s="27">
        <f>VLOOKUP($A56,'[1]Raw Data'!$A$3:$FB$285,30,FALSE)</f>
        <v>0</v>
      </c>
      <c r="Y56" s="27">
        <f>VLOOKUP($A56,'[1]Raw Data'!$A$3:$FB$285,32,FALSE)</f>
        <v>0</v>
      </c>
      <c r="Z56" s="27">
        <f>VLOOKUP($A56,'[1]Raw Data'!$A$3:$FB$285,33,FALSE)</f>
        <v>0.25</v>
      </c>
      <c r="AA56" s="27">
        <f>VLOOKUP($A56,'[1]Raw Data'!$A$3:$FB$285,35,FALSE)</f>
        <v>0</v>
      </c>
      <c r="AB56" s="27">
        <f>VLOOKUP($A56,'[1]Raw Data'!$A$3:$FB$285,36,FALSE)</f>
        <v>6.28</v>
      </c>
      <c r="AC56" s="27">
        <f>VLOOKUP($A56,'[1]Raw Data'!$A$3:$FB$285,38,FALSE)</f>
        <v>0</v>
      </c>
      <c r="AD56" s="27">
        <f>VLOOKUP($A56,'[1]Raw Data'!$A$3:$FB$285,39,FALSE)</f>
        <v>0.23</v>
      </c>
      <c r="AE56" s="27">
        <f>VLOOKUP($A56,'[1]Raw Data'!$A$3:$FB$285,41,FALSE)</f>
        <v>0</v>
      </c>
      <c r="AF56" s="27">
        <f>VLOOKUP($A56,'[1]Raw Data'!$A$3:$FB$285,42,FALSE)</f>
        <v>0</v>
      </c>
      <c r="AG56" s="27">
        <f>VLOOKUP($A56,'[1]Raw Data'!$A$3:$FB$285,44,FALSE)</f>
        <v>0</v>
      </c>
      <c r="AH56" s="27">
        <f>VLOOKUP($A56,'[1]Raw Data'!$A$3:$FB$285,45,FALSE)</f>
        <v>0</v>
      </c>
      <c r="AI56" s="27">
        <f>VLOOKUP($A56,'[1]Raw Data'!$A$3:$FB$285,46,FALSE)</f>
        <v>532</v>
      </c>
      <c r="AJ56" s="27">
        <f>VLOOKUP($A56,'[1]Raw Data'!$A$3:$FB$285,47,FALSE)</f>
        <v>133</v>
      </c>
      <c r="AK56" s="27">
        <f>VLOOKUP($A56,'[1]Raw Data'!$A$3:$FB$285,48,FALSE)</f>
        <v>133</v>
      </c>
      <c r="AL56" s="27">
        <f>VLOOKUP($A56,'[1]Raw Data'!$A$3:$FB$285,49,FALSE)</f>
        <v>92</v>
      </c>
      <c r="AM56" s="27">
        <f>VLOOKUP($A56,'[1]Raw Data'!$A$3:$FB$285,50,FALSE)</f>
        <v>0</v>
      </c>
      <c r="AN56" s="27" t="str">
        <f>VLOOKUP($A56,'[1]Raw Data'!$A$3:$FB$285,51,FALSE)</f>
        <v/>
      </c>
      <c r="AO56" s="27" t="str">
        <f>VLOOKUP($A56,'[1]Raw Data'!$A$3:$FB$285,52,FALSE)</f>
        <v/>
      </c>
      <c r="AP56" s="27">
        <f>VLOOKUP($A56,'[1]Raw Data'!$A$3:$FB$285,53,FALSE)</f>
        <v>16</v>
      </c>
      <c r="AQ56" s="27" t="str">
        <f>VLOOKUP($A56,'[1]Raw Data'!$A$3:$FB$285,54,FALSE)</f>
        <v/>
      </c>
      <c r="AR56" s="27" t="str">
        <f>VLOOKUP($A56,'[1]Raw Data'!$A$3:$FB$285,55,FALSE)</f>
        <v/>
      </c>
      <c r="AS56" s="27" t="str">
        <f>VLOOKUP($A56,'[1]Raw Data'!$A$3:$FB$285,56,FALSE)</f>
        <v/>
      </c>
      <c r="AT56" s="27" t="str">
        <f>VLOOKUP($A56,'[1]Raw Data'!$A$3:$FB$285,57,FALSE)</f>
        <v/>
      </c>
      <c r="AU56" s="27" t="str">
        <f>VLOOKUP($A56,'[1]Raw Data'!$A$3:$FB$285,58,FALSE)</f>
        <v/>
      </c>
      <c r="AV56" s="27" t="str">
        <f>VLOOKUP($A56,'[1]Raw Data'!$A$3:$FB$285,59,FALSE)</f>
        <v/>
      </c>
      <c r="AW56" s="27" t="str">
        <f>VLOOKUP($A56,'[1]Raw Data'!$A$3:$FB$285,60,FALSE)</f>
        <v/>
      </c>
      <c r="AX56" s="27" t="str">
        <f>VLOOKUP(A56,'[1]PO''s List'!A54:E336,4,FALSE)</f>
        <v/>
      </c>
      <c r="AZ56" s="27" t="str">
        <f>VLOOKUP(A56,'[1]PO''s List'!$A$3:$E$285,5,FALSE)</f>
        <v/>
      </c>
      <c r="BB56" s="27">
        <f>VLOOKUP($A56,'[1]Raw Data'!$A$3:$FB$285,63,FALSE)</f>
        <v>1572</v>
      </c>
      <c r="BC56" s="27" t="str">
        <f>VLOOKUP($A56,'[1]Raw Data'!$A$3:$FB$285,64,FALSE)</f>
        <v/>
      </c>
      <c r="BD56" s="27" t="str">
        <f t="shared" si="0"/>
        <v/>
      </c>
      <c r="BE56" s="27" t="str">
        <f>VLOOKUP($A56,'[1]Raw Data'!$A$3:$FB$285,65,FALSE)</f>
        <v/>
      </c>
      <c r="BF56" s="27">
        <f>VLOOKUP($A56,'[1]Raw Data'!$A$3:$FB$285,66,FALSE)</f>
        <v>1627</v>
      </c>
      <c r="BG56" s="27" t="str">
        <f>VLOOKUP($A56,'[1]Raw Data'!$A$3:$FB$285,67,FALSE)</f>
        <v/>
      </c>
      <c r="BH56" s="27" t="str">
        <f t="shared" si="1"/>
        <v/>
      </c>
      <c r="BI56" s="27" t="str">
        <f>VLOOKUP($A56,'[1]Raw Data'!$A$3:$FB$285,68,FALSE)</f>
        <v/>
      </c>
      <c r="BJ56" s="27">
        <f>VLOOKUP($A56,'[1]Raw Data'!$A$3:$FB$285,69,FALSE)</f>
        <v>168</v>
      </c>
      <c r="BK56" s="27" t="str">
        <f>VLOOKUP($A56,'[1]Raw Data'!$A$3:$FB$285,70,FALSE)</f>
        <v/>
      </c>
      <c r="BL56" s="27" t="str">
        <f t="shared" si="2"/>
        <v/>
      </c>
      <c r="BM56" s="27" t="str">
        <f>VLOOKUP($A56,'[1]Raw Data'!$A$3:$FB$285,71,FALSE)</f>
        <v/>
      </c>
      <c r="BN56" s="27">
        <f>VLOOKUP($A56,'[1]Raw Data'!$A$3:$FB$285,72,FALSE)</f>
        <v>194</v>
      </c>
      <c r="BO56" s="27" t="str">
        <f>VLOOKUP($A56,'[1]Raw Data'!$A$3:$FB$285,73,FALSE)</f>
        <v/>
      </c>
      <c r="BP56" s="27" t="str">
        <f t="shared" si="3"/>
        <v/>
      </c>
      <c r="BQ56" s="27" t="str">
        <f>VLOOKUP($A56,'[1]Raw Data'!$A$3:$FB$285,74,FALSE)</f>
        <v/>
      </c>
      <c r="BR56" s="27" t="str">
        <f>VLOOKUP($A56,'[1]Raw Data'!$A$3:$FB$285,75,FALSE)</f>
        <v/>
      </c>
      <c r="BS56" s="27" t="str">
        <f>VLOOKUP($A56,'[1]Raw Data'!$A$3:$FB$285,76,FALSE)</f>
        <v/>
      </c>
      <c r="BT56" s="27" t="str">
        <f t="shared" si="4"/>
        <v/>
      </c>
      <c r="BU56" s="27" t="str">
        <f>VLOOKUP($A56,'[1]Raw Data'!$A$3:$FB$285,77,FALSE)</f>
        <v/>
      </c>
      <c r="BV56" s="27">
        <f>VLOOKUP($A56,'[1]Raw Data'!$A$3:$FB$285,78,FALSE)</f>
        <v>5372</v>
      </c>
      <c r="BW56" s="27" t="str">
        <f>VLOOKUP($A56,'[1]Raw Data'!$A$3:$FB$285,79,FALSE)</f>
        <v/>
      </c>
      <c r="BX56" s="27" t="str">
        <f t="shared" si="5"/>
        <v/>
      </c>
      <c r="BY56" s="27" t="str">
        <f>VLOOKUP($A56,'[1]Raw Data'!$A$3:$FB$285,80,FALSE)</f>
        <v/>
      </c>
      <c r="BZ56" s="27">
        <f>VLOOKUP($A56,'[1]Raw Data'!$A$3:$FB$285,81,FALSE)</f>
        <v>16998</v>
      </c>
      <c r="CA56" s="27" t="str">
        <f>VLOOKUP($A56,'[1]Raw Data'!$A$3:$FB$285,82,FALSE)</f>
        <v/>
      </c>
      <c r="CB56" s="27" t="str">
        <f t="shared" si="6"/>
        <v/>
      </c>
      <c r="CC56" s="27" t="str">
        <f>VLOOKUP($A56,'[1]Raw Data'!$A$3:$FB$285,83,FALSE)</f>
        <v/>
      </c>
      <c r="CD56" s="27">
        <f>VLOOKUP($A56,'[1]Raw Data'!$A$3:$FB$285,84,FALSE)</f>
        <v>219</v>
      </c>
      <c r="CE56" s="27" t="str">
        <f>VLOOKUP($A56,'[1]Raw Data'!$A$3:$FB$285,85,FALSE)</f>
        <v/>
      </c>
      <c r="CF56" s="27" t="str">
        <f t="shared" si="7"/>
        <v/>
      </c>
      <c r="CG56" s="27" t="str">
        <f>VLOOKUP($A56,'[1]Raw Data'!$A$3:$FB$285,86,FALSE)</f>
        <v/>
      </c>
      <c r="CH56" s="27">
        <f>VLOOKUP($A56,'[1]Raw Data'!$A$3:$FB$285,87,FALSE)</f>
        <v>11764</v>
      </c>
      <c r="CI56" s="27" t="str">
        <f>VLOOKUP($A56,'[1]Raw Data'!$A$3:$FB$285,88,FALSE)</f>
        <v/>
      </c>
      <c r="CJ56" s="27" t="str">
        <f t="shared" si="8"/>
        <v/>
      </c>
      <c r="CK56" s="27" t="str">
        <f>VLOOKUP($A56,'[1]Raw Data'!$A$3:$FB$285,89,FALSE)</f>
        <v/>
      </c>
      <c r="CL56" s="27" t="str">
        <f>VLOOKUP($A56,'[1]Raw Data'!$A$3:$FB$285,91,FALSE)</f>
        <v/>
      </c>
      <c r="CM56" s="27" t="str">
        <f>VLOOKUP($A56,'[1]Raw Data'!$A$3:$FB$285,93,FALSE)</f>
        <v/>
      </c>
      <c r="CN56" s="27" t="str">
        <f>VLOOKUP($A56,'[1]Raw Data'!$A$3:$FB$285,94,FALSE)</f>
        <v/>
      </c>
      <c r="CO56" s="27" t="str">
        <f>VLOOKUP($A56,'[1]Raw Data'!$A$3:$FB$285,95,FALSE)</f>
        <v/>
      </c>
      <c r="CP56" s="27" t="str">
        <f>VLOOKUP($A56,'[1]Raw Data'!$A$3:$FB$285,96,FALSE)</f>
        <v/>
      </c>
      <c r="CQ56" s="27" t="str">
        <f>VLOOKUP($A56,'[1]Raw Data'!$A$3:$FB$285,97,FALSE)</f>
        <v/>
      </c>
      <c r="CR56" s="27" t="str">
        <f>VLOOKUP($A56,'[1]Raw Data'!$A$3:$FB$285,98,FALSE)</f>
        <v/>
      </c>
      <c r="CS56" s="27" t="str">
        <f>VLOOKUP($A56,'[1]Raw Data'!$A$3:$FB$285,99,FALSE)</f>
        <v/>
      </c>
      <c r="CT56" s="27" t="str">
        <f>VLOOKUP($A56,'[1]Raw Data'!$A$3:$FB$285,101,FALSE)</f>
        <v/>
      </c>
      <c r="CV56" s="27" t="str">
        <f>VLOOKUP($A56,'[1]Raw Data'!$A$3:$FB$285,102,FALSE)</f>
        <v>Chairman</v>
      </c>
      <c r="CW56" s="27" t="s">
        <v>878</v>
      </c>
      <c r="CX56" s="27" t="str">
        <f>VLOOKUP($A56,'[1]Raw Data'!$A$3:$FB$285,103,FALSE)</f>
        <v/>
      </c>
      <c r="CY56" s="27" t="str">
        <f>VLOOKUP($A56,'[1]Raw Data'!$A$3:$FB$285,105,FALSE)</f>
        <v/>
      </c>
      <c r="DA56" s="27" t="str">
        <f>VLOOKUP($A56,'[1]Raw Data'!$A$3:$FB$285,106,FALSE)</f>
        <v>Deputy Chairman</v>
      </c>
      <c r="DB56" s="27" t="s">
        <v>879</v>
      </c>
      <c r="DC56" s="27" t="str">
        <f>VLOOKUP($A56,'[1]Raw Data'!$A$3:$FB$285,107,FALSE)</f>
        <v/>
      </c>
      <c r="DD56" s="27" t="str">
        <f>VLOOKUP($A56,'[1]Raw Data'!$A$3:$FB$285,109,FALSE)</f>
        <v/>
      </c>
      <c r="DF56" s="27" t="str">
        <f>VLOOKUP($A56,'[1]Raw Data'!$A$3:$FB$285,110,FALSE)</f>
        <v>Adminstration Officer</v>
      </c>
      <c r="DG56" s="27" t="s">
        <v>880</v>
      </c>
      <c r="DH56" s="27" t="str">
        <f>VLOOKUP($A56,'[1]Raw Data'!$A$3:$FB$285,111,FALSE)</f>
        <v/>
      </c>
      <c r="DI56" s="27" t="str">
        <f>VLOOKUP($A56,'[1]Raw Data'!$A$3:$FB$285,121,FALSE)</f>
        <v/>
      </c>
      <c r="DK56" s="27" t="str">
        <f>VLOOKUP($A56,'[1]Raw Data'!$A$3:$FB$285,122,FALSE)</f>
        <v>Focal Person</v>
      </c>
      <c r="DL56" s="27" t="s">
        <v>881</v>
      </c>
      <c r="DM56" s="27" t="str">
        <f>VLOOKUP($A56,'[1]Raw Data'!$A$3:$FB$285,123,FALSE)</f>
        <v/>
      </c>
      <c r="DN56" s="27" t="str">
        <f>VLOOKUP($A56,'[1]Raw Data'!$A$3:$FB$285,113,FALSE)</f>
        <v/>
      </c>
      <c r="DP56" s="27" t="str">
        <f>VLOOKUP($A56,'[1]Raw Data'!$A$3:$FB$285,114,FALSE)</f>
        <v>NRA Chief-District</v>
      </c>
      <c r="DQ56" s="27" t="s">
        <v>882</v>
      </c>
      <c r="DR56" s="27" t="str">
        <f>VLOOKUP($A56,'[1]Raw Data'!$A$3:$FB$285,115,FALSE)</f>
        <v/>
      </c>
      <c r="DS56" s="27" t="str">
        <f>VLOOKUP($A56,'[1]Raw Data'!$A$3:$FB$285,117,FALSE)</f>
        <v/>
      </c>
      <c r="DU56" s="27" t="str">
        <f>VLOOKUP($A56,'[1]Raw Data'!$A$3:$FB$285,118,FALSE)</f>
        <v>DUDBC.DLPIU Chief</v>
      </c>
      <c r="DV56" s="27" t="s">
        <v>883</v>
      </c>
      <c r="DW56" s="27" t="str">
        <f>VLOOKUP($A56,'[1]Raw Data'!$A$3:$FB$285,119,FALSE)</f>
        <v/>
      </c>
      <c r="DX56" s="27" t="s">
        <v>339</v>
      </c>
      <c r="DY56" s="27" t="str">
        <f>VLOOKUP($A56,'[1]Raw Data'!$A$3:$FB$285,124,FALSE)</f>
        <v/>
      </c>
      <c r="DZ56" s="27" t="s">
        <v>884</v>
      </c>
      <c r="EA56" s="27" t="str">
        <f>VLOOKUP($A56,'[1]Raw Data'!$A$3:$FB$285,125,FALSE)</f>
        <v/>
      </c>
      <c r="EB56" s="27" t="s">
        <v>341</v>
      </c>
      <c r="EC56" s="27" t="str">
        <f>VLOOKUP($A56,'[1]Raw Data'!$A$3:$FB$285,126,FALSE)</f>
        <v/>
      </c>
      <c r="ED56" t="s">
        <v>478</v>
      </c>
      <c r="EE56" s="27" t="str">
        <f>VLOOKUP($A56,'[1]Raw Data'!$A$3:$FB$285,127,FALSE)</f>
        <v/>
      </c>
      <c r="EF56" s="27" t="s">
        <v>343</v>
      </c>
      <c r="EG56" s="27" t="str">
        <f>VLOOKUP($A56,'[1]Raw Data'!$A$3:$FB$285,128,FALSE)</f>
        <v/>
      </c>
      <c r="EH56" t="s">
        <v>344</v>
      </c>
      <c r="EI56" s="27" t="str">
        <f>VLOOKUP($A56,'[1]Raw Data'!$A$3:$FB$285,129,FALSE)</f>
        <v/>
      </c>
      <c r="EM56" s="27" t="str">
        <f>VLOOKUP($A56,'[1]Raw Data'!$A$3:$FB$285,130,FALSE)</f>
        <v/>
      </c>
      <c r="EN56" s="27" t="str">
        <f>VLOOKUP($A56,'[1]Raw Data'!$A$3:$FB$285,131,FALSE)</f>
        <v/>
      </c>
      <c r="EO56" s="27" t="str">
        <f>VLOOKUP($A56,'[1]Raw Data'!$A$3:$FB$285,132,FALSE)</f>
        <v/>
      </c>
      <c r="EP56" s="27" t="str">
        <f>VLOOKUP($A56,'[1]Raw Data'!$A$3:$FB$285,133,FALSE)</f>
        <v/>
      </c>
      <c r="EQ56" s="27" t="str">
        <f>VLOOKUP($A56,'[1]Raw Data'!$A$3:$FB$285,134,FALSE)</f>
        <v/>
      </c>
      <c r="ER56" s="27" t="str">
        <f>VLOOKUP($A56,'[1]Raw Data'!$A$3:$FB$285,135,FALSE)</f>
        <v/>
      </c>
      <c r="ES56" s="27" t="str">
        <f>VLOOKUP($A56,'[1]Raw Data'!$A$3:$FB$285,136,FALSE)</f>
        <v/>
      </c>
      <c r="ET56" s="27" t="str">
        <f>VLOOKUP($A56,'[1]Raw Data'!$A$3:$FB$285,137,FALSE)</f>
        <v/>
      </c>
      <c r="EU56" s="27" t="str">
        <f>VLOOKUP($A56,'[1]Raw Data'!$A$3:$FB$285,138,FALSE)</f>
        <v/>
      </c>
      <c r="EV56" s="27" t="str">
        <f>VLOOKUP($A56,'[1]Raw Data'!$A$3:$FB$285,139,FALSE)</f>
        <v/>
      </c>
      <c r="EW56" s="38">
        <f>VLOOKUP($A56,[1]Training!$A$2:$I$284,5,FALSE)</f>
        <v>40.92307692307692</v>
      </c>
      <c r="EX56" s="31">
        <f>VLOOKUP($A56,[1]Training!$A$2:$I$284,6,FALSE)</f>
        <v>0</v>
      </c>
      <c r="EY56" s="38">
        <f>VLOOKUP($A56,[1]Training!$A$2:$I$284,8,FALSE)</f>
        <v>48.363636363636367</v>
      </c>
      <c r="EZ56" s="31">
        <f>VLOOKUP($A56,[1]Training!$A$2:$I$284,9,FALSE)</f>
        <v>187</v>
      </c>
      <c r="FA56" s="27">
        <v>1</v>
      </c>
      <c r="FB56" s="27">
        <v>2</v>
      </c>
      <c r="FC56" s="27" t="str">
        <f>VLOOKUP($A56,'[1]Raw Data'!$A$3:$FB$285,148,FALSE)</f>
        <v/>
      </c>
      <c r="FE56" s="27" t="str">
        <f>VLOOKUP($A56,'[1]Raw Data'!$A$3:$FB$285,149,FALSE)</f>
        <v>District Coordinator</v>
      </c>
      <c r="FF56" s="27" t="s">
        <v>885</v>
      </c>
      <c r="FG56" s="27" t="str">
        <f>VLOOKUP($A56,'[1]Raw Data'!$A$3:$FB$285,150,FALSE)</f>
        <v/>
      </c>
      <c r="FH56" s="27" t="str">
        <f>VLOOKUP($A56,'[1]Raw Data'!$A$3:$FB$285,156,FALSE)</f>
        <v/>
      </c>
      <c r="FJ56" s="27" t="str">
        <f>VLOOKUP($A56,'[1]Raw Data'!$A$3:$FB$285,157,FALSE)</f>
        <v>District Technical Officer</v>
      </c>
      <c r="FK56" s="27" t="s">
        <v>886</v>
      </c>
      <c r="FL56" s="27" t="str">
        <f>VLOOKUP($A56,'[1]Raw Data'!$A$3:$FB$285,158,FALSE)</f>
        <v/>
      </c>
      <c r="FM56" s="27" t="str">
        <f>VLOOKUP($A56,'[1]Raw Data'!$A$3:$FB$285,152,FALSE)</f>
        <v/>
      </c>
      <c r="FO56" s="27" t="str">
        <f>VLOOKUP($A56,'[1]Raw Data'!$A$3:$FB$285,153,FALSE)</f>
        <v>DIstrict Information Management Officer</v>
      </c>
      <c r="FP56" s="27" t="s">
        <v>887</v>
      </c>
      <c r="FQ56" s="27" t="str">
        <f>VLOOKUP($A56,'[1]Raw Data'!$A$3:$FB$285,154,FALSE)</f>
        <v/>
      </c>
    </row>
    <row r="57" spans="1:173" ht="24" x14ac:dyDescent="0.45">
      <c r="A57" s="27">
        <v>20001</v>
      </c>
      <c r="B57" s="36" t="str">
        <f ca="1">IFERROR(__xludf.DUMMYFUNCTION("""COMPUTED_VALUE"""),"Dudhouli Nagarpalika")</f>
        <v>Dudhouli Nagarpalika</v>
      </c>
      <c r="C57" s="37" t="str">
        <f>VLOOKUP(A57,'[1]Palika and District in Nepali '!$D$1:$F$283,3,FALSE)</f>
        <v>दुधौली नगरपालिका</v>
      </c>
      <c r="D57" s="36" t="str">
        <f ca="1">IFERROR(__xludf.DUMMYFUNCTION("""COMPUTED_VALUE"""),"Sindhuli")</f>
        <v>Sindhuli</v>
      </c>
      <c r="E57" s="36"/>
      <c r="F57" s="27">
        <f>VLOOKUP(A57,'[1]Raw Data'!$A$3:$FB$285,4,FALSE)</f>
        <v>9144</v>
      </c>
      <c r="G57" s="27">
        <f>VLOOKUP(A57,'[1]Raw Data'!$A$3:$FB$285,5,FALSE)</f>
        <v>5858</v>
      </c>
      <c r="H57" s="27">
        <f>VLOOKUP(A57,'[1]Raw Data'!$A$3:$FB$285,6,FALSE)</f>
        <v>15002</v>
      </c>
      <c r="I57" s="27">
        <f>VLOOKUP($A57,'[1]Raw Data'!$A$3:$FB$285,8,FALSE)</f>
        <v>1.32</v>
      </c>
      <c r="J57" s="27">
        <f>VLOOKUP($A57,'[1]Raw Data'!$A$3:$FB$285,9,FALSE)</f>
        <v>1.23</v>
      </c>
      <c r="K57" s="27">
        <f>VLOOKUP($A57,'[1]Raw Data'!$A$3:$FB$285,11,FALSE)</f>
        <v>23.29</v>
      </c>
      <c r="L57" s="27">
        <f>VLOOKUP($A57,'[1]Raw Data'!$A$3:$FB$285,12,FALSE)</f>
        <v>53.21</v>
      </c>
      <c r="M57" s="27">
        <f>VLOOKUP($A57,'[1]Raw Data'!$A$3:$FB$285,14,FALSE)</f>
        <v>14.83</v>
      </c>
      <c r="N57" s="27">
        <f>VLOOKUP($A57,'[1]Raw Data'!$A$3:$FB$285,15,FALSE)</f>
        <v>10.51</v>
      </c>
      <c r="O57" s="27">
        <f>VLOOKUP($A57,'[1]Raw Data'!$A$3:$FB$285,17,FALSE)</f>
        <v>0.34</v>
      </c>
      <c r="P57" s="27">
        <f>VLOOKUP($A57,'[1]Raw Data'!$A$3:$FB$285,18,FALSE)</f>
        <v>0.35</v>
      </c>
      <c r="Q57" s="27">
        <f>VLOOKUP($A57,'[1]Raw Data'!$A$3:$FB$285,20,FALSE)</f>
        <v>1.29</v>
      </c>
      <c r="R57" s="27">
        <f>VLOOKUP($A57,'[1]Raw Data'!$A$3:$FB$285,21,FALSE)</f>
        <v>1.99</v>
      </c>
      <c r="S57" s="27">
        <f>VLOOKUP($A57,'[1]Raw Data'!$A$3:$FB$285,23,FALSE)</f>
        <v>0</v>
      </c>
      <c r="T57" s="27">
        <f>VLOOKUP($A57,'[1]Raw Data'!$A$3:$FB$285,24,FALSE)</f>
        <v>0</v>
      </c>
      <c r="U57" s="27">
        <f>VLOOKUP($A57,'[1]Raw Data'!$A$3:$FB$285,26,FALSE)</f>
        <v>43.39</v>
      </c>
      <c r="V57" s="27">
        <f>VLOOKUP($A57,'[1]Raw Data'!$A$3:$FB$285,27,FALSE)</f>
        <v>25.88</v>
      </c>
      <c r="W57" s="27">
        <f>VLOOKUP($A57,'[1]Raw Data'!$A$3:$FB$285,29,FALSE)</f>
        <v>0</v>
      </c>
      <c r="X57" s="27">
        <f>VLOOKUP($A57,'[1]Raw Data'!$A$3:$FB$285,30,FALSE)</f>
        <v>0</v>
      </c>
      <c r="Y57" s="27">
        <f>VLOOKUP($A57,'[1]Raw Data'!$A$3:$FB$285,32,FALSE)</f>
        <v>2.96</v>
      </c>
      <c r="Z57" s="27">
        <f>VLOOKUP($A57,'[1]Raw Data'!$A$3:$FB$285,33,FALSE)</f>
        <v>0.84</v>
      </c>
      <c r="AA57" s="27">
        <f>VLOOKUP($A57,'[1]Raw Data'!$A$3:$FB$285,35,FALSE)</f>
        <v>1.47</v>
      </c>
      <c r="AB57" s="27">
        <f>VLOOKUP($A57,'[1]Raw Data'!$A$3:$FB$285,36,FALSE)</f>
        <v>2.29</v>
      </c>
      <c r="AC57" s="27">
        <f>VLOOKUP($A57,'[1]Raw Data'!$A$3:$FB$285,38,FALSE)</f>
        <v>11.1</v>
      </c>
      <c r="AD57" s="27">
        <f>VLOOKUP($A57,'[1]Raw Data'!$A$3:$FB$285,39,FALSE)</f>
        <v>3.7</v>
      </c>
      <c r="AE57" s="27">
        <f>VLOOKUP($A57,'[1]Raw Data'!$A$3:$FB$285,41,FALSE)</f>
        <v>0</v>
      </c>
      <c r="AF57" s="27">
        <f>VLOOKUP($A57,'[1]Raw Data'!$A$3:$FB$285,42,FALSE)</f>
        <v>0</v>
      </c>
      <c r="AG57" s="27">
        <f>VLOOKUP($A57,'[1]Raw Data'!$A$3:$FB$285,44,FALSE)</f>
        <v>0</v>
      </c>
      <c r="AH57" s="27">
        <f>VLOOKUP($A57,'[1]Raw Data'!$A$3:$FB$285,45,FALSE)</f>
        <v>0</v>
      </c>
      <c r="AI57" s="27">
        <f>VLOOKUP($A57,'[1]Raw Data'!$A$3:$FB$285,46,FALSE)</f>
        <v>4651</v>
      </c>
      <c r="AJ57" s="27">
        <f>VLOOKUP($A57,'[1]Raw Data'!$A$3:$FB$285,47,FALSE)</f>
        <v>4368</v>
      </c>
      <c r="AK57" s="27">
        <f>VLOOKUP($A57,'[1]Raw Data'!$A$3:$FB$285,48,FALSE)</f>
        <v>4157</v>
      </c>
      <c r="AL57" s="27">
        <f>VLOOKUP($A57,'[1]Raw Data'!$A$3:$FB$285,49,FALSE)</f>
        <v>2732</v>
      </c>
      <c r="AM57" s="27">
        <f>VLOOKUP($A57,'[1]Raw Data'!$A$3:$FB$285,50,FALSE)</f>
        <v>1191</v>
      </c>
      <c r="AN57" s="27">
        <f>VLOOKUP($A57,'[1]Raw Data'!$A$3:$FB$285,51,FALSE)</f>
        <v>0</v>
      </c>
      <c r="AO57" s="27">
        <f>VLOOKUP($A57,'[1]Raw Data'!$A$3:$FB$285,52,FALSE)</f>
        <v>814</v>
      </c>
      <c r="AP57" s="27">
        <f>VLOOKUP($A57,'[1]Raw Data'!$A$3:$FB$285,53,FALSE)</f>
        <v>3493</v>
      </c>
      <c r="AQ57" s="27" t="str">
        <f>VLOOKUP($A57,'[1]Raw Data'!$A$3:$FB$285,54,FALSE)</f>
        <v/>
      </c>
      <c r="AR57" s="27">
        <f>VLOOKUP($A57,'[1]Raw Data'!$A$3:$FB$285,55,FALSE)</f>
        <v>288</v>
      </c>
      <c r="AS57" s="27">
        <f>VLOOKUP($A57,'[1]Raw Data'!$A$3:$FB$285,56,FALSE)</f>
        <v>0</v>
      </c>
      <c r="AT57" s="27" t="str">
        <f>VLOOKUP($A57,'[1]Raw Data'!$A$3:$FB$285,57,FALSE)</f>
        <v/>
      </c>
      <c r="AU57" s="27" t="str">
        <f>VLOOKUP($A57,'[1]Raw Data'!$A$3:$FB$285,58,FALSE)</f>
        <v/>
      </c>
      <c r="AV57" s="27">
        <f>VLOOKUP($A57,'[1]Raw Data'!$A$3:$FB$285,59,FALSE)</f>
        <v>52</v>
      </c>
      <c r="AW57" s="27">
        <f>VLOOKUP($A57,'[1]Raw Data'!$A$3:$FB$285,60,FALSE)</f>
        <v>0</v>
      </c>
      <c r="AX57" s="27" t="str">
        <f>VLOOKUP(A57,'[1]PO''s List'!A55:E337,4,FALSE)</f>
        <v>BC(Shelter)</v>
      </c>
      <c r="AZ57" s="27" t="str">
        <f>VLOOKUP(A57,'[1]PO''s List'!$A$3:$E$285,5,FALSE)</f>
        <v>FCA(Education),PLAN(Health)</v>
      </c>
      <c r="BB57" s="27">
        <f>VLOOKUP($A57,'[1]Raw Data'!$A$3:$FB$285,63,FALSE)</f>
        <v>59012</v>
      </c>
      <c r="BC57" s="27" t="str">
        <f>VLOOKUP($A57,'[1]Raw Data'!$A$3:$FB$285,64,FALSE)</f>
        <v>N</v>
      </c>
      <c r="BD57" s="27" t="str">
        <f t="shared" si="0"/>
        <v>छैन</v>
      </c>
      <c r="BE57" s="27">
        <f>VLOOKUP($A57,'[1]Raw Data'!$A$3:$FB$285,65,FALSE)</f>
        <v>2000</v>
      </c>
      <c r="BF57" s="27">
        <f>VLOOKUP($A57,'[1]Raw Data'!$A$3:$FB$285,66,FALSE)</f>
        <v>62656</v>
      </c>
      <c r="BG57" s="27" t="str">
        <f>VLOOKUP($A57,'[1]Raw Data'!$A$3:$FB$285,67,FALSE)</f>
        <v>Y</v>
      </c>
      <c r="BH57" s="27" t="str">
        <f t="shared" si="1"/>
        <v>छ</v>
      </c>
      <c r="BI57" s="27">
        <f>VLOOKUP($A57,'[1]Raw Data'!$A$3:$FB$285,68,FALSE)</f>
        <v>4200</v>
      </c>
      <c r="BJ57" s="27">
        <f>VLOOKUP($A57,'[1]Raw Data'!$A$3:$FB$285,69,FALSE)</f>
        <v>6318</v>
      </c>
      <c r="BK57" s="27" t="str">
        <f>VLOOKUP($A57,'[1]Raw Data'!$A$3:$FB$285,70,FALSE)</f>
        <v>Y</v>
      </c>
      <c r="BL57" s="27" t="str">
        <f t="shared" si="2"/>
        <v>छ</v>
      </c>
      <c r="BM57" s="27">
        <f>VLOOKUP($A57,'[1]Raw Data'!$A$3:$FB$285,71,FALSE)</f>
        <v>1000</v>
      </c>
      <c r="BN57" s="27">
        <f>VLOOKUP($A57,'[1]Raw Data'!$A$3:$FB$285,72,FALSE)</f>
        <v>7356</v>
      </c>
      <c r="BO57" s="27" t="str">
        <f>VLOOKUP($A57,'[1]Raw Data'!$A$3:$FB$285,73,FALSE)</f>
        <v/>
      </c>
      <c r="BP57" s="27" t="str">
        <f t="shared" si="3"/>
        <v/>
      </c>
      <c r="BQ57" s="27" t="str">
        <f>VLOOKUP($A57,'[1]Raw Data'!$A$3:$FB$285,74,FALSE)</f>
        <v/>
      </c>
      <c r="BR57" s="27" t="str">
        <f>VLOOKUP($A57,'[1]Raw Data'!$A$3:$FB$285,75,FALSE)</f>
        <v/>
      </c>
      <c r="BS57" s="27" t="str">
        <f>VLOOKUP($A57,'[1]Raw Data'!$A$3:$FB$285,76,FALSE)</f>
        <v>N</v>
      </c>
      <c r="BT57" s="27" t="str">
        <f t="shared" si="4"/>
        <v>छैन</v>
      </c>
      <c r="BU57" s="27">
        <f>VLOOKUP($A57,'[1]Raw Data'!$A$3:$FB$285,77,FALSE)</f>
        <v>1000</v>
      </c>
      <c r="BV57" s="27">
        <f>VLOOKUP($A57,'[1]Raw Data'!$A$3:$FB$285,78,FALSE)</f>
        <v>205543</v>
      </c>
      <c r="BW57" s="27" t="str">
        <f>VLOOKUP($A57,'[1]Raw Data'!$A$3:$FB$285,79,FALSE)</f>
        <v>Y</v>
      </c>
      <c r="BX57" s="27" t="str">
        <f t="shared" si="5"/>
        <v>छ</v>
      </c>
      <c r="BY57" s="27">
        <f>VLOOKUP($A57,'[1]Raw Data'!$A$3:$FB$285,80,FALSE)</f>
        <v>900</v>
      </c>
      <c r="BZ57" s="27">
        <f>VLOOKUP($A57,'[1]Raw Data'!$A$3:$FB$285,81,FALSE)</f>
        <v>634199</v>
      </c>
      <c r="CA57" s="27" t="str">
        <f>VLOOKUP($A57,'[1]Raw Data'!$A$3:$FB$285,82,FALSE)</f>
        <v>N</v>
      </c>
      <c r="CB57" s="27" t="str">
        <f t="shared" si="6"/>
        <v>छैन</v>
      </c>
      <c r="CC57" s="27">
        <f>VLOOKUP($A57,'[1]Raw Data'!$A$3:$FB$285,83,FALSE)</f>
        <v>90</v>
      </c>
      <c r="CD57" s="27">
        <f>VLOOKUP($A57,'[1]Raw Data'!$A$3:$FB$285,84,FALSE)</f>
        <v>8393</v>
      </c>
      <c r="CE57" s="27" t="str">
        <f>VLOOKUP($A57,'[1]Raw Data'!$A$3:$FB$285,85,FALSE)</f>
        <v/>
      </c>
      <c r="CF57" s="27" t="str">
        <f t="shared" si="7"/>
        <v/>
      </c>
      <c r="CG57" s="27" t="str">
        <f>VLOOKUP($A57,'[1]Raw Data'!$A$3:$FB$285,86,FALSE)</f>
        <v/>
      </c>
      <c r="CH57" s="27">
        <f>VLOOKUP($A57,'[1]Raw Data'!$A$3:$FB$285,87,FALSE)</f>
        <v>164215</v>
      </c>
      <c r="CI57" s="27" t="str">
        <f>VLOOKUP($A57,'[1]Raw Data'!$A$3:$FB$285,88,FALSE)</f>
        <v/>
      </c>
      <c r="CJ57" s="27" t="str">
        <f t="shared" si="8"/>
        <v/>
      </c>
      <c r="CK57" s="27" t="str">
        <f>VLOOKUP($A57,'[1]Raw Data'!$A$3:$FB$285,89,FALSE)</f>
        <v/>
      </c>
      <c r="CL57" s="27">
        <f>VLOOKUP($A57,'[1]Raw Data'!$A$3:$FB$285,91,FALSE)</f>
        <v>1000</v>
      </c>
      <c r="CM57" s="27">
        <f>VLOOKUP($A57,'[1]Raw Data'!$A$3:$FB$285,93,FALSE)</f>
        <v>700</v>
      </c>
      <c r="CN57" s="27" t="str">
        <f>VLOOKUP($A57,'[1]Raw Data'!$A$3:$FB$285,94,FALSE)</f>
        <v/>
      </c>
      <c r="CO57" s="27" t="str">
        <f>VLOOKUP($A57,'[1]Raw Data'!$A$3:$FB$285,95,FALSE)</f>
        <v/>
      </c>
      <c r="CP57" s="27" t="str">
        <f>VLOOKUP($A57,'[1]Raw Data'!$A$3:$FB$285,96,FALSE)</f>
        <v/>
      </c>
      <c r="CQ57" s="27" t="str">
        <f>VLOOKUP($A57,'[1]Raw Data'!$A$3:$FB$285,97,FALSE)</f>
        <v/>
      </c>
      <c r="CR57" s="27" t="str">
        <f>VLOOKUP($A57,'[1]Raw Data'!$A$3:$FB$285,98,FALSE)</f>
        <v/>
      </c>
      <c r="CS57" s="27" t="str">
        <f>VLOOKUP($A57,'[1]Raw Data'!$A$3:$FB$285,99,FALSE)</f>
        <v/>
      </c>
      <c r="CT57" s="27" t="str">
        <f>VLOOKUP($A57,'[1]Raw Data'!$A$3:$FB$285,101,FALSE)</f>
        <v>Ghanashyam Raut</v>
      </c>
      <c r="CU57" s="27" t="s">
        <v>926</v>
      </c>
      <c r="CV57" s="27" t="str">
        <f>VLOOKUP($A57,'[1]Raw Data'!$A$3:$FB$285,102,FALSE)</f>
        <v>Mayor</v>
      </c>
      <c r="CW57" s="27" t="s">
        <v>834</v>
      </c>
      <c r="CX57" s="27">
        <f>VLOOKUP($A57,'[1]Raw Data'!$A$3:$FB$285,103,FALSE)</f>
        <v>9808807550</v>
      </c>
      <c r="CY57" s="27" t="str">
        <f>VLOOKUP($A57,'[1]Raw Data'!$A$3:$FB$285,105,FALSE)</f>
        <v>Bal Kumari Adhikari Danuwar</v>
      </c>
      <c r="CZ57" s="27" t="s">
        <v>927</v>
      </c>
      <c r="DA57" s="27" t="str">
        <f>VLOOKUP($A57,'[1]Raw Data'!$A$3:$FB$285,106,FALSE)</f>
        <v>Deputy Mayor</v>
      </c>
      <c r="DB57" s="27" t="s">
        <v>888</v>
      </c>
      <c r="DC57" s="27">
        <f>VLOOKUP($A57,'[1]Raw Data'!$A$3:$FB$285,107,FALSE)</f>
        <v>9823688054</v>
      </c>
      <c r="DD57" s="27" t="str">
        <f>VLOOKUP($A57,'[1]Raw Data'!$A$3:$FB$285,109,FALSE)</f>
        <v>Dipendra Paudel</v>
      </c>
      <c r="DE57" s="27" t="s">
        <v>928</v>
      </c>
      <c r="DF57" s="27" t="str">
        <f>VLOOKUP($A57,'[1]Raw Data'!$A$3:$FB$285,110,FALSE)</f>
        <v>Chief Adminstration Officer</v>
      </c>
      <c r="DG57" s="27" t="s">
        <v>880</v>
      </c>
      <c r="DH57" s="27">
        <f>VLOOKUP($A57,'[1]Raw Data'!$A$3:$FB$285,111,FALSE)</f>
        <v>9854052111</v>
      </c>
      <c r="DI57" s="27" t="str">
        <f>VLOOKUP($A57,'[1]Raw Data'!$A$3:$FB$285,121,FALSE)</f>
        <v/>
      </c>
      <c r="DK57" s="27" t="str">
        <f>VLOOKUP($A57,'[1]Raw Data'!$A$3:$FB$285,122,FALSE)</f>
        <v>Focal Person</v>
      </c>
      <c r="DL57" s="27" t="s">
        <v>881</v>
      </c>
      <c r="DM57" s="27" t="str">
        <f>VLOOKUP($A57,'[1]Raw Data'!$A$3:$FB$285,123,FALSE)</f>
        <v/>
      </c>
      <c r="DN57" s="27" t="str">
        <f>VLOOKUP($A57,'[1]Raw Data'!$A$3:$FB$285,113,FALSE)</f>
        <v>Dev Narayan Pd. Yadav</v>
      </c>
      <c r="DO57" s="27" t="s">
        <v>929</v>
      </c>
      <c r="DP57" s="27" t="str">
        <f>VLOOKUP($A57,'[1]Raw Data'!$A$3:$FB$285,114,FALSE)</f>
        <v>NRA Chief-District</v>
      </c>
      <c r="DQ57" s="27" t="s">
        <v>882</v>
      </c>
      <c r="DR57" s="27">
        <f>VLOOKUP($A57,'[1]Raw Data'!$A$3:$FB$285,115,FALSE)</f>
        <v>9852029429</v>
      </c>
      <c r="DS57" s="27" t="str">
        <f>VLOOKUP($A57,'[1]Raw Data'!$A$3:$FB$285,117,FALSE)</f>
        <v>Prabhakar Lal Karna</v>
      </c>
      <c r="DT57" s="27" t="s">
        <v>894</v>
      </c>
      <c r="DU57" s="27" t="str">
        <f>VLOOKUP($A57,'[1]Raw Data'!$A$3:$FB$285,118,FALSE)</f>
        <v>DUDBC.DLPIU Chief</v>
      </c>
      <c r="DV57" s="27" t="s">
        <v>883</v>
      </c>
      <c r="DW57" s="27">
        <f>VLOOKUP($A57,'[1]Raw Data'!$A$3:$FB$285,119,FALSE)</f>
        <v>9854041543</v>
      </c>
      <c r="DX57" s="27" t="s">
        <v>339</v>
      </c>
      <c r="DY57" s="27" t="str">
        <f>VLOOKUP($A57,'[1]Raw Data'!$A$3:$FB$285,124,FALSE)</f>
        <v>1831</v>
      </c>
      <c r="DZ57" s="27" t="s">
        <v>884</v>
      </c>
      <c r="EA57" s="27" t="str">
        <f>VLOOKUP($A57,'[1]Raw Data'!$A$3:$FB$285,125,FALSE)</f>
        <v/>
      </c>
      <c r="EB57" s="27" t="s">
        <v>341</v>
      </c>
      <c r="EC57" s="27" t="str">
        <f>VLOOKUP($A57,'[1]Raw Data'!$A$3:$FB$285,126,FALSE)</f>
        <v/>
      </c>
      <c r="ED57" t="s">
        <v>478</v>
      </c>
      <c r="EE57" s="27" t="str">
        <f>VLOOKUP($A57,'[1]Raw Data'!$A$3:$FB$285,127,FALSE)</f>
        <v/>
      </c>
      <c r="EF57" s="27" t="s">
        <v>343</v>
      </c>
      <c r="EG57" s="27" t="str">
        <f>VLOOKUP($A57,'[1]Raw Data'!$A$3:$FB$285,128,FALSE)</f>
        <v/>
      </c>
      <c r="EH57" t="s">
        <v>344</v>
      </c>
      <c r="EI57" s="27" t="str">
        <f>VLOOKUP($A57,'[1]Raw Data'!$A$3:$FB$285,129,FALSE)</f>
        <v/>
      </c>
      <c r="EM57" s="27">
        <f>VLOOKUP($A57,'[1]Raw Data'!$A$3:$FB$285,130,FALSE)</f>
        <v>12</v>
      </c>
      <c r="EN57" s="27" t="str">
        <f>VLOOKUP($A57,'[1]Raw Data'!$A$3:$FB$285,131,FALSE)</f>
        <v/>
      </c>
      <c r="EO57" s="27">
        <f>VLOOKUP($A57,'[1]Raw Data'!$A$3:$FB$285,132,FALSE)</f>
        <v>5</v>
      </c>
      <c r="EP57" s="27" t="str">
        <f>VLOOKUP($A57,'[1]Raw Data'!$A$3:$FB$285,133,FALSE)</f>
        <v/>
      </c>
      <c r="EQ57" s="27">
        <f>VLOOKUP($A57,'[1]Raw Data'!$A$3:$FB$285,134,FALSE)</f>
        <v>7</v>
      </c>
      <c r="ER57" s="27" t="str">
        <f>VLOOKUP($A57,'[1]Raw Data'!$A$3:$FB$285,135,FALSE)</f>
        <v/>
      </c>
      <c r="ES57" s="27" t="str">
        <f>VLOOKUP($A57,'[1]Raw Data'!$A$3:$FB$285,136,FALSE)</f>
        <v/>
      </c>
      <c r="ET57" s="27" t="str">
        <f>VLOOKUP($A57,'[1]Raw Data'!$A$3:$FB$285,137,FALSE)</f>
        <v/>
      </c>
      <c r="EU57" s="27" t="str">
        <f>VLOOKUP($A57,'[1]Raw Data'!$A$3:$FB$285,138,FALSE)</f>
        <v/>
      </c>
      <c r="EV57" s="27" t="str">
        <f>VLOOKUP($A57,'[1]Raw Data'!$A$3:$FB$285,139,FALSE)</f>
        <v/>
      </c>
      <c r="EW57" s="38">
        <f>VLOOKUP($A57,[1]Training!$A$2:$I$284,5,FALSE)</f>
        <v>357.76923076923077</v>
      </c>
      <c r="EX57" s="31">
        <f>VLOOKUP($A57,[1]Training!$A$2:$I$284,6,FALSE)</f>
        <v>0</v>
      </c>
      <c r="EY57" s="38">
        <f>VLOOKUP($A57,[1]Training!$A$2:$I$284,8,FALSE)</f>
        <v>571.3592091023429</v>
      </c>
      <c r="EZ57" s="31">
        <f>VLOOKUP($A57,[1]Training!$A$2:$I$284,9,FALSE)</f>
        <v>100</v>
      </c>
      <c r="FA57" s="27">
        <v>1</v>
      </c>
      <c r="FB57" s="27">
        <v>2</v>
      </c>
      <c r="FC57" s="27" t="str">
        <f>VLOOKUP($A57,'[1]Raw Data'!$A$3:$FB$285,148,FALSE)</f>
        <v/>
      </c>
      <c r="FE57" s="27" t="str">
        <f>VLOOKUP($A57,'[1]Raw Data'!$A$3:$FB$285,149,FALSE)</f>
        <v>District Coordinator</v>
      </c>
      <c r="FF57" s="27" t="s">
        <v>885</v>
      </c>
      <c r="FG57" s="27" t="str">
        <f>VLOOKUP($A57,'[1]Raw Data'!$A$3:$FB$285,150,FALSE)</f>
        <v/>
      </c>
      <c r="FH57" s="27" t="str">
        <f>VLOOKUP($A57,'[1]Raw Data'!$A$3:$FB$285,156,FALSE)</f>
        <v>Lekhnath Paudel</v>
      </c>
      <c r="FI57" s="27" t="s">
        <v>930</v>
      </c>
      <c r="FJ57" s="27" t="str">
        <f>VLOOKUP($A57,'[1]Raw Data'!$A$3:$FB$285,157,FALSE)</f>
        <v>District Technical Officer</v>
      </c>
      <c r="FK57" s="27" t="s">
        <v>886</v>
      </c>
      <c r="FL57" s="27">
        <f>VLOOKUP($A57,'[1]Raw Data'!$A$3:$FB$285,158,FALSE)</f>
        <v>9841640328</v>
      </c>
      <c r="FM57" s="27" t="str">
        <f>VLOOKUP($A57,'[1]Raw Data'!$A$3:$FB$285,152,FALSE)</f>
        <v>Sachin Malego</v>
      </c>
      <c r="FN57" s="27" t="s">
        <v>931</v>
      </c>
      <c r="FO57" s="27" t="str">
        <f>VLOOKUP($A57,'[1]Raw Data'!$A$3:$FB$285,153,FALSE)</f>
        <v>District Information Management Officer</v>
      </c>
      <c r="FP57" s="27" t="s">
        <v>887</v>
      </c>
      <c r="FQ57" s="27">
        <f>VLOOKUP($A57,'[1]Raw Data'!$A$3:$FB$285,154,FALSE)</f>
        <v>9849166793</v>
      </c>
    </row>
    <row r="58" spans="1:173" ht="24" x14ac:dyDescent="0.45">
      <c r="A58" s="27">
        <v>20002</v>
      </c>
      <c r="B58" s="36" t="str">
        <f ca="1">IFERROR(__xludf.DUMMYFUNCTION("""COMPUTED_VALUE"""),"Ghanglekh Gaunpalika")</f>
        <v>Ghanglekh Gaunpalika</v>
      </c>
      <c r="C58" s="37" t="str">
        <f>VLOOKUP(A58,'[1]Palika and District in Nepali '!$D$1:$F$283,3,FALSE)</f>
        <v>घांङलेख गाउँपालिका</v>
      </c>
      <c r="D58" s="36" t="str">
        <f ca="1">IFERROR(__xludf.DUMMYFUNCTION("""COMPUTED_VALUE"""),"Sindhuli")</f>
        <v>Sindhuli</v>
      </c>
      <c r="E58" s="36"/>
      <c r="F58" s="27">
        <f>VLOOKUP(A58,'[1]Raw Data'!$A$3:$FB$285,4,FALSE)</f>
        <v>674</v>
      </c>
      <c r="G58" s="27">
        <f>VLOOKUP(A58,'[1]Raw Data'!$A$3:$FB$285,5,FALSE)</f>
        <v>2358</v>
      </c>
      <c r="H58" s="27">
        <f>VLOOKUP(A58,'[1]Raw Data'!$A$3:$FB$285,6,FALSE)</f>
        <v>3032</v>
      </c>
      <c r="I58" s="27">
        <f>VLOOKUP($A58,'[1]Raw Data'!$A$3:$FB$285,8,FALSE)</f>
        <v>0.03</v>
      </c>
      <c r="J58" s="27">
        <f>VLOOKUP($A58,'[1]Raw Data'!$A$3:$FB$285,9,FALSE)</f>
        <v>1.23</v>
      </c>
      <c r="K58" s="27">
        <f>VLOOKUP($A58,'[1]Raw Data'!$A$3:$FB$285,11,FALSE)</f>
        <v>91.52</v>
      </c>
      <c r="L58" s="27">
        <f>VLOOKUP($A58,'[1]Raw Data'!$A$3:$FB$285,12,FALSE)</f>
        <v>53.21</v>
      </c>
      <c r="M58" s="27">
        <f>VLOOKUP($A58,'[1]Raw Data'!$A$3:$FB$285,14,FALSE)</f>
        <v>7.0000000000000007E-2</v>
      </c>
      <c r="N58" s="27">
        <f>VLOOKUP($A58,'[1]Raw Data'!$A$3:$FB$285,15,FALSE)</f>
        <v>10.51</v>
      </c>
      <c r="O58" s="27">
        <f>VLOOKUP($A58,'[1]Raw Data'!$A$3:$FB$285,17,FALSE)</f>
        <v>0.03</v>
      </c>
      <c r="P58" s="27">
        <f>VLOOKUP($A58,'[1]Raw Data'!$A$3:$FB$285,18,FALSE)</f>
        <v>0.35</v>
      </c>
      <c r="Q58" s="27">
        <f>VLOOKUP($A58,'[1]Raw Data'!$A$3:$FB$285,20,FALSE)</f>
        <v>0</v>
      </c>
      <c r="R58" s="27">
        <f>VLOOKUP($A58,'[1]Raw Data'!$A$3:$FB$285,21,FALSE)</f>
        <v>1.99</v>
      </c>
      <c r="S58" s="27">
        <f>VLOOKUP($A58,'[1]Raw Data'!$A$3:$FB$285,23,FALSE)</f>
        <v>0</v>
      </c>
      <c r="T58" s="27">
        <f>VLOOKUP($A58,'[1]Raw Data'!$A$3:$FB$285,24,FALSE)</f>
        <v>0</v>
      </c>
      <c r="U58" s="27">
        <f>VLOOKUP($A58,'[1]Raw Data'!$A$3:$FB$285,26,FALSE)</f>
        <v>7.45</v>
      </c>
      <c r="V58" s="27">
        <f>VLOOKUP($A58,'[1]Raw Data'!$A$3:$FB$285,27,FALSE)</f>
        <v>25.88</v>
      </c>
      <c r="W58" s="27">
        <f>VLOOKUP($A58,'[1]Raw Data'!$A$3:$FB$285,29,FALSE)</f>
        <v>0</v>
      </c>
      <c r="X58" s="27">
        <f>VLOOKUP($A58,'[1]Raw Data'!$A$3:$FB$285,30,FALSE)</f>
        <v>0</v>
      </c>
      <c r="Y58" s="27">
        <f>VLOOKUP($A58,'[1]Raw Data'!$A$3:$FB$285,32,FALSE)</f>
        <v>0.03</v>
      </c>
      <c r="Z58" s="27">
        <f>VLOOKUP($A58,'[1]Raw Data'!$A$3:$FB$285,33,FALSE)</f>
        <v>0.84</v>
      </c>
      <c r="AA58" s="27">
        <f>VLOOKUP($A58,'[1]Raw Data'!$A$3:$FB$285,35,FALSE)</f>
        <v>0</v>
      </c>
      <c r="AB58" s="27">
        <f>VLOOKUP($A58,'[1]Raw Data'!$A$3:$FB$285,36,FALSE)</f>
        <v>2.29</v>
      </c>
      <c r="AC58" s="27">
        <f>VLOOKUP($A58,'[1]Raw Data'!$A$3:$FB$285,38,FALSE)</f>
        <v>0.86</v>
      </c>
      <c r="AD58" s="27">
        <f>VLOOKUP($A58,'[1]Raw Data'!$A$3:$FB$285,39,FALSE)</f>
        <v>3.7</v>
      </c>
      <c r="AE58" s="27">
        <f>VLOOKUP($A58,'[1]Raw Data'!$A$3:$FB$285,41,FALSE)</f>
        <v>0</v>
      </c>
      <c r="AF58" s="27">
        <f>VLOOKUP($A58,'[1]Raw Data'!$A$3:$FB$285,42,FALSE)</f>
        <v>0</v>
      </c>
      <c r="AG58" s="27">
        <f>VLOOKUP($A58,'[1]Raw Data'!$A$3:$FB$285,44,FALSE)</f>
        <v>0</v>
      </c>
      <c r="AH58" s="27">
        <f>VLOOKUP($A58,'[1]Raw Data'!$A$3:$FB$285,45,FALSE)</f>
        <v>0</v>
      </c>
      <c r="AI58" s="27">
        <f>VLOOKUP($A58,'[1]Raw Data'!$A$3:$FB$285,46,FALSE)</f>
        <v>1962</v>
      </c>
      <c r="AJ58" s="27">
        <f>VLOOKUP($A58,'[1]Raw Data'!$A$3:$FB$285,47,FALSE)</f>
        <v>1885</v>
      </c>
      <c r="AK58" s="27">
        <f>VLOOKUP($A58,'[1]Raw Data'!$A$3:$FB$285,48,FALSE)</f>
        <v>1874</v>
      </c>
      <c r="AL58" s="27">
        <f>VLOOKUP($A58,'[1]Raw Data'!$A$3:$FB$285,49,FALSE)</f>
        <v>1446</v>
      </c>
      <c r="AM58" s="27">
        <f>VLOOKUP($A58,'[1]Raw Data'!$A$3:$FB$285,50,FALSE)</f>
        <v>1180</v>
      </c>
      <c r="AN58" s="27">
        <f>VLOOKUP($A58,'[1]Raw Data'!$A$3:$FB$285,51,FALSE)</f>
        <v>0</v>
      </c>
      <c r="AO58" s="27">
        <f>VLOOKUP($A58,'[1]Raw Data'!$A$3:$FB$285,52,FALSE)</f>
        <v>882</v>
      </c>
      <c r="AP58" s="27">
        <f>VLOOKUP($A58,'[1]Raw Data'!$A$3:$FB$285,53,FALSE)</f>
        <v>530</v>
      </c>
      <c r="AQ58" s="27" t="str">
        <f>VLOOKUP($A58,'[1]Raw Data'!$A$3:$FB$285,54,FALSE)</f>
        <v/>
      </c>
      <c r="AR58" s="27">
        <f>VLOOKUP($A58,'[1]Raw Data'!$A$3:$FB$285,55,FALSE)</f>
        <v>97</v>
      </c>
      <c r="AS58" s="27">
        <f>VLOOKUP($A58,'[1]Raw Data'!$A$3:$FB$285,56,FALSE)</f>
        <v>0</v>
      </c>
      <c r="AT58" s="27" t="str">
        <f>VLOOKUP($A58,'[1]Raw Data'!$A$3:$FB$285,57,FALSE)</f>
        <v/>
      </c>
      <c r="AU58" s="27" t="str">
        <f>VLOOKUP($A58,'[1]Raw Data'!$A$3:$FB$285,58,FALSE)</f>
        <v/>
      </c>
      <c r="AV58" s="27">
        <f>VLOOKUP($A58,'[1]Raw Data'!$A$3:$FB$285,59,FALSE)</f>
        <v>16</v>
      </c>
      <c r="AW58" s="27">
        <f>VLOOKUP($A58,'[1]Raw Data'!$A$3:$FB$285,60,FALSE)</f>
        <v>4</v>
      </c>
      <c r="AX58" s="27" t="str">
        <f>VLOOKUP(A58,'[1]PO''s List'!A56:E338,4,FALSE)</f>
        <v/>
      </c>
      <c r="AZ58" s="27" t="str">
        <f>VLOOKUP(A58,'[1]PO''s List'!$A$3:$E$285,5,FALSE)</f>
        <v>CW(DRR,Education,Employment ,Shelter),FCA(Education),HELVETAS(Shelter)</v>
      </c>
      <c r="BB58" s="27">
        <f>VLOOKUP($A58,'[1]Raw Data'!$A$3:$FB$285,63,FALSE)</f>
        <v>7587</v>
      </c>
      <c r="BC58" s="27" t="str">
        <f>VLOOKUP($A58,'[1]Raw Data'!$A$3:$FB$285,64,FALSE)</f>
        <v/>
      </c>
      <c r="BD58" s="27" t="str">
        <f t="shared" si="0"/>
        <v/>
      </c>
      <c r="BE58" s="27">
        <f>VLOOKUP($A58,'[1]Raw Data'!$A$3:$FB$285,65,FALSE)</f>
        <v>1500</v>
      </c>
      <c r="BF58" s="27">
        <f>VLOOKUP($A58,'[1]Raw Data'!$A$3:$FB$285,66,FALSE)</f>
        <v>5724</v>
      </c>
      <c r="BG58" s="27" t="str">
        <f>VLOOKUP($A58,'[1]Raw Data'!$A$3:$FB$285,67,FALSE)</f>
        <v/>
      </c>
      <c r="BH58" s="27" t="str">
        <f t="shared" si="1"/>
        <v/>
      </c>
      <c r="BI58" s="27">
        <f>VLOOKUP($A58,'[1]Raw Data'!$A$3:$FB$285,68,FALSE)</f>
        <v>1500</v>
      </c>
      <c r="BJ58" s="27">
        <f>VLOOKUP($A58,'[1]Raw Data'!$A$3:$FB$285,69,FALSE)</f>
        <v>793</v>
      </c>
      <c r="BK58" s="27" t="str">
        <f>VLOOKUP($A58,'[1]Raw Data'!$A$3:$FB$285,70,FALSE)</f>
        <v/>
      </c>
      <c r="BL58" s="27" t="str">
        <f t="shared" si="2"/>
        <v/>
      </c>
      <c r="BM58" s="27">
        <f>VLOOKUP($A58,'[1]Raw Data'!$A$3:$FB$285,71,FALSE)</f>
        <v>2500</v>
      </c>
      <c r="BN58" s="27">
        <f>VLOOKUP($A58,'[1]Raw Data'!$A$3:$FB$285,72,FALSE)</f>
        <v>851</v>
      </c>
      <c r="BO58" s="27" t="str">
        <f>VLOOKUP($A58,'[1]Raw Data'!$A$3:$FB$285,73,FALSE)</f>
        <v/>
      </c>
      <c r="BP58" s="27" t="str">
        <f t="shared" si="3"/>
        <v/>
      </c>
      <c r="BQ58" s="27" t="str">
        <f>VLOOKUP($A58,'[1]Raw Data'!$A$3:$FB$285,74,FALSE)</f>
        <v/>
      </c>
      <c r="BR58" s="27" t="str">
        <f>VLOOKUP($A58,'[1]Raw Data'!$A$3:$FB$285,75,FALSE)</f>
        <v/>
      </c>
      <c r="BS58" s="27" t="str">
        <f>VLOOKUP($A58,'[1]Raw Data'!$A$3:$FB$285,76,FALSE)</f>
        <v/>
      </c>
      <c r="BT58" s="27" t="str">
        <f t="shared" si="4"/>
        <v/>
      </c>
      <c r="BU58" s="27">
        <f>VLOOKUP($A58,'[1]Raw Data'!$A$3:$FB$285,77,FALSE)</f>
        <v>1050</v>
      </c>
      <c r="BV58" s="27">
        <f>VLOOKUP($A58,'[1]Raw Data'!$A$3:$FB$285,78,FALSE)</f>
        <v>20745</v>
      </c>
      <c r="BW58" s="27" t="str">
        <f>VLOOKUP($A58,'[1]Raw Data'!$A$3:$FB$285,79,FALSE)</f>
        <v/>
      </c>
      <c r="BX58" s="27" t="str">
        <f t="shared" si="5"/>
        <v/>
      </c>
      <c r="BY58" s="27">
        <f>VLOOKUP($A58,'[1]Raw Data'!$A$3:$FB$285,80,FALSE)</f>
        <v>1150</v>
      </c>
      <c r="BZ58" s="27">
        <f>VLOOKUP($A58,'[1]Raw Data'!$A$3:$FB$285,81,FALSE)</f>
        <v>87275</v>
      </c>
      <c r="CA58" s="27" t="str">
        <f>VLOOKUP($A58,'[1]Raw Data'!$A$3:$FB$285,82,FALSE)</f>
        <v/>
      </c>
      <c r="CB58" s="27" t="str">
        <f t="shared" si="6"/>
        <v/>
      </c>
      <c r="CC58" s="27">
        <f>VLOOKUP($A58,'[1]Raw Data'!$A$3:$FB$285,83,FALSE)</f>
        <v>84</v>
      </c>
      <c r="CD58" s="27">
        <f>VLOOKUP($A58,'[1]Raw Data'!$A$3:$FB$285,84,FALSE)</f>
        <v>853</v>
      </c>
      <c r="CE58" s="27" t="str">
        <f>VLOOKUP($A58,'[1]Raw Data'!$A$3:$FB$285,85,FALSE)</f>
        <v/>
      </c>
      <c r="CF58" s="27" t="str">
        <f t="shared" si="7"/>
        <v/>
      </c>
      <c r="CG58" s="27" t="str">
        <f>VLOOKUP($A58,'[1]Raw Data'!$A$3:$FB$285,86,FALSE)</f>
        <v/>
      </c>
      <c r="CH58" s="27">
        <f>VLOOKUP($A58,'[1]Raw Data'!$A$3:$FB$285,87,FALSE)</f>
        <v>447226</v>
      </c>
      <c r="CI58" s="27" t="str">
        <f>VLOOKUP($A58,'[1]Raw Data'!$A$3:$FB$285,88,FALSE)</f>
        <v/>
      </c>
      <c r="CJ58" s="27" t="str">
        <f t="shared" si="8"/>
        <v/>
      </c>
      <c r="CK58" s="27" t="str">
        <f>VLOOKUP($A58,'[1]Raw Data'!$A$3:$FB$285,89,FALSE)</f>
        <v/>
      </c>
      <c r="CL58" s="27" t="str">
        <f>VLOOKUP($A58,'[1]Raw Data'!$A$3:$FB$285,91,FALSE)</f>
        <v/>
      </c>
      <c r="CM58" s="27" t="str">
        <f>VLOOKUP($A58,'[1]Raw Data'!$A$3:$FB$285,93,FALSE)</f>
        <v/>
      </c>
      <c r="CN58" s="27" t="str">
        <f>VLOOKUP($A58,'[1]Raw Data'!$A$3:$FB$285,94,FALSE)</f>
        <v/>
      </c>
      <c r="CO58" s="27" t="str">
        <f>VLOOKUP($A58,'[1]Raw Data'!$A$3:$FB$285,95,FALSE)</f>
        <v/>
      </c>
      <c r="CP58" s="27" t="str">
        <f>VLOOKUP($A58,'[1]Raw Data'!$A$3:$FB$285,96,FALSE)</f>
        <v/>
      </c>
      <c r="CQ58" s="27" t="str">
        <f>VLOOKUP($A58,'[1]Raw Data'!$A$3:$FB$285,97,FALSE)</f>
        <v/>
      </c>
      <c r="CR58" s="27" t="str">
        <f>VLOOKUP($A58,'[1]Raw Data'!$A$3:$FB$285,98,FALSE)</f>
        <v/>
      </c>
      <c r="CS58" s="27" t="str">
        <f>VLOOKUP($A58,'[1]Raw Data'!$A$3:$FB$285,99,FALSE)</f>
        <v/>
      </c>
      <c r="CT58" s="27" t="str">
        <f>VLOOKUP($A58,'[1]Raw Data'!$A$3:$FB$285,101,FALSE)</f>
        <v>Jagat Bdr. Bholan</v>
      </c>
      <c r="CU58" s="27" t="s">
        <v>932</v>
      </c>
      <c r="CV58" s="27" t="s">
        <v>830</v>
      </c>
      <c r="CW58" s="27" t="s">
        <v>878</v>
      </c>
      <c r="CX58" s="27">
        <f>VLOOKUP($A58,'[1]Raw Data'!$A$3:$FB$285,103,FALSE)</f>
        <v>9744035699</v>
      </c>
      <c r="CY58" s="27" t="str">
        <f>VLOOKUP($A58,'[1]Raw Data'!$A$3:$FB$285,105,FALSE)</f>
        <v>Durga Devi Sunuwar</v>
      </c>
      <c r="CZ58" s="27" t="s">
        <v>933</v>
      </c>
      <c r="DA58" s="27" t="s">
        <v>831</v>
      </c>
      <c r="DB58" s="27" t="s">
        <v>879</v>
      </c>
      <c r="DC58" s="27">
        <f>VLOOKUP($A58,'[1]Raw Data'!$A$3:$FB$285,107,FALSE)</f>
        <v>9840583865</v>
      </c>
      <c r="DD58" s="27" t="str">
        <f>VLOOKUP($A58,'[1]Raw Data'!$A$3:$FB$285,109,FALSE)</f>
        <v>Sanotsh Nepali</v>
      </c>
      <c r="DE58" s="27" t="s">
        <v>934</v>
      </c>
      <c r="DF58" s="27" t="str">
        <f>VLOOKUP($A58,'[1]Raw Data'!$A$3:$FB$285,110,FALSE)</f>
        <v>Chief Adminstration Officer</v>
      </c>
      <c r="DG58" s="27" t="s">
        <v>880</v>
      </c>
      <c r="DH58" s="27">
        <f>VLOOKUP($A58,'[1]Raw Data'!$A$3:$FB$285,111,FALSE)</f>
        <v>9854041892</v>
      </c>
      <c r="DI58" s="27" t="str">
        <f>VLOOKUP($A58,'[1]Raw Data'!$A$3:$FB$285,121,FALSE)</f>
        <v/>
      </c>
      <c r="DK58" s="27" t="str">
        <f>VLOOKUP($A58,'[1]Raw Data'!$A$3:$FB$285,122,FALSE)</f>
        <v>Focal Person</v>
      </c>
      <c r="DL58" s="27" t="s">
        <v>881</v>
      </c>
      <c r="DM58" s="27" t="str">
        <f>VLOOKUP($A58,'[1]Raw Data'!$A$3:$FB$285,123,FALSE)</f>
        <v/>
      </c>
      <c r="DN58" s="27" t="str">
        <f>VLOOKUP($A58,'[1]Raw Data'!$A$3:$FB$285,113,FALSE)</f>
        <v>Dev Narayan Pd. Yadav</v>
      </c>
      <c r="DO58" s="27" t="s">
        <v>929</v>
      </c>
      <c r="DP58" s="27" t="str">
        <f>VLOOKUP($A58,'[1]Raw Data'!$A$3:$FB$285,114,FALSE)</f>
        <v>NRA Chief-District</v>
      </c>
      <c r="DQ58" s="27" t="s">
        <v>882</v>
      </c>
      <c r="DR58" s="27">
        <f>VLOOKUP($A58,'[1]Raw Data'!$A$3:$FB$285,115,FALSE)</f>
        <v>9852029429</v>
      </c>
      <c r="DS58" s="27" t="str">
        <f>VLOOKUP($A58,'[1]Raw Data'!$A$3:$FB$285,117,FALSE)</f>
        <v>Prabhakar Lal Karna</v>
      </c>
      <c r="DT58" s="27" t="s">
        <v>894</v>
      </c>
      <c r="DU58" s="27" t="str">
        <f>VLOOKUP($A58,'[1]Raw Data'!$A$3:$FB$285,118,FALSE)</f>
        <v>DUDBC.DLPIU Chief</v>
      </c>
      <c r="DV58" s="27" t="s">
        <v>883</v>
      </c>
      <c r="DW58" s="27">
        <f>VLOOKUP($A58,'[1]Raw Data'!$A$3:$FB$285,119,FALSE)</f>
        <v>9854041543</v>
      </c>
      <c r="DX58" s="27" t="s">
        <v>339</v>
      </c>
      <c r="DY58" s="27" t="str">
        <f>VLOOKUP($A58,'[1]Raw Data'!$A$3:$FB$285,124,FALSE)</f>
        <v/>
      </c>
      <c r="DZ58" s="27" t="s">
        <v>884</v>
      </c>
      <c r="EA58" s="27" t="str">
        <f>VLOOKUP($A58,'[1]Raw Data'!$A$3:$FB$285,125,FALSE)</f>
        <v/>
      </c>
      <c r="EB58" s="27" t="s">
        <v>341</v>
      </c>
      <c r="EC58" s="27" t="str">
        <f>VLOOKUP($A58,'[1]Raw Data'!$A$3:$FB$285,126,FALSE)</f>
        <v/>
      </c>
      <c r="ED58" t="s">
        <v>478</v>
      </c>
      <c r="EE58" s="27" t="str">
        <f>VLOOKUP($A58,'[1]Raw Data'!$A$3:$FB$285,127,FALSE)</f>
        <v/>
      </c>
      <c r="EF58" s="27" t="s">
        <v>343</v>
      </c>
      <c r="EG58" s="27" t="str">
        <f>VLOOKUP($A58,'[1]Raw Data'!$A$3:$FB$285,128,FALSE)</f>
        <v/>
      </c>
      <c r="EH58" t="s">
        <v>344</v>
      </c>
      <c r="EI58" s="27" t="str">
        <f>VLOOKUP($A58,'[1]Raw Data'!$A$3:$FB$285,129,FALSE)</f>
        <v/>
      </c>
      <c r="EM58" s="27">
        <f>VLOOKUP($A58,'[1]Raw Data'!$A$3:$FB$285,130,FALSE)</f>
        <v>3</v>
      </c>
      <c r="EN58" s="27" t="str">
        <f>VLOOKUP($A58,'[1]Raw Data'!$A$3:$FB$285,131,FALSE)</f>
        <v/>
      </c>
      <c r="EO58" s="27">
        <f>VLOOKUP($A58,'[1]Raw Data'!$A$3:$FB$285,132,FALSE)</f>
        <v>5</v>
      </c>
      <c r="EP58" s="27" t="str">
        <f>VLOOKUP($A58,'[1]Raw Data'!$A$3:$FB$285,133,FALSE)</f>
        <v/>
      </c>
      <c r="EQ58" s="27">
        <f>VLOOKUP($A58,'[1]Raw Data'!$A$3:$FB$285,134,FALSE)</f>
        <v>4</v>
      </c>
      <c r="ER58" s="27" t="str">
        <f>VLOOKUP($A58,'[1]Raw Data'!$A$3:$FB$285,135,FALSE)</f>
        <v/>
      </c>
      <c r="ES58" s="27" t="str">
        <f>VLOOKUP($A58,'[1]Raw Data'!$A$3:$FB$285,136,FALSE)</f>
        <v/>
      </c>
      <c r="ET58" s="27" t="str">
        <f>VLOOKUP($A58,'[1]Raw Data'!$A$3:$FB$285,137,FALSE)</f>
        <v/>
      </c>
      <c r="EU58" s="27" t="str">
        <f>VLOOKUP($A58,'[1]Raw Data'!$A$3:$FB$285,138,FALSE)</f>
        <v/>
      </c>
      <c r="EV58" s="27" t="str">
        <f>VLOOKUP($A58,'[1]Raw Data'!$A$3:$FB$285,139,FALSE)</f>
        <v/>
      </c>
      <c r="EW58" s="38">
        <f>VLOOKUP($A58,[1]Training!$A$2:$I$284,5,FALSE)</f>
        <v>150.92307692307693</v>
      </c>
      <c r="EX58" s="31">
        <f>VLOOKUP($A58,[1]Training!$A$2:$I$284,6,FALSE)</f>
        <v>40</v>
      </c>
      <c r="EY58" s="38">
        <f>VLOOKUP($A58,[1]Training!$A$2:$I$284,8,FALSE)</f>
        <v>241.02489104682795</v>
      </c>
      <c r="EZ58" s="31">
        <f>VLOOKUP($A58,[1]Training!$A$2:$I$284,9,FALSE)</f>
        <v>0</v>
      </c>
      <c r="FA58" s="27">
        <v>1</v>
      </c>
      <c r="FB58" s="27">
        <v>2</v>
      </c>
      <c r="FC58" s="27" t="str">
        <f>VLOOKUP($A58,'[1]Raw Data'!$A$3:$FB$285,148,FALSE)</f>
        <v/>
      </c>
      <c r="FE58" s="27" t="str">
        <f>VLOOKUP($A58,'[1]Raw Data'!$A$3:$FB$285,149,FALSE)</f>
        <v>District Coordinator</v>
      </c>
      <c r="FF58" s="27" t="s">
        <v>885</v>
      </c>
      <c r="FG58" s="27" t="str">
        <f>VLOOKUP($A58,'[1]Raw Data'!$A$3:$FB$285,150,FALSE)</f>
        <v/>
      </c>
      <c r="FH58" s="27" t="str">
        <f>VLOOKUP($A58,'[1]Raw Data'!$A$3:$FB$285,156,FALSE)</f>
        <v>Lekhnath Paudel</v>
      </c>
      <c r="FI58" s="27" t="s">
        <v>930</v>
      </c>
      <c r="FJ58" s="27" t="str">
        <f>VLOOKUP($A58,'[1]Raw Data'!$A$3:$FB$285,157,FALSE)</f>
        <v>District Technical Officer</v>
      </c>
      <c r="FK58" s="27" t="s">
        <v>886</v>
      </c>
      <c r="FL58" s="27">
        <f>VLOOKUP($A58,'[1]Raw Data'!$A$3:$FB$285,158,FALSE)</f>
        <v>9841640328</v>
      </c>
      <c r="FM58" s="27" t="str">
        <f>VLOOKUP($A58,'[1]Raw Data'!$A$3:$FB$285,152,FALSE)</f>
        <v>Sachin Malego</v>
      </c>
      <c r="FN58" s="27" t="s">
        <v>931</v>
      </c>
      <c r="FO58" s="27" t="str">
        <f>VLOOKUP($A58,'[1]Raw Data'!$A$3:$FB$285,153,FALSE)</f>
        <v>District Information Management Officer</v>
      </c>
      <c r="FP58" s="27" t="s">
        <v>887</v>
      </c>
      <c r="FQ58" s="27">
        <f>VLOOKUP($A58,'[1]Raw Data'!$A$3:$FB$285,154,FALSE)</f>
        <v>9849166793</v>
      </c>
    </row>
    <row r="59" spans="1:173" ht="24" x14ac:dyDescent="0.45">
      <c r="A59" s="27">
        <v>20003</v>
      </c>
      <c r="B59" s="36" t="str">
        <f ca="1">IFERROR(__xludf.DUMMYFUNCTION("""COMPUTED_VALUE"""),"Golanjor Gaunpalika")</f>
        <v>Golanjor Gaunpalika</v>
      </c>
      <c r="C59" s="37" t="str">
        <f>VLOOKUP(A59,'[1]Palika and District in Nepali '!$D$1:$F$283,3,FALSE)</f>
        <v>गोलान्जोर गाऊँपालिका</v>
      </c>
      <c r="D59" s="36" t="str">
        <f ca="1">IFERROR(__xludf.DUMMYFUNCTION("""COMPUTED_VALUE"""),"Sindhuli")</f>
        <v>Sindhuli</v>
      </c>
      <c r="E59" s="36"/>
      <c r="F59" s="27">
        <f>VLOOKUP(A59,'[1]Raw Data'!$A$3:$FB$285,4,FALSE)</f>
        <v>1584</v>
      </c>
      <c r="G59" s="27">
        <f>VLOOKUP(A59,'[1]Raw Data'!$A$3:$FB$285,5,FALSE)</f>
        <v>3251</v>
      </c>
      <c r="H59" s="27">
        <f>VLOOKUP(A59,'[1]Raw Data'!$A$3:$FB$285,6,FALSE)</f>
        <v>4835</v>
      </c>
      <c r="I59" s="27">
        <f>VLOOKUP($A59,'[1]Raw Data'!$A$3:$FB$285,8,FALSE)</f>
        <v>0.31</v>
      </c>
      <c r="J59" s="27">
        <f>VLOOKUP($A59,'[1]Raw Data'!$A$3:$FB$285,9,FALSE)</f>
        <v>1.23</v>
      </c>
      <c r="K59" s="27">
        <f>VLOOKUP($A59,'[1]Raw Data'!$A$3:$FB$285,11,FALSE)</f>
        <v>96.4</v>
      </c>
      <c r="L59" s="27">
        <f>VLOOKUP($A59,'[1]Raw Data'!$A$3:$FB$285,12,FALSE)</f>
        <v>53.21</v>
      </c>
      <c r="M59" s="27">
        <f>VLOOKUP($A59,'[1]Raw Data'!$A$3:$FB$285,14,FALSE)</f>
        <v>0.68</v>
      </c>
      <c r="N59" s="27">
        <f>VLOOKUP($A59,'[1]Raw Data'!$A$3:$FB$285,15,FALSE)</f>
        <v>10.51</v>
      </c>
      <c r="O59" s="27">
        <f>VLOOKUP($A59,'[1]Raw Data'!$A$3:$FB$285,17,FALSE)</f>
        <v>0.12</v>
      </c>
      <c r="P59" s="27">
        <f>VLOOKUP($A59,'[1]Raw Data'!$A$3:$FB$285,18,FALSE)</f>
        <v>0.35</v>
      </c>
      <c r="Q59" s="27">
        <f>VLOOKUP($A59,'[1]Raw Data'!$A$3:$FB$285,20,FALSE)</f>
        <v>0.83</v>
      </c>
      <c r="R59" s="27">
        <f>VLOOKUP($A59,'[1]Raw Data'!$A$3:$FB$285,21,FALSE)</f>
        <v>1.99</v>
      </c>
      <c r="S59" s="27">
        <f>VLOOKUP($A59,'[1]Raw Data'!$A$3:$FB$285,23,FALSE)</f>
        <v>0</v>
      </c>
      <c r="T59" s="27">
        <f>VLOOKUP($A59,'[1]Raw Data'!$A$3:$FB$285,24,FALSE)</f>
        <v>0</v>
      </c>
      <c r="U59" s="27">
        <f>VLOOKUP($A59,'[1]Raw Data'!$A$3:$FB$285,26,FALSE)</f>
        <v>0.68</v>
      </c>
      <c r="V59" s="27">
        <f>VLOOKUP($A59,'[1]Raw Data'!$A$3:$FB$285,27,FALSE)</f>
        <v>25.88</v>
      </c>
      <c r="W59" s="27">
        <f>VLOOKUP($A59,'[1]Raw Data'!$A$3:$FB$285,29,FALSE)</f>
        <v>0</v>
      </c>
      <c r="X59" s="27">
        <f>VLOOKUP($A59,'[1]Raw Data'!$A$3:$FB$285,30,FALSE)</f>
        <v>0</v>
      </c>
      <c r="Y59" s="27">
        <f>VLOOKUP($A59,'[1]Raw Data'!$A$3:$FB$285,32,FALSE)</f>
        <v>0.1</v>
      </c>
      <c r="Z59" s="27">
        <f>VLOOKUP($A59,'[1]Raw Data'!$A$3:$FB$285,33,FALSE)</f>
        <v>0.84</v>
      </c>
      <c r="AA59" s="27">
        <f>VLOOKUP($A59,'[1]Raw Data'!$A$3:$FB$285,35,FALSE)</f>
        <v>0.19</v>
      </c>
      <c r="AB59" s="27">
        <f>VLOOKUP($A59,'[1]Raw Data'!$A$3:$FB$285,36,FALSE)</f>
        <v>2.29</v>
      </c>
      <c r="AC59" s="27">
        <f>VLOOKUP($A59,'[1]Raw Data'!$A$3:$FB$285,38,FALSE)</f>
        <v>0.68</v>
      </c>
      <c r="AD59" s="27">
        <f>VLOOKUP($A59,'[1]Raw Data'!$A$3:$FB$285,39,FALSE)</f>
        <v>3.7</v>
      </c>
      <c r="AE59" s="27">
        <f>VLOOKUP($A59,'[1]Raw Data'!$A$3:$FB$285,41,FALSE)</f>
        <v>0</v>
      </c>
      <c r="AF59" s="27">
        <f>VLOOKUP($A59,'[1]Raw Data'!$A$3:$FB$285,42,FALSE)</f>
        <v>0</v>
      </c>
      <c r="AG59" s="27">
        <f>VLOOKUP($A59,'[1]Raw Data'!$A$3:$FB$285,44,FALSE)</f>
        <v>0</v>
      </c>
      <c r="AH59" s="27">
        <f>VLOOKUP($A59,'[1]Raw Data'!$A$3:$FB$285,45,FALSE)</f>
        <v>0</v>
      </c>
      <c r="AI59" s="27">
        <f>VLOOKUP($A59,'[1]Raw Data'!$A$3:$FB$285,46,FALSE)</f>
        <v>2779</v>
      </c>
      <c r="AJ59" s="27">
        <f>VLOOKUP($A59,'[1]Raw Data'!$A$3:$FB$285,47,FALSE)</f>
        <v>2737</v>
      </c>
      <c r="AK59" s="27">
        <f>VLOOKUP($A59,'[1]Raw Data'!$A$3:$FB$285,48,FALSE)</f>
        <v>2731</v>
      </c>
      <c r="AL59" s="27">
        <f>VLOOKUP($A59,'[1]Raw Data'!$A$3:$FB$285,49,FALSE)</f>
        <v>2867</v>
      </c>
      <c r="AM59" s="27">
        <f>VLOOKUP($A59,'[1]Raw Data'!$A$3:$FB$285,50,FALSE)</f>
        <v>2168</v>
      </c>
      <c r="AN59" s="27">
        <f>VLOOKUP($A59,'[1]Raw Data'!$A$3:$FB$285,51,FALSE)</f>
        <v>0</v>
      </c>
      <c r="AO59" s="27">
        <f>VLOOKUP($A59,'[1]Raw Data'!$A$3:$FB$285,52,FALSE)</f>
        <v>1764</v>
      </c>
      <c r="AP59" s="27">
        <f>VLOOKUP($A59,'[1]Raw Data'!$A$3:$FB$285,53,FALSE)</f>
        <v>667</v>
      </c>
      <c r="AQ59" s="27" t="str">
        <f>VLOOKUP($A59,'[1]Raw Data'!$A$3:$FB$285,54,FALSE)</f>
        <v/>
      </c>
      <c r="AR59" s="27">
        <f>VLOOKUP($A59,'[1]Raw Data'!$A$3:$FB$285,55,FALSE)</f>
        <v>95</v>
      </c>
      <c r="AS59" s="27">
        <f>VLOOKUP($A59,'[1]Raw Data'!$A$3:$FB$285,56,FALSE)</f>
        <v>0</v>
      </c>
      <c r="AT59" s="27" t="str">
        <f>VLOOKUP($A59,'[1]Raw Data'!$A$3:$FB$285,57,FALSE)</f>
        <v/>
      </c>
      <c r="AU59" s="27" t="str">
        <f>VLOOKUP($A59,'[1]Raw Data'!$A$3:$FB$285,58,FALSE)</f>
        <v/>
      </c>
      <c r="AV59" s="27">
        <f>VLOOKUP($A59,'[1]Raw Data'!$A$3:$FB$285,59,FALSE)</f>
        <v>16</v>
      </c>
      <c r="AW59" s="27">
        <f>VLOOKUP($A59,'[1]Raw Data'!$A$3:$FB$285,60,FALSE)</f>
        <v>0</v>
      </c>
      <c r="AX59" s="27" t="str">
        <f>VLOOKUP(A59,'[1]PO''s List'!A57:E339,4,FALSE)</f>
        <v>CARITAS-N(Education,Health)</v>
      </c>
      <c r="AZ59" s="27" t="str">
        <f>VLOOKUP(A59,'[1]PO''s List'!$A$3:$E$285,5,FALSE)</f>
        <v>CW(DRR,Education,Employment ,Shelter),HELVETAS(Shelter),PLAN(GESI,Health),SwissC(Shelter),WVIN(Education)</v>
      </c>
      <c r="BB59" s="27">
        <f>VLOOKUP($A59,'[1]Raw Data'!$A$3:$FB$285,63,FALSE)</f>
        <v>31997</v>
      </c>
      <c r="BC59" s="27" t="str">
        <f>VLOOKUP($A59,'[1]Raw Data'!$A$3:$FB$285,64,FALSE)</f>
        <v>Y</v>
      </c>
      <c r="BD59" s="27" t="str">
        <f t="shared" si="0"/>
        <v>छ</v>
      </c>
      <c r="BE59" s="27">
        <f>VLOOKUP($A59,'[1]Raw Data'!$A$3:$FB$285,65,FALSE)</f>
        <v>1300</v>
      </c>
      <c r="BF59" s="27">
        <f>VLOOKUP($A59,'[1]Raw Data'!$A$3:$FB$285,66,FALSE)</f>
        <v>33048</v>
      </c>
      <c r="BG59" s="27" t="str">
        <f>VLOOKUP($A59,'[1]Raw Data'!$A$3:$FB$285,67,FALSE)</f>
        <v>Y</v>
      </c>
      <c r="BH59" s="27" t="str">
        <f t="shared" si="1"/>
        <v>छ</v>
      </c>
      <c r="BI59" s="27">
        <f>VLOOKUP($A59,'[1]Raw Data'!$A$3:$FB$285,68,FALSE)</f>
        <v>1300</v>
      </c>
      <c r="BJ59" s="27">
        <f>VLOOKUP($A59,'[1]Raw Data'!$A$3:$FB$285,69,FALSE)</f>
        <v>3418</v>
      </c>
      <c r="BK59" s="27" t="str">
        <f>VLOOKUP($A59,'[1]Raw Data'!$A$3:$FB$285,70,FALSE)</f>
        <v>Y</v>
      </c>
      <c r="BL59" s="27" t="str">
        <f t="shared" si="2"/>
        <v>छ</v>
      </c>
      <c r="BM59" s="27">
        <f>VLOOKUP($A59,'[1]Raw Data'!$A$3:$FB$285,71,FALSE)</f>
        <v>4000</v>
      </c>
      <c r="BN59" s="27">
        <f>VLOOKUP($A59,'[1]Raw Data'!$A$3:$FB$285,72,FALSE)</f>
        <v>3951</v>
      </c>
      <c r="BO59" s="27" t="str">
        <f>VLOOKUP($A59,'[1]Raw Data'!$A$3:$FB$285,73,FALSE)</f>
        <v/>
      </c>
      <c r="BP59" s="27" t="str">
        <f t="shared" si="3"/>
        <v/>
      </c>
      <c r="BQ59" s="27" t="str">
        <f>VLOOKUP($A59,'[1]Raw Data'!$A$3:$FB$285,74,FALSE)</f>
        <v/>
      </c>
      <c r="BR59" s="27" t="str">
        <f>VLOOKUP($A59,'[1]Raw Data'!$A$3:$FB$285,75,FALSE)</f>
        <v/>
      </c>
      <c r="BS59" s="27" t="str">
        <f>VLOOKUP($A59,'[1]Raw Data'!$A$3:$FB$285,76,FALSE)</f>
        <v>Y</v>
      </c>
      <c r="BT59" s="27" t="str">
        <f t="shared" si="4"/>
        <v>छ</v>
      </c>
      <c r="BU59" s="27">
        <f>VLOOKUP($A59,'[1]Raw Data'!$A$3:$FB$285,77,FALSE)</f>
        <v>900</v>
      </c>
      <c r="BV59" s="27">
        <f>VLOOKUP($A59,'[1]Raw Data'!$A$3:$FB$285,78,FALSE)</f>
        <v>109225</v>
      </c>
      <c r="BW59" s="27" t="str">
        <f>VLOOKUP($A59,'[1]Raw Data'!$A$3:$FB$285,79,FALSE)</f>
        <v>Y</v>
      </c>
      <c r="BX59" s="27" t="str">
        <f t="shared" si="5"/>
        <v>छ</v>
      </c>
      <c r="BY59" s="27">
        <f>VLOOKUP($A59,'[1]Raw Data'!$A$3:$FB$285,80,FALSE)</f>
        <v>900</v>
      </c>
      <c r="BZ59" s="27">
        <f>VLOOKUP($A59,'[1]Raw Data'!$A$3:$FB$285,81,FALSE)</f>
        <v>346194</v>
      </c>
      <c r="CA59" s="27" t="str">
        <f>VLOOKUP($A59,'[1]Raw Data'!$A$3:$FB$285,82,FALSE)</f>
        <v>Y</v>
      </c>
      <c r="CB59" s="27" t="str">
        <f t="shared" si="6"/>
        <v>छ</v>
      </c>
      <c r="CC59" s="27">
        <f>VLOOKUP($A59,'[1]Raw Data'!$A$3:$FB$285,83,FALSE)</f>
        <v>95</v>
      </c>
      <c r="CD59" s="27">
        <f>VLOOKUP($A59,'[1]Raw Data'!$A$3:$FB$285,84,FALSE)</f>
        <v>4463</v>
      </c>
      <c r="CE59" s="27" t="str">
        <f>VLOOKUP($A59,'[1]Raw Data'!$A$3:$FB$285,85,FALSE)</f>
        <v/>
      </c>
      <c r="CF59" s="27" t="str">
        <f t="shared" si="7"/>
        <v/>
      </c>
      <c r="CG59" s="27" t="str">
        <f>VLOOKUP($A59,'[1]Raw Data'!$A$3:$FB$285,86,FALSE)</f>
        <v/>
      </c>
      <c r="CH59" s="27">
        <f>VLOOKUP($A59,'[1]Raw Data'!$A$3:$FB$285,87,FALSE)</f>
        <v>262637</v>
      </c>
      <c r="CI59" s="27" t="str">
        <f>VLOOKUP($A59,'[1]Raw Data'!$A$3:$FB$285,88,FALSE)</f>
        <v/>
      </c>
      <c r="CJ59" s="27" t="str">
        <f t="shared" si="8"/>
        <v/>
      </c>
      <c r="CK59" s="27" t="str">
        <f>VLOOKUP($A59,'[1]Raw Data'!$A$3:$FB$285,89,FALSE)</f>
        <v/>
      </c>
      <c r="CL59" s="27">
        <f>VLOOKUP($A59,'[1]Raw Data'!$A$3:$FB$285,91,FALSE)</f>
        <v>1100</v>
      </c>
      <c r="CM59" s="27">
        <f>VLOOKUP($A59,'[1]Raw Data'!$A$3:$FB$285,93,FALSE)</f>
        <v>700</v>
      </c>
      <c r="CN59" s="27" t="str">
        <f>VLOOKUP($A59,'[1]Raw Data'!$A$3:$FB$285,94,FALSE)</f>
        <v/>
      </c>
      <c r="CO59" s="27" t="str">
        <f>VLOOKUP($A59,'[1]Raw Data'!$A$3:$FB$285,95,FALSE)</f>
        <v/>
      </c>
      <c r="CP59" s="27" t="str">
        <f>VLOOKUP($A59,'[1]Raw Data'!$A$3:$FB$285,96,FALSE)</f>
        <v/>
      </c>
      <c r="CQ59" s="27" t="str">
        <f>VLOOKUP($A59,'[1]Raw Data'!$A$3:$FB$285,97,FALSE)</f>
        <v/>
      </c>
      <c r="CR59" s="27" t="str">
        <f>VLOOKUP($A59,'[1]Raw Data'!$A$3:$FB$285,98,FALSE)</f>
        <v/>
      </c>
      <c r="CS59" s="27" t="str">
        <f>VLOOKUP($A59,'[1]Raw Data'!$A$3:$FB$285,99,FALSE)</f>
        <v/>
      </c>
      <c r="CT59" s="27" t="str">
        <f>VLOOKUP($A59,'[1]Raw Data'!$A$3:$FB$285,101,FALSE)</f>
        <v>Pushpa Karki</v>
      </c>
      <c r="CU59" s="27" t="s">
        <v>935</v>
      </c>
      <c r="CV59" s="27" t="s">
        <v>830</v>
      </c>
      <c r="CW59" s="27" t="s">
        <v>878</v>
      </c>
      <c r="CX59" s="27">
        <f>VLOOKUP($A59,'[1]Raw Data'!$A$3:$FB$285,103,FALSE)</f>
        <v>9854041775</v>
      </c>
      <c r="CY59" s="27" t="str">
        <f>VLOOKUP($A59,'[1]Raw Data'!$A$3:$FB$285,105,FALSE)</f>
        <v>Ganga Devi Shrestha</v>
      </c>
      <c r="CZ59" s="27" t="s">
        <v>936</v>
      </c>
      <c r="DA59" s="27" t="s">
        <v>831</v>
      </c>
      <c r="DB59" s="27" t="s">
        <v>879</v>
      </c>
      <c r="DC59" s="27">
        <f>VLOOKUP($A59,'[1]Raw Data'!$A$3:$FB$285,107,FALSE)</f>
        <v>9841934302</v>
      </c>
      <c r="DD59" s="27" t="str">
        <f>VLOOKUP($A59,'[1]Raw Data'!$A$3:$FB$285,109,FALSE)</f>
        <v>Tankanath Ghimire</v>
      </c>
      <c r="DE59" s="27" t="s">
        <v>937</v>
      </c>
      <c r="DF59" s="27" t="str">
        <f>VLOOKUP($A59,'[1]Raw Data'!$A$3:$FB$285,110,FALSE)</f>
        <v>Chief Adminstration Officer</v>
      </c>
      <c r="DG59" s="27" t="s">
        <v>880</v>
      </c>
      <c r="DH59" s="27">
        <f>VLOOKUP($A59,'[1]Raw Data'!$A$3:$FB$285,111,FALSE)</f>
        <v>9854042620</v>
      </c>
      <c r="DI59" s="27" t="str">
        <f>VLOOKUP($A59,'[1]Raw Data'!$A$3:$FB$285,121,FALSE)</f>
        <v/>
      </c>
      <c r="DK59" s="27" t="str">
        <f>VLOOKUP($A59,'[1]Raw Data'!$A$3:$FB$285,122,FALSE)</f>
        <v>Focal Person</v>
      </c>
      <c r="DL59" s="27" t="s">
        <v>881</v>
      </c>
      <c r="DM59" s="27" t="str">
        <f>VLOOKUP($A59,'[1]Raw Data'!$A$3:$FB$285,123,FALSE)</f>
        <v/>
      </c>
      <c r="DN59" s="27" t="str">
        <f>VLOOKUP($A59,'[1]Raw Data'!$A$3:$FB$285,113,FALSE)</f>
        <v>Dev Narayan Pd. Yadav</v>
      </c>
      <c r="DO59" s="27" t="s">
        <v>929</v>
      </c>
      <c r="DP59" s="27" t="str">
        <f>VLOOKUP($A59,'[1]Raw Data'!$A$3:$FB$285,114,FALSE)</f>
        <v>NRA Chief-District</v>
      </c>
      <c r="DQ59" s="27" t="s">
        <v>882</v>
      </c>
      <c r="DR59" s="27">
        <f>VLOOKUP($A59,'[1]Raw Data'!$A$3:$FB$285,115,FALSE)</f>
        <v>9852029429</v>
      </c>
      <c r="DS59" s="27" t="str">
        <f>VLOOKUP($A59,'[1]Raw Data'!$A$3:$FB$285,117,FALSE)</f>
        <v>Prabhakar Lal Karna</v>
      </c>
      <c r="DT59" s="27" t="s">
        <v>894</v>
      </c>
      <c r="DU59" s="27" t="str">
        <f>VLOOKUP($A59,'[1]Raw Data'!$A$3:$FB$285,118,FALSE)</f>
        <v>DUDBC.DLPIU Chief</v>
      </c>
      <c r="DV59" s="27" t="s">
        <v>883</v>
      </c>
      <c r="DW59" s="27">
        <f>VLOOKUP($A59,'[1]Raw Data'!$A$3:$FB$285,119,FALSE)</f>
        <v>9854041543</v>
      </c>
      <c r="DX59" s="27" t="s">
        <v>339</v>
      </c>
      <c r="DY59" s="27" t="str">
        <f>VLOOKUP($A59,'[1]Raw Data'!$A$3:$FB$285,124,FALSE)</f>
        <v/>
      </c>
      <c r="DZ59" s="27" t="s">
        <v>884</v>
      </c>
      <c r="EA59" s="27" t="str">
        <f>VLOOKUP($A59,'[1]Raw Data'!$A$3:$FB$285,125,FALSE)</f>
        <v/>
      </c>
      <c r="EB59" s="27" t="s">
        <v>341</v>
      </c>
      <c r="EC59" s="27" t="str">
        <f>VLOOKUP($A59,'[1]Raw Data'!$A$3:$FB$285,126,FALSE)</f>
        <v>10</v>
      </c>
      <c r="ED59" t="s">
        <v>478</v>
      </c>
      <c r="EE59" s="27" t="str">
        <f>VLOOKUP($A59,'[1]Raw Data'!$A$3:$FB$285,127,FALSE)</f>
        <v/>
      </c>
      <c r="EF59" s="27" t="s">
        <v>343</v>
      </c>
      <c r="EG59" s="27" t="str">
        <f>VLOOKUP($A59,'[1]Raw Data'!$A$3:$FB$285,128,FALSE)</f>
        <v>50</v>
      </c>
      <c r="EH59" t="s">
        <v>344</v>
      </c>
      <c r="EI59" s="27" t="str">
        <f>VLOOKUP($A59,'[1]Raw Data'!$A$3:$FB$285,129,FALSE)</f>
        <v/>
      </c>
      <c r="EM59" s="27">
        <f>VLOOKUP($A59,'[1]Raw Data'!$A$3:$FB$285,130,FALSE)</f>
        <v>5</v>
      </c>
      <c r="EN59" s="27" t="str">
        <f>VLOOKUP($A59,'[1]Raw Data'!$A$3:$FB$285,131,FALSE)</f>
        <v/>
      </c>
      <c r="EO59" s="27">
        <f>VLOOKUP($A59,'[1]Raw Data'!$A$3:$FB$285,132,FALSE)</f>
        <v>6</v>
      </c>
      <c r="EP59" s="27" t="str">
        <f>VLOOKUP($A59,'[1]Raw Data'!$A$3:$FB$285,133,FALSE)</f>
        <v/>
      </c>
      <c r="EQ59" s="27">
        <f>VLOOKUP($A59,'[1]Raw Data'!$A$3:$FB$285,134,FALSE)</f>
        <v>7</v>
      </c>
      <c r="ER59" s="27" t="str">
        <f>VLOOKUP($A59,'[1]Raw Data'!$A$3:$FB$285,135,FALSE)</f>
        <v/>
      </c>
      <c r="ES59" s="27" t="str">
        <f>VLOOKUP($A59,'[1]Raw Data'!$A$3:$FB$285,136,FALSE)</f>
        <v/>
      </c>
      <c r="ET59" s="27" t="str">
        <f>VLOOKUP($A59,'[1]Raw Data'!$A$3:$FB$285,137,FALSE)</f>
        <v/>
      </c>
      <c r="EU59" s="27" t="str">
        <f>VLOOKUP($A59,'[1]Raw Data'!$A$3:$FB$285,138,FALSE)</f>
        <v/>
      </c>
      <c r="EV59" s="27" t="str">
        <f>VLOOKUP($A59,'[1]Raw Data'!$A$3:$FB$285,139,FALSE)</f>
        <v/>
      </c>
      <c r="EW59" s="38">
        <f>VLOOKUP($A59,[1]Training!$A$2:$I$284,5,FALSE)</f>
        <v>213.76923076923077</v>
      </c>
      <c r="EX59" s="31">
        <f>VLOOKUP($A59,[1]Training!$A$2:$I$284,6,FALSE)</f>
        <v>20</v>
      </c>
      <c r="EY59" s="38">
        <f>VLOOKUP($A59,[1]Training!$A$2:$I$284,8,FALSE)</f>
        <v>341.39050571821349</v>
      </c>
      <c r="EZ59" s="31">
        <f>VLOOKUP($A59,[1]Training!$A$2:$I$284,9,FALSE)</f>
        <v>17</v>
      </c>
      <c r="FA59" s="27">
        <v>1</v>
      </c>
      <c r="FB59" s="27">
        <v>2</v>
      </c>
      <c r="FC59" s="27" t="str">
        <f>VLOOKUP($A59,'[1]Raw Data'!$A$3:$FB$285,148,FALSE)</f>
        <v/>
      </c>
      <c r="FE59" s="27" t="str">
        <f>VLOOKUP($A59,'[1]Raw Data'!$A$3:$FB$285,149,FALSE)</f>
        <v>District Coordinator</v>
      </c>
      <c r="FF59" s="27" t="s">
        <v>885</v>
      </c>
      <c r="FG59" s="27" t="str">
        <f>VLOOKUP($A59,'[1]Raw Data'!$A$3:$FB$285,150,FALSE)</f>
        <v/>
      </c>
      <c r="FH59" s="27" t="str">
        <f>VLOOKUP($A59,'[1]Raw Data'!$A$3:$FB$285,156,FALSE)</f>
        <v>Lekhnath Paudel</v>
      </c>
      <c r="FI59" s="27" t="s">
        <v>930</v>
      </c>
      <c r="FJ59" s="27" t="str">
        <f>VLOOKUP($A59,'[1]Raw Data'!$A$3:$FB$285,157,FALSE)</f>
        <v>District Technical Officer</v>
      </c>
      <c r="FK59" s="27" t="s">
        <v>886</v>
      </c>
      <c r="FL59" s="27">
        <f>VLOOKUP($A59,'[1]Raw Data'!$A$3:$FB$285,158,FALSE)</f>
        <v>9841640328</v>
      </c>
      <c r="FM59" s="27" t="str">
        <f>VLOOKUP($A59,'[1]Raw Data'!$A$3:$FB$285,152,FALSE)</f>
        <v>Sachin Malego</v>
      </c>
      <c r="FN59" s="27" t="s">
        <v>931</v>
      </c>
      <c r="FO59" s="27" t="str">
        <f>VLOOKUP($A59,'[1]Raw Data'!$A$3:$FB$285,153,FALSE)</f>
        <v>District Information Management Officer</v>
      </c>
      <c r="FP59" s="27" t="s">
        <v>887</v>
      </c>
      <c r="FQ59" s="27">
        <f>VLOOKUP($A59,'[1]Raw Data'!$A$3:$FB$285,154,FALSE)</f>
        <v>9849166793</v>
      </c>
    </row>
    <row r="60" spans="1:173" ht="24" x14ac:dyDescent="0.45">
      <c r="A60" s="27">
        <v>20004</v>
      </c>
      <c r="B60" s="36" t="str">
        <f ca="1">IFERROR(__xludf.DUMMYFUNCTION("""COMPUTED_VALUE"""),"Hariharpurgadhi Gaunpalika")</f>
        <v>Hariharpurgadhi Gaunpalika</v>
      </c>
      <c r="C60" s="37" t="str">
        <f>VLOOKUP(A60,'[1]Palika and District in Nepali '!$D$1:$F$283,3,FALSE)</f>
        <v>हरिहरपुरगढी गाउँपालिका</v>
      </c>
      <c r="D60" s="36" t="str">
        <f ca="1">IFERROR(__xludf.DUMMYFUNCTION("""COMPUTED_VALUE"""),"Sindhuli")</f>
        <v>Sindhuli</v>
      </c>
      <c r="E60" s="36"/>
      <c r="F60" s="27">
        <f>VLOOKUP(A60,'[1]Raw Data'!$A$3:$FB$285,4,FALSE)</f>
        <v>2419</v>
      </c>
      <c r="G60" s="27">
        <f>VLOOKUP(A60,'[1]Raw Data'!$A$3:$FB$285,5,FALSE)</f>
        <v>2757</v>
      </c>
      <c r="H60" s="27">
        <f>VLOOKUP(A60,'[1]Raw Data'!$A$3:$FB$285,6,FALSE)</f>
        <v>5176</v>
      </c>
      <c r="I60" s="27">
        <f>VLOOKUP($A60,'[1]Raw Data'!$A$3:$FB$285,8,FALSE)</f>
        <v>0.57999999999999996</v>
      </c>
      <c r="J60" s="27">
        <f>VLOOKUP($A60,'[1]Raw Data'!$A$3:$FB$285,9,FALSE)</f>
        <v>1.23</v>
      </c>
      <c r="K60" s="27">
        <f>VLOOKUP($A60,'[1]Raw Data'!$A$3:$FB$285,11,FALSE)</f>
        <v>39.47</v>
      </c>
      <c r="L60" s="27">
        <f>VLOOKUP($A60,'[1]Raw Data'!$A$3:$FB$285,12,FALSE)</f>
        <v>53.21</v>
      </c>
      <c r="M60" s="27">
        <f>VLOOKUP($A60,'[1]Raw Data'!$A$3:$FB$285,14,FALSE)</f>
        <v>2.75</v>
      </c>
      <c r="N60" s="27">
        <f>VLOOKUP($A60,'[1]Raw Data'!$A$3:$FB$285,15,FALSE)</f>
        <v>10.51</v>
      </c>
      <c r="O60" s="27">
        <f>VLOOKUP($A60,'[1]Raw Data'!$A$3:$FB$285,17,FALSE)</f>
        <v>0.79</v>
      </c>
      <c r="P60" s="27">
        <f>VLOOKUP($A60,'[1]Raw Data'!$A$3:$FB$285,18,FALSE)</f>
        <v>0.35</v>
      </c>
      <c r="Q60" s="27">
        <f>VLOOKUP($A60,'[1]Raw Data'!$A$3:$FB$285,20,FALSE)</f>
        <v>0.19</v>
      </c>
      <c r="R60" s="27">
        <f>VLOOKUP($A60,'[1]Raw Data'!$A$3:$FB$285,21,FALSE)</f>
        <v>1.99</v>
      </c>
      <c r="S60" s="27">
        <f>VLOOKUP($A60,'[1]Raw Data'!$A$3:$FB$285,23,FALSE)</f>
        <v>0</v>
      </c>
      <c r="T60" s="27">
        <f>VLOOKUP($A60,'[1]Raw Data'!$A$3:$FB$285,24,FALSE)</f>
        <v>0</v>
      </c>
      <c r="U60" s="27">
        <f>VLOOKUP($A60,'[1]Raw Data'!$A$3:$FB$285,26,FALSE)</f>
        <v>52.46</v>
      </c>
      <c r="V60" s="27">
        <f>VLOOKUP($A60,'[1]Raw Data'!$A$3:$FB$285,27,FALSE)</f>
        <v>25.88</v>
      </c>
      <c r="W60" s="27">
        <f>VLOOKUP($A60,'[1]Raw Data'!$A$3:$FB$285,29,FALSE)</f>
        <v>0</v>
      </c>
      <c r="X60" s="27">
        <f>VLOOKUP($A60,'[1]Raw Data'!$A$3:$FB$285,30,FALSE)</f>
        <v>0</v>
      </c>
      <c r="Y60" s="27">
        <f>VLOOKUP($A60,'[1]Raw Data'!$A$3:$FB$285,32,FALSE)</f>
        <v>0.23</v>
      </c>
      <c r="Z60" s="27">
        <f>VLOOKUP($A60,'[1]Raw Data'!$A$3:$FB$285,33,FALSE)</f>
        <v>0.84</v>
      </c>
      <c r="AA60" s="27">
        <f>VLOOKUP($A60,'[1]Raw Data'!$A$3:$FB$285,35,FALSE)</f>
        <v>0.12</v>
      </c>
      <c r="AB60" s="27">
        <f>VLOOKUP($A60,'[1]Raw Data'!$A$3:$FB$285,36,FALSE)</f>
        <v>2.29</v>
      </c>
      <c r="AC60" s="27">
        <f>VLOOKUP($A60,'[1]Raw Data'!$A$3:$FB$285,38,FALSE)</f>
        <v>3.41</v>
      </c>
      <c r="AD60" s="27">
        <f>VLOOKUP($A60,'[1]Raw Data'!$A$3:$FB$285,39,FALSE)</f>
        <v>3.7</v>
      </c>
      <c r="AE60" s="27">
        <f>VLOOKUP($A60,'[1]Raw Data'!$A$3:$FB$285,41,FALSE)</f>
        <v>0</v>
      </c>
      <c r="AF60" s="27">
        <f>VLOOKUP($A60,'[1]Raw Data'!$A$3:$FB$285,42,FALSE)</f>
        <v>0</v>
      </c>
      <c r="AG60" s="27">
        <f>VLOOKUP($A60,'[1]Raw Data'!$A$3:$FB$285,44,FALSE)</f>
        <v>0</v>
      </c>
      <c r="AH60" s="27">
        <f>VLOOKUP($A60,'[1]Raw Data'!$A$3:$FB$285,45,FALSE)</f>
        <v>0</v>
      </c>
      <c r="AI60" s="27">
        <f>VLOOKUP($A60,'[1]Raw Data'!$A$3:$FB$285,46,FALSE)</f>
        <v>2394</v>
      </c>
      <c r="AJ60" s="27">
        <f>VLOOKUP($A60,'[1]Raw Data'!$A$3:$FB$285,47,FALSE)</f>
        <v>2344</v>
      </c>
      <c r="AK60" s="27">
        <f>VLOOKUP($A60,'[1]Raw Data'!$A$3:$FB$285,48,FALSE)</f>
        <v>2344</v>
      </c>
      <c r="AL60" s="27">
        <f>VLOOKUP($A60,'[1]Raw Data'!$A$3:$FB$285,49,FALSE)</f>
        <v>2157</v>
      </c>
      <c r="AM60" s="27">
        <f>VLOOKUP($A60,'[1]Raw Data'!$A$3:$FB$285,50,FALSE)</f>
        <v>516</v>
      </c>
      <c r="AN60" s="27">
        <f>VLOOKUP($A60,'[1]Raw Data'!$A$3:$FB$285,51,FALSE)</f>
        <v>0</v>
      </c>
      <c r="AO60" s="27">
        <f>VLOOKUP($A60,'[1]Raw Data'!$A$3:$FB$285,52,FALSE)</f>
        <v>363</v>
      </c>
      <c r="AP60" s="27">
        <f>VLOOKUP($A60,'[1]Raw Data'!$A$3:$FB$285,53,FALSE)</f>
        <v>1538</v>
      </c>
      <c r="AQ60" s="27" t="str">
        <f>VLOOKUP($A60,'[1]Raw Data'!$A$3:$FB$285,54,FALSE)</f>
        <v/>
      </c>
      <c r="AR60" s="27">
        <f>VLOOKUP($A60,'[1]Raw Data'!$A$3:$FB$285,55,FALSE)</f>
        <v>0</v>
      </c>
      <c r="AS60" s="27">
        <f>VLOOKUP($A60,'[1]Raw Data'!$A$3:$FB$285,56,FALSE)</f>
        <v>0</v>
      </c>
      <c r="AT60" s="27" t="str">
        <f>VLOOKUP($A60,'[1]Raw Data'!$A$3:$FB$285,57,FALSE)</f>
        <v/>
      </c>
      <c r="AU60" s="27" t="str">
        <f>VLOOKUP($A60,'[1]Raw Data'!$A$3:$FB$285,58,FALSE)</f>
        <v/>
      </c>
      <c r="AV60" s="27">
        <f>VLOOKUP($A60,'[1]Raw Data'!$A$3:$FB$285,59,FALSE)</f>
        <v>20</v>
      </c>
      <c r="AW60" s="27">
        <f>VLOOKUP($A60,'[1]Raw Data'!$A$3:$FB$285,60,FALSE)</f>
        <v>0</v>
      </c>
      <c r="AX60" s="27" t="str">
        <f>VLOOKUP(A60,'[1]PO''s List'!A58:E340,4,FALSE)</f>
        <v>CARITAS-N(Education,Health),NRCS(Health)</v>
      </c>
      <c r="AZ60" s="27" t="str">
        <f>VLOOKUP(A60,'[1]PO''s List'!$A$3:$E$285,5,FALSE)</f>
        <v>FCA(Education),HELVETAS(Shelter)</v>
      </c>
      <c r="BB60" s="27">
        <f>VLOOKUP($A60,'[1]Raw Data'!$A$3:$FB$285,63,FALSE)</f>
        <v>32362</v>
      </c>
      <c r="BC60" s="27" t="str">
        <f>VLOOKUP($A60,'[1]Raw Data'!$A$3:$FB$285,64,FALSE)</f>
        <v/>
      </c>
      <c r="BD60" s="27" t="str">
        <f t="shared" si="0"/>
        <v/>
      </c>
      <c r="BE60" s="27" t="str">
        <f>VLOOKUP($A60,'[1]Raw Data'!$A$3:$FB$285,65,FALSE)</f>
        <v/>
      </c>
      <c r="BF60" s="27">
        <f>VLOOKUP($A60,'[1]Raw Data'!$A$3:$FB$285,66,FALSE)</f>
        <v>33038</v>
      </c>
      <c r="BG60" s="27" t="str">
        <f>VLOOKUP($A60,'[1]Raw Data'!$A$3:$FB$285,67,FALSE)</f>
        <v/>
      </c>
      <c r="BH60" s="27" t="str">
        <f t="shared" si="1"/>
        <v/>
      </c>
      <c r="BI60" s="27" t="str">
        <f>VLOOKUP($A60,'[1]Raw Data'!$A$3:$FB$285,68,FALSE)</f>
        <v/>
      </c>
      <c r="BJ60" s="27">
        <f>VLOOKUP($A60,'[1]Raw Data'!$A$3:$FB$285,69,FALSE)</f>
        <v>3455</v>
      </c>
      <c r="BK60" s="27" t="str">
        <f>VLOOKUP($A60,'[1]Raw Data'!$A$3:$FB$285,70,FALSE)</f>
        <v/>
      </c>
      <c r="BL60" s="27" t="str">
        <f t="shared" si="2"/>
        <v/>
      </c>
      <c r="BM60" s="27" t="str">
        <f>VLOOKUP($A60,'[1]Raw Data'!$A$3:$FB$285,71,FALSE)</f>
        <v/>
      </c>
      <c r="BN60" s="27">
        <f>VLOOKUP($A60,'[1]Raw Data'!$A$3:$FB$285,72,FALSE)</f>
        <v>3985</v>
      </c>
      <c r="BO60" s="27" t="str">
        <f>VLOOKUP($A60,'[1]Raw Data'!$A$3:$FB$285,73,FALSE)</f>
        <v/>
      </c>
      <c r="BP60" s="27" t="str">
        <f t="shared" si="3"/>
        <v/>
      </c>
      <c r="BQ60" s="27" t="str">
        <f>VLOOKUP($A60,'[1]Raw Data'!$A$3:$FB$285,74,FALSE)</f>
        <v/>
      </c>
      <c r="BR60" s="27" t="str">
        <f>VLOOKUP($A60,'[1]Raw Data'!$A$3:$FB$285,75,FALSE)</f>
        <v/>
      </c>
      <c r="BS60" s="27" t="str">
        <f>VLOOKUP($A60,'[1]Raw Data'!$A$3:$FB$285,76,FALSE)</f>
        <v/>
      </c>
      <c r="BT60" s="27" t="str">
        <f t="shared" si="4"/>
        <v/>
      </c>
      <c r="BU60" s="27" t="str">
        <f>VLOOKUP($A60,'[1]Raw Data'!$A$3:$FB$285,77,FALSE)</f>
        <v/>
      </c>
      <c r="BV60" s="27">
        <f>VLOOKUP($A60,'[1]Raw Data'!$A$3:$FB$285,78,FALSE)</f>
        <v>110237</v>
      </c>
      <c r="BW60" s="27" t="str">
        <f>VLOOKUP($A60,'[1]Raw Data'!$A$3:$FB$285,79,FALSE)</f>
        <v/>
      </c>
      <c r="BX60" s="27" t="str">
        <f t="shared" si="5"/>
        <v/>
      </c>
      <c r="BY60" s="27" t="str">
        <f>VLOOKUP($A60,'[1]Raw Data'!$A$3:$FB$285,80,FALSE)</f>
        <v/>
      </c>
      <c r="BZ60" s="27">
        <f>VLOOKUP($A60,'[1]Raw Data'!$A$3:$FB$285,81,FALSE)</f>
        <v>352039</v>
      </c>
      <c r="CA60" s="27" t="str">
        <f>VLOOKUP($A60,'[1]Raw Data'!$A$3:$FB$285,82,FALSE)</f>
        <v/>
      </c>
      <c r="CB60" s="27" t="str">
        <f t="shared" si="6"/>
        <v/>
      </c>
      <c r="CC60" s="27" t="str">
        <f>VLOOKUP($A60,'[1]Raw Data'!$A$3:$FB$285,83,FALSE)</f>
        <v/>
      </c>
      <c r="CD60" s="27">
        <f>VLOOKUP($A60,'[1]Raw Data'!$A$3:$FB$285,84,FALSE)</f>
        <v>4509</v>
      </c>
      <c r="CE60" s="27" t="str">
        <f>VLOOKUP($A60,'[1]Raw Data'!$A$3:$FB$285,85,FALSE)</f>
        <v/>
      </c>
      <c r="CF60" s="27" t="str">
        <f t="shared" si="7"/>
        <v/>
      </c>
      <c r="CG60" s="27" t="str">
        <f>VLOOKUP($A60,'[1]Raw Data'!$A$3:$FB$285,86,FALSE)</f>
        <v/>
      </c>
      <c r="CH60" s="27">
        <f>VLOOKUP($A60,'[1]Raw Data'!$A$3:$FB$285,87,FALSE)</f>
        <v>445097</v>
      </c>
      <c r="CI60" s="27" t="str">
        <f>VLOOKUP($A60,'[1]Raw Data'!$A$3:$FB$285,88,FALSE)</f>
        <v/>
      </c>
      <c r="CJ60" s="27" t="str">
        <f t="shared" si="8"/>
        <v/>
      </c>
      <c r="CK60" s="27" t="str">
        <f>VLOOKUP($A60,'[1]Raw Data'!$A$3:$FB$285,89,FALSE)</f>
        <v/>
      </c>
      <c r="CL60" s="27" t="str">
        <f>VLOOKUP($A60,'[1]Raw Data'!$A$3:$FB$285,91,FALSE)</f>
        <v/>
      </c>
      <c r="CM60" s="27" t="str">
        <f>VLOOKUP($A60,'[1]Raw Data'!$A$3:$FB$285,93,FALSE)</f>
        <v/>
      </c>
      <c r="CN60" s="27" t="str">
        <f>VLOOKUP($A60,'[1]Raw Data'!$A$3:$FB$285,94,FALSE)</f>
        <v/>
      </c>
      <c r="CO60" s="27" t="str">
        <f>VLOOKUP($A60,'[1]Raw Data'!$A$3:$FB$285,95,FALSE)</f>
        <v/>
      </c>
      <c r="CP60" s="27" t="str">
        <f>VLOOKUP($A60,'[1]Raw Data'!$A$3:$FB$285,96,FALSE)</f>
        <v/>
      </c>
      <c r="CQ60" s="27" t="str">
        <f>VLOOKUP($A60,'[1]Raw Data'!$A$3:$FB$285,97,FALSE)</f>
        <v/>
      </c>
      <c r="CR60" s="27" t="str">
        <f>VLOOKUP($A60,'[1]Raw Data'!$A$3:$FB$285,98,FALSE)</f>
        <v/>
      </c>
      <c r="CS60" s="27" t="str">
        <f>VLOOKUP($A60,'[1]Raw Data'!$A$3:$FB$285,99,FALSE)</f>
        <v/>
      </c>
      <c r="CT60" s="27" t="str">
        <f>VLOOKUP($A60,'[1]Raw Data'!$A$3:$FB$285,101,FALSE)</f>
        <v>Karsang Tamang</v>
      </c>
      <c r="CU60" s="27" t="s">
        <v>938</v>
      </c>
      <c r="CV60" s="27" t="s">
        <v>830</v>
      </c>
      <c r="CW60" s="27" t="s">
        <v>878</v>
      </c>
      <c r="CX60" s="27">
        <f>VLOOKUP($A60,'[1]Raw Data'!$A$3:$FB$285,103,FALSE)</f>
        <v>9844042681</v>
      </c>
      <c r="CY60" s="27" t="str">
        <f>VLOOKUP($A60,'[1]Raw Data'!$A$3:$FB$285,105,FALSE)</f>
        <v>Anita Kumari Rai</v>
      </c>
      <c r="CZ60" s="27" t="s">
        <v>939</v>
      </c>
      <c r="DA60" s="27" t="s">
        <v>831</v>
      </c>
      <c r="DB60" s="27" t="s">
        <v>879</v>
      </c>
      <c r="DC60" s="27">
        <f>VLOOKUP($A60,'[1]Raw Data'!$A$3:$FB$285,107,FALSE)</f>
        <v>9841516712</v>
      </c>
      <c r="DD60" s="27" t="str">
        <f>VLOOKUP($A60,'[1]Raw Data'!$A$3:$FB$285,109,FALSE)</f>
        <v>Gopal Shrestha</v>
      </c>
      <c r="DE60" s="27" t="s">
        <v>940</v>
      </c>
      <c r="DF60" s="27" t="str">
        <f>VLOOKUP($A60,'[1]Raw Data'!$A$3:$FB$285,110,FALSE)</f>
        <v>Chief Adminstration Officer</v>
      </c>
      <c r="DG60" s="27" t="s">
        <v>880</v>
      </c>
      <c r="DH60" s="27">
        <f>VLOOKUP($A60,'[1]Raw Data'!$A$3:$FB$285,111,FALSE)</f>
        <v>9854042881</v>
      </c>
      <c r="DI60" s="27" t="str">
        <f>VLOOKUP($A60,'[1]Raw Data'!$A$3:$FB$285,121,FALSE)</f>
        <v/>
      </c>
      <c r="DK60" s="27" t="str">
        <f>VLOOKUP($A60,'[1]Raw Data'!$A$3:$FB$285,122,FALSE)</f>
        <v>Focal Person</v>
      </c>
      <c r="DL60" s="27" t="s">
        <v>881</v>
      </c>
      <c r="DM60" s="27" t="str">
        <f>VLOOKUP($A60,'[1]Raw Data'!$A$3:$FB$285,123,FALSE)</f>
        <v/>
      </c>
      <c r="DN60" s="27" t="str">
        <f>VLOOKUP($A60,'[1]Raw Data'!$A$3:$FB$285,113,FALSE)</f>
        <v>Dev Narayan Pd. Yadav</v>
      </c>
      <c r="DO60" s="27" t="s">
        <v>929</v>
      </c>
      <c r="DP60" s="27" t="str">
        <f>VLOOKUP($A60,'[1]Raw Data'!$A$3:$FB$285,114,FALSE)</f>
        <v>NRA Chief-District</v>
      </c>
      <c r="DQ60" s="27" t="s">
        <v>882</v>
      </c>
      <c r="DR60" s="27">
        <f>VLOOKUP($A60,'[1]Raw Data'!$A$3:$FB$285,115,FALSE)</f>
        <v>9852029429</v>
      </c>
      <c r="DS60" s="27" t="str">
        <f>VLOOKUP($A60,'[1]Raw Data'!$A$3:$FB$285,117,FALSE)</f>
        <v>Prabhakar Lal Karna</v>
      </c>
      <c r="DT60" s="27" t="s">
        <v>894</v>
      </c>
      <c r="DU60" s="27" t="str">
        <f>VLOOKUP($A60,'[1]Raw Data'!$A$3:$FB$285,118,FALSE)</f>
        <v>DUDBC.DLPIU Chief</v>
      </c>
      <c r="DV60" s="27" t="s">
        <v>883</v>
      </c>
      <c r="DW60" s="27">
        <f>VLOOKUP($A60,'[1]Raw Data'!$A$3:$FB$285,119,FALSE)</f>
        <v>9854041543</v>
      </c>
      <c r="DX60" s="27" t="s">
        <v>339</v>
      </c>
      <c r="DY60" s="27" t="str">
        <f>VLOOKUP($A60,'[1]Raw Data'!$A$3:$FB$285,124,FALSE)</f>
        <v/>
      </c>
      <c r="DZ60" s="27" t="s">
        <v>884</v>
      </c>
      <c r="EA60" s="27" t="str">
        <f>VLOOKUP($A60,'[1]Raw Data'!$A$3:$FB$285,125,FALSE)</f>
        <v/>
      </c>
      <c r="EB60" s="27" t="s">
        <v>341</v>
      </c>
      <c r="EC60" s="27" t="str">
        <f>VLOOKUP($A60,'[1]Raw Data'!$A$3:$FB$285,126,FALSE)</f>
        <v/>
      </c>
      <c r="ED60" t="s">
        <v>478</v>
      </c>
      <c r="EE60" s="27" t="str">
        <f>VLOOKUP($A60,'[1]Raw Data'!$A$3:$FB$285,127,FALSE)</f>
        <v/>
      </c>
      <c r="EF60" s="27" t="s">
        <v>343</v>
      </c>
      <c r="EG60" s="27" t="str">
        <f>VLOOKUP($A60,'[1]Raw Data'!$A$3:$FB$285,128,FALSE)</f>
        <v/>
      </c>
      <c r="EH60" t="s">
        <v>344</v>
      </c>
      <c r="EI60" s="27" t="str">
        <f>VLOOKUP($A60,'[1]Raw Data'!$A$3:$FB$285,129,FALSE)</f>
        <v/>
      </c>
      <c r="EM60" s="27">
        <f>VLOOKUP($A60,'[1]Raw Data'!$A$3:$FB$285,130,FALSE)</f>
        <v>4</v>
      </c>
      <c r="EN60" s="27" t="str">
        <f>VLOOKUP($A60,'[1]Raw Data'!$A$3:$FB$285,131,FALSE)</f>
        <v/>
      </c>
      <c r="EO60" s="27">
        <f>VLOOKUP($A60,'[1]Raw Data'!$A$3:$FB$285,132,FALSE)</f>
        <v>4</v>
      </c>
      <c r="EP60" s="27" t="str">
        <f>VLOOKUP($A60,'[1]Raw Data'!$A$3:$FB$285,133,FALSE)</f>
        <v/>
      </c>
      <c r="EQ60" s="27">
        <f>VLOOKUP($A60,'[1]Raw Data'!$A$3:$FB$285,134,FALSE)</f>
        <v>4</v>
      </c>
      <c r="ER60" s="27" t="str">
        <f>VLOOKUP($A60,'[1]Raw Data'!$A$3:$FB$285,135,FALSE)</f>
        <v/>
      </c>
      <c r="ES60" s="27" t="str">
        <f>VLOOKUP($A60,'[1]Raw Data'!$A$3:$FB$285,136,FALSE)</f>
        <v/>
      </c>
      <c r="ET60" s="27" t="str">
        <f>VLOOKUP($A60,'[1]Raw Data'!$A$3:$FB$285,137,FALSE)</f>
        <v/>
      </c>
      <c r="EU60" s="27" t="str">
        <f>VLOOKUP($A60,'[1]Raw Data'!$A$3:$FB$285,138,FALSE)</f>
        <v/>
      </c>
      <c r="EV60" s="27" t="str">
        <f>VLOOKUP($A60,'[1]Raw Data'!$A$3:$FB$285,139,FALSE)</f>
        <v/>
      </c>
      <c r="EW60" s="38">
        <f>VLOOKUP($A60,[1]Training!$A$2:$I$284,5,FALSE)</f>
        <v>184.15384615384616</v>
      </c>
      <c r="EX60" s="31">
        <f>VLOOKUP($A60,[1]Training!$A$2:$I$284,6,FALSE)</f>
        <v>0</v>
      </c>
      <c r="EY60" s="38">
        <f>VLOOKUP($A60,[1]Training!$A$2:$I$284,8,FALSE)</f>
        <v>294.0945918277809</v>
      </c>
      <c r="EZ60" s="31">
        <f>VLOOKUP($A60,[1]Training!$A$2:$I$284,9,FALSE)</f>
        <v>83</v>
      </c>
      <c r="FA60" s="27">
        <v>1</v>
      </c>
      <c r="FB60" s="27">
        <v>2</v>
      </c>
      <c r="FC60" s="27" t="str">
        <f>VLOOKUP($A60,'[1]Raw Data'!$A$3:$FB$285,148,FALSE)</f>
        <v/>
      </c>
      <c r="FE60" s="27" t="str">
        <f>VLOOKUP($A60,'[1]Raw Data'!$A$3:$FB$285,149,FALSE)</f>
        <v>District Coordinator</v>
      </c>
      <c r="FF60" s="27" t="s">
        <v>885</v>
      </c>
      <c r="FG60" s="27" t="str">
        <f>VLOOKUP($A60,'[1]Raw Data'!$A$3:$FB$285,150,FALSE)</f>
        <v/>
      </c>
      <c r="FH60" s="27" t="str">
        <f>VLOOKUP($A60,'[1]Raw Data'!$A$3:$FB$285,156,FALSE)</f>
        <v>Lekhnath Paudel</v>
      </c>
      <c r="FI60" s="27" t="s">
        <v>930</v>
      </c>
      <c r="FJ60" s="27" t="str">
        <f>VLOOKUP($A60,'[1]Raw Data'!$A$3:$FB$285,157,FALSE)</f>
        <v>District Technical Officer</v>
      </c>
      <c r="FK60" s="27" t="s">
        <v>886</v>
      </c>
      <c r="FL60" s="27">
        <f>VLOOKUP($A60,'[1]Raw Data'!$A$3:$FB$285,158,FALSE)</f>
        <v>9841640328</v>
      </c>
      <c r="FM60" s="27" t="str">
        <f>VLOOKUP($A60,'[1]Raw Data'!$A$3:$FB$285,152,FALSE)</f>
        <v>Sachin Malego</v>
      </c>
      <c r="FN60" s="27" t="s">
        <v>931</v>
      </c>
      <c r="FO60" s="27" t="str">
        <f>VLOOKUP($A60,'[1]Raw Data'!$A$3:$FB$285,153,FALSE)</f>
        <v>District Information Management Officer</v>
      </c>
      <c r="FP60" s="27" t="s">
        <v>887</v>
      </c>
      <c r="FQ60" s="27">
        <f>VLOOKUP($A60,'[1]Raw Data'!$A$3:$FB$285,154,FALSE)</f>
        <v>9849166793</v>
      </c>
    </row>
    <row r="61" spans="1:173" ht="24" x14ac:dyDescent="0.45">
      <c r="A61" s="27">
        <v>20005</v>
      </c>
      <c r="B61" s="36" t="str">
        <f ca="1">IFERROR(__xludf.DUMMYFUNCTION("""COMPUTED_VALUE"""),"Kamalamai Nagarpalika")</f>
        <v>Kamalamai Nagarpalika</v>
      </c>
      <c r="C61" s="37" t="str">
        <f>VLOOKUP(A61,'[1]Palika and District in Nepali '!$D$1:$F$283,3,FALSE)</f>
        <v>कमलामाई गाउँपालिका</v>
      </c>
      <c r="D61" s="36" t="str">
        <f ca="1">IFERROR(__xludf.DUMMYFUNCTION("""COMPUTED_VALUE"""),"Sindhuli")</f>
        <v>Sindhuli</v>
      </c>
      <c r="E61" s="36"/>
      <c r="F61" s="27">
        <f>VLOOKUP(A61,'[1]Raw Data'!$A$3:$FB$285,4,FALSE)</f>
        <v>6397</v>
      </c>
      <c r="G61" s="27">
        <f>VLOOKUP(A61,'[1]Raw Data'!$A$3:$FB$285,5,FALSE)</f>
        <v>9262</v>
      </c>
      <c r="H61" s="27">
        <f>VLOOKUP(A61,'[1]Raw Data'!$A$3:$FB$285,6,FALSE)</f>
        <v>15659</v>
      </c>
      <c r="I61" s="27">
        <f>VLOOKUP($A61,'[1]Raw Data'!$A$3:$FB$285,8,FALSE)</f>
        <v>2.1</v>
      </c>
      <c r="J61" s="27">
        <f>VLOOKUP($A61,'[1]Raw Data'!$A$3:$FB$285,9,FALSE)</f>
        <v>1.23</v>
      </c>
      <c r="K61" s="27">
        <f>VLOOKUP($A61,'[1]Raw Data'!$A$3:$FB$285,11,FALSE)</f>
        <v>32.58</v>
      </c>
      <c r="L61" s="27">
        <f>VLOOKUP($A61,'[1]Raw Data'!$A$3:$FB$285,12,FALSE)</f>
        <v>53.21</v>
      </c>
      <c r="M61" s="27">
        <f>VLOOKUP($A61,'[1]Raw Data'!$A$3:$FB$285,14,FALSE)</f>
        <v>25.43</v>
      </c>
      <c r="N61" s="27">
        <f>VLOOKUP($A61,'[1]Raw Data'!$A$3:$FB$285,15,FALSE)</f>
        <v>10.51</v>
      </c>
      <c r="O61" s="27">
        <f>VLOOKUP($A61,'[1]Raw Data'!$A$3:$FB$285,17,FALSE)</f>
        <v>0.63</v>
      </c>
      <c r="P61" s="27">
        <f>VLOOKUP($A61,'[1]Raw Data'!$A$3:$FB$285,18,FALSE)</f>
        <v>0.35</v>
      </c>
      <c r="Q61" s="27">
        <f>VLOOKUP($A61,'[1]Raw Data'!$A$3:$FB$285,20,FALSE)</f>
        <v>6.75</v>
      </c>
      <c r="R61" s="27">
        <f>VLOOKUP($A61,'[1]Raw Data'!$A$3:$FB$285,21,FALSE)</f>
        <v>1.99</v>
      </c>
      <c r="S61" s="27">
        <f>VLOOKUP($A61,'[1]Raw Data'!$A$3:$FB$285,23,FALSE)</f>
        <v>0</v>
      </c>
      <c r="T61" s="27">
        <f>VLOOKUP($A61,'[1]Raw Data'!$A$3:$FB$285,24,FALSE)</f>
        <v>0</v>
      </c>
      <c r="U61" s="27">
        <f>VLOOKUP($A61,'[1]Raw Data'!$A$3:$FB$285,26,FALSE)</f>
        <v>27.56</v>
      </c>
      <c r="V61" s="27">
        <f>VLOOKUP($A61,'[1]Raw Data'!$A$3:$FB$285,27,FALSE)</f>
        <v>25.88</v>
      </c>
      <c r="W61" s="27">
        <f>VLOOKUP($A61,'[1]Raw Data'!$A$3:$FB$285,29,FALSE)</f>
        <v>0</v>
      </c>
      <c r="X61" s="27">
        <f>VLOOKUP($A61,'[1]Raw Data'!$A$3:$FB$285,30,FALSE)</f>
        <v>0</v>
      </c>
      <c r="Y61" s="27">
        <f>VLOOKUP($A61,'[1]Raw Data'!$A$3:$FB$285,32,FALSE)</f>
        <v>0.39</v>
      </c>
      <c r="Z61" s="27">
        <f>VLOOKUP($A61,'[1]Raw Data'!$A$3:$FB$285,33,FALSE)</f>
        <v>0.84</v>
      </c>
      <c r="AA61" s="27">
        <f>VLOOKUP($A61,'[1]Raw Data'!$A$3:$FB$285,35,FALSE)</f>
        <v>2.2400000000000002</v>
      </c>
      <c r="AB61" s="27">
        <f>VLOOKUP($A61,'[1]Raw Data'!$A$3:$FB$285,36,FALSE)</f>
        <v>2.29</v>
      </c>
      <c r="AC61" s="27">
        <f>VLOOKUP($A61,'[1]Raw Data'!$A$3:$FB$285,38,FALSE)</f>
        <v>2.33</v>
      </c>
      <c r="AD61" s="27">
        <f>VLOOKUP($A61,'[1]Raw Data'!$A$3:$FB$285,39,FALSE)</f>
        <v>3.7</v>
      </c>
      <c r="AE61" s="27">
        <f>VLOOKUP($A61,'[1]Raw Data'!$A$3:$FB$285,41,FALSE)</f>
        <v>0</v>
      </c>
      <c r="AF61" s="27">
        <f>VLOOKUP($A61,'[1]Raw Data'!$A$3:$FB$285,42,FALSE)</f>
        <v>0</v>
      </c>
      <c r="AG61" s="27">
        <f>VLOOKUP($A61,'[1]Raw Data'!$A$3:$FB$285,44,FALSE)</f>
        <v>0</v>
      </c>
      <c r="AH61" s="27">
        <f>VLOOKUP($A61,'[1]Raw Data'!$A$3:$FB$285,45,FALSE)</f>
        <v>0</v>
      </c>
      <c r="AI61" s="27">
        <f>VLOOKUP($A61,'[1]Raw Data'!$A$3:$FB$285,46,FALSE)</f>
        <v>7864</v>
      </c>
      <c r="AJ61" s="27">
        <f>VLOOKUP($A61,'[1]Raw Data'!$A$3:$FB$285,47,FALSE)</f>
        <v>7619</v>
      </c>
      <c r="AK61" s="27">
        <f>VLOOKUP($A61,'[1]Raw Data'!$A$3:$FB$285,48,FALSE)</f>
        <v>6918</v>
      </c>
      <c r="AL61" s="27">
        <f>VLOOKUP($A61,'[1]Raw Data'!$A$3:$FB$285,49,FALSE)</f>
        <v>5025</v>
      </c>
      <c r="AM61" s="27">
        <f>VLOOKUP($A61,'[1]Raw Data'!$A$3:$FB$285,50,FALSE)</f>
        <v>2852</v>
      </c>
      <c r="AN61" s="27">
        <f>VLOOKUP($A61,'[1]Raw Data'!$A$3:$FB$285,51,FALSE)</f>
        <v>0</v>
      </c>
      <c r="AO61" s="27">
        <f>VLOOKUP($A61,'[1]Raw Data'!$A$3:$FB$285,52,FALSE)</f>
        <v>2000</v>
      </c>
      <c r="AP61" s="27">
        <f>VLOOKUP($A61,'[1]Raw Data'!$A$3:$FB$285,53,FALSE)</f>
        <v>1768</v>
      </c>
      <c r="AQ61" s="27" t="str">
        <f>VLOOKUP($A61,'[1]Raw Data'!$A$3:$FB$285,54,FALSE)</f>
        <v/>
      </c>
      <c r="AR61" s="27">
        <f>VLOOKUP($A61,'[1]Raw Data'!$A$3:$FB$285,55,FALSE)</f>
        <v>278</v>
      </c>
      <c r="AS61" s="27">
        <f>VLOOKUP($A61,'[1]Raw Data'!$A$3:$FB$285,56,FALSE)</f>
        <v>0</v>
      </c>
      <c r="AT61" s="27" t="str">
        <f>VLOOKUP($A61,'[1]Raw Data'!$A$3:$FB$285,57,FALSE)</f>
        <v/>
      </c>
      <c r="AU61" s="27" t="str">
        <f>VLOOKUP($A61,'[1]Raw Data'!$A$3:$FB$285,58,FALSE)</f>
        <v/>
      </c>
      <c r="AV61" s="27">
        <f>VLOOKUP($A61,'[1]Raw Data'!$A$3:$FB$285,59,FALSE)</f>
        <v>38</v>
      </c>
      <c r="AW61" s="27">
        <f>VLOOKUP($A61,'[1]Raw Data'!$A$3:$FB$285,60,FALSE)</f>
        <v>0</v>
      </c>
      <c r="AX61" s="27" t="str">
        <f>VLOOKUP(A61,'[1]PO''s List'!A59:E341,4,FALSE)</f>
        <v>BC(Shelter),NRCS(Health),PLAN(Education,GESI,Health)</v>
      </c>
      <c r="AZ61" s="27" t="str">
        <f>VLOOKUP(A61,'[1]PO''s List'!$A$3:$E$285,5,FALSE)</f>
        <v>FCA(Education),HELVETAS(Shelter),SwissC(Shelter)</v>
      </c>
      <c r="BB61" s="27">
        <f>VLOOKUP($A61,'[1]Raw Data'!$A$3:$FB$285,63,FALSE)</f>
        <v>11051</v>
      </c>
      <c r="BC61" s="27" t="str">
        <f>VLOOKUP($A61,'[1]Raw Data'!$A$3:$FB$285,64,FALSE)</f>
        <v/>
      </c>
      <c r="BD61" s="27" t="str">
        <f t="shared" si="0"/>
        <v/>
      </c>
      <c r="BE61" s="27" t="str">
        <f>VLOOKUP($A61,'[1]Raw Data'!$A$3:$FB$285,65,FALSE)</f>
        <v/>
      </c>
      <c r="BF61" s="27">
        <f>VLOOKUP($A61,'[1]Raw Data'!$A$3:$FB$285,66,FALSE)</f>
        <v>9518</v>
      </c>
      <c r="BG61" s="27" t="str">
        <f>VLOOKUP($A61,'[1]Raw Data'!$A$3:$FB$285,67,FALSE)</f>
        <v/>
      </c>
      <c r="BH61" s="27" t="str">
        <f t="shared" si="1"/>
        <v/>
      </c>
      <c r="BI61" s="27" t="str">
        <f>VLOOKUP($A61,'[1]Raw Data'!$A$3:$FB$285,68,FALSE)</f>
        <v/>
      </c>
      <c r="BJ61" s="27">
        <f>VLOOKUP($A61,'[1]Raw Data'!$A$3:$FB$285,69,FALSE)</f>
        <v>1165</v>
      </c>
      <c r="BK61" s="27" t="str">
        <f>VLOOKUP($A61,'[1]Raw Data'!$A$3:$FB$285,70,FALSE)</f>
        <v/>
      </c>
      <c r="BL61" s="27" t="str">
        <f t="shared" si="2"/>
        <v/>
      </c>
      <c r="BM61" s="27" t="str">
        <f>VLOOKUP($A61,'[1]Raw Data'!$A$3:$FB$285,71,FALSE)</f>
        <v/>
      </c>
      <c r="BN61" s="27">
        <f>VLOOKUP($A61,'[1]Raw Data'!$A$3:$FB$285,72,FALSE)</f>
        <v>1287</v>
      </c>
      <c r="BO61" s="27" t="str">
        <f>VLOOKUP($A61,'[1]Raw Data'!$A$3:$FB$285,73,FALSE)</f>
        <v/>
      </c>
      <c r="BP61" s="27" t="str">
        <f t="shared" si="3"/>
        <v/>
      </c>
      <c r="BQ61" s="27" t="str">
        <f>VLOOKUP($A61,'[1]Raw Data'!$A$3:$FB$285,74,FALSE)</f>
        <v/>
      </c>
      <c r="BR61" s="27" t="str">
        <f>VLOOKUP($A61,'[1]Raw Data'!$A$3:$FB$285,75,FALSE)</f>
        <v/>
      </c>
      <c r="BS61" s="27" t="str">
        <f>VLOOKUP($A61,'[1]Raw Data'!$A$3:$FB$285,76,FALSE)</f>
        <v/>
      </c>
      <c r="BT61" s="27" t="str">
        <f t="shared" si="4"/>
        <v/>
      </c>
      <c r="BU61" s="27" t="str">
        <f>VLOOKUP($A61,'[1]Raw Data'!$A$3:$FB$285,77,FALSE)</f>
        <v/>
      </c>
      <c r="BV61" s="27">
        <f>VLOOKUP($A61,'[1]Raw Data'!$A$3:$FB$285,78,FALSE)</f>
        <v>32977</v>
      </c>
      <c r="BW61" s="27" t="str">
        <f>VLOOKUP($A61,'[1]Raw Data'!$A$3:$FB$285,79,FALSE)</f>
        <v/>
      </c>
      <c r="BX61" s="27" t="str">
        <f t="shared" si="5"/>
        <v/>
      </c>
      <c r="BY61" s="27" t="str">
        <f>VLOOKUP($A61,'[1]Raw Data'!$A$3:$FB$285,80,FALSE)</f>
        <v/>
      </c>
      <c r="BZ61" s="27">
        <f>VLOOKUP($A61,'[1]Raw Data'!$A$3:$FB$285,81,FALSE)</f>
        <v>124060</v>
      </c>
      <c r="CA61" s="27" t="str">
        <f>VLOOKUP($A61,'[1]Raw Data'!$A$3:$FB$285,82,FALSE)</f>
        <v/>
      </c>
      <c r="CB61" s="27" t="str">
        <f t="shared" si="6"/>
        <v/>
      </c>
      <c r="CC61" s="27" t="str">
        <f>VLOOKUP($A61,'[1]Raw Data'!$A$3:$FB$285,83,FALSE)</f>
        <v/>
      </c>
      <c r="CD61" s="27">
        <f>VLOOKUP($A61,'[1]Raw Data'!$A$3:$FB$285,84,FALSE)</f>
        <v>1352</v>
      </c>
      <c r="CE61" s="27" t="str">
        <f>VLOOKUP($A61,'[1]Raw Data'!$A$3:$FB$285,85,FALSE)</f>
        <v/>
      </c>
      <c r="CF61" s="27" t="str">
        <f t="shared" si="7"/>
        <v/>
      </c>
      <c r="CG61" s="27" t="str">
        <f>VLOOKUP($A61,'[1]Raw Data'!$A$3:$FB$285,86,FALSE)</f>
        <v/>
      </c>
      <c r="CH61" s="27">
        <f>VLOOKUP($A61,'[1]Raw Data'!$A$3:$FB$285,87,FALSE)</f>
        <v>417653</v>
      </c>
      <c r="CI61" s="27" t="str">
        <f>VLOOKUP($A61,'[1]Raw Data'!$A$3:$FB$285,88,FALSE)</f>
        <v/>
      </c>
      <c r="CJ61" s="27" t="str">
        <f t="shared" si="8"/>
        <v/>
      </c>
      <c r="CK61" s="27" t="str">
        <f>VLOOKUP($A61,'[1]Raw Data'!$A$3:$FB$285,89,FALSE)</f>
        <v/>
      </c>
      <c r="CL61" s="27">
        <f>VLOOKUP($A61,'[1]Raw Data'!$A$3:$FB$285,91,FALSE)</f>
        <v>1200</v>
      </c>
      <c r="CM61" s="27">
        <f>VLOOKUP($A61,'[1]Raw Data'!$A$3:$FB$285,93,FALSE)</f>
        <v>800</v>
      </c>
      <c r="CN61" s="27" t="str">
        <f>VLOOKUP($A61,'[1]Raw Data'!$A$3:$FB$285,94,FALSE)</f>
        <v/>
      </c>
      <c r="CO61" s="27" t="str">
        <f>VLOOKUP($A61,'[1]Raw Data'!$A$3:$FB$285,95,FALSE)</f>
        <v/>
      </c>
      <c r="CP61" s="27" t="str">
        <f>VLOOKUP($A61,'[1]Raw Data'!$A$3:$FB$285,96,FALSE)</f>
        <v/>
      </c>
      <c r="CQ61" s="27" t="str">
        <f>VLOOKUP($A61,'[1]Raw Data'!$A$3:$FB$285,97,FALSE)</f>
        <v/>
      </c>
      <c r="CR61" s="27" t="str">
        <f>VLOOKUP($A61,'[1]Raw Data'!$A$3:$FB$285,98,FALSE)</f>
        <v/>
      </c>
      <c r="CS61" s="27" t="str">
        <f>VLOOKUP($A61,'[1]Raw Data'!$A$3:$FB$285,99,FALSE)</f>
        <v/>
      </c>
      <c r="CT61" s="27" t="str">
        <f>VLOOKUP($A61,'[1]Raw Data'!$A$3:$FB$285,101,FALSE)</f>
        <v>Khadga Khatri</v>
      </c>
      <c r="CU61" s="27" t="s">
        <v>941</v>
      </c>
      <c r="CV61" s="27" t="str">
        <f>VLOOKUP($A61,'[1]Raw Data'!$A$3:$FB$285,102,FALSE)</f>
        <v>Mayor</v>
      </c>
      <c r="CW61" s="27" t="s">
        <v>834</v>
      </c>
      <c r="CX61" s="27">
        <f>VLOOKUP($A61,'[1]Raw Data'!$A$3:$FB$285,103,FALSE)</f>
        <v>9854041029</v>
      </c>
      <c r="CY61" s="27" t="str">
        <f>VLOOKUP($A61,'[1]Raw Data'!$A$3:$FB$285,105,FALSE)</f>
        <v>Manju Devkota</v>
      </c>
      <c r="CZ61" s="27" t="s">
        <v>942</v>
      </c>
      <c r="DA61" s="27" t="str">
        <f>VLOOKUP($A61,'[1]Raw Data'!$A$3:$FB$285,106,FALSE)</f>
        <v>Deputy Mayor</v>
      </c>
      <c r="DB61" s="27" t="s">
        <v>888</v>
      </c>
      <c r="DC61" s="27">
        <f>VLOOKUP($A61,'[1]Raw Data'!$A$3:$FB$285,107,FALSE)</f>
        <v>9844045833</v>
      </c>
      <c r="DD61" s="27" t="str">
        <f>VLOOKUP($A61,'[1]Raw Data'!$A$3:$FB$285,109,FALSE)</f>
        <v>Prushottam Subedi</v>
      </c>
      <c r="DE61" s="27" t="s">
        <v>943</v>
      </c>
      <c r="DF61" s="27" t="str">
        <f>VLOOKUP($A61,'[1]Raw Data'!$A$3:$FB$285,110,FALSE)</f>
        <v>Chief Adminstration Officer</v>
      </c>
      <c r="DG61" s="27" t="s">
        <v>880</v>
      </c>
      <c r="DH61" s="27">
        <f>VLOOKUP($A61,'[1]Raw Data'!$A$3:$FB$285,111,FALSE)</f>
        <v>9854050111</v>
      </c>
      <c r="DI61" s="27" t="str">
        <f>VLOOKUP($A61,'[1]Raw Data'!$A$3:$FB$285,121,FALSE)</f>
        <v/>
      </c>
      <c r="DK61" s="27" t="str">
        <f>VLOOKUP($A61,'[1]Raw Data'!$A$3:$FB$285,122,FALSE)</f>
        <v>Focal Person</v>
      </c>
      <c r="DL61" s="27" t="s">
        <v>881</v>
      </c>
      <c r="DM61" s="27" t="str">
        <f>VLOOKUP($A61,'[1]Raw Data'!$A$3:$FB$285,123,FALSE)</f>
        <v/>
      </c>
      <c r="DN61" s="27" t="str">
        <f>VLOOKUP($A61,'[1]Raw Data'!$A$3:$FB$285,113,FALSE)</f>
        <v>Dev Narayan Pd. Yadav</v>
      </c>
      <c r="DO61" s="27" t="s">
        <v>929</v>
      </c>
      <c r="DP61" s="27" t="str">
        <f>VLOOKUP($A61,'[1]Raw Data'!$A$3:$FB$285,114,FALSE)</f>
        <v>NRA Chief-District</v>
      </c>
      <c r="DQ61" s="27" t="s">
        <v>882</v>
      </c>
      <c r="DR61" s="27">
        <f>VLOOKUP($A61,'[1]Raw Data'!$A$3:$FB$285,115,FALSE)</f>
        <v>9852029429</v>
      </c>
      <c r="DS61" s="27" t="str">
        <f>VLOOKUP($A61,'[1]Raw Data'!$A$3:$FB$285,117,FALSE)</f>
        <v>Prabhakar Lal Karna</v>
      </c>
      <c r="DT61" s="27" t="s">
        <v>894</v>
      </c>
      <c r="DU61" s="27" t="str">
        <f>VLOOKUP($A61,'[1]Raw Data'!$A$3:$FB$285,118,FALSE)</f>
        <v>DUDBC.DLPIU Chief</v>
      </c>
      <c r="DV61" s="27" t="s">
        <v>883</v>
      </c>
      <c r="DW61" s="27">
        <f>VLOOKUP($A61,'[1]Raw Data'!$A$3:$FB$285,119,FALSE)</f>
        <v>9854041543</v>
      </c>
      <c r="DX61" s="27" t="s">
        <v>339</v>
      </c>
      <c r="DY61" s="27" t="str">
        <f>VLOOKUP($A61,'[1]Raw Data'!$A$3:$FB$285,124,FALSE)</f>
        <v>50</v>
      </c>
      <c r="DZ61" s="27" t="s">
        <v>884</v>
      </c>
      <c r="EA61" s="27" t="str">
        <f>VLOOKUP($A61,'[1]Raw Data'!$A$3:$FB$285,125,FALSE)</f>
        <v>32</v>
      </c>
      <c r="EB61" s="27" t="s">
        <v>341</v>
      </c>
      <c r="EC61" s="27" t="str">
        <f>VLOOKUP($A61,'[1]Raw Data'!$A$3:$FB$285,126,FALSE)</f>
        <v>50</v>
      </c>
      <c r="ED61" t="s">
        <v>478</v>
      </c>
      <c r="EE61" s="27" t="str">
        <f>VLOOKUP($A61,'[1]Raw Data'!$A$3:$FB$285,127,FALSE)</f>
        <v/>
      </c>
      <c r="EF61" s="27" t="s">
        <v>343</v>
      </c>
      <c r="EG61" s="27" t="str">
        <f>VLOOKUP($A61,'[1]Raw Data'!$A$3:$FB$285,128,FALSE)</f>
        <v>100</v>
      </c>
      <c r="EH61" t="s">
        <v>344</v>
      </c>
      <c r="EI61" s="27" t="str">
        <f>VLOOKUP($A61,'[1]Raw Data'!$A$3:$FB$285,129,FALSE)</f>
        <v>10</v>
      </c>
      <c r="EM61" s="27">
        <f>VLOOKUP($A61,'[1]Raw Data'!$A$3:$FB$285,130,FALSE)</f>
        <v>12</v>
      </c>
      <c r="EN61" s="27" t="str">
        <f>VLOOKUP($A61,'[1]Raw Data'!$A$3:$FB$285,131,FALSE)</f>
        <v/>
      </c>
      <c r="EO61" s="27">
        <f>VLOOKUP($A61,'[1]Raw Data'!$A$3:$FB$285,132,FALSE)</f>
        <v>7</v>
      </c>
      <c r="EP61" s="27" t="str">
        <f>VLOOKUP($A61,'[1]Raw Data'!$A$3:$FB$285,133,FALSE)</f>
        <v/>
      </c>
      <c r="EQ61" s="27">
        <f>VLOOKUP($A61,'[1]Raw Data'!$A$3:$FB$285,134,FALSE)</f>
        <v>6</v>
      </c>
      <c r="ER61" s="27" t="str">
        <f>VLOOKUP($A61,'[1]Raw Data'!$A$3:$FB$285,135,FALSE)</f>
        <v/>
      </c>
      <c r="ES61" s="27" t="str">
        <f>VLOOKUP($A61,'[1]Raw Data'!$A$3:$FB$285,136,FALSE)</f>
        <v/>
      </c>
      <c r="ET61" s="27" t="str">
        <f>VLOOKUP($A61,'[1]Raw Data'!$A$3:$FB$285,137,FALSE)</f>
        <v/>
      </c>
      <c r="EU61" s="27" t="str">
        <f>VLOOKUP($A61,'[1]Raw Data'!$A$3:$FB$285,138,FALSE)</f>
        <v/>
      </c>
      <c r="EV61" s="27" t="str">
        <f>VLOOKUP($A61,'[1]Raw Data'!$A$3:$FB$285,139,FALSE)</f>
        <v/>
      </c>
      <c r="EW61" s="38">
        <f>VLOOKUP($A61,[1]Training!$A$2:$I$284,5,FALSE)</f>
        <v>604.92307692307691</v>
      </c>
      <c r="EX61" s="31">
        <f>VLOOKUP($A61,[1]Training!$A$2:$I$284,6,FALSE)</f>
        <v>0</v>
      </c>
      <c r="EY61" s="38">
        <f>VLOOKUP($A61,[1]Training!$A$2:$I$284,8,FALSE)</f>
        <v>966.06510866068038</v>
      </c>
      <c r="EZ61" s="31">
        <f>VLOOKUP($A61,[1]Training!$A$2:$I$284,9,FALSE)</f>
        <v>22</v>
      </c>
      <c r="FA61" s="27">
        <v>1</v>
      </c>
      <c r="FB61" s="27">
        <v>2</v>
      </c>
      <c r="FC61" s="27" t="str">
        <f>VLOOKUP($A61,'[1]Raw Data'!$A$3:$FB$285,148,FALSE)</f>
        <v/>
      </c>
      <c r="FE61" s="27" t="str">
        <f>VLOOKUP($A61,'[1]Raw Data'!$A$3:$FB$285,149,FALSE)</f>
        <v>District Coordinator</v>
      </c>
      <c r="FF61" s="27" t="s">
        <v>885</v>
      </c>
      <c r="FG61" s="27" t="str">
        <f>VLOOKUP($A61,'[1]Raw Data'!$A$3:$FB$285,150,FALSE)</f>
        <v/>
      </c>
      <c r="FH61" s="27" t="str">
        <f>VLOOKUP($A61,'[1]Raw Data'!$A$3:$FB$285,156,FALSE)</f>
        <v>Lekhnath Paudel</v>
      </c>
      <c r="FI61" s="27" t="s">
        <v>930</v>
      </c>
      <c r="FJ61" s="27" t="str">
        <f>VLOOKUP($A61,'[1]Raw Data'!$A$3:$FB$285,157,FALSE)</f>
        <v>District Technical Officer</v>
      </c>
      <c r="FK61" s="27" t="s">
        <v>886</v>
      </c>
      <c r="FL61" s="27">
        <f>VLOOKUP($A61,'[1]Raw Data'!$A$3:$FB$285,158,FALSE)</f>
        <v>9841640328</v>
      </c>
      <c r="FM61" s="27" t="str">
        <f>VLOOKUP($A61,'[1]Raw Data'!$A$3:$FB$285,152,FALSE)</f>
        <v>Sachin Malego</v>
      </c>
      <c r="FN61" s="27" t="s">
        <v>931</v>
      </c>
      <c r="FO61" s="27" t="str">
        <f>VLOOKUP($A61,'[1]Raw Data'!$A$3:$FB$285,153,FALSE)</f>
        <v>District Information Management Officer</v>
      </c>
      <c r="FP61" s="27" t="s">
        <v>887</v>
      </c>
      <c r="FQ61" s="27">
        <f>VLOOKUP($A61,'[1]Raw Data'!$A$3:$FB$285,154,FALSE)</f>
        <v>9849166793</v>
      </c>
    </row>
    <row r="62" spans="1:173" ht="24" x14ac:dyDescent="0.45">
      <c r="A62" s="27">
        <v>20006</v>
      </c>
      <c r="B62" s="36" t="str">
        <f ca="1">IFERROR(__xludf.DUMMYFUNCTION("""COMPUTED_VALUE"""),"Marinthakur Gaunpalika")</f>
        <v>Marinthakur Gaunpalika</v>
      </c>
      <c r="C62" s="37" t="str">
        <f>VLOOKUP(A62,'[1]Palika and District in Nepali '!$D$1:$F$283,3,FALSE)</f>
        <v>मरिण गाउँपालिका</v>
      </c>
      <c r="D62" s="36" t="str">
        <f ca="1">IFERROR(__xludf.DUMMYFUNCTION("""COMPUTED_VALUE"""),"Sindhuli")</f>
        <v>Sindhuli</v>
      </c>
      <c r="E62" s="36"/>
      <c r="F62" s="27">
        <f>VLOOKUP(A62,'[1]Raw Data'!$A$3:$FB$285,4,FALSE)</f>
        <v>1920</v>
      </c>
      <c r="G62" s="27">
        <f>VLOOKUP(A62,'[1]Raw Data'!$A$3:$FB$285,5,FALSE)</f>
        <v>3797</v>
      </c>
      <c r="H62" s="27">
        <f>VLOOKUP(A62,'[1]Raw Data'!$A$3:$FB$285,6,FALSE)</f>
        <v>5717</v>
      </c>
      <c r="I62" s="27">
        <f>VLOOKUP($A62,'[1]Raw Data'!$A$3:$FB$285,8,FALSE)</f>
        <v>0.98</v>
      </c>
      <c r="J62" s="27">
        <f>VLOOKUP($A62,'[1]Raw Data'!$A$3:$FB$285,9,FALSE)</f>
        <v>1.23</v>
      </c>
      <c r="K62" s="27">
        <f>VLOOKUP($A62,'[1]Raw Data'!$A$3:$FB$285,11,FALSE)</f>
        <v>48.08</v>
      </c>
      <c r="L62" s="27">
        <f>VLOOKUP($A62,'[1]Raw Data'!$A$3:$FB$285,12,FALSE)</f>
        <v>53.21</v>
      </c>
      <c r="M62" s="27">
        <f>VLOOKUP($A62,'[1]Raw Data'!$A$3:$FB$285,14,FALSE)</f>
        <v>10.08</v>
      </c>
      <c r="N62" s="27">
        <f>VLOOKUP($A62,'[1]Raw Data'!$A$3:$FB$285,15,FALSE)</f>
        <v>10.51</v>
      </c>
      <c r="O62" s="27">
        <f>VLOOKUP($A62,'[1]Raw Data'!$A$3:$FB$285,17,FALSE)</f>
        <v>0.17</v>
      </c>
      <c r="P62" s="27">
        <f>VLOOKUP($A62,'[1]Raw Data'!$A$3:$FB$285,18,FALSE)</f>
        <v>0.35</v>
      </c>
      <c r="Q62" s="27">
        <f>VLOOKUP($A62,'[1]Raw Data'!$A$3:$FB$285,20,FALSE)</f>
        <v>0.63</v>
      </c>
      <c r="R62" s="27">
        <f>VLOOKUP($A62,'[1]Raw Data'!$A$3:$FB$285,21,FALSE)</f>
        <v>1.99</v>
      </c>
      <c r="S62" s="27">
        <f>VLOOKUP($A62,'[1]Raw Data'!$A$3:$FB$285,23,FALSE)</f>
        <v>0</v>
      </c>
      <c r="T62" s="27">
        <f>VLOOKUP($A62,'[1]Raw Data'!$A$3:$FB$285,24,FALSE)</f>
        <v>0</v>
      </c>
      <c r="U62" s="27">
        <f>VLOOKUP($A62,'[1]Raw Data'!$A$3:$FB$285,26,FALSE)</f>
        <v>38.65</v>
      </c>
      <c r="V62" s="27">
        <f>VLOOKUP($A62,'[1]Raw Data'!$A$3:$FB$285,27,FALSE)</f>
        <v>25.88</v>
      </c>
      <c r="W62" s="27">
        <f>VLOOKUP($A62,'[1]Raw Data'!$A$3:$FB$285,29,FALSE)</f>
        <v>0</v>
      </c>
      <c r="X62" s="27">
        <f>VLOOKUP($A62,'[1]Raw Data'!$A$3:$FB$285,30,FALSE)</f>
        <v>0</v>
      </c>
      <c r="Y62" s="27">
        <f>VLOOKUP($A62,'[1]Raw Data'!$A$3:$FB$285,32,FALSE)</f>
        <v>0.24</v>
      </c>
      <c r="Z62" s="27">
        <f>VLOOKUP($A62,'[1]Raw Data'!$A$3:$FB$285,33,FALSE)</f>
        <v>0.84</v>
      </c>
      <c r="AA62" s="27">
        <f>VLOOKUP($A62,'[1]Raw Data'!$A$3:$FB$285,35,FALSE)</f>
        <v>0.12</v>
      </c>
      <c r="AB62" s="27">
        <f>VLOOKUP($A62,'[1]Raw Data'!$A$3:$FB$285,36,FALSE)</f>
        <v>2.29</v>
      </c>
      <c r="AC62" s="27">
        <f>VLOOKUP($A62,'[1]Raw Data'!$A$3:$FB$285,38,FALSE)</f>
        <v>1.05</v>
      </c>
      <c r="AD62" s="27">
        <f>VLOOKUP($A62,'[1]Raw Data'!$A$3:$FB$285,39,FALSE)</f>
        <v>3.7</v>
      </c>
      <c r="AE62" s="27">
        <f>VLOOKUP($A62,'[1]Raw Data'!$A$3:$FB$285,41,FALSE)</f>
        <v>0</v>
      </c>
      <c r="AF62" s="27">
        <f>VLOOKUP($A62,'[1]Raw Data'!$A$3:$FB$285,42,FALSE)</f>
        <v>0</v>
      </c>
      <c r="AG62" s="27">
        <f>VLOOKUP($A62,'[1]Raw Data'!$A$3:$FB$285,44,FALSE)</f>
        <v>0</v>
      </c>
      <c r="AH62" s="27">
        <f>VLOOKUP($A62,'[1]Raw Data'!$A$3:$FB$285,45,FALSE)</f>
        <v>0</v>
      </c>
      <c r="AI62" s="27">
        <f>VLOOKUP($A62,'[1]Raw Data'!$A$3:$FB$285,46,FALSE)</f>
        <v>3340</v>
      </c>
      <c r="AJ62" s="27">
        <f>VLOOKUP($A62,'[1]Raw Data'!$A$3:$FB$285,47,FALSE)</f>
        <v>3120</v>
      </c>
      <c r="AK62" s="27">
        <f>VLOOKUP($A62,'[1]Raw Data'!$A$3:$FB$285,48,FALSE)</f>
        <v>3120</v>
      </c>
      <c r="AL62" s="27">
        <f>VLOOKUP($A62,'[1]Raw Data'!$A$3:$FB$285,49,FALSE)</f>
        <v>2278</v>
      </c>
      <c r="AM62" s="27">
        <f>VLOOKUP($A62,'[1]Raw Data'!$A$3:$FB$285,50,FALSE)</f>
        <v>1049</v>
      </c>
      <c r="AN62" s="27">
        <f>VLOOKUP($A62,'[1]Raw Data'!$A$3:$FB$285,51,FALSE)</f>
        <v>0</v>
      </c>
      <c r="AO62" s="27">
        <f>VLOOKUP($A62,'[1]Raw Data'!$A$3:$FB$285,52,FALSE)</f>
        <v>507</v>
      </c>
      <c r="AP62" s="27">
        <f>VLOOKUP($A62,'[1]Raw Data'!$A$3:$FB$285,53,FALSE)</f>
        <v>1266</v>
      </c>
      <c r="AQ62" s="27" t="str">
        <f>VLOOKUP($A62,'[1]Raw Data'!$A$3:$FB$285,54,FALSE)</f>
        <v/>
      </c>
      <c r="AR62" s="27">
        <f>VLOOKUP($A62,'[1]Raw Data'!$A$3:$FB$285,55,FALSE)</f>
        <v>59</v>
      </c>
      <c r="AS62" s="27">
        <f>VLOOKUP($A62,'[1]Raw Data'!$A$3:$FB$285,56,FALSE)</f>
        <v>0</v>
      </c>
      <c r="AT62" s="27" t="str">
        <f>VLOOKUP($A62,'[1]Raw Data'!$A$3:$FB$285,57,FALSE)</f>
        <v/>
      </c>
      <c r="AU62" s="27" t="str">
        <f>VLOOKUP($A62,'[1]Raw Data'!$A$3:$FB$285,58,FALSE)</f>
        <v/>
      </c>
      <c r="AV62" s="27">
        <f>VLOOKUP($A62,'[1]Raw Data'!$A$3:$FB$285,59,FALSE)</f>
        <v>9</v>
      </c>
      <c r="AW62" s="27">
        <f>VLOOKUP($A62,'[1]Raw Data'!$A$3:$FB$285,60,FALSE)</f>
        <v>0</v>
      </c>
      <c r="AX62" s="27" t="str">
        <f>VLOOKUP(A62,'[1]PO''s List'!A60:E342,4,FALSE)</f>
        <v>PLAN(Education,GESI)</v>
      </c>
      <c r="AZ62" s="27" t="str">
        <f>VLOOKUP(A62,'[1]PO''s List'!$A$3:$E$285,5,FALSE)</f>
        <v>FCA(Education),HELVETAS(Shelter),SwissC(Shelter)</v>
      </c>
      <c r="BB62" s="27">
        <f>VLOOKUP($A62,'[1]Raw Data'!$A$3:$FB$285,63,FALSE)</f>
        <v>59871</v>
      </c>
      <c r="BC62" s="27" t="str">
        <f>VLOOKUP($A62,'[1]Raw Data'!$A$3:$FB$285,64,FALSE)</f>
        <v/>
      </c>
      <c r="BD62" s="27" t="str">
        <f t="shared" si="0"/>
        <v/>
      </c>
      <c r="BE62" s="27">
        <f>VLOOKUP($A62,'[1]Raw Data'!$A$3:$FB$285,65,FALSE)</f>
        <v>3000</v>
      </c>
      <c r="BF62" s="27">
        <f>VLOOKUP($A62,'[1]Raw Data'!$A$3:$FB$285,66,FALSE)</f>
        <v>30228</v>
      </c>
      <c r="BG62" s="27" t="str">
        <f>VLOOKUP($A62,'[1]Raw Data'!$A$3:$FB$285,67,FALSE)</f>
        <v/>
      </c>
      <c r="BH62" s="27" t="str">
        <f t="shared" si="1"/>
        <v/>
      </c>
      <c r="BI62" s="27">
        <f>VLOOKUP($A62,'[1]Raw Data'!$A$3:$FB$285,68,FALSE)</f>
        <v>3000</v>
      </c>
      <c r="BJ62" s="27">
        <f>VLOOKUP($A62,'[1]Raw Data'!$A$3:$FB$285,69,FALSE)</f>
        <v>6125</v>
      </c>
      <c r="BK62" s="27" t="str">
        <f>VLOOKUP($A62,'[1]Raw Data'!$A$3:$FB$285,70,FALSE)</f>
        <v/>
      </c>
      <c r="BL62" s="27" t="str">
        <f t="shared" si="2"/>
        <v/>
      </c>
      <c r="BM62" s="27">
        <f>VLOOKUP($A62,'[1]Raw Data'!$A$3:$FB$285,71,FALSE)</f>
        <v>2500</v>
      </c>
      <c r="BN62" s="27">
        <f>VLOOKUP($A62,'[1]Raw Data'!$A$3:$FB$285,72,FALSE)</f>
        <v>6078</v>
      </c>
      <c r="BO62" s="27" t="str">
        <f>VLOOKUP($A62,'[1]Raw Data'!$A$3:$FB$285,73,FALSE)</f>
        <v/>
      </c>
      <c r="BP62" s="27" t="str">
        <f t="shared" si="3"/>
        <v/>
      </c>
      <c r="BQ62" s="27" t="str">
        <f>VLOOKUP($A62,'[1]Raw Data'!$A$3:$FB$285,74,FALSE)</f>
        <v/>
      </c>
      <c r="BR62" s="27" t="str">
        <f>VLOOKUP($A62,'[1]Raw Data'!$A$3:$FB$285,75,FALSE)</f>
        <v/>
      </c>
      <c r="BS62" s="27" t="str">
        <f>VLOOKUP($A62,'[1]Raw Data'!$A$3:$FB$285,76,FALSE)</f>
        <v>N</v>
      </c>
      <c r="BT62" s="27" t="str">
        <f t="shared" si="4"/>
        <v>छैन</v>
      </c>
      <c r="BU62" s="27">
        <f>VLOOKUP($A62,'[1]Raw Data'!$A$3:$FB$285,77,FALSE)</f>
        <v>1200</v>
      </c>
      <c r="BV62" s="27">
        <f>VLOOKUP($A62,'[1]Raw Data'!$A$3:$FB$285,78,FALSE)</f>
        <v>121478</v>
      </c>
      <c r="BW62" s="27" t="str">
        <f>VLOOKUP($A62,'[1]Raw Data'!$A$3:$FB$285,79,FALSE)</f>
        <v/>
      </c>
      <c r="BX62" s="27" t="str">
        <f t="shared" si="5"/>
        <v/>
      </c>
      <c r="BY62" s="27" t="str">
        <f>VLOOKUP($A62,'[1]Raw Data'!$A$3:$FB$285,80,FALSE)</f>
        <v/>
      </c>
      <c r="BZ62" s="27">
        <f>VLOOKUP($A62,'[1]Raw Data'!$A$3:$FB$285,81,FALSE)</f>
        <v>717707</v>
      </c>
      <c r="CA62" s="27" t="str">
        <f>VLOOKUP($A62,'[1]Raw Data'!$A$3:$FB$285,82,FALSE)</f>
        <v/>
      </c>
      <c r="CB62" s="27" t="str">
        <f t="shared" si="6"/>
        <v/>
      </c>
      <c r="CC62" s="27" t="str">
        <f>VLOOKUP($A62,'[1]Raw Data'!$A$3:$FB$285,83,FALSE)</f>
        <v/>
      </c>
      <c r="CD62" s="27">
        <f>VLOOKUP($A62,'[1]Raw Data'!$A$3:$FB$285,84,FALSE)</f>
        <v>5014</v>
      </c>
      <c r="CE62" s="27" t="str">
        <f>VLOOKUP($A62,'[1]Raw Data'!$A$3:$FB$285,85,FALSE)</f>
        <v/>
      </c>
      <c r="CF62" s="27" t="str">
        <f t="shared" si="7"/>
        <v/>
      </c>
      <c r="CG62" s="27" t="str">
        <f>VLOOKUP($A62,'[1]Raw Data'!$A$3:$FB$285,86,FALSE)</f>
        <v/>
      </c>
      <c r="CH62" s="27">
        <f>VLOOKUP($A62,'[1]Raw Data'!$A$3:$FB$285,87,FALSE)</f>
        <v>5365858</v>
      </c>
      <c r="CI62" s="27" t="str">
        <f>VLOOKUP($A62,'[1]Raw Data'!$A$3:$FB$285,88,FALSE)</f>
        <v/>
      </c>
      <c r="CJ62" s="27" t="str">
        <f t="shared" si="8"/>
        <v/>
      </c>
      <c r="CK62" s="27" t="str">
        <f>VLOOKUP($A62,'[1]Raw Data'!$A$3:$FB$285,89,FALSE)</f>
        <v/>
      </c>
      <c r="CL62" s="27">
        <f>VLOOKUP($A62,'[1]Raw Data'!$A$3:$FB$285,91,FALSE)</f>
        <v>1200</v>
      </c>
      <c r="CM62" s="27">
        <f>VLOOKUP($A62,'[1]Raw Data'!$A$3:$FB$285,93,FALSE)</f>
        <v>800</v>
      </c>
      <c r="CN62" s="27" t="str">
        <f>VLOOKUP($A62,'[1]Raw Data'!$A$3:$FB$285,94,FALSE)</f>
        <v/>
      </c>
      <c r="CO62" s="27" t="str">
        <f>VLOOKUP($A62,'[1]Raw Data'!$A$3:$FB$285,95,FALSE)</f>
        <v/>
      </c>
      <c r="CP62" s="27" t="str">
        <f>VLOOKUP($A62,'[1]Raw Data'!$A$3:$FB$285,96,FALSE)</f>
        <v/>
      </c>
      <c r="CQ62" s="27" t="str">
        <f>VLOOKUP($A62,'[1]Raw Data'!$A$3:$FB$285,97,FALSE)</f>
        <v/>
      </c>
      <c r="CR62" s="27" t="str">
        <f>VLOOKUP($A62,'[1]Raw Data'!$A$3:$FB$285,98,FALSE)</f>
        <v/>
      </c>
      <c r="CS62" s="27" t="str">
        <f>VLOOKUP($A62,'[1]Raw Data'!$A$3:$FB$285,99,FALSE)</f>
        <v/>
      </c>
      <c r="CT62" s="27" t="str">
        <f>VLOOKUP($A62,'[1]Raw Data'!$A$3:$FB$285,101,FALSE)</f>
        <v>Pani Raj Bomjon</v>
      </c>
      <c r="CU62" s="27" t="s">
        <v>944</v>
      </c>
      <c r="CV62" s="27" t="s">
        <v>830</v>
      </c>
      <c r="CW62" s="27" t="s">
        <v>878</v>
      </c>
      <c r="CX62" s="27">
        <f>VLOOKUP($A62,'[1]Raw Data'!$A$3:$FB$285,103,FALSE)</f>
        <v>9854042200</v>
      </c>
      <c r="CY62" s="27" t="str">
        <f>VLOOKUP($A62,'[1]Raw Data'!$A$3:$FB$285,105,FALSE)</f>
        <v>Sangita Majhi</v>
      </c>
      <c r="CZ62" s="27" t="s">
        <v>945</v>
      </c>
      <c r="DA62" s="27" t="s">
        <v>831</v>
      </c>
      <c r="DB62" s="27" t="s">
        <v>879</v>
      </c>
      <c r="DC62" s="27">
        <f>VLOOKUP($A62,'[1]Raw Data'!$A$3:$FB$285,107,FALSE)</f>
        <v>9809677789</v>
      </c>
      <c r="DD62" s="27" t="str">
        <f>VLOOKUP($A62,'[1]Raw Data'!$A$3:$FB$285,109,FALSE)</f>
        <v>Madan Bdr. Thing</v>
      </c>
      <c r="DE62" s="27" t="s">
        <v>946</v>
      </c>
      <c r="DF62" s="27" t="str">
        <f>VLOOKUP($A62,'[1]Raw Data'!$A$3:$FB$285,110,FALSE)</f>
        <v>Chief Adminstration Officer</v>
      </c>
      <c r="DG62" s="27" t="s">
        <v>880</v>
      </c>
      <c r="DH62" s="27">
        <f>VLOOKUP($A62,'[1]Raw Data'!$A$3:$FB$285,111,FALSE)</f>
        <v>9841891334</v>
      </c>
      <c r="DI62" s="27" t="str">
        <f>VLOOKUP($A62,'[1]Raw Data'!$A$3:$FB$285,121,FALSE)</f>
        <v/>
      </c>
      <c r="DK62" s="27" t="str">
        <f>VLOOKUP($A62,'[1]Raw Data'!$A$3:$FB$285,122,FALSE)</f>
        <v>Focal Person</v>
      </c>
      <c r="DL62" s="27" t="s">
        <v>881</v>
      </c>
      <c r="DM62" s="27" t="str">
        <f>VLOOKUP($A62,'[1]Raw Data'!$A$3:$FB$285,123,FALSE)</f>
        <v/>
      </c>
      <c r="DN62" s="27" t="str">
        <f>VLOOKUP($A62,'[1]Raw Data'!$A$3:$FB$285,113,FALSE)</f>
        <v>Dev Narayan Pd. Yadav</v>
      </c>
      <c r="DO62" s="27" t="s">
        <v>929</v>
      </c>
      <c r="DP62" s="27" t="str">
        <f>VLOOKUP($A62,'[1]Raw Data'!$A$3:$FB$285,114,FALSE)</f>
        <v>NRA Chief-District</v>
      </c>
      <c r="DQ62" s="27" t="s">
        <v>882</v>
      </c>
      <c r="DR62" s="27">
        <f>VLOOKUP($A62,'[1]Raw Data'!$A$3:$FB$285,115,FALSE)</f>
        <v>9852029429</v>
      </c>
      <c r="DS62" s="27" t="str">
        <f>VLOOKUP($A62,'[1]Raw Data'!$A$3:$FB$285,117,FALSE)</f>
        <v>Prabhakar Lal Karna</v>
      </c>
      <c r="DT62" s="27" t="s">
        <v>894</v>
      </c>
      <c r="DU62" s="27" t="str">
        <f>VLOOKUP($A62,'[1]Raw Data'!$A$3:$FB$285,118,FALSE)</f>
        <v>DUDBC.DLPIU Chief</v>
      </c>
      <c r="DV62" s="27" t="s">
        <v>883</v>
      </c>
      <c r="DW62" s="27">
        <f>VLOOKUP($A62,'[1]Raw Data'!$A$3:$FB$285,119,FALSE)</f>
        <v>9854041543</v>
      </c>
      <c r="DX62" s="27" t="s">
        <v>339</v>
      </c>
      <c r="DY62" s="27" t="str">
        <f>VLOOKUP($A62,'[1]Raw Data'!$A$3:$FB$285,124,FALSE)</f>
        <v/>
      </c>
      <c r="DZ62" s="27" t="s">
        <v>884</v>
      </c>
      <c r="EA62" s="27" t="str">
        <f>VLOOKUP($A62,'[1]Raw Data'!$A$3:$FB$285,125,FALSE)</f>
        <v/>
      </c>
      <c r="EB62" s="27" t="s">
        <v>341</v>
      </c>
      <c r="EC62" s="27" t="str">
        <f>VLOOKUP($A62,'[1]Raw Data'!$A$3:$FB$285,126,FALSE)</f>
        <v/>
      </c>
      <c r="ED62" t="s">
        <v>478</v>
      </c>
      <c r="EE62" s="27" t="str">
        <f>VLOOKUP($A62,'[1]Raw Data'!$A$3:$FB$285,127,FALSE)</f>
        <v/>
      </c>
      <c r="EF62" s="27" t="s">
        <v>343</v>
      </c>
      <c r="EG62" s="27" t="str">
        <f>VLOOKUP($A62,'[1]Raw Data'!$A$3:$FB$285,128,FALSE)</f>
        <v/>
      </c>
      <c r="EH62" t="s">
        <v>344</v>
      </c>
      <c r="EI62" s="27" t="str">
        <f>VLOOKUP($A62,'[1]Raw Data'!$A$3:$FB$285,129,FALSE)</f>
        <v/>
      </c>
      <c r="EM62" s="27">
        <f>VLOOKUP($A62,'[1]Raw Data'!$A$3:$FB$285,130,FALSE)</f>
        <v>3</v>
      </c>
      <c r="EN62" s="27" t="str">
        <f>VLOOKUP($A62,'[1]Raw Data'!$A$3:$FB$285,131,FALSE)</f>
        <v/>
      </c>
      <c r="EO62" s="27">
        <f>VLOOKUP($A62,'[1]Raw Data'!$A$3:$FB$285,132,FALSE)</f>
        <v>2</v>
      </c>
      <c r="EP62" s="27" t="str">
        <f>VLOOKUP($A62,'[1]Raw Data'!$A$3:$FB$285,133,FALSE)</f>
        <v/>
      </c>
      <c r="EQ62" s="27">
        <f>VLOOKUP($A62,'[1]Raw Data'!$A$3:$FB$285,134,FALSE)</f>
        <v>4</v>
      </c>
      <c r="ER62" s="27" t="str">
        <f>VLOOKUP($A62,'[1]Raw Data'!$A$3:$FB$285,135,FALSE)</f>
        <v/>
      </c>
      <c r="ES62" s="27" t="str">
        <f>VLOOKUP($A62,'[1]Raw Data'!$A$3:$FB$285,136,FALSE)</f>
        <v/>
      </c>
      <c r="ET62" s="27" t="str">
        <f>VLOOKUP($A62,'[1]Raw Data'!$A$3:$FB$285,137,FALSE)</f>
        <v/>
      </c>
      <c r="EU62" s="27" t="str">
        <f>VLOOKUP($A62,'[1]Raw Data'!$A$3:$FB$285,138,FALSE)</f>
        <v/>
      </c>
      <c r="EV62" s="27" t="str">
        <f>VLOOKUP($A62,'[1]Raw Data'!$A$3:$FB$285,139,FALSE)</f>
        <v/>
      </c>
      <c r="EW62" s="38">
        <f>VLOOKUP($A62,[1]Training!$A$2:$I$284,5,FALSE)</f>
        <v>256.92307692307691</v>
      </c>
      <c r="EX62" s="31">
        <f>VLOOKUP($A62,[1]Training!$A$2:$I$284,6,FALSE)</f>
        <v>126</v>
      </c>
      <c r="EY62" s="38">
        <f>VLOOKUP($A62,[1]Training!$A$2:$I$284,8,FALSE)</f>
        <v>410.30740881570097</v>
      </c>
      <c r="EZ62" s="31">
        <f>VLOOKUP($A62,[1]Training!$A$2:$I$284,9,FALSE)</f>
        <v>30</v>
      </c>
      <c r="FA62" s="27">
        <v>1</v>
      </c>
      <c r="FB62" s="27">
        <v>2</v>
      </c>
      <c r="FC62" s="27" t="str">
        <f>VLOOKUP($A62,'[1]Raw Data'!$A$3:$FB$285,148,FALSE)</f>
        <v/>
      </c>
      <c r="FE62" s="27" t="str">
        <f>VLOOKUP($A62,'[1]Raw Data'!$A$3:$FB$285,149,FALSE)</f>
        <v>District Coordinator</v>
      </c>
      <c r="FF62" s="27" t="s">
        <v>885</v>
      </c>
      <c r="FG62" s="27" t="str">
        <f>VLOOKUP($A62,'[1]Raw Data'!$A$3:$FB$285,150,FALSE)</f>
        <v/>
      </c>
      <c r="FH62" s="27" t="str">
        <f>VLOOKUP($A62,'[1]Raw Data'!$A$3:$FB$285,156,FALSE)</f>
        <v>Lekhnath Paudel</v>
      </c>
      <c r="FI62" s="27" t="s">
        <v>930</v>
      </c>
      <c r="FJ62" s="27" t="str">
        <f>VLOOKUP($A62,'[1]Raw Data'!$A$3:$FB$285,157,FALSE)</f>
        <v>District Technical Officer</v>
      </c>
      <c r="FK62" s="27" t="s">
        <v>886</v>
      </c>
      <c r="FL62" s="27">
        <f>VLOOKUP($A62,'[1]Raw Data'!$A$3:$FB$285,158,FALSE)</f>
        <v>9841640328</v>
      </c>
      <c r="FM62" s="27" t="str">
        <f>VLOOKUP($A62,'[1]Raw Data'!$A$3:$FB$285,152,FALSE)</f>
        <v>Sachin Malego</v>
      </c>
      <c r="FN62" s="27" t="s">
        <v>931</v>
      </c>
      <c r="FO62" s="27" t="str">
        <f>VLOOKUP($A62,'[1]Raw Data'!$A$3:$FB$285,153,FALSE)</f>
        <v>District Information Management Officer</v>
      </c>
      <c r="FP62" s="27" t="s">
        <v>887</v>
      </c>
      <c r="FQ62" s="27">
        <f>VLOOKUP($A62,'[1]Raw Data'!$A$3:$FB$285,154,FALSE)</f>
        <v>9849166793</v>
      </c>
    </row>
    <row r="63" spans="1:173" ht="24" x14ac:dyDescent="0.45">
      <c r="A63" s="27">
        <v>20007</v>
      </c>
      <c r="B63" s="36" t="str">
        <f ca="1">IFERROR(__xludf.DUMMYFUNCTION("""COMPUTED_VALUE"""),"Phikkal Gaunpalika")</f>
        <v>Phikkal Gaunpalika</v>
      </c>
      <c r="C63" s="37" t="str">
        <f>VLOOKUP(A63,'[1]Palika and District in Nepali '!$D$1:$F$283,3,FALSE)</f>
        <v>फिक्कल गाउँपालिका</v>
      </c>
      <c r="D63" s="36" t="str">
        <f ca="1">IFERROR(__xludf.DUMMYFUNCTION("""COMPUTED_VALUE"""),"Sindhuli")</f>
        <v>Sindhuli</v>
      </c>
      <c r="E63" s="36"/>
      <c r="F63" s="27">
        <f>VLOOKUP(A63,'[1]Raw Data'!$A$3:$FB$285,4,FALSE)</f>
        <v>1380</v>
      </c>
      <c r="G63" s="27">
        <f>VLOOKUP(A63,'[1]Raw Data'!$A$3:$FB$285,5,FALSE)</f>
        <v>2692</v>
      </c>
      <c r="H63" s="27">
        <f>VLOOKUP(A63,'[1]Raw Data'!$A$3:$FB$285,6,FALSE)</f>
        <v>4072</v>
      </c>
      <c r="I63" s="27">
        <f>VLOOKUP($A63,'[1]Raw Data'!$A$3:$FB$285,8,FALSE)</f>
        <v>0.34</v>
      </c>
      <c r="J63" s="27">
        <f>VLOOKUP($A63,'[1]Raw Data'!$A$3:$FB$285,9,FALSE)</f>
        <v>1.23</v>
      </c>
      <c r="K63" s="27">
        <f>VLOOKUP($A63,'[1]Raw Data'!$A$3:$FB$285,11,FALSE)</f>
        <v>97</v>
      </c>
      <c r="L63" s="27">
        <f>VLOOKUP($A63,'[1]Raw Data'!$A$3:$FB$285,12,FALSE)</f>
        <v>53.21</v>
      </c>
      <c r="M63" s="27">
        <f>VLOOKUP($A63,'[1]Raw Data'!$A$3:$FB$285,14,FALSE)</f>
        <v>0.02</v>
      </c>
      <c r="N63" s="27">
        <f>VLOOKUP($A63,'[1]Raw Data'!$A$3:$FB$285,15,FALSE)</f>
        <v>10.51</v>
      </c>
      <c r="O63" s="27">
        <f>VLOOKUP($A63,'[1]Raw Data'!$A$3:$FB$285,17,FALSE)</f>
        <v>0</v>
      </c>
      <c r="P63" s="27">
        <f>VLOOKUP($A63,'[1]Raw Data'!$A$3:$FB$285,18,FALSE)</f>
        <v>0.35</v>
      </c>
      <c r="Q63" s="27">
        <f>VLOOKUP($A63,'[1]Raw Data'!$A$3:$FB$285,20,FALSE)</f>
        <v>0.02</v>
      </c>
      <c r="R63" s="27">
        <f>VLOOKUP($A63,'[1]Raw Data'!$A$3:$FB$285,21,FALSE)</f>
        <v>1.99</v>
      </c>
      <c r="S63" s="27">
        <f>VLOOKUP($A63,'[1]Raw Data'!$A$3:$FB$285,23,FALSE)</f>
        <v>0</v>
      </c>
      <c r="T63" s="27">
        <f>VLOOKUP($A63,'[1]Raw Data'!$A$3:$FB$285,24,FALSE)</f>
        <v>0</v>
      </c>
      <c r="U63" s="27">
        <f>VLOOKUP($A63,'[1]Raw Data'!$A$3:$FB$285,26,FALSE)</f>
        <v>1.74</v>
      </c>
      <c r="V63" s="27">
        <f>VLOOKUP($A63,'[1]Raw Data'!$A$3:$FB$285,27,FALSE)</f>
        <v>25.88</v>
      </c>
      <c r="W63" s="27">
        <f>VLOOKUP($A63,'[1]Raw Data'!$A$3:$FB$285,29,FALSE)</f>
        <v>0</v>
      </c>
      <c r="X63" s="27">
        <f>VLOOKUP($A63,'[1]Raw Data'!$A$3:$FB$285,30,FALSE)</f>
        <v>0</v>
      </c>
      <c r="Y63" s="27">
        <f>VLOOKUP($A63,'[1]Raw Data'!$A$3:$FB$285,32,FALSE)</f>
        <v>7.0000000000000007E-2</v>
      </c>
      <c r="Z63" s="27">
        <f>VLOOKUP($A63,'[1]Raw Data'!$A$3:$FB$285,33,FALSE)</f>
        <v>0.84</v>
      </c>
      <c r="AA63" s="27">
        <f>VLOOKUP($A63,'[1]Raw Data'!$A$3:$FB$285,35,FALSE)</f>
        <v>0.05</v>
      </c>
      <c r="AB63" s="27">
        <f>VLOOKUP($A63,'[1]Raw Data'!$A$3:$FB$285,36,FALSE)</f>
        <v>2.29</v>
      </c>
      <c r="AC63" s="27">
        <f>VLOOKUP($A63,'[1]Raw Data'!$A$3:$FB$285,38,FALSE)</f>
        <v>0.74</v>
      </c>
      <c r="AD63" s="27">
        <f>VLOOKUP($A63,'[1]Raw Data'!$A$3:$FB$285,39,FALSE)</f>
        <v>3.7</v>
      </c>
      <c r="AE63" s="27">
        <f>VLOOKUP($A63,'[1]Raw Data'!$A$3:$FB$285,41,FALSE)</f>
        <v>0</v>
      </c>
      <c r="AF63" s="27">
        <f>VLOOKUP($A63,'[1]Raw Data'!$A$3:$FB$285,42,FALSE)</f>
        <v>0</v>
      </c>
      <c r="AG63" s="27">
        <f>VLOOKUP($A63,'[1]Raw Data'!$A$3:$FB$285,44,FALSE)</f>
        <v>0</v>
      </c>
      <c r="AH63" s="27">
        <f>VLOOKUP($A63,'[1]Raw Data'!$A$3:$FB$285,45,FALSE)</f>
        <v>0</v>
      </c>
      <c r="AI63" s="27">
        <f>VLOOKUP($A63,'[1]Raw Data'!$A$3:$FB$285,46,FALSE)</f>
        <v>2175</v>
      </c>
      <c r="AJ63" s="27">
        <f>VLOOKUP($A63,'[1]Raw Data'!$A$3:$FB$285,47,FALSE)</f>
        <v>2162</v>
      </c>
      <c r="AK63" s="27">
        <f>VLOOKUP($A63,'[1]Raw Data'!$A$3:$FB$285,48,FALSE)</f>
        <v>2162</v>
      </c>
      <c r="AL63" s="27">
        <f>VLOOKUP($A63,'[1]Raw Data'!$A$3:$FB$285,49,FALSE)</f>
        <v>2033</v>
      </c>
      <c r="AM63" s="27">
        <f>VLOOKUP($A63,'[1]Raw Data'!$A$3:$FB$285,50,FALSE)</f>
        <v>1649</v>
      </c>
      <c r="AN63" s="27">
        <f>VLOOKUP($A63,'[1]Raw Data'!$A$3:$FB$285,51,FALSE)</f>
        <v>0</v>
      </c>
      <c r="AO63" s="27">
        <f>VLOOKUP($A63,'[1]Raw Data'!$A$3:$FB$285,52,FALSE)</f>
        <v>1402</v>
      </c>
      <c r="AP63" s="27">
        <f>VLOOKUP($A63,'[1]Raw Data'!$A$3:$FB$285,53,FALSE)</f>
        <v>923</v>
      </c>
      <c r="AQ63" s="27" t="str">
        <f>VLOOKUP($A63,'[1]Raw Data'!$A$3:$FB$285,54,FALSE)</f>
        <v/>
      </c>
      <c r="AR63" s="27">
        <f>VLOOKUP($A63,'[1]Raw Data'!$A$3:$FB$285,55,FALSE)</f>
        <v>6</v>
      </c>
      <c r="AS63" s="27">
        <f>VLOOKUP($A63,'[1]Raw Data'!$A$3:$FB$285,56,FALSE)</f>
        <v>0</v>
      </c>
      <c r="AT63" s="27" t="str">
        <f>VLOOKUP($A63,'[1]Raw Data'!$A$3:$FB$285,57,FALSE)</f>
        <v/>
      </c>
      <c r="AU63" s="27" t="str">
        <f>VLOOKUP($A63,'[1]Raw Data'!$A$3:$FB$285,58,FALSE)</f>
        <v/>
      </c>
      <c r="AV63" s="27">
        <f>VLOOKUP($A63,'[1]Raw Data'!$A$3:$FB$285,59,FALSE)</f>
        <v>22</v>
      </c>
      <c r="AW63" s="27">
        <f>VLOOKUP($A63,'[1]Raw Data'!$A$3:$FB$285,60,FALSE)</f>
        <v>0</v>
      </c>
      <c r="AX63" s="27" t="str">
        <f>VLOOKUP(A63,'[1]PO''s List'!A61:E343,4,FALSE)</f>
        <v>HELVETAS(Shelter)</v>
      </c>
      <c r="AZ63" s="27" t="str">
        <f>VLOOKUP(A63,'[1]PO''s List'!$A$3:$E$285,5,FALSE)</f>
        <v>FCA(Education)</v>
      </c>
      <c r="BB63" s="27">
        <f>VLOOKUP($A63,'[1]Raw Data'!$A$3:$FB$285,63,FALSE)</f>
        <v>16060</v>
      </c>
      <c r="BC63" s="27" t="str">
        <f>VLOOKUP($A63,'[1]Raw Data'!$A$3:$FB$285,64,FALSE)</f>
        <v/>
      </c>
      <c r="BD63" s="27" t="str">
        <f t="shared" si="0"/>
        <v/>
      </c>
      <c r="BE63" s="27" t="str">
        <f>VLOOKUP($A63,'[1]Raw Data'!$A$3:$FB$285,65,FALSE)</f>
        <v/>
      </c>
      <c r="BF63" s="27">
        <f>VLOOKUP($A63,'[1]Raw Data'!$A$3:$FB$285,66,FALSE)</f>
        <v>13072</v>
      </c>
      <c r="BG63" s="27" t="str">
        <f>VLOOKUP($A63,'[1]Raw Data'!$A$3:$FB$285,67,FALSE)</f>
        <v/>
      </c>
      <c r="BH63" s="27" t="str">
        <f t="shared" si="1"/>
        <v/>
      </c>
      <c r="BI63" s="27" t="str">
        <f>VLOOKUP($A63,'[1]Raw Data'!$A$3:$FB$285,68,FALSE)</f>
        <v/>
      </c>
      <c r="BJ63" s="27">
        <f>VLOOKUP($A63,'[1]Raw Data'!$A$3:$FB$285,69,FALSE)</f>
        <v>1686</v>
      </c>
      <c r="BK63" s="27" t="str">
        <f>VLOOKUP($A63,'[1]Raw Data'!$A$3:$FB$285,70,FALSE)</f>
        <v/>
      </c>
      <c r="BL63" s="27" t="str">
        <f t="shared" si="2"/>
        <v/>
      </c>
      <c r="BM63" s="27" t="str">
        <f>VLOOKUP($A63,'[1]Raw Data'!$A$3:$FB$285,71,FALSE)</f>
        <v/>
      </c>
      <c r="BN63" s="27">
        <f>VLOOKUP($A63,'[1]Raw Data'!$A$3:$FB$285,72,FALSE)</f>
        <v>1841</v>
      </c>
      <c r="BO63" s="27" t="str">
        <f>VLOOKUP($A63,'[1]Raw Data'!$A$3:$FB$285,73,FALSE)</f>
        <v/>
      </c>
      <c r="BP63" s="27" t="str">
        <f t="shared" si="3"/>
        <v/>
      </c>
      <c r="BQ63" s="27" t="str">
        <f>VLOOKUP($A63,'[1]Raw Data'!$A$3:$FB$285,74,FALSE)</f>
        <v/>
      </c>
      <c r="BR63" s="27" t="str">
        <f>VLOOKUP($A63,'[1]Raw Data'!$A$3:$FB$285,75,FALSE)</f>
        <v/>
      </c>
      <c r="BS63" s="27" t="str">
        <f>VLOOKUP($A63,'[1]Raw Data'!$A$3:$FB$285,76,FALSE)</f>
        <v/>
      </c>
      <c r="BT63" s="27" t="str">
        <f t="shared" si="4"/>
        <v/>
      </c>
      <c r="BU63" s="27" t="str">
        <f>VLOOKUP($A63,'[1]Raw Data'!$A$3:$FB$285,77,FALSE)</f>
        <v/>
      </c>
      <c r="BV63" s="27">
        <f>VLOOKUP($A63,'[1]Raw Data'!$A$3:$FB$285,78,FALSE)</f>
        <v>46161</v>
      </c>
      <c r="BW63" s="27" t="str">
        <f>VLOOKUP($A63,'[1]Raw Data'!$A$3:$FB$285,79,FALSE)</f>
        <v/>
      </c>
      <c r="BX63" s="27" t="str">
        <f t="shared" si="5"/>
        <v/>
      </c>
      <c r="BY63" s="27" t="str">
        <f>VLOOKUP($A63,'[1]Raw Data'!$A$3:$FB$285,80,FALSE)</f>
        <v/>
      </c>
      <c r="BZ63" s="27">
        <f>VLOOKUP($A63,'[1]Raw Data'!$A$3:$FB$285,81,FALSE)</f>
        <v>182292</v>
      </c>
      <c r="CA63" s="27" t="str">
        <f>VLOOKUP($A63,'[1]Raw Data'!$A$3:$FB$285,82,FALSE)</f>
        <v/>
      </c>
      <c r="CB63" s="27" t="str">
        <f t="shared" si="6"/>
        <v/>
      </c>
      <c r="CC63" s="27" t="str">
        <f>VLOOKUP($A63,'[1]Raw Data'!$A$3:$FB$285,83,FALSE)</f>
        <v/>
      </c>
      <c r="CD63" s="27">
        <f>VLOOKUP($A63,'[1]Raw Data'!$A$3:$FB$285,84,FALSE)</f>
        <v>1895</v>
      </c>
      <c r="CE63" s="27" t="str">
        <f>VLOOKUP($A63,'[1]Raw Data'!$A$3:$FB$285,85,FALSE)</f>
        <v/>
      </c>
      <c r="CF63" s="27" t="str">
        <f t="shared" si="7"/>
        <v/>
      </c>
      <c r="CG63" s="27" t="str">
        <f>VLOOKUP($A63,'[1]Raw Data'!$A$3:$FB$285,86,FALSE)</f>
        <v/>
      </c>
      <c r="CH63" s="27">
        <f>VLOOKUP($A63,'[1]Raw Data'!$A$3:$FB$285,87,FALSE)</f>
        <v>759444</v>
      </c>
      <c r="CI63" s="27" t="str">
        <f>VLOOKUP($A63,'[1]Raw Data'!$A$3:$FB$285,88,FALSE)</f>
        <v/>
      </c>
      <c r="CJ63" s="27" t="str">
        <f t="shared" si="8"/>
        <v/>
      </c>
      <c r="CK63" s="27" t="str">
        <f>VLOOKUP($A63,'[1]Raw Data'!$A$3:$FB$285,89,FALSE)</f>
        <v/>
      </c>
      <c r="CL63" s="27">
        <f>VLOOKUP($A63,'[1]Raw Data'!$A$3:$FB$285,91,FALSE)</f>
        <v>900</v>
      </c>
      <c r="CM63" s="27">
        <f>VLOOKUP($A63,'[1]Raw Data'!$A$3:$FB$285,93,FALSE)</f>
        <v>715</v>
      </c>
      <c r="CN63" s="27" t="str">
        <f>VLOOKUP($A63,'[1]Raw Data'!$A$3:$FB$285,94,FALSE)</f>
        <v/>
      </c>
      <c r="CO63" s="27" t="str">
        <f>VLOOKUP($A63,'[1]Raw Data'!$A$3:$FB$285,95,FALSE)</f>
        <v/>
      </c>
      <c r="CP63" s="27" t="str">
        <f>VLOOKUP($A63,'[1]Raw Data'!$A$3:$FB$285,96,FALSE)</f>
        <v/>
      </c>
      <c r="CQ63" s="27" t="str">
        <f>VLOOKUP($A63,'[1]Raw Data'!$A$3:$FB$285,97,FALSE)</f>
        <v/>
      </c>
      <c r="CR63" s="27" t="str">
        <f>VLOOKUP($A63,'[1]Raw Data'!$A$3:$FB$285,98,FALSE)</f>
        <v/>
      </c>
      <c r="CS63" s="27" t="str">
        <f>VLOOKUP($A63,'[1]Raw Data'!$A$3:$FB$285,99,FALSE)</f>
        <v/>
      </c>
      <c r="CT63" s="27" t="str">
        <f>VLOOKUP($A63,'[1]Raw Data'!$A$3:$FB$285,101,FALSE)</f>
        <v>Dhan Bdr. Karki</v>
      </c>
      <c r="CU63" s="27" t="s">
        <v>947</v>
      </c>
      <c r="CV63" s="27" t="s">
        <v>830</v>
      </c>
      <c r="CW63" s="27" t="s">
        <v>878</v>
      </c>
      <c r="CX63" s="27">
        <f>VLOOKUP($A63,'[1]Raw Data'!$A$3:$FB$285,103,FALSE)</f>
        <v>9844396655</v>
      </c>
      <c r="CY63" s="27" t="str">
        <f>VLOOKUP($A63,'[1]Raw Data'!$A$3:$FB$285,105,FALSE)</f>
        <v>Parbati Sunuwar</v>
      </c>
      <c r="CZ63" s="27" t="s">
        <v>948</v>
      </c>
      <c r="DA63" s="27" t="s">
        <v>831</v>
      </c>
      <c r="DB63" s="27" t="s">
        <v>879</v>
      </c>
      <c r="DC63" s="27">
        <f>VLOOKUP($A63,'[1]Raw Data'!$A$3:$FB$285,107,FALSE)</f>
        <v>9854041941</v>
      </c>
      <c r="DD63" s="27" t="str">
        <f>VLOOKUP($A63,'[1]Raw Data'!$A$3:$FB$285,109,FALSE)</f>
        <v>Kalpana Timilsina Sharma</v>
      </c>
      <c r="DE63" s="27" t="s">
        <v>949</v>
      </c>
      <c r="DF63" s="27" t="str">
        <f>VLOOKUP($A63,'[1]Raw Data'!$A$3:$FB$285,110,FALSE)</f>
        <v>Chief Adminstration Officer</v>
      </c>
      <c r="DG63" s="27" t="s">
        <v>880</v>
      </c>
      <c r="DH63" s="27">
        <f>VLOOKUP($A63,'[1]Raw Data'!$A$3:$FB$285,111,FALSE)</f>
        <v>9801557857</v>
      </c>
      <c r="DI63" s="27" t="str">
        <f>VLOOKUP($A63,'[1]Raw Data'!$A$3:$FB$285,121,FALSE)</f>
        <v/>
      </c>
      <c r="DK63" s="27" t="str">
        <f>VLOOKUP($A63,'[1]Raw Data'!$A$3:$FB$285,122,FALSE)</f>
        <v>Focal Person</v>
      </c>
      <c r="DL63" s="27" t="s">
        <v>881</v>
      </c>
      <c r="DM63" s="27" t="str">
        <f>VLOOKUP($A63,'[1]Raw Data'!$A$3:$FB$285,123,FALSE)</f>
        <v/>
      </c>
      <c r="DN63" s="27" t="str">
        <f>VLOOKUP($A63,'[1]Raw Data'!$A$3:$FB$285,113,FALSE)</f>
        <v>Dev Narayan Pd. Yadav</v>
      </c>
      <c r="DO63" s="27" t="s">
        <v>929</v>
      </c>
      <c r="DP63" s="27" t="str">
        <f>VLOOKUP($A63,'[1]Raw Data'!$A$3:$FB$285,114,FALSE)</f>
        <v>NRA Chief-District</v>
      </c>
      <c r="DQ63" s="27" t="s">
        <v>882</v>
      </c>
      <c r="DR63" s="27">
        <f>VLOOKUP($A63,'[1]Raw Data'!$A$3:$FB$285,115,FALSE)</f>
        <v>9852029429</v>
      </c>
      <c r="DS63" s="27" t="str">
        <f>VLOOKUP($A63,'[1]Raw Data'!$A$3:$FB$285,117,FALSE)</f>
        <v>Prabhakar Lal Karna</v>
      </c>
      <c r="DT63" s="27" t="s">
        <v>894</v>
      </c>
      <c r="DU63" s="27" t="str">
        <f>VLOOKUP($A63,'[1]Raw Data'!$A$3:$FB$285,118,FALSE)</f>
        <v>DUDBC.DLPIU Chief</v>
      </c>
      <c r="DV63" s="27" t="s">
        <v>883</v>
      </c>
      <c r="DW63" s="27">
        <f>VLOOKUP($A63,'[1]Raw Data'!$A$3:$FB$285,119,FALSE)</f>
        <v>9854041543</v>
      </c>
      <c r="DX63" s="27" t="s">
        <v>339</v>
      </c>
      <c r="DY63" s="27" t="str">
        <f>VLOOKUP($A63,'[1]Raw Data'!$A$3:$FB$285,124,FALSE)</f>
        <v/>
      </c>
      <c r="DZ63" s="27" t="s">
        <v>884</v>
      </c>
      <c r="EA63" s="27" t="str">
        <f>VLOOKUP($A63,'[1]Raw Data'!$A$3:$FB$285,125,FALSE)</f>
        <v/>
      </c>
      <c r="EB63" s="27" t="s">
        <v>341</v>
      </c>
      <c r="EC63" s="27" t="str">
        <f>VLOOKUP($A63,'[1]Raw Data'!$A$3:$FB$285,126,FALSE)</f>
        <v/>
      </c>
      <c r="ED63" t="s">
        <v>478</v>
      </c>
      <c r="EE63" s="27" t="str">
        <f>VLOOKUP($A63,'[1]Raw Data'!$A$3:$FB$285,127,FALSE)</f>
        <v/>
      </c>
      <c r="EF63" s="27" t="s">
        <v>343</v>
      </c>
      <c r="EG63" s="27" t="str">
        <f>VLOOKUP($A63,'[1]Raw Data'!$A$3:$FB$285,128,FALSE)</f>
        <v/>
      </c>
      <c r="EH63" t="s">
        <v>344</v>
      </c>
      <c r="EI63" s="27" t="str">
        <f>VLOOKUP($A63,'[1]Raw Data'!$A$3:$FB$285,129,FALSE)</f>
        <v/>
      </c>
      <c r="EM63" s="27">
        <f>VLOOKUP($A63,'[1]Raw Data'!$A$3:$FB$285,130,FALSE)</f>
        <v>4</v>
      </c>
      <c r="EN63" s="27" t="str">
        <f>VLOOKUP($A63,'[1]Raw Data'!$A$3:$FB$285,131,FALSE)</f>
        <v/>
      </c>
      <c r="EO63" s="27">
        <f>VLOOKUP($A63,'[1]Raw Data'!$A$3:$FB$285,132,FALSE)</f>
        <v>6</v>
      </c>
      <c r="EP63" s="27" t="str">
        <f>VLOOKUP($A63,'[1]Raw Data'!$A$3:$FB$285,133,FALSE)</f>
        <v/>
      </c>
      <c r="EQ63" s="27">
        <f>VLOOKUP($A63,'[1]Raw Data'!$A$3:$FB$285,134,FALSE)</f>
        <v>6</v>
      </c>
      <c r="ER63" s="27" t="str">
        <f>VLOOKUP($A63,'[1]Raw Data'!$A$3:$FB$285,135,FALSE)</f>
        <v/>
      </c>
      <c r="ES63" s="27" t="str">
        <f>VLOOKUP($A63,'[1]Raw Data'!$A$3:$FB$285,136,FALSE)</f>
        <v/>
      </c>
      <c r="ET63" s="27" t="str">
        <f>VLOOKUP($A63,'[1]Raw Data'!$A$3:$FB$285,137,FALSE)</f>
        <v/>
      </c>
      <c r="EU63" s="27" t="str">
        <f>VLOOKUP($A63,'[1]Raw Data'!$A$3:$FB$285,138,FALSE)</f>
        <v/>
      </c>
      <c r="EV63" s="27" t="str">
        <f>VLOOKUP($A63,'[1]Raw Data'!$A$3:$FB$285,139,FALSE)</f>
        <v/>
      </c>
      <c r="EW63" s="38">
        <f>VLOOKUP($A63,[1]Training!$A$2:$I$284,5,FALSE)</f>
        <v>167.15384615384616</v>
      </c>
      <c r="EX63" s="31">
        <f>VLOOKUP($A63,[1]Training!$A$2:$I$284,6,FALSE)</f>
        <v>0</v>
      </c>
      <c r="EY63" s="38">
        <f>VLOOKUP($A63,[1]Training!$A$2:$I$284,8,FALSE)</f>
        <v>266.94550878937673</v>
      </c>
      <c r="EZ63" s="31">
        <f>VLOOKUP($A63,[1]Training!$A$2:$I$284,9,FALSE)</f>
        <v>348</v>
      </c>
      <c r="FA63" s="27">
        <v>1</v>
      </c>
      <c r="FB63" s="27">
        <v>2</v>
      </c>
      <c r="FC63" s="27" t="str">
        <f>VLOOKUP($A63,'[1]Raw Data'!$A$3:$FB$285,148,FALSE)</f>
        <v/>
      </c>
      <c r="FE63" s="27" t="str">
        <f>VLOOKUP($A63,'[1]Raw Data'!$A$3:$FB$285,149,FALSE)</f>
        <v>District Coordinator</v>
      </c>
      <c r="FF63" s="27" t="s">
        <v>885</v>
      </c>
      <c r="FG63" s="27" t="str">
        <f>VLOOKUP($A63,'[1]Raw Data'!$A$3:$FB$285,150,FALSE)</f>
        <v/>
      </c>
      <c r="FH63" s="27" t="str">
        <f>VLOOKUP($A63,'[1]Raw Data'!$A$3:$FB$285,156,FALSE)</f>
        <v>Lekhnath Paudel</v>
      </c>
      <c r="FI63" s="27" t="s">
        <v>930</v>
      </c>
      <c r="FJ63" s="27" t="str">
        <f>VLOOKUP($A63,'[1]Raw Data'!$A$3:$FB$285,157,FALSE)</f>
        <v>District Technical Officer</v>
      </c>
      <c r="FK63" s="27" t="s">
        <v>886</v>
      </c>
      <c r="FL63" s="27">
        <f>VLOOKUP($A63,'[1]Raw Data'!$A$3:$FB$285,158,FALSE)</f>
        <v>9841640328</v>
      </c>
      <c r="FM63" s="27" t="str">
        <f>VLOOKUP($A63,'[1]Raw Data'!$A$3:$FB$285,152,FALSE)</f>
        <v>Sachin Malego</v>
      </c>
      <c r="FN63" s="27" t="s">
        <v>931</v>
      </c>
      <c r="FO63" s="27" t="str">
        <f>VLOOKUP($A63,'[1]Raw Data'!$A$3:$FB$285,153,FALSE)</f>
        <v>District Information Management Officer</v>
      </c>
      <c r="FP63" s="27" t="s">
        <v>887</v>
      </c>
      <c r="FQ63" s="27">
        <f>VLOOKUP($A63,'[1]Raw Data'!$A$3:$FB$285,154,FALSE)</f>
        <v>9849166793</v>
      </c>
    </row>
    <row r="64" spans="1:173" ht="24" x14ac:dyDescent="0.45">
      <c r="A64" s="27">
        <v>20008</v>
      </c>
      <c r="B64" s="36" t="str">
        <f ca="1">IFERROR(__xludf.DUMMYFUNCTION("""COMPUTED_VALUE"""),"Sunkoshi Gaunpalika")</f>
        <v>Sunkoshi Gaunpalika</v>
      </c>
      <c r="C64" s="37" t="str">
        <f>VLOOKUP(A64,'[1]Palika and District in Nepali '!$D$1:$F$283,3,FALSE)</f>
        <v>सुनकोशी गाउँपालिका</v>
      </c>
      <c r="D64" s="36" t="str">
        <f ca="1">IFERROR(__xludf.DUMMYFUNCTION("""COMPUTED_VALUE"""),"Sindhuli")</f>
        <v>Sindhuli</v>
      </c>
      <c r="E64" s="36"/>
      <c r="F64" s="27">
        <f>VLOOKUP(A64,'[1]Raw Data'!$A$3:$FB$285,4,FALSE)</f>
        <v>766</v>
      </c>
      <c r="G64" s="27">
        <f>VLOOKUP(A64,'[1]Raw Data'!$A$3:$FB$285,5,FALSE)</f>
        <v>5627</v>
      </c>
      <c r="H64" s="27">
        <f>VLOOKUP(A64,'[1]Raw Data'!$A$3:$FB$285,6,FALSE)</f>
        <v>6393</v>
      </c>
      <c r="I64" s="27">
        <f>VLOOKUP($A64,'[1]Raw Data'!$A$3:$FB$285,8,FALSE)</f>
        <v>0.42</v>
      </c>
      <c r="J64" s="27">
        <f>VLOOKUP($A64,'[1]Raw Data'!$A$3:$FB$285,9,FALSE)</f>
        <v>1.23</v>
      </c>
      <c r="K64" s="27">
        <f>VLOOKUP($A64,'[1]Raw Data'!$A$3:$FB$285,11,FALSE)</f>
        <v>86.3</v>
      </c>
      <c r="L64" s="27">
        <f>VLOOKUP($A64,'[1]Raw Data'!$A$3:$FB$285,12,FALSE)</f>
        <v>53.21</v>
      </c>
      <c r="M64" s="27">
        <f>VLOOKUP($A64,'[1]Raw Data'!$A$3:$FB$285,14,FALSE)</f>
        <v>0.36</v>
      </c>
      <c r="N64" s="27">
        <f>VLOOKUP($A64,'[1]Raw Data'!$A$3:$FB$285,15,FALSE)</f>
        <v>10.51</v>
      </c>
      <c r="O64" s="27">
        <f>VLOOKUP($A64,'[1]Raw Data'!$A$3:$FB$285,17,FALSE)</f>
        <v>0.13</v>
      </c>
      <c r="P64" s="27">
        <f>VLOOKUP($A64,'[1]Raw Data'!$A$3:$FB$285,18,FALSE)</f>
        <v>0.35</v>
      </c>
      <c r="Q64" s="27">
        <f>VLOOKUP($A64,'[1]Raw Data'!$A$3:$FB$285,20,FALSE)</f>
        <v>0.39</v>
      </c>
      <c r="R64" s="27">
        <f>VLOOKUP($A64,'[1]Raw Data'!$A$3:$FB$285,21,FALSE)</f>
        <v>1.99</v>
      </c>
      <c r="S64" s="27">
        <f>VLOOKUP($A64,'[1]Raw Data'!$A$3:$FB$285,23,FALSE)</f>
        <v>0</v>
      </c>
      <c r="T64" s="27">
        <f>VLOOKUP($A64,'[1]Raw Data'!$A$3:$FB$285,24,FALSE)</f>
        <v>0</v>
      </c>
      <c r="U64" s="27">
        <f>VLOOKUP($A64,'[1]Raw Data'!$A$3:$FB$285,26,FALSE)</f>
        <v>0.08</v>
      </c>
      <c r="V64" s="27">
        <f>VLOOKUP($A64,'[1]Raw Data'!$A$3:$FB$285,27,FALSE)</f>
        <v>25.88</v>
      </c>
      <c r="W64" s="27">
        <f>VLOOKUP($A64,'[1]Raw Data'!$A$3:$FB$285,29,FALSE)</f>
        <v>0</v>
      </c>
      <c r="X64" s="27">
        <f>VLOOKUP($A64,'[1]Raw Data'!$A$3:$FB$285,30,FALSE)</f>
        <v>0</v>
      </c>
      <c r="Y64" s="27">
        <f>VLOOKUP($A64,'[1]Raw Data'!$A$3:$FB$285,32,FALSE)</f>
        <v>0.06</v>
      </c>
      <c r="Z64" s="27">
        <f>VLOOKUP($A64,'[1]Raw Data'!$A$3:$FB$285,33,FALSE)</f>
        <v>0.84</v>
      </c>
      <c r="AA64" s="27">
        <f>VLOOKUP($A64,'[1]Raw Data'!$A$3:$FB$285,35,FALSE)</f>
        <v>12.19</v>
      </c>
      <c r="AB64" s="27">
        <f>VLOOKUP($A64,'[1]Raw Data'!$A$3:$FB$285,36,FALSE)</f>
        <v>2.29</v>
      </c>
      <c r="AC64" s="27">
        <f>VLOOKUP($A64,'[1]Raw Data'!$A$3:$FB$285,38,FALSE)</f>
        <v>0.08</v>
      </c>
      <c r="AD64" s="27">
        <f>VLOOKUP($A64,'[1]Raw Data'!$A$3:$FB$285,39,FALSE)</f>
        <v>3.7</v>
      </c>
      <c r="AE64" s="27">
        <f>VLOOKUP($A64,'[1]Raw Data'!$A$3:$FB$285,41,FALSE)</f>
        <v>0</v>
      </c>
      <c r="AF64" s="27">
        <f>VLOOKUP($A64,'[1]Raw Data'!$A$3:$FB$285,42,FALSE)</f>
        <v>0</v>
      </c>
      <c r="AG64" s="27">
        <f>VLOOKUP($A64,'[1]Raw Data'!$A$3:$FB$285,44,FALSE)</f>
        <v>0</v>
      </c>
      <c r="AH64" s="27">
        <f>VLOOKUP($A64,'[1]Raw Data'!$A$3:$FB$285,45,FALSE)</f>
        <v>0</v>
      </c>
      <c r="AI64" s="27">
        <f>VLOOKUP($A64,'[1]Raw Data'!$A$3:$FB$285,46,FALSE)</f>
        <v>4745</v>
      </c>
      <c r="AJ64" s="27">
        <f>VLOOKUP($A64,'[1]Raw Data'!$A$3:$FB$285,47,FALSE)</f>
        <v>4724</v>
      </c>
      <c r="AK64" s="27">
        <f>VLOOKUP($A64,'[1]Raw Data'!$A$3:$FB$285,48,FALSE)</f>
        <v>4722</v>
      </c>
      <c r="AL64" s="27">
        <f>VLOOKUP($A64,'[1]Raw Data'!$A$3:$FB$285,49,FALSE)</f>
        <v>4261</v>
      </c>
      <c r="AM64" s="27">
        <f>VLOOKUP($A64,'[1]Raw Data'!$A$3:$FB$285,50,FALSE)</f>
        <v>3313</v>
      </c>
      <c r="AN64" s="27">
        <f>VLOOKUP($A64,'[1]Raw Data'!$A$3:$FB$285,51,FALSE)</f>
        <v>0</v>
      </c>
      <c r="AO64" s="27">
        <f>VLOOKUP($A64,'[1]Raw Data'!$A$3:$FB$285,52,FALSE)</f>
        <v>2669</v>
      </c>
      <c r="AP64" s="27">
        <f>VLOOKUP($A64,'[1]Raw Data'!$A$3:$FB$285,53,FALSE)</f>
        <v>327</v>
      </c>
      <c r="AQ64" s="27" t="str">
        <f>VLOOKUP($A64,'[1]Raw Data'!$A$3:$FB$285,54,FALSE)</f>
        <v/>
      </c>
      <c r="AR64" s="27">
        <f>VLOOKUP($A64,'[1]Raw Data'!$A$3:$FB$285,55,FALSE)</f>
        <v>0</v>
      </c>
      <c r="AS64" s="27">
        <f>VLOOKUP($A64,'[1]Raw Data'!$A$3:$FB$285,56,FALSE)</f>
        <v>0</v>
      </c>
      <c r="AT64" s="27" t="str">
        <f>VLOOKUP($A64,'[1]Raw Data'!$A$3:$FB$285,57,FALSE)</f>
        <v/>
      </c>
      <c r="AU64" s="27" t="str">
        <f>VLOOKUP($A64,'[1]Raw Data'!$A$3:$FB$285,58,FALSE)</f>
        <v/>
      </c>
      <c r="AV64" s="27">
        <f>VLOOKUP($A64,'[1]Raw Data'!$A$3:$FB$285,59,FALSE)</f>
        <v>25</v>
      </c>
      <c r="AW64" s="27">
        <f>VLOOKUP($A64,'[1]Raw Data'!$A$3:$FB$285,60,FALSE)</f>
        <v>2</v>
      </c>
      <c r="AX64" s="27" t="str">
        <f>VLOOKUP(A64,'[1]PO''s List'!A62:E344,4,FALSE)</f>
        <v>NRCS(Livelihood,Education,Employment ,Health,Shelter,Health),PLAN(Education,GESI,Health)</v>
      </c>
      <c r="AZ64" s="27" t="str">
        <f>VLOOKUP(A64,'[1]PO''s List'!$A$3:$E$285,5,FALSE)</f>
        <v>HELVETAS(Shelter),SwissC(Shelter)</v>
      </c>
      <c r="BB64" s="27">
        <f>VLOOKUP($A64,'[1]Raw Data'!$A$3:$FB$285,63,FALSE)</f>
        <v>51489</v>
      </c>
      <c r="BC64" s="27" t="str">
        <f>VLOOKUP($A64,'[1]Raw Data'!$A$3:$FB$285,64,FALSE)</f>
        <v/>
      </c>
      <c r="BD64" s="27" t="str">
        <f t="shared" si="0"/>
        <v/>
      </c>
      <c r="BE64" s="27" t="str">
        <f>VLOOKUP($A64,'[1]Raw Data'!$A$3:$FB$285,65,FALSE)</f>
        <v/>
      </c>
      <c r="BF64" s="27">
        <f>VLOOKUP($A64,'[1]Raw Data'!$A$3:$FB$285,66,FALSE)</f>
        <v>52940</v>
      </c>
      <c r="BG64" s="27" t="str">
        <f>VLOOKUP($A64,'[1]Raw Data'!$A$3:$FB$285,67,FALSE)</f>
        <v/>
      </c>
      <c r="BH64" s="27" t="str">
        <f t="shared" si="1"/>
        <v/>
      </c>
      <c r="BI64" s="27" t="str">
        <f>VLOOKUP($A64,'[1]Raw Data'!$A$3:$FB$285,68,FALSE)</f>
        <v/>
      </c>
      <c r="BJ64" s="27">
        <f>VLOOKUP($A64,'[1]Raw Data'!$A$3:$FB$285,69,FALSE)</f>
        <v>5500</v>
      </c>
      <c r="BK64" s="27" t="str">
        <f>VLOOKUP($A64,'[1]Raw Data'!$A$3:$FB$285,70,FALSE)</f>
        <v/>
      </c>
      <c r="BL64" s="27" t="str">
        <f t="shared" si="2"/>
        <v/>
      </c>
      <c r="BM64" s="27" t="str">
        <f>VLOOKUP($A64,'[1]Raw Data'!$A$3:$FB$285,71,FALSE)</f>
        <v/>
      </c>
      <c r="BN64" s="27">
        <f>VLOOKUP($A64,'[1]Raw Data'!$A$3:$FB$285,72,FALSE)</f>
        <v>6353</v>
      </c>
      <c r="BO64" s="27" t="str">
        <f>VLOOKUP($A64,'[1]Raw Data'!$A$3:$FB$285,73,FALSE)</f>
        <v/>
      </c>
      <c r="BP64" s="27" t="str">
        <f t="shared" si="3"/>
        <v/>
      </c>
      <c r="BQ64" s="27" t="str">
        <f>VLOOKUP($A64,'[1]Raw Data'!$A$3:$FB$285,74,FALSE)</f>
        <v/>
      </c>
      <c r="BR64" s="27" t="str">
        <f>VLOOKUP($A64,'[1]Raw Data'!$A$3:$FB$285,75,FALSE)</f>
        <v/>
      </c>
      <c r="BS64" s="27" t="str">
        <f>VLOOKUP($A64,'[1]Raw Data'!$A$3:$FB$285,76,FALSE)</f>
        <v/>
      </c>
      <c r="BT64" s="27" t="str">
        <f t="shared" si="4"/>
        <v/>
      </c>
      <c r="BU64" s="27" t="str">
        <f>VLOOKUP($A64,'[1]Raw Data'!$A$3:$FB$285,77,FALSE)</f>
        <v/>
      </c>
      <c r="BV64" s="27">
        <f>VLOOKUP($A64,'[1]Raw Data'!$A$3:$FB$285,78,FALSE)</f>
        <v>175838</v>
      </c>
      <c r="BW64" s="27" t="str">
        <f>VLOOKUP($A64,'[1]Raw Data'!$A$3:$FB$285,79,FALSE)</f>
        <v/>
      </c>
      <c r="BX64" s="27" t="str">
        <f t="shared" si="5"/>
        <v/>
      </c>
      <c r="BY64" s="27" t="str">
        <f>VLOOKUP($A64,'[1]Raw Data'!$A$3:$FB$285,80,FALSE)</f>
        <v/>
      </c>
      <c r="BZ64" s="27">
        <f>VLOOKUP($A64,'[1]Raw Data'!$A$3:$FB$285,81,FALSE)</f>
        <v>558569</v>
      </c>
      <c r="CA64" s="27" t="str">
        <f>VLOOKUP($A64,'[1]Raw Data'!$A$3:$FB$285,82,FALSE)</f>
        <v/>
      </c>
      <c r="CB64" s="27" t="str">
        <f t="shared" si="6"/>
        <v/>
      </c>
      <c r="CC64" s="27" t="str">
        <f>VLOOKUP($A64,'[1]Raw Data'!$A$3:$FB$285,83,FALSE)</f>
        <v/>
      </c>
      <c r="CD64" s="27">
        <f>VLOOKUP($A64,'[1]Raw Data'!$A$3:$FB$285,84,FALSE)</f>
        <v>7189</v>
      </c>
      <c r="CE64" s="27" t="str">
        <f>VLOOKUP($A64,'[1]Raw Data'!$A$3:$FB$285,85,FALSE)</f>
        <v/>
      </c>
      <c r="CF64" s="27" t="str">
        <f t="shared" si="7"/>
        <v/>
      </c>
      <c r="CG64" s="27" t="str">
        <f>VLOOKUP($A64,'[1]Raw Data'!$A$3:$FB$285,86,FALSE)</f>
        <v/>
      </c>
      <c r="CH64" s="27">
        <f>VLOOKUP($A64,'[1]Raw Data'!$A$3:$FB$285,87,FALSE)</f>
        <v>568240</v>
      </c>
      <c r="CI64" s="27" t="str">
        <f>VLOOKUP($A64,'[1]Raw Data'!$A$3:$FB$285,88,FALSE)</f>
        <v/>
      </c>
      <c r="CJ64" s="27" t="str">
        <f t="shared" si="8"/>
        <v/>
      </c>
      <c r="CK64" s="27" t="str">
        <f>VLOOKUP($A64,'[1]Raw Data'!$A$3:$FB$285,89,FALSE)</f>
        <v/>
      </c>
      <c r="CL64" s="27">
        <f>VLOOKUP($A64,'[1]Raw Data'!$A$3:$FB$285,91,FALSE)</f>
        <v>1500</v>
      </c>
      <c r="CM64" s="27">
        <f>VLOOKUP($A64,'[1]Raw Data'!$A$3:$FB$285,93,FALSE)</f>
        <v>1000</v>
      </c>
      <c r="CN64" s="27" t="str">
        <f>VLOOKUP($A64,'[1]Raw Data'!$A$3:$FB$285,94,FALSE)</f>
        <v/>
      </c>
      <c r="CO64" s="27" t="str">
        <f>VLOOKUP($A64,'[1]Raw Data'!$A$3:$FB$285,95,FALSE)</f>
        <v/>
      </c>
      <c r="CP64" s="27" t="str">
        <f>VLOOKUP($A64,'[1]Raw Data'!$A$3:$FB$285,96,FALSE)</f>
        <v/>
      </c>
      <c r="CQ64" s="27" t="str">
        <f>VLOOKUP($A64,'[1]Raw Data'!$A$3:$FB$285,97,FALSE)</f>
        <v/>
      </c>
      <c r="CR64" s="27" t="str">
        <f>VLOOKUP($A64,'[1]Raw Data'!$A$3:$FB$285,98,FALSE)</f>
        <v/>
      </c>
      <c r="CS64" s="27" t="str">
        <f>VLOOKUP($A64,'[1]Raw Data'!$A$3:$FB$285,99,FALSE)</f>
        <v/>
      </c>
      <c r="CT64" s="27" t="str">
        <f>VLOOKUP($A64,'[1]Raw Data'!$A$3:$FB$285,101,FALSE)</f>
        <v>Deepa Bohara</v>
      </c>
      <c r="CU64" s="27" t="s">
        <v>950</v>
      </c>
      <c r="CV64" s="27" t="s">
        <v>830</v>
      </c>
      <c r="CW64" s="27" t="s">
        <v>878</v>
      </c>
      <c r="CX64" s="27">
        <f>VLOOKUP($A64,'[1]Raw Data'!$A$3:$FB$285,103,FALSE)</f>
        <v>9844082014</v>
      </c>
      <c r="CY64" s="27" t="str">
        <f>VLOOKUP($A64,'[1]Raw Data'!$A$3:$FB$285,105,FALSE)</f>
        <v>Dirbu Singh Moktan</v>
      </c>
      <c r="CZ64" s="27" t="s">
        <v>951</v>
      </c>
      <c r="DA64" s="27" t="s">
        <v>831</v>
      </c>
      <c r="DB64" s="27" t="s">
        <v>879</v>
      </c>
      <c r="DC64" s="27">
        <f>VLOOKUP($A64,'[1]Raw Data'!$A$3:$FB$285,107,FALSE)</f>
        <v>9841230660</v>
      </c>
      <c r="DD64" s="27" t="str">
        <f>VLOOKUP($A64,'[1]Raw Data'!$A$3:$FB$285,109,FALSE)</f>
        <v>Bikash Sundas</v>
      </c>
      <c r="DE64" s="27" t="s">
        <v>952</v>
      </c>
      <c r="DF64" s="27" t="str">
        <f>VLOOKUP($A64,'[1]Raw Data'!$A$3:$FB$285,110,FALSE)</f>
        <v>Chief Adminstration Officer</v>
      </c>
      <c r="DG64" s="27" t="s">
        <v>880</v>
      </c>
      <c r="DH64" s="27">
        <f>VLOOKUP($A64,'[1]Raw Data'!$A$3:$FB$285,111,FALSE)</f>
        <v>9851130036</v>
      </c>
      <c r="DI64" s="27" t="str">
        <f>VLOOKUP($A64,'[1]Raw Data'!$A$3:$FB$285,121,FALSE)</f>
        <v/>
      </c>
      <c r="DK64" s="27" t="str">
        <f>VLOOKUP($A64,'[1]Raw Data'!$A$3:$FB$285,122,FALSE)</f>
        <v>Focal Person</v>
      </c>
      <c r="DL64" s="27" t="s">
        <v>881</v>
      </c>
      <c r="DM64" s="27" t="str">
        <f>VLOOKUP($A64,'[1]Raw Data'!$A$3:$FB$285,123,FALSE)</f>
        <v/>
      </c>
      <c r="DN64" s="27" t="str">
        <f>VLOOKUP($A64,'[1]Raw Data'!$A$3:$FB$285,113,FALSE)</f>
        <v>Dev Narayan Pd. Yadav</v>
      </c>
      <c r="DO64" s="27" t="s">
        <v>929</v>
      </c>
      <c r="DP64" s="27" t="str">
        <f>VLOOKUP($A64,'[1]Raw Data'!$A$3:$FB$285,114,FALSE)</f>
        <v>NRA Chief-District</v>
      </c>
      <c r="DQ64" s="27" t="s">
        <v>882</v>
      </c>
      <c r="DR64" s="27">
        <f>VLOOKUP($A64,'[1]Raw Data'!$A$3:$FB$285,115,FALSE)</f>
        <v>9852029429</v>
      </c>
      <c r="DS64" s="27" t="str">
        <f>VLOOKUP($A64,'[1]Raw Data'!$A$3:$FB$285,117,FALSE)</f>
        <v>Prabhakar Lal Karna</v>
      </c>
      <c r="DT64" s="27" t="s">
        <v>894</v>
      </c>
      <c r="DU64" s="27" t="str">
        <f>VLOOKUP($A64,'[1]Raw Data'!$A$3:$FB$285,118,FALSE)</f>
        <v>DUDBC.DLPIU Chief</v>
      </c>
      <c r="DV64" s="27" t="s">
        <v>883</v>
      </c>
      <c r="DW64" s="27">
        <f>VLOOKUP($A64,'[1]Raw Data'!$A$3:$FB$285,119,FALSE)</f>
        <v>9854041543</v>
      </c>
      <c r="DX64" s="27" t="s">
        <v>339</v>
      </c>
      <c r="DY64" s="27" t="str">
        <f>VLOOKUP($A64,'[1]Raw Data'!$A$3:$FB$285,124,FALSE)</f>
        <v/>
      </c>
      <c r="DZ64" s="27" t="s">
        <v>884</v>
      </c>
      <c r="EA64" s="27" t="str">
        <f>VLOOKUP($A64,'[1]Raw Data'!$A$3:$FB$285,125,FALSE)</f>
        <v/>
      </c>
      <c r="EB64" s="27" t="s">
        <v>341</v>
      </c>
      <c r="EC64" s="27" t="str">
        <f>VLOOKUP($A64,'[1]Raw Data'!$A$3:$FB$285,126,FALSE)</f>
        <v/>
      </c>
      <c r="ED64" t="s">
        <v>478</v>
      </c>
      <c r="EE64" s="27" t="str">
        <f>VLOOKUP($A64,'[1]Raw Data'!$A$3:$FB$285,127,FALSE)</f>
        <v/>
      </c>
      <c r="EF64" s="27" t="s">
        <v>343</v>
      </c>
      <c r="EG64" s="27" t="str">
        <f>VLOOKUP($A64,'[1]Raw Data'!$A$3:$FB$285,128,FALSE)</f>
        <v/>
      </c>
      <c r="EH64" t="s">
        <v>344</v>
      </c>
      <c r="EI64" s="27" t="str">
        <f>VLOOKUP($A64,'[1]Raw Data'!$A$3:$FB$285,129,FALSE)</f>
        <v/>
      </c>
      <c r="EM64" s="27">
        <f>VLOOKUP($A64,'[1]Raw Data'!$A$3:$FB$285,130,FALSE)</f>
        <v>7</v>
      </c>
      <c r="EN64" s="27" t="str">
        <f>VLOOKUP($A64,'[1]Raw Data'!$A$3:$FB$285,131,FALSE)</f>
        <v/>
      </c>
      <c r="EO64" s="27">
        <f>VLOOKUP($A64,'[1]Raw Data'!$A$3:$FB$285,132,FALSE)</f>
        <v>5</v>
      </c>
      <c r="EP64" s="27" t="str">
        <f>VLOOKUP($A64,'[1]Raw Data'!$A$3:$FB$285,133,FALSE)</f>
        <v/>
      </c>
      <c r="EQ64" s="27">
        <f>VLOOKUP($A64,'[1]Raw Data'!$A$3:$FB$285,134,FALSE)</f>
        <v>6</v>
      </c>
      <c r="ER64" s="27" t="str">
        <f>VLOOKUP($A64,'[1]Raw Data'!$A$3:$FB$285,135,FALSE)</f>
        <v/>
      </c>
      <c r="ES64" s="27" t="str">
        <f>VLOOKUP($A64,'[1]Raw Data'!$A$3:$FB$285,136,FALSE)</f>
        <v/>
      </c>
      <c r="ET64" s="27" t="str">
        <f>VLOOKUP($A64,'[1]Raw Data'!$A$3:$FB$285,137,FALSE)</f>
        <v/>
      </c>
      <c r="EU64" s="27" t="str">
        <f>VLOOKUP($A64,'[1]Raw Data'!$A$3:$FB$285,138,FALSE)</f>
        <v/>
      </c>
      <c r="EV64" s="27" t="str">
        <f>VLOOKUP($A64,'[1]Raw Data'!$A$3:$FB$285,139,FALSE)</f>
        <v/>
      </c>
      <c r="EW64" s="38">
        <f>VLOOKUP($A64,[1]Training!$A$2:$I$284,5,FALSE)</f>
        <v>365</v>
      </c>
      <c r="EX64" s="31">
        <f>VLOOKUP($A64,[1]Training!$A$2:$I$284,6,FALSE)</f>
        <v>266</v>
      </c>
      <c r="EY64" s="38">
        <f>VLOOKUP($A64,[1]Training!$A$2:$I$284,8,FALSE)</f>
        <v>582.90678288338358</v>
      </c>
      <c r="EZ64" s="31">
        <f>VLOOKUP($A64,[1]Training!$A$2:$I$284,9,FALSE)</f>
        <v>6</v>
      </c>
      <c r="FA64" s="27">
        <v>1</v>
      </c>
      <c r="FB64" s="27">
        <v>2</v>
      </c>
      <c r="FC64" s="27" t="str">
        <f>VLOOKUP($A64,'[1]Raw Data'!$A$3:$FB$285,148,FALSE)</f>
        <v/>
      </c>
      <c r="FE64" s="27" t="str">
        <f>VLOOKUP($A64,'[1]Raw Data'!$A$3:$FB$285,149,FALSE)</f>
        <v>District Coordinator</v>
      </c>
      <c r="FF64" s="27" t="s">
        <v>885</v>
      </c>
      <c r="FG64" s="27" t="str">
        <f>VLOOKUP($A64,'[1]Raw Data'!$A$3:$FB$285,150,FALSE)</f>
        <v/>
      </c>
      <c r="FH64" s="27" t="str">
        <f>VLOOKUP($A64,'[1]Raw Data'!$A$3:$FB$285,156,FALSE)</f>
        <v>Lekhnath Paudel</v>
      </c>
      <c r="FI64" s="27" t="s">
        <v>930</v>
      </c>
      <c r="FJ64" s="27" t="str">
        <f>VLOOKUP($A64,'[1]Raw Data'!$A$3:$FB$285,157,FALSE)</f>
        <v>District Technical Officer</v>
      </c>
      <c r="FK64" s="27" t="s">
        <v>886</v>
      </c>
      <c r="FL64" s="27">
        <f>VLOOKUP($A64,'[1]Raw Data'!$A$3:$FB$285,158,FALSE)</f>
        <v>9841640328</v>
      </c>
      <c r="FM64" s="27" t="str">
        <f>VLOOKUP($A64,'[1]Raw Data'!$A$3:$FB$285,152,FALSE)</f>
        <v>Sachin Malego</v>
      </c>
      <c r="FN64" s="27" t="s">
        <v>931</v>
      </c>
      <c r="FO64" s="27" t="str">
        <f>VLOOKUP($A64,'[1]Raw Data'!$A$3:$FB$285,153,FALSE)</f>
        <v>District Information Management Officer</v>
      </c>
      <c r="FP64" s="27" t="s">
        <v>887</v>
      </c>
      <c r="FQ64" s="27">
        <f>VLOOKUP($A64,'[1]Raw Data'!$A$3:$FB$285,154,FALSE)</f>
        <v>9849166793</v>
      </c>
    </row>
    <row r="65" spans="1:173" ht="24" x14ac:dyDescent="0.45">
      <c r="A65" s="27">
        <v>20009</v>
      </c>
      <c r="B65" s="36" t="str">
        <f ca="1">IFERROR(__xludf.DUMMYFUNCTION("""COMPUTED_VALUE"""),"Tinpatan Gaunpalika")</f>
        <v>Tinpatan Gaunpalika</v>
      </c>
      <c r="C65" s="37" t="str">
        <f>VLOOKUP(A65,'[1]Palika and District in Nepali '!$D$1:$F$283,3,FALSE)</f>
        <v>तीनपाटन गाउँपालिका</v>
      </c>
      <c r="D65" s="36" t="str">
        <f ca="1">IFERROR(__xludf.DUMMYFUNCTION("""COMPUTED_VALUE"""),"Sindhuli")</f>
        <v>Sindhuli</v>
      </c>
      <c r="E65" s="36"/>
      <c r="F65" s="27">
        <f>VLOOKUP(A65,'[1]Raw Data'!$A$3:$FB$285,4,FALSE)</f>
        <v>3272</v>
      </c>
      <c r="G65" s="27">
        <f>VLOOKUP(A65,'[1]Raw Data'!$A$3:$FB$285,5,FALSE)</f>
        <v>5591</v>
      </c>
      <c r="H65" s="27">
        <f>VLOOKUP(A65,'[1]Raw Data'!$A$3:$FB$285,6,FALSE)</f>
        <v>8863</v>
      </c>
      <c r="I65" s="27">
        <f>VLOOKUP($A65,'[1]Raw Data'!$A$3:$FB$285,8,FALSE)</f>
        <v>1.95</v>
      </c>
      <c r="J65" s="27">
        <f>VLOOKUP($A65,'[1]Raw Data'!$A$3:$FB$285,9,FALSE)</f>
        <v>1.23</v>
      </c>
      <c r="K65" s="27">
        <f>VLOOKUP($A65,'[1]Raw Data'!$A$3:$FB$285,11,FALSE)</f>
        <v>70.87</v>
      </c>
      <c r="L65" s="27">
        <f>VLOOKUP($A65,'[1]Raw Data'!$A$3:$FB$285,12,FALSE)</f>
        <v>53.21</v>
      </c>
      <c r="M65" s="27">
        <f>VLOOKUP($A65,'[1]Raw Data'!$A$3:$FB$285,14,FALSE)</f>
        <v>2.73</v>
      </c>
      <c r="N65" s="27">
        <f>VLOOKUP($A65,'[1]Raw Data'!$A$3:$FB$285,15,FALSE)</f>
        <v>10.51</v>
      </c>
      <c r="O65" s="27">
        <f>VLOOKUP($A65,'[1]Raw Data'!$A$3:$FB$285,17,FALSE)</f>
        <v>0.25</v>
      </c>
      <c r="P65" s="27">
        <f>VLOOKUP($A65,'[1]Raw Data'!$A$3:$FB$285,18,FALSE)</f>
        <v>0.35</v>
      </c>
      <c r="Q65" s="27">
        <f>VLOOKUP($A65,'[1]Raw Data'!$A$3:$FB$285,20,FALSE)</f>
        <v>0.1</v>
      </c>
      <c r="R65" s="27">
        <f>VLOOKUP($A65,'[1]Raw Data'!$A$3:$FB$285,21,FALSE)</f>
        <v>1.99</v>
      </c>
      <c r="S65" s="27">
        <f>VLOOKUP($A65,'[1]Raw Data'!$A$3:$FB$285,23,FALSE)</f>
        <v>0</v>
      </c>
      <c r="T65" s="27">
        <f>VLOOKUP($A65,'[1]Raw Data'!$A$3:$FB$285,24,FALSE)</f>
        <v>0</v>
      </c>
      <c r="U65" s="27">
        <f>VLOOKUP($A65,'[1]Raw Data'!$A$3:$FB$285,26,FALSE)</f>
        <v>19.350000000000001</v>
      </c>
      <c r="V65" s="27">
        <f>VLOOKUP($A65,'[1]Raw Data'!$A$3:$FB$285,27,FALSE)</f>
        <v>25.88</v>
      </c>
      <c r="W65" s="27">
        <f>VLOOKUP($A65,'[1]Raw Data'!$A$3:$FB$285,29,FALSE)</f>
        <v>0</v>
      </c>
      <c r="X65" s="27">
        <f>VLOOKUP($A65,'[1]Raw Data'!$A$3:$FB$285,30,FALSE)</f>
        <v>0</v>
      </c>
      <c r="Y65" s="27">
        <f>VLOOKUP($A65,'[1]Raw Data'!$A$3:$FB$285,32,FALSE)</f>
        <v>0.41</v>
      </c>
      <c r="Z65" s="27">
        <f>VLOOKUP($A65,'[1]Raw Data'!$A$3:$FB$285,33,FALSE)</f>
        <v>0.84</v>
      </c>
      <c r="AA65" s="27">
        <f>VLOOKUP($A65,'[1]Raw Data'!$A$3:$FB$285,35,FALSE)</f>
        <v>2.25</v>
      </c>
      <c r="AB65" s="27">
        <f>VLOOKUP($A65,'[1]Raw Data'!$A$3:$FB$285,36,FALSE)</f>
        <v>2.29</v>
      </c>
      <c r="AC65" s="27">
        <f>VLOOKUP($A65,'[1]Raw Data'!$A$3:$FB$285,38,FALSE)</f>
        <v>2.09</v>
      </c>
      <c r="AD65" s="27">
        <f>VLOOKUP($A65,'[1]Raw Data'!$A$3:$FB$285,39,FALSE)</f>
        <v>3.7</v>
      </c>
      <c r="AE65" s="27">
        <f>VLOOKUP($A65,'[1]Raw Data'!$A$3:$FB$285,41,FALSE)</f>
        <v>0</v>
      </c>
      <c r="AF65" s="27">
        <f>VLOOKUP($A65,'[1]Raw Data'!$A$3:$FB$285,42,FALSE)</f>
        <v>0</v>
      </c>
      <c r="AG65" s="27">
        <f>VLOOKUP($A65,'[1]Raw Data'!$A$3:$FB$285,44,FALSE)</f>
        <v>0</v>
      </c>
      <c r="AH65" s="27">
        <f>VLOOKUP($A65,'[1]Raw Data'!$A$3:$FB$285,45,FALSE)</f>
        <v>0</v>
      </c>
      <c r="AI65" s="27">
        <f>VLOOKUP($A65,'[1]Raw Data'!$A$3:$FB$285,46,FALSE)</f>
        <v>4281</v>
      </c>
      <c r="AJ65" s="27">
        <f>VLOOKUP($A65,'[1]Raw Data'!$A$3:$FB$285,47,FALSE)</f>
        <v>4235</v>
      </c>
      <c r="AK65" s="27">
        <f>VLOOKUP($A65,'[1]Raw Data'!$A$3:$FB$285,48,FALSE)</f>
        <v>4232</v>
      </c>
      <c r="AL65" s="27">
        <f>VLOOKUP($A65,'[1]Raw Data'!$A$3:$FB$285,49,FALSE)</f>
        <v>4181</v>
      </c>
      <c r="AM65" s="27">
        <f>VLOOKUP($A65,'[1]Raw Data'!$A$3:$FB$285,50,FALSE)</f>
        <v>2128</v>
      </c>
      <c r="AN65" s="27">
        <f>VLOOKUP($A65,'[1]Raw Data'!$A$3:$FB$285,51,FALSE)</f>
        <v>0</v>
      </c>
      <c r="AO65" s="27">
        <f>VLOOKUP($A65,'[1]Raw Data'!$A$3:$FB$285,52,FALSE)</f>
        <v>1655</v>
      </c>
      <c r="AP65" s="27">
        <f>VLOOKUP($A65,'[1]Raw Data'!$A$3:$FB$285,53,FALSE)</f>
        <v>2499</v>
      </c>
      <c r="AQ65" s="27" t="str">
        <f>VLOOKUP($A65,'[1]Raw Data'!$A$3:$FB$285,54,FALSE)</f>
        <v/>
      </c>
      <c r="AR65" s="27">
        <f>VLOOKUP($A65,'[1]Raw Data'!$A$3:$FB$285,55,FALSE)</f>
        <v>316</v>
      </c>
      <c r="AS65" s="27">
        <f>VLOOKUP($A65,'[1]Raw Data'!$A$3:$FB$285,56,FALSE)</f>
        <v>0</v>
      </c>
      <c r="AT65" s="27" t="str">
        <f>VLOOKUP($A65,'[1]Raw Data'!$A$3:$FB$285,57,FALSE)</f>
        <v/>
      </c>
      <c r="AU65" s="27" t="str">
        <f>VLOOKUP($A65,'[1]Raw Data'!$A$3:$FB$285,58,FALSE)</f>
        <v/>
      </c>
      <c r="AV65" s="27">
        <f>VLOOKUP($A65,'[1]Raw Data'!$A$3:$FB$285,59,FALSE)</f>
        <v>16</v>
      </c>
      <c r="AW65" s="27">
        <f>VLOOKUP($A65,'[1]Raw Data'!$A$3:$FB$285,60,FALSE)</f>
        <v>3</v>
      </c>
      <c r="AX65" s="27" t="str">
        <f>VLOOKUP(A65,'[1]PO''s List'!A63:E345,4,FALSE)</f>
        <v>NRCS(Health)</v>
      </c>
      <c r="AZ65" s="27" t="str">
        <f>VLOOKUP(A65,'[1]PO''s List'!$A$3:$E$285,5,FALSE)</f>
        <v>FCA(Education),HELVETAS(Shelter),PLAN(Health),WVIN(Education)</v>
      </c>
      <c r="BB65" s="27">
        <f>VLOOKUP($A65,'[1]Raw Data'!$A$3:$FB$285,63,FALSE)</f>
        <v>45814</v>
      </c>
      <c r="BC65" s="27" t="str">
        <f>VLOOKUP($A65,'[1]Raw Data'!$A$3:$FB$285,64,FALSE)</f>
        <v/>
      </c>
      <c r="BD65" s="27" t="str">
        <f t="shared" si="0"/>
        <v/>
      </c>
      <c r="BE65" s="27">
        <f>VLOOKUP($A65,'[1]Raw Data'!$A$3:$FB$285,65,FALSE)</f>
        <v>2620</v>
      </c>
      <c r="BF65" s="27">
        <f>VLOOKUP($A65,'[1]Raw Data'!$A$3:$FB$285,66,FALSE)</f>
        <v>44648</v>
      </c>
      <c r="BG65" s="27" t="str">
        <f>VLOOKUP($A65,'[1]Raw Data'!$A$3:$FB$285,67,FALSE)</f>
        <v/>
      </c>
      <c r="BH65" s="27" t="str">
        <f t="shared" si="1"/>
        <v/>
      </c>
      <c r="BI65" s="27">
        <f>VLOOKUP($A65,'[1]Raw Data'!$A$3:$FB$285,68,FALSE)</f>
        <v>2620</v>
      </c>
      <c r="BJ65" s="27">
        <f>VLOOKUP($A65,'[1]Raw Data'!$A$3:$FB$285,69,FALSE)</f>
        <v>4873</v>
      </c>
      <c r="BK65" s="27" t="str">
        <f>VLOOKUP($A65,'[1]Raw Data'!$A$3:$FB$285,70,FALSE)</f>
        <v/>
      </c>
      <c r="BL65" s="27" t="str">
        <f t="shared" si="2"/>
        <v/>
      </c>
      <c r="BM65" s="27">
        <f>VLOOKUP($A65,'[1]Raw Data'!$A$3:$FB$285,71,FALSE)</f>
        <v>2400</v>
      </c>
      <c r="BN65" s="27">
        <f>VLOOKUP($A65,'[1]Raw Data'!$A$3:$FB$285,72,FALSE)</f>
        <v>5554</v>
      </c>
      <c r="BO65" s="27" t="str">
        <f>VLOOKUP($A65,'[1]Raw Data'!$A$3:$FB$285,73,FALSE)</f>
        <v/>
      </c>
      <c r="BP65" s="27" t="str">
        <f t="shared" si="3"/>
        <v/>
      </c>
      <c r="BQ65" s="27" t="str">
        <f>VLOOKUP($A65,'[1]Raw Data'!$A$3:$FB$285,74,FALSE)</f>
        <v/>
      </c>
      <c r="BR65" s="27" t="str">
        <f>VLOOKUP($A65,'[1]Raw Data'!$A$3:$FB$285,75,FALSE)</f>
        <v/>
      </c>
      <c r="BS65" s="27" t="str">
        <f>VLOOKUP($A65,'[1]Raw Data'!$A$3:$FB$285,76,FALSE)</f>
        <v>Y</v>
      </c>
      <c r="BT65" s="27" t="str">
        <f t="shared" si="4"/>
        <v>छ</v>
      </c>
      <c r="BU65" s="27">
        <f>VLOOKUP($A65,'[1]Raw Data'!$A$3:$FB$285,77,FALSE)</f>
        <v>875</v>
      </c>
      <c r="BV65" s="27">
        <f>VLOOKUP($A65,'[1]Raw Data'!$A$3:$FB$285,78,FALSE)</f>
        <v>150622</v>
      </c>
      <c r="BW65" s="27" t="str">
        <f>VLOOKUP($A65,'[1]Raw Data'!$A$3:$FB$285,79,FALSE)</f>
        <v/>
      </c>
      <c r="BX65" s="27" t="str">
        <f t="shared" si="5"/>
        <v/>
      </c>
      <c r="BY65" s="27">
        <f>VLOOKUP($A65,'[1]Raw Data'!$A$3:$FB$285,80,FALSE)</f>
        <v>975</v>
      </c>
      <c r="BZ65" s="27">
        <f>VLOOKUP($A65,'[1]Raw Data'!$A$3:$FB$285,81,FALSE)</f>
        <v>503246</v>
      </c>
      <c r="CA65" s="27" t="str">
        <f>VLOOKUP($A65,'[1]Raw Data'!$A$3:$FB$285,82,FALSE)</f>
        <v/>
      </c>
      <c r="CB65" s="27" t="str">
        <f t="shared" si="6"/>
        <v/>
      </c>
      <c r="CC65" s="27">
        <f>VLOOKUP($A65,'[1]Raw Data'!$A$3:$FB$285,83,FALSE)</f>
        <v>91</v>
      </c>
      <c r="CD65" s="27">
        <f>VLOOKUP($A65,'[1]Raw Data'!$A$3:$FB$285,84,FALSE)</f>
        <v>6166</v>
      </c>
      <c r="CE65" s="27" t="str">
        <f>VLOOKUP($A65,'[1]Raw Data'!$A$3:$FB$285,85,FALSE)</f>
        <v/>
      </c>
      <c r="CF65" s="27" t="str">
        <f t="shared" si="7"/>
        <v/>
      </c>
      <c r="CG65" s="27" t="str">
        <f>VLOOKUP($A65,'[1]Raw Data'!$A$3:$FB$285,86,FALSE)</f>
        <v/>
      </c>
      <c r="CH65" s="27">
        <f>VLOOKUP($A65,'[1]Raw Data'!$A$3:$FB$285,87,FALSE)</f>
        <v>977531</v>
      </c>
      <c r="CI65" s="27" t="str">
        <f>VLOOKUP($A65,'[1]Raw Data'!$A$3:$FB$285,88,FALSE)</f>
        <v/>
      </c>
      <c r="CJ65" s="27" t="str">
        <f t="shared" si="8"/>
        <v/>
      </c>
      <c r="CK65" s="27" t="str">
        <f>VLOOKUP($A65,'[1]Raw Data'!$A$3:$FB$285,89,FALSE)</f>
        <v/>
      </c>
      <c r="CL65" s="27">
        <f>VLOOKUP($A65,'[1]Raw Data'!$A$3:$FB$285,91,FALSE)</f>
        <v>1200</v>
      </c>
      <c r="CM65" s="27">
        <f>VLOOKUP($A65,'[1]Raw Data'!$A$3:$FB$285,93,FALSE)</f>
        <v>700</v>
      </c>
      <c r="CN65" s="27" t="str">
        <f>VLOOKUP($A65,'[1]Raw Data'!$A$3:$FB$285,94,FALSE)</f>
        <v/>
      </c>
      <c r="CO65" s="27" t="str">
        <f>VLOOKUP($A65,'[1]Raw Data'!$A$3:$FB$285,95,FALSE)</f>
        <v/>
      </c>
      <c r="CP65" s="27" t="str">
        <f>VLOOKUP($A65,'[1]Raw Data'!$A$3:$FB$285,96,FALSE)</f>
        <v/>
      </c>
      <c r="CQ65" s="27" t="str">
        <f>VLOOKUP($A65,'[1]Raw Data'!$A$3:$FB$285,97,FALSE)</f>
        <v/>
      </c>
      <c r="CR65" s="27" t="str">
        <f>VLOOKUP($A65,'[1]Raw Data'!$A$3:$FB$285,98,FALSE)</f>
        <v/>
      </c>
      <c r="CS65" s="27" t="str">
        <f>VLOOKUP($A65,'[1]Raw Data'!$A$3:$FB$285,99,FALSE)</f>
        <v/>
      </c>
      <c r="CT65" s="27" t="str">
        <f>VLOOKUP($A65,'[1]Raw Data'!$A$3:$FB$285,101,FALSE)</f>
        <v>Karna Bdr. Magar</v>
      </c>
      <c r="CU65" s="27" t="s">
        <v>953</v>
      </c>
      <c r="CV65" s="27" t="s">
        <v>830</v>
      </c>
      <c r="CW65" s="27" t="s">
        <v>878</v>
      </c>
      <c r="CX65" s="27">
        <f>VLOOKUP($A65,'[1]Raw Data'!$A$3:$FB$285,103,FALSE)</f>
        <v>9854041525</v>
      </c>
      <c r="CY65" s="27" t="str">
        <f>VLOOKUP($A65,'[1]Raw Data'!$A$3:$FB$285,105,FALSE)</f>
        <v>Padma Maya Tamang</v>
      </c>
      <c r="CZ65" s="27" t="s">
        <v>954</v>
      </c>
      <c r="DA65" s="27" t="s">
        <v>831</v>
      </c>
      <c r="DB65" s="27" t="s">
        <v>879</v>
      </c>
      <c r="DC65" s="27">
        <f>VLOOKUP($A65,'[1]Raw Data'!$A$3:$FB$285,107,FALSE)</f>
        <v>9816849038</v>
      </c>
      <c r="DD65" s="27" t="str">
        <f>VLOOKUP($A65,'[1]Raw Data'!$A$3:$FB$285,109,FALSE)</f>
        <v>Surendra Pradhan</v>
      </c>
      <c r="DE65" s="27" t="s">
        <v>955</v>
      </c>
      <c r="DF65" s="27" t="str">
        <f>VLOOKUP($A65,'[1]Raw Data'!$A$3:$FB$285,110,FALSE)</f>
        <v>Chief Adminstration Officer</v>
      </c>
      <c r="DG65" s="27" t="s">
        <v>880</v>
      </c>
      <c r="DH65" s="27">
        <f>VLOOKUP($A65,'[1]Raw Data'!$A$3:$FB$285,111,FALSE)</f>
        <v>9854042220</v>
      </c>
      <c r="DI65" s="27" t="str">
        <f>VLOOKUP($A65,'[1]Raw Data'!$A$3:$FB$285,121,FALSE)</f>
        <v/>
      </c>
      <c r="DK65" s="27" t="str">
        <f>VLOOKUP($A65,'[1]Raw Data'!$A$3:$FB$285,122,FALSE)</f>
        <v>Focal Person</v>
      </c>
      <c r="DL65" s="27" t="s">
        <v>881</v>
      </c>
      <c r="DM65" s="27" t="str">
        <f>VLOOKUP($A65,'[1]Raw Data'!$A$3:$FB$285,123,FALSE)</f>
        <v/>
      </c>
      <c r="DN65" s="27" t="str">
        <f>VLOOKUP($A65,'[1]Raw Data'!$A$3:$FB$285,113,FALSE)</f>
        <v>Dev Narayan Pd. Yadav</v>
      </c>
      <c r="DO65" s="27" t="s">
        <v>929</v>
      </c>
      <c r="DP65" s="27" t="str">
        <f>VLOOKUP($A65,'[1]Raw Data'!$A$3:$FB$285,114,FALSE)</f>
        <v>NRA Chief-District</v>
      </c>
      <c r="DQ65" s="27" t="s">
        <v>882</v>
      </c>
      <c r="DR65" s="27">
        <f>VLOOKUP($A65,'[1]Raw Data'!$A$3:$FB$285,115,FALSE)</f>
        <v>9852029429</v>
      </c>
      <c r="DS65" s="27" t="str">
        <f>VLOOKUP($A65,'[1]Raw Data'!$A$3:$FB$285,117,FALSE)</f>
        <v>Prabhakar Lal Karna</v>
      </c>
      <c r="DT65" s="27" t="s">
        <v>894</v>
      </c>
      <c r="DU65" s="27" t="str">
        <f>VLOOKUP($A65,'[1]Raw Data'!$A$3:$FB$285,118,FALSE)</f>
        <v>DUDBC.DLPIU Chief</v>
      </c>
      <c r="DV65" s="27" t="s">
        <v>883</v>
      </c>
      <c r="DW65" s="27">
        <f>VLOOKUP($A65,'[1]Raw Data'!$A$3:$FB$285,119,FALSE)</f>
        <v>9854041543</v>
      </c>
      <c r="DX65" s="27" t="s">
        <v>339</v>
      </c>
      <c r="DY65" s="27" t="str">
        <f>VLOOKUP($A65,'[1]Raw Data'!$A$3:$FB$285,124,FALSE)</f>
        <v/>
      </c>
      <c r="DZ65" s="27" t="s">
        <v>884</v>
      </c>
      <c r="EA65" s="27" t="str">
        <f>VLOOKUP($A65,'[1]Raw Data'!$A$3:$FB$285,125,FALSE)</f>
        <v/>
      </c>
      <c r="EB65" s="27" t="s">
        <v>341</v>
      </c>
      <c r="EC65" s="27" t="str">
        <f>VLOOKUP($A65,'[1]Raw Data'!$A$3:$FB$285,126,FALSE)</f>
        <v/>
      </c>
      <c r="ED65" t="s">
        <v>478</v>
      </c>
      <c r="EE65" s="27" t="str">
        <f>VLOOKUP($A65,'[1]Raw Data'!$A$3:$FB$285,127,FALSE)</f>
        <v/>
      </c>
      <c r="EF65" s="27" t="s">
        <v>343</v>
      </c>
      <c r="EG65" s="27" t="str">
        <f>VLOOKUP($A65,'[1]Raw Data'!$A$3:$FB$285,128,FALSE)</f>
        <v/>
      </c>
      <c r="EH65" t="s">
        <v>344</v>
      </c>
      <c r="EI65" s="27" t="str">
        <f>VLOOKUP($A65,'[1]Raw Data'!$A$3:$FB$285,129,FALSE)</f>
        <v/>
      </c>
      <c r="EM65" s="27">
        <f>VLOOKUP($A65,'[1]Raw Data'!$A$3:$FB$285,130,FALSE)</f>
        <v>6</v>
      </c>
      <c r="EN65" s="27" t="str">
        <f>VLOOKUP($A65,'[1]Raw Data'!$A$3:$FB$285,131,FALSE)</f>
        <v/>
      </c>
      <c r="EO65" s="27">
        <f>VLOOKUP($A65,'[1]Raw Data'!$A$3:$FB$285,132,FALSE)</f>
        <v>10</v>
      </c>
      <c r="EP65" s="27" t="str">
        <f>VLOOKUP($A65,'[1]Raw Data'!$A$3:$FB$285,133,FALSE)</f>
        <v/>
      </c>
      <c r="EQ65" s="27">
        <f>VLOOKUP($A65,'[1]Raw Data'!$A$3:$FB$285,134,FALSE)</f>
        <v>9</v>
      </c>
      <c r="ER65" s="27" t="str">
        <f>VLOOKUP($A65,'[1]Raw Data'!$A$3:$FB$285,135,FALSE)</f>
        <v/>
      </c>
      <c r="ES65" s="27" t="str">
        <f>VLOOKUP($A65,'[1]Raw Data'!$A$3:$FB$285,136,FALSE)</f>
        <v/>
      </c>
      <c r="ET65" s="27" t="str">
        <f>VLOOKUP($A65,'[1]Raw Data'!$A$3:$FB$285,137,FALSE)</f>
        <v/>
      </c>
      <c r="EU65" s="27" t="str">
        <f>VLOOKUP($A65,'[1]Raw Data'!$A$3:$FB$285,138,FALSE)</f>
        <v/>
      </c>
      <c r="EV65" s="27" t="str">
        <f>VLOOKUP($A65,'[1]Raw Data'!$A$3:$FB$285,139,FALSE)</f>
        <v/>
      </c>
      <c r="EW65" s="38">
        <f>VLOOKUP($A65,[1]Training!$A$2:$I$284,5,FALSE)</f>
        <v>329.30769230769232</v>
      </c>
      <c r="EX65" s="31">
        <f>VLOOKUP($A65,[1]Training!$A$2:$I$284,6,FALSE)</f>
        <v>0</v>
      </c>
      <c r="EY65" s="38">
        <f>VLOOKUP($A65,[1]Training!$A$2:$I$284,8,FALSE)</f>
        <v>525.90599315569341</v>
      </c>
      <c r="EZ65" s="31">
        <f>VLOOKUP($A65,[1]Training!$A$2:$I$284,9,FALSE)</f>
        <v>160</v>
      </c>
      <c r="FA65" s="27">
        <v>1</v>
      </c>
      <c r="FB65" s="27">
        <v>2</v>
      </c>
      <c r="FC65" s="27" t="str">
        <f>VLOOKUP($A65,'[1]Raw Data'!$A$3:$FB$285,148,FALSE)</f>
        <v/>
      </c>
      <c r="FE65" s="27" t="str">
        <f>VLOOKUP($A65,'[1]Raw Data'!$A$3:$FB$285,149,FALSE)</f>
        <v>District Coordinator</v>
      </c>
      <c r="FF65" s="27" t="s">
        <v>885</v>
      </c>
      <c r="FG65" s="27" t="str">
        <f>VLOOKUP($A65,'[1]Raw Data'!$A$3:$FB$285,150,FALSE)</f>
        <v/>
      </c>
      <c r="FH65" s="27" t="str">
        <f>VLOOKUP($A65,'[1]Raw Data'!$A$3:$FB$285,156,FALSE)</f>
        <v>Lekhnath Paudel</v>
      </c>
      <c r="FI65" s="27" t="s">
        <v>930</v>
      </c>
      <c r="FJ65" s="27" t="str">
        <f>VLOOKUP($A65,'[1]Raw Data'!$A$3:$FB$285,157,FALSE)</f>
        <v>District Technical Officer</v>
      </c>
      <c r="FK65" s="27" t="s">
        <v>886</v>
      </c>
      <c r="FL65" s="27">
        <f>VLOOKUP($A65,'[1]Raw Data'!$A$3:$FB$285,158,FALSE)</f>
        <v>9841640328</v>
      </c>
      <c r="FM65" s="27" t="str">
        <f>VLOOKUP($A65,'[1]Raw Data'!$A$3:$FB$285,152,FALSE)</f>
        <v>Sachin Malego</v>
      </c>
      <c r="FN65" s="27" t="s">
        <v>931</v>
      </c>
      <c r="FO65" s="27" t="str">
        <f>VLOOKUP($A65,'[1]Raw Data'!$A$3:$FB$285,153,FALSE)</f>
        <v>District Information Management Officer</v>
      </c>
      <c r="FP65" s="27" t="s">
        <v>887</v>
      </c>
      <c r="FQ65" s="27">
        <f>VLOOKUP($A65,'[1]Raw Data'!$A$3:$FB$285,154,FALSE)</f>
        <v>9849166793</v>
      </c>
    </row>
    <row r="66" spans="1:173" ht="24" x14ac:dyDescent="0.45">
      <c r="A66" s="27">
        <v>21001</v>
      </c>
      <c r="B66" s="36" t="str">
        <f ca="1">IFERROR(__xludf.DUMMYFUNCTION("""COMPUTED_VALUE"""),"Doramba Gaunpalika")</f>
        <v>Doramba Gaunpalika</v>
      </c>
      <c r="C66" s="37" t="str">
        <f>VLOOKUP(A66,'[1]Palika and District in Nepali '!$D$1:$F$283,3,FALSE)</f>
        <v>दोरम्बा गाउँपालिका</v>
      </c>
      <c r="D66" s="36" t="str">
        <f ca="1">IFERROR(__xludf.DUMMYFUNCTION("""COMPUTED_VALUE"""),"Ramechhap")</f>
        <v>Ramechhap</v>
      </c>
      <c r="E66" s="36"/>
      <c r="F66" s="27">
        <f>VLOOKUP(A66,'[1]Raw Data'!$A$3:$FB$285,4,FALSE)</f>
        <v>1644</v>
      </c>
      <c r="G66" s="27">
        <f>VLOOKUP(A66,'[1]Raw Data'!$A$3:$FB$285,5,FALSE)</f>
        <v>4194</v>
      </c>
      <c r="H66" s="27">
        <f>VLOOKUP(A66,'[1]Raw Data'!$A$3:$FB$285,6,FALSE)</f>
        <v>5838</v>
      </c>
      <c r="I66" s="27">
        <f>VLOOKUP($A66,'[1]Raw Data'!$A$3:$FB$285,8,FALSE)</f>
        <v>0.22</v>
      </c>
      <c r="J66" s="27">
        <f>VLOOKUP($A66,'[1]Raw Data'!$A$3:$FB$285,9,FALSE)</f>
        <v>0.46</v>
      </c>
      <c r="K66" s="27">
        <f>VLOOKUP($A66,'[1]Raw Data'!$A$3:$FB$285,11,FALSE)</f>
        <v>98.47</v>
      </c>
      <c r="L66" s="27">
        <f>VLOOKUP($A66,'[1]Raw Data'!$A$3:$FB$285,12,FALSE)</f>
        <v>97.73</v>
      </c>
      <c r="M66" s="27">
        <f>VLOOKUP($A66,'[1]Raw Data'!$A$3:$FB$285,14,FALSE)</f>
        <v>0</v>
      </c>
      <c r="N66" s="27">
        <f>VLOOKUP($A66,'[1]Raw Data'!$A$3:$FB$285,15,FALSE)</f>
        <v>0.17</v>
      </c>
      <c r="O66" s="27">
        <f>VLOOKUP($A66,'[1]Raw Data'!$A$3:$FB$285,17,FALSE)</f>
        <v>0</v>
      </c>
      <c r="P66" s="27">
        <f>VLOOKUP($A66,'[1]Raw Data'!$A$3:$FB$285,18,FALSE)</f>
        <v>0.02</v>
      </c>
      <c r="Q66" s="27">
        <f>VLOOKUP($A66,'[1]Raw Data'!$A$3:$FB$285,20,FALSE)</f>
        <v>0.05</v>
      </c>
      <c r="R66" s="27">
        <f>VLOOKUP($A66,'[1]Raw Data'!$A$3:$FB$285,21,FALSE)</f>
        <v>0.55000000000000004</v>
      </c>
      <c r="S66" s="27">
        <f>VLOOKUP($A66,'[1]Raw Data'!$A$3:$FB$285,23,FALSE)</f>
        <v>0</v>
      </c>
      <c r="T66" s="27">
        <f>VLOOKUP($A66,'[1]Raw Data'!$A$3:$FB$285,24,FALSE)</f>
        <v>0</v>
      </c>
      <c r="U66" s="27">
        <f>VLOOKUP($A66,'[1]Raw Data'!$A$3:$FB$285,26,FALSE)</f>
        <v>0.57999999999999996</v>
      </c>
      <c r="V66" s="27">
        <f>VLOOKUP($A66,'[1]Raw Data'!$A$3:$FB$285,27,FALSE)</f>
        <v>0.37</v>
      </c>
      <c r="W66" s="27">
        <f>VLOOKUP($A66,'[1]Raw Data'!$A$3:$FB$285,29,FALSE)</f>
        <v>0</v>
      </c>
      <c r="X66" s="27">
        <f>VLOOKUP($A66,'[1]Raw Data'!$A$3:$FB$285,30,FALSE)</f>
        <v>0</v>
      </c>
      <c r="Y66" s="27">
        <f>VLOOKUP($A66,'[1]Raw Data'!$A$3:$FB$285,32,FALSE)</f>
        <v>7.0000000000000007E-2</v>
      </c>
      <c r="Z66" s="27">
        <f>VLOOKUP($A66,'[1]Raw Data'!$A$3:$FB$285,33,FALSE)</f>
        <v>0.11</v>
      </c>
      <c r="AA66" s="27">
        <f>VLOOKUP($A66,'[1]Raw Data'!$A$3:$FB$285,35,FALSE)</f>
        <v>0.46</v>
      </c>
      <c r="AB66" s="27">
        <f>VLOOKUP($A66,'[1]Raw Data'!$A$3:$FB$285,36,FALSE)</f>
        <v>0.44</v>
      </c>
      <c r="AC66" s="27">
        <f>VLOOKUP($A66,'[1]Raw Data'!$A$3:$FB$285,38,FALSE)</f>
        <v>0.14000000000000001</v>
      </c>
      <c r="AD66" s="27">
        <f>VLOOKUP($A66,'[1]Raw Data'!$A$3:$FB$285,39,FALSE)</f>
        <v>0.16</v>
      </c>
      <c r="AE66" s="27">
        <f>VLOOKUP($A66,'[1]Raw Data'!$A$3:$FB$285,41,FALSE)</f>
        <v>0</v>
      </c>
      <c r="AF66" s="27">
        <f>VLOOKUP($A66,'[1]Raw Data'!$A$3:$FB$285,42,FALSE)</f>
        <v>0</v>
      </c>
      <c r="AG66" s="27">
        <f>VLOOKUP($A66,'[1]Raw Data'!$A$3:$FB$285,44,FALSE)</f>
        <v>0</v>
      </c>
      <c r="AH66" s="27">
        <f>VLOOKUP($A66,'[1]Raw Data'!$A$3:$FB$285,45,FALSE)</f>
        <v>0</v>
      </c>
      <c r="AI66" s="27">
        <f>VLOOKUP($A66,'[1]Raw Data'!$A$3:$FB$285,46,FALSE)</f>
        <v>5252</v>
      </c>
      <c r="AJ66" s="27">
        <f>VLOOKUP($A66,'[1]Raw Data'!$A$3:$FB$285,47,FALSE)</f>
        <v>4674</v>
      </c>
      <c r="AK66" s="27">
        <f>VLOOKUP($A66,'[1]Raw Data'!$A$3:$FB$285,48,FALSE)</f>
        <v>4667</v>
      </c>
      <c r="AL66" s="27">
        <f>VLOOKUP($A66,'[1]Raw Data'!$A$3:$FB$285,49,FALSE)</f>
        <v>3816</v>
      </c>
      <c r="AM66" s="27">
        <f>VLOOKUP($A66,'[1]Raw Data'!$A$3:$FB$285,50,FALSE)</f>
        <v>2474</v>
      </c>
      <c r="AN66" s="27">
        <f>VLOOKUP($A66,'[1]Raw Data'!$A$3:$FB$285,51,FALSE)</f>
        <v>2007</v>
      </c>
      <c r="AO66" s="27">
        <f>VLOOKUP($A66,'[1]Raw Data'!$A$3:$FB$285,52,FALSE)</f>
        <v>2038</v>
      </c>
      <c r="AP66" s="27">
        <f>VLOOKUP($A66,'[1]Raw Data'!$A$3:$FB$285,53,FALSE)</f>
        <v>1076</v>
      </c>
      <c r="AQ66" s="27">
        <f>VLOOKUP($A66,'[1]Raw Data'!$A$3:$FB$285,54,FALSE)</f>
        <v>47</v>
      </c>
      <c r="AR66" s="27">
        <f>VLOOKUP($A66,'[1]Raw Data'!$A$3:$FB$285,55,FALSE)</f>
        <v>47</v>
      </c>
      <c r="AS66" s="27">
        <f>VLOOKUP($A66,'[1]Raw Data'!$A$3:$FB$285,56,FALSE)</f>
        <v>0</v>
      </c>
      <c r="AT66" s="27">
        <f>VLOOKUP($A66,'[1]Raw Data'!$A$3:$FB$285,57,FALSE)</f>
        <v>2448</v>
      </c>
      <c r="AU66" s="27">
        <f>VLOOKUP($A66,'[1]Raw Data'!$A$3:$FB$285,58,FALSE)</f>
        <v>2448</v>
      </c>
      <c r="AV66" s="27" t="str">
        <f>VLOOKUP($A66,'[1]Raw Data'!$A$3:$FB$285,59,FALSE)</f>
        <v/>
      </c>
      <c r="AW66" s="27" t="str">
        <f>VLOOKUP($A66,'[1]Raw Data'!$A$3:$FB$285,60,FALSE)</f>
        <v/>
      </c>
      <c r="AX66" s="27" t="str">
        <f>VLOOKUP(A66,'[1]PO''s List'!A64:E346,4,FALSE)</f>
        <v/>
      </c>
      <c r="AZ66" s="27" t="str">
        <f>VLOOKUP(A66,'[1]PO''s List'!$A$3:$E$285,5,FALSE)</f>
        <v>CSIDB(Shelter),GON - DUDBC(Shelter),GON-PAF(Shelter),HCI(Shelter),HELVETAS(Shelter),NRA(Shelter),NRF(Education),RRN(Shelter),SABAL(Shelter)</v>
      </c>
      <c r="BB66" s="27">
        <f>VLOOKUP($A66,'[1]Raw Data'!$A$3:$FB$285,63,FALSE)</f>
        <v>74789</v>
      </c>
      <c r="BC66" s="27" t="str">
        <f>VLOOKUP($A66,'[1]Raw Data'!$A$3:$FB$285,64,FALSE)</f>
        <v>Y</v>
      </c>
      <c r="BD66" s="27" t="str">
        <f t="shared" si="0"/>
        <v>छ</v>
      </c>
      <c r="BE66" s="27" t="str">
        <f>VLOOKUP($A66,'[1]Raw Data'!$A$3:$FB$285,65,FALSE)</f>
        <v/>
      </c>
      <c r="BF66" s="27">
        <f>VLOOKUP($A66,'[1]Raw Data'!$A$3:$FB$285,66,FALSE)</f>
        <v>77919</v>
      </c>
      <c r="BG66" s="27" t="str">
        <f>VLOOKUP($A66,'[1]Raw Data'!$A$3:$FB$285,67,FALSE)</f>
        <v>Y</v>
      </c>
      <c r="BH66" s="27" t="str">
        <f t="shared" si="1"/>
        <v>छ</v>
      </c>
      <c r="BI66" s="27" t="str">
        <f>VLOOKUP($A66,'[1]Raw Data'!$A$3:$FB$285,68,FALSE)</f>
        <v/>
      </c>
      <c r="BJ66" s="27">
        <f>VLOOKUP($A66,'[1]Raw Data'!$A$3:$FB$285,69,FALSE)</f>
        <v>7996</v>
      </c>
      <c r="BK66" s="27" t="str">
        <f>VLOOKUP($A66,'[1]Raw Data'!$A$3:$FB$285,70,FALSE)</f>
        <v>Y</v>
      </c>
      <c r="BL66" s="27" t="str">
        <f t="shared" si="2"/>
        <v>छ</v>
      </c>
      <c r="BM66" s="27" t="str">
        <f>VLOOKUP($A66,'[1]Raw Data'!$A$3:$FB$285,71,FALSE)</f>
        <v/>
      </c>
      <c r="BN66" s="27">
        <f>VLOOKUP($A66,'[1]Raw Data'!$A$3:$FB$285,72,FALSE)</f>
        <v>9263</v>
      </c>
      <c r="BO66" s="27" t="str">
        <f>VLOOKUP($A66,'[1]Raw Data'!$A$3:$FB$285,73,FALSE)</f>
        <v>Y</v>
      </c>
      <c r="BP66" s="27" t="str">
        <f t="shared" si="3"/>
        <v>छ</v>
      </c>
      <c r="BQ66" s="27" t="str">
        <f>VLOOKUP($A66,'[1]Raw Data'!$A$3:$FB$285,74,FALSE)</f>
        <v/>
      </c>
      <c r="BR66" s="27" t="str">
        <f>VLOOKUP($A66,'[1]Raw Data'!$A$3:$FB$285,75,FALSE)</f>
        <v/>
      </c>
      <c r="BS66" s="27" t="str">
        <f>VLOOKUP($A66,'[1]Raw Data'!$A$3:$FB$285,76,FALSE)</f>
        <v/>
      </c>
      <c r="BT66" s="27" t="str">
        <f t="shared" si="4"/>
        <v/>
      </c>
      <c r="BU66" s="27" t="str">
        <f>VLOOKUP($A66,'[1]Raw Data'!$A$3:$FB$285,77,FALSE)</f>
        <v/>
      </c>
      <c r="BV66" s="27">
        <f>VLOOKUP($A66,'[1]Raw Data'!$A$3:$FB$285,78,FALSE)</f>
        <v>257001</v>
      </c>
      <c r="BW66" s="27" t="str">
        <f>VLOOKUP($A66,'[1]Raw Data'!$A$3:$FB$285,79,FALSE)</f>
        <v>Y</v>
      </c>
      <c r="BX66" s="27" t="str">
        <f t="shared" si="5"/>
        <v>छ</v>
      </c>
      <c r="BY66" s="27" t="str">
        <f>VLOOKUP($A66,'[1]Raw Data'!$A$3:$FB$285,80,FALSE)</f>
        <v/>
      </c>
      <c r="BZ66" s="27">
        <f>VLOOKUP($A66,'[1]Raw Data'!$A$3:$FB$285,81,FALSE)</f>
        <v>807604</v>
      </c>
      <c r="CA66" s="27" t="str">
        <f>VLOOKUP($A66,'[1]Raw Data'!$A$3:$FB$285,82,FALSE)</f>
        <v/>
      </c>
      <c r="CB66" s="27" t="str">
        <f t="shared" si="6"/>
        <v/>
      </c>
      <c r="CC66" s="27" t="str">
        <f>VLOOKUP($A66,'[1]Raw Data'!$A$3:$FB$285,83,FALSE)</f>
        <v/>
      </c>
      <c r="CD66" s="27">
        <f>VLOOKUP($A66,'[1]Raw Data'!$A$3:$FB$285,84,FALSE)</f>
        <v>10499</v>
      </c>
      <c r="CE66" s="27" t="str">
        <f>VLOOKUP($A66,'[1]Raw Data'!$A$3:$FB$285,85,FALSE)</f>
        <v/>
      </c>
      <c r="CF66" s="27" t="str">
        <f t="shared" si="7"/>
        <v/>
      </c>
      <c r="CG66" s="27" t="str">
        <f>VLOOKUP($A66,'[1]Raw Data'!$A$3:$FB$285,86,FALSE)</f>
        <v/>
      </c>
      <c r="CH66" s="27">
        <f>VLOOKUP($A66,'[1]Raw Data'!$A$3:$FB$285,87,FALSE)</f>
        <v>500404</v>
      </c>
      <c r="CI66" s="27" t="str">
        <f>VLOOKUP($A66,'[1]Raw Data'!$A$3:$FB$285,88,FALSE)</f>
        <v>Y</v>
      </c>
      <c r="CJ66" s="27" t="str">
        <f t="shared" si="8"/>
        <v>छ</v>
      </c>
      <c r="CK66" s="27" t="str">
        <f>VLOOKUP($A66,'[1]Raw Data'!$A$3:$FB$285,89,FALSE)</f>
        <v/>
      </c>
      <c r="CL66" s="27" t="str">
        <f>VLOOKUP($A66,'[1]Raw Data'!$A$3:$FB$285,91,FALSE)</f>
        <v/>
      </c>
      <c r="CM66" s="27" t="str">
        <f>VLOOKUP($A66,'[1]Raw Data'!$A$3:$FB$285,93,FALSE)</f>
        <v/>
      </c>
      <c r="CN66" s="27" t="str">
        <f>VLOOKUP($A66,'[1]Raw Data'!$A$3:$FB$285,94,FALSE)</f>
        <v/>
      </c>
      <c r="CO66" s="27" t="str">
        <f>VLOOKUP($A66,'[1]Raw Data'!$A$3:$FB$285,95,FALSE)</f>
        <v/>
      </c>
      <c r="CP66" s="27" t="str">
        <f>VLOOKUP($A66,'[1]Raw Data'!$A$3:$FB$285,96,FALSE)</f>
        <v/>
      </c>
      <c r="CQ66" s="27" t="str">
        <f>VLOOKUP($A66,'[1]Raw Data'!$A$3:$FB$285,97,FALSE)</f>
        <v/>
      </c>
      <c r="CR66" s="27" t="str">
        <f>VLOOKUP($A66,'[1]Raw Data'!$A$3:$FB$285,98,FALSE)</f>
        <v/>
      </c>
      <c r="CS66" s="27" t="str">
        <f>VLOOKUP($A66,'[1]Raw Data'!$A$3:$FB$285,99,FALSE)</f>
        <v/>
      </c>
      <c r="CT66" s="27" t="str">
        <f>VLOOKUP($A66,'[1]Raw Data'!$A$3:$FB$285,101,FALSE)</f>
        <v>Kaman Singha Moktan</v>
      </c>
      <c r="CU66" s="27" t="s">
        <v>956</v>
      </c>
      <c r="CV66" s="27" t="str">
        <f>VLOOKUP($A66,'[1]Raw Data'!$A$3:$FB$285,102,FALSE)</f>
        <v xml:space="preserve">Chairman </v>
      </c>
      <c r="CW66" s="27" t="s">
        <v>878</v>
      </c>
      <c r="CX66" s="27">
        <f>VLOOKUP($A66,'[1]Raw Data'!$A$3:$FB$285,103,FALSE)</f>
        <v>9860244969</v>
      </c>
      <c r="CY66" s="27" t="str">
        <f>VLOOKUP($A66,'[1]Raw Data'!$A$3:$FB$285,105,FALSE)</f>
        <v>Krishila Ghising</v>
      </c>
      <c r="CZ66" s="27" t="s">
        <v>957</v>
      </c>
      <c r="DA66" s="27" t="str">
        <f>VLOOKUP($A66,'[1]Raw Data'!$A$3:$FB$285,106,FALSE)</f>
        <v>Deputy Chairman</v>
      </c>
      <c r="DB66" s="27" t="s">
        <v>879</v>
      </c>
      <c r="DC66" s="27">
        <f>VLOOKUP($A66,'[1]Raw Data'!$A$3:$FB$285,107,FALSE)</f>
        <v>9841970112</v>
      </c>
      <c r="DD66" s="27" t="str">
        <f>VLOOKUP($A66,'[1]Raw Data'!$A$3:$FB$285,109,FALSE)</f>
        <v/>
      </c>
      <c r="DF66" s="27" t="str">
        <f>VLOOKUP($A66,'[1]Raw Data'!$A$3:$FB$285,110,FALSE)</f>
        <v>Chief Adminstration Officer</v>
      </c>
      <c r="DG66" s="27" t="s">
        <v>880</v>
      </c>
      <c r="DH66" s="27" t="str">
        <f>VLOOKUP($A66,'[1]Raw Data'!$A$3:$FB$285,111,FALSE)</f>
        <v/>
      </c>
      <c r="DI66" s="27" t="str">
        <f>VLOOKUP($A66,'[1]Raw Data'!$A$3:$FB$285,121,FALSE)</f>
        <v>Tej Narayan Yadav</v>
      </c>
      <c r="DJ66" s="27" t="s">
        <v>958</v>
      </c>
      <c r="DK66" s="27" t="str">
        <f>VLOOKUP($A66,'[1]Raw Data'!$A$3:$FB$285,122,FALSE)</f>
        <v>Focal Person</v>
      </c>
      <c r="DL66" s="27" t="s">
        <v>881</v>
      </c>
      <c r="DM66" s="27">
        <f>VLOOKUP($A66,'[1]Raw Data'!$A$3:$FB$285,123,FALSE)</f>
        <v>9849362714</v>
      </c>
      <c r="DN66" s="27" t="str">
        <f>VLOOKUP($A66,'[1]Raw Data'!$A$3:$FB$285,113,FALSE)</f>
        <v>Krishna Lal Piya</v>
      </c>
      <c r="DO66" s="27" t="s">
        <v>959</v>
      </c>
      <c r="DP66" s="27" t="str">
        <f>VLOOKUP($A66,'[1]Raw Data'!$A$3:$FB$285,114,FALSE)</f>
        <v>NRA Chief-District</v>
      </c>
      <c r="DQ66" s="27" t="s">
        <v>882</v>
      </c>
      <c r="DR66" s="27">
        <f>VLOOKUP($A66,'[1]Raw Data'!$A$3:$FB$285,115,FALSE)</f>
        <v>9854043491</v>
      </c>
      <c r="DS66" s="27" t="str">
        <f>VLOOKUP($A66,'[1]Raw Data'!$A$3:$FB$285,117,FALSE)</f>
        <v>Prabhakar Lal Karna</v>
      </c>
      <c r="DT66" s="27" t="s">
        <v>894</v>
      </c>
      <c r="DU66" s="27" t="str">
        <f>VLOOKUP($A66,'[1]Raw Data'!$A$3:$FB$285,118,FALSE)</f>
        <v>DUDBC.DLPIU Chief</v>
      </c>
      <c r="DV66" s="27" t="s">
        <v>883</v>
      </c>
      <c r="DW66" s="27">
        <f>VLOOKUP($A66,'[1]Raw Data'!$A$3:$FB$285,119,FALSE)</f>
        <v>9854041543</v>
      </c>
      <c r="DX66" s="27" t="s">
        <v>339</v>
      </c>
      <c r="DY66" s="27" t="str">
        <f>VLOOKUP($A66,'[1]Raw Data'!$A$3:$FB$285,124,FALSE)</f>
        <v/>
      </c>
      <c r="DZ66" s="27" t="s">
        <v>884</v>
      </c>
      <c r="EA66" s="27" t="str">
        <f>VLOOKUP($A66,'[1]Raw Data'!$A$3:$FB$285,125,FALSE)</f>
        <v/>
      </c>
      <c r="EB66" s="27" t="s">
        <v>341</v>
      </c>
      <c r="EC66" s="27" t="str">
        <f>VLOOKUP($A66,'[1]Raw Data'!$A$3:$FB$285,126,FALSE)</f>
        <v/>
      </c>
      <c r="ED66" t="s">
        <v>478</v>
      </c>
      <c r="EE66" s="27" t="str">
        <f>VLOOKUP($A66,'[1]Raw Data'!$A$3:$FB$285,127,FALSE)</f>
        <v/>
      </c>
      <c r="EF66" s="27" t="s">
        <v>343</v>
      </c>
      <c r="EG66" s="27" t="str">
        <f>VLOOKUP($A66,'[1]Raw Data'!$A$3:$FB$285,128,FALSE)</f>
        <v/>
      </c>
      <c r="EH66" t="s">
        <v>344</v>
      </c>
      <c r="EI66" s="27" t="str">
        <f>VLOOKUP($A66,'[1]Raw Data'!$A$3:$FB$285,129,FALSE)</f>
        <v/>
      </c>
      <c r="EM66" s="27" t="str">
        <f>VLOOKUP($A66,'[1]Raw Data'!$A$3:$FB$285,130,FALSE)</f>
        <v/>
      </c>
      <c r="EN66" s="27" t="str">
        <f>VLOOKUP($A66,'[1]Raw Data'!$A$3:$FB$285,131,FALSE)</f>
        <v/>
      </c>
      <c r="EO66" s="27" t="str">
        <f>VLOOKUP($A66,'[1]Raw Data'!$A$3:$FB$285,132,FALSE)</f>
        <v/>
      </c>
      <c r="EP66" s="27" t="str">
        <f>VLOOKUP($A66,'[1]Raw Data'!$A$3:$FB$285,133,FALSE)</f>
        <v/>
      </c>
      <c r="EQ66" s="27" t="str">
        <f>VLOOKUP($A66,'[1]Raw Data'!$A$3:$FB$285,134,FALSE)</f>
        <v/>
      </c>
      <c r="ER66" s="27" t="str">
        <f>VLOOKUP($A66,'[1]Raw Data'!$A$3:$FB$285,135,FALSE)</f>
        <v/>
      </c>
      <c r="ES66" s="27" t="str">
        <f>VLOOKUP($A66,'[1]Raw Data'!$A$3:$FB$285,136,FALSE)</f>
        <v/>
      </c>
      <c r="ET66" s="27" t="str">
        <f>VLOOKUP($A66,'[1]Raw Data'!$A$3:$FB$285,137,FALSE)</f>
        <v/>
      </c>
      <c r="EU66" s="27" t="str">
        <f>VLOOKUP($A66,'[1]Raw Data'!$A$3:$FB$285,138,FALSE)</f>
        <v/>
      </c>
      <c r="EV66" s="27" t="str">
        <f>VLOOKUP($A66,'[1]Raw Data'!$A$3:$FB$285,139,FALSE)</f>
        <v/>
      </c>
      <c r="EW66" s="38">
        <f>VLOOKUP($A66,[1]Training!$A$2:$I$284,5,FALSE)</f>
        <v>391.15384615384613</v>
      </c>
      <c r="EX66" s="31">
        <f>VLOOKUP($A66,[1]Training!$A$2:$I$284,6,FALSE)</f>
        <v>129</v>
      </c>
      <c r="EY66" s="38">
        <f>VLOOKUP($A66,[1]Training!$A$2:$I$284,8,FALSE)</f>
        <v>523.36352408398523</v>
      </c>
      <c r="EZ66" s="31">
        <f>VLOOKUP($A66,[1]Training!$A$2:$I$284,9,FALSE)</f>
        <v>394</v>
      </c>
      <c r="FA66" s="27">
        <v>1</v>
      </c>
      <c r="FB66" s="27">
        <v>2</v>
      </c>
      <c r="FC66" s="27" t="str">
        <f>VLOOKUP($A66,'[1]Raw Data'!$A$3:$FB$285,148,FALSE)</f>
        <v>Prakash Bishwakarma</v>
      </c>
      <c r="FD66" s="27" t="s">
        <v>960</v>
      </c>
      <c r="FE66" s="27" t="str">
        <f>VLOOKUP($A66,'[1]Raw Data'!$A$3:$FB$285,149,FALSE)</f>
        <v>District Coordinator</v>
      </c>
      <c r="FF66" s="27" t="s">
        <v>885</v>
      </c>
      <c r="FG66" s="27">
        <f>VLOOKUP($A66,'[1]Raw Data'!$A$3:$FB$285,150,FALSE)</f>
        <v>9841720436</v>
      </c>
      <c r="FH66" s="27" t="str">
        <f>VLOOKUP($A66,'[1]Raw Data'!$A$3:$FB$285,156,FALSE)</f>
        <v>Tulasi Ram Lamichhane</v>
      </c>
      <c r="FI66" s="27" t="s">
        <v>961</v>
      </c>
      <c r="FJ66" s="27" t="str">
        <f>VLOOKUP($A66,'[1]Raw Data'!$A$3:$FB$285,157,FALSE)</f>
        <v>District Technical Officer</v>
      </c>
      <c r="FK66" s="27" t="s">
        <v>886</v>
      </c>
      <c r="FL66" s="27">
        <f>VLOOKUP($A66,'[1]Raw Data'!$A$3:$FB$285,158,FALSE)</f>
        <v>9851213610</v>
      </c>
      <c r="FM66" s="27" t="str">
        <f>VLOOKUP($A66,'[1]Raw Data'!$A$3:$FB$285,152,FALSE)</f>
        <v>Jawed Mohammad</v>
      </c>
      <c r="FN66" s="27" t="s">
        <v>962</v>
      </c>
      <c r="FO66" s="27" t="str">
        <f>VLOOKUP($A66,'[1]Raw Data'!$A$3:$FB$285,153,FALSE)</f>
        <v>DIstrict Information Management Officer</v>
      </c>
      <c r="FP66" s="27" t="s">
        <v>887</v>
      </c>
      <c r="FQ66" s="27" t="str">
        <f>VLOOKUP($A66,'[1]Raw Data'!$A$3:$FB$285,154,FALSE)</f>
        <v/>
      </c>
    </row>
    <row r="67" spans="1:173" ht="24" x14ac:dyDescent="0.45">
      <c r="A67" s="27">
        <v>21002</v>
      </c>
      <c r="B67" s="36" t="str">
        <f ca="1">IFERROR(__xludf.DUMMYFUNCTION("""COMPUTED_VALUE"""),"Gokulganga Gaunpalika")</f>
        <v>Gokulganga Gaunpalika</v>
      </c>
      <c r="C67" s="37" t="str">
        <f>VLOOKUP(A67,'[1]Palika and District in Nepali '!$D$1:$F$283,3,FALSE)</f>
        <v>गोकुलगंगा गाउँपालिका</v>
      </c>
      <c r="D67" s="36" t="str">
        <f ca="1">IFERROR(__xludf.DUMMYFUNCTION("""COMPUTED_VALUE"""),"Ramechhap")</f>
        <v>Ramechhap</v>
      </c>
      <c r="E67" s="36"/>
      <c r="F67" s="27">
        <f>VLOOKUP(A67,'[1]Raw Data'!$A$3:$FB$285,4,FALSE)</f>
        <v>290</v>
      </c>
      <c r="G67" s="27">
        <f>VLOOKUP(A67,'[1]Raw Data'!$A$3:$FB$285,5,FALSE)</f>
        <v>5747</v>
      </c>
      <c r="H67" s="27">
        <f>VLOOKUP(A67,'[1]Raw Data'!$A$3:$FB$285,6,FALSE)</f>
        <v>6037</v>
      </c>
      <c r="I67" s="27">
        <f>VLOOKUP($A67,'[1]Raw Data'!$A$3:$FB$285,8,FALSE)</f>
        <v>0.27</v>
      </c>
      <c r="J67" s="27">
        <f>VLOOKUP($A67,'[1]Raw Data'!$A$3:$FB$285,9,FALSE)</f>
        <v>0.46</v>
      </c>
      <c r="K67" s="27">
        <f>VLOOKUP($A67,'[1]Raw Data'!$A$3:$FB$285,11,FALSE)</f>
        <v>98.01</v>
      </c>
      <c r="L67" s="27">
        <f>VLOOKUP($A67,'[1]Raw Data'!$A$3:$FB$285,12,FALSE)</f>
        <v>97.73</v>
      </c>
      <c r="M67" s="27">
        <f>VLOOKUP($A67,'[1]Raw Data'!$A$3:$FB$285,14,FALSE)</f>
        <v>0.35</v>
      </c>
      <c r="N67" s="27">
        <f>VLOOKUP($A67,'[1]Raw Data'!$A$3:$FB$285,15,FALSE)</f>
        <v>0.17</v>
      </c>
      <c r="O67" s="27">
        <f>VLOOKUP($A67,'[1]Raw Data'!$A$3:$FB$285,17,FALSE)</f>
        <v>0.02</v>
      </c>
      <c r="P67" s="27">
        <f>VLOOKUP($A67,'[1]Raw Data'!$A$3:$FB$285,18,FALSE)</f>
        <v>0.02</v>
      </c>
      <c r="Q67" s="27">
        <f>VLOOKUP($A67,'[1]Raw Data'!$A$3:$FB$285,20,FALSE)</f>
        <v>0</v>
      </c>
      <c r="R67" s="27">
        <f>VLOOKUP($A67,'[1]Raw Data'!$A$3:$FB$285,21,FALSE)</f>
        <v>0.55000000000000004</v>
      </c>
      <c r="S67" s="27">
        <f>VLOOKUP($A67,'[1]Raw Data'!$A$3:$FB$285,23,FALSE)</f>
        <v>0</v>
      </c>
      <c r="T67" s="27">
        <f>VLOOKUP($A67,'[1]Raw Data'!$A$3:$FB$285,24,FALSE)</f>
        <v>0</v>
      </c>
      <c r="U67" s="27">
        <f>VLOOKUP($A67,'[1]Raw Data'!$A$3:$FB$285,26,FALSE)</f>
        <v>0.78</v>
      </c>
      <c r="V67" s="27">
        <f>VLOOKUP($A67,'[1]Raw Data'!$A$3:$FB$285,27,FALSE)</f>
        <v>0.37</v>
      </c>
      <c r="W67" s="27">
        <f>VLOOKUP($A67,'[1]Raw Data'!$A$3:$FB$285,29,FALSE)</f>
        <v>0</v>
      </c>
      <c r="X67" s="27">
        <f>VLOOKUP($A67,'[1]Raw Data'!$A$3:$FB$285,30,FALSE)</f>
        <v>0</v>
      </c>
      <c r="Y67" s="27">
        <f>VLOOKUP($A67,'[1]Raw Data'!$A$3:$FB$285,32,FALSE)</f>
        <v>0.1</v>
      </c>
      <c r="Z67" s="27">
        <f>VLOOKUP($A67,'[1]Raw Data'!$A$3:$FB$285,33,FALSE)</f>
        <v>0.11</v>
      </c>
      <c r="AA67" s="27">
        <f>VLOOKUP($A67,'[1]Raw Data'!$A$3:$FB$285,35,FALSE)</f>
        <v>0.23</v>
      </c>
      <c r="AB67" s="27">
        <f>VLOOKUP($A67,'[1]Raw Data'!$A$3:$FB$285,36,FALSE)</f>
        <v>0.44</v>
      </c>
      <c r="AC67" s="27">
        <f>VLOOKUP($A67,'[1]Raw Data'!$A$3:$FB$285,38,FALSE)</f>
        <v>0.25</v>
      </c>
      <c r="AD67" s="27">
        <f>VLOOKUP($A67,'[1]Raw Data'!$A$3:$FB$285,39,FALSE)</f>
        <v>0.16</v>
      </c>
      <c r="AE67" s="27">
        <f>VLOOKUP($A67,'[1]Raw Data'!$A$3:$FB$285,41,FALSE)</f>
        <v>0</v>
      </c>
      <c r="AF67" s="27">
        <f>VLOOKUP($A67,'[1]Raw Data'!$A$3:$FB$285,42,FALSE)</f>
        <v>0</v>
      </c>
      <c r="AG67" s="27">
        <f>VLOOKUP($A67,'[1]Raw Data'!$A$3:$FB$285,44,FALSE)</f>
        <v>0</v>
      </c>
      <c r="AH67" s="27">
        <f>VLOOKUP($A67,'[1]Raw Data'!$A$3:$FB$285,45,FALSE)</f>
        <v>0</v>
      </c>
      <c r="AI67" s="27">
        <f>VLOOKUP($A67,'[1]Raw Data'!$A$3:$FB$285,46,FALSE)</f>
        <v>6343</v>
      </c>
      <c r="AJ67" s="27">
        <f>VLOOKUP($A67,'[1]Raw Data'!$A$3:$FB$285,47,FALSE)</f>
        <v>5936</v>
      </c>
      <c r="AK67" s="27">
        <f>VLOOKUP($A67,'[1]Raw Data'!$A$3:$FB$285,48,FALSE)</f>
        <v>5911</v>
      </c>
      <c r="AL67" s="27">
        <f>VLOOKUP($A67,'[1]Raw Data'!$A$3:$FB$285,49,FALSE)</f>
        <v>5083</v>
      </c>
      <c r="AM67" s="27">
        <f>VLOOKUP($A67,'[1]Raw Data'!$A$3:$FB$285,50,FALSE)</f>
        <v>3923</v>
      </c>
      <c r="AN67" s="27">
        <f>VLOOKUP($A67,'[1]Raw Data'!$A$3:$FB$285,51,FALSE)</f>
        <v>3450</v>
      </c>
      <c r="AO67" s="27">
        <f>VLOOKUP($A67,'[1]Raw Data'!$A$3:$FB$285,52,FALSE)</f>
        <v>3660</v>
      </c>
      <c r="AP67" s="27">
        <f>VLOOKUP($A67,'[1]Raw Data'!$A$3:$FB$285,53,FALSE)</f>
        <v>347</v>
      </c>
      <c r="AQ67" s="27">
        <f>VLOOKUP($A67,'[1]Raw Data'!$A$3:$FB$285,54,FALSE)</f>
        <v>1</v>
      </c>
      <c r="AR67" s="27">
        <f>VLOOKUP($A67,'[1]Raw Data'!$A$3:$FB$285,55,FALSE)</f>
        <v>1</v>
      </c>
      <c r="AS67" s="27">
        <f>VLOOKUP($A67,'[1]Raw Data'!$A$3:$FB$285,56,FALSE)</f>
        <v>0</v>
      </c>
      <c r="AT67" s="27">
        <f>VLOOKUP($A67,'[1]Raw Data'!$A$3:$FB$285,57,FALSE)</f>
        <v>1031</v>
      </c>
      <c r="AU67" s="27">
        <f>VLOOKUP($A67,'[1]Raw Data'!$A$3:$FB$285,58,FALSE)</f>
        <v>1031</v>
      </c>
      <c r="AV67" s="27" t="str">
        <f>VLOOKUP($A67,'[1]Raw Data'!$A$3:$FB$285,59,FALSE)</f>
        <v/>
      </c>
      <c r="AW67" s="27" t="str">
        <f>VLOOKUP($A67,'[1]Raw Data'!$A$3:$FB$285,60,FALSE)</f>
        <v/>
      </c>
      <c r="AX67" s="27" t="str">
        <f>VLOOKUP(A67,'[1]PO''s List'!A65:E347,4,FALSE)</f>
        <v/>
      </c>
      <c r="AZ67" s="27" t="str">
        <f>VLOOKUP(A67,'[1]PO''s List'!$A$3:$E$285,5,FALSE)</f>
        <v>CSIDB(Shelter),FRADS-N(Education),GOAL(Other),Shelter),GON - DUDBC(Shelter),GON-PAF(Shelter),HELVETAS(Shelter),HI(Shelter),NRA(Shelter),SABAL(Shelter),SCI(Education,Social Protection)</v>
      </c>
      <c r="BB67" s="27">
        <f>VLOOKUP($A67,'[1]Raw Data'!$A$3:$FB$285,63,FALSE)</f>
        <v>114669</v>
      </c>
      <c r="BC67" s="27" t="str">
        <f>VLOOKUP($A67,'[1]Raw Data'!$A$3:$FB$285,64,FALSE)</f>
        <v>Y</v>
      </c>
      <c r="BD67" s="27" t="str">
        <f t="shared" si="0"/>
        <v>छ</v>
      </c>
      <c r="BE67" s="27" t="str">
        <f>VLOOKUP($A67,'[1]Raw Data'!$A$3:$FB$285,65,FALSE)</f>
        <v/>
      </c>
      <c r="BF67" s="27">
        <f>VLOOKUP($A67,'[1]Raw Data'!$A$3:$FB$285,66,FALSE)</f>
        <v>117305</v>
      </c>
      <c r="BG67" s="27" t="str">
        <f>VLOOKUP($A67,'[1]Raw Data'!$A$3:$FB$285,67,FALSE)</f>
        <v>Y</v>
      </c>
      <c r="BH67" s="27" t="str">
        <f t="shared" si="1"/>
        <v>छ</v>
      </c>
      <c r="BI67" s="27" t="str">
        <f>VLOOKUP($A67,'[1]Raw Data'!$A$3:$FB$285,68,FALSE)</f>
        <v/>
      </c>
      <c r="BJ67" s="27">
        <f>VLOOKUP($A67,'[1]Raw Data'!$A$3:$FB$285,69,FALSE)</f>
        <v>12240</v>
      </c>
      <c r="BK67" s="27" t="str">
        <f>VLOOKUP($A67,'[1]Raw Data'!$A$3:$FB$285,70,FALSE)</f>
        <v>Y</v>
      </c>
      <c r="BL67" s="27" t="str">
        <f t="shared" si="2"/>
        <v>छ</v>
      </c>
      <c r="BM67" s="27" t="str">
        <f>VLOOKUP($A67,'[1]Raw Data'!$A$3:$FB$285,71,FALSE)</f>
        <v/>
      </c>
      <c r="BN67" s="27">
        <f>VLOOKUP($A67,'[1]Raw Data'!$A$3:$FB$285,72,FALSE)</f>
        <v>14110</v>
      </c>
      <c r="BO67" s="27" t="str">
        <f>VLOOKUP($A67,'[1]Raw Data'!$A$3:$FB$285,73,FALSE)</f>
        <v>Y</v>
      </c>
      <c r="BP67" s="27" t="str">
        <f t="shared" si="3"/>
        <v>छ</v>
      </c>
      <c r="BQ67" s="27" t="str">
        <f>VLOOKUP($A67,'[1]Raw Data'!$A$3:$FB$285,74,FALSE)</f>
        <v/>
      </c>
      <c r="BR67" s="27" t="str">
        <f>VLOOKUP($A67,'[1]Raw Data'!$A$3:$FB$285,75,FALSE)</f>
        <v/>
      </c>
      <c r="BS67" s="27" t="str">
        <f>VLOOKUP($A67,'[1]Raw Data'!$A$3:$FB$285,76,FALSE)</f>
        <v/>
      </c>
      <c r="BT67" s="27" t="str">
        <f t="shared" si="4"/>
        <v/>
      </c>
      <c r="BU67" s="27" t="str">
        <f>VLOOKUP($A67,'[1]Raw Data'!$A$3:$FB$285,77,FALSE)</f>
        <v/>
      </c>
      <c r="BV67" s="27">
        <f>VLOOKUP($A67,'[1]Raw Data'!$A$3:$FB$285,78,FALSE)</f>
        <v>388017</v>
      </c>
      <c r="BW67" s="27" t="str">
        <f>VLOOKUP($A67,'[1]Raw Data'!$A$3:$FB$285,79,FALSE)</f>
        <v>Y</v>
      </c>
      <c r="BX67" s="27" t="str">
        <f t="shared" si="5"/>
        <v>छ</v>
      </c>
      <c r="BY67" s="27" t="str">
        <f>VLOOKUP($A67,'[1]Raw Data'!$A$3:$FB$285,80,FALSE)</f>
        <v/>
      </c>
      <c r="BZ67" s="27">
        <f>VLOOKUP($A67,'[1]Raw Data'!$A$3:$FB$285,81,FALSE)</f>
        <v>1242548</v>
      </c>
      <c r="CA67" s="27" t="str">
        <f>VLOOKUP($A67,'[1]Raw Data'!$A$3:$FB$285,82,FALSE)</f>
        <v/>
      </c>
      <c r="CB67" s="27" t="str">
        <f t="shared" si="6"/>
        <v/>
      </c>
      <c r="CC67" s="27" t="str">
        <f>VLOOKUP($A67,'[1]Raw Data'!$A$3:$FB$285,83,FALSE)</f>
        <v/>
      </c>
      <c r="CD67" s="27">
        <f>VLOOKUP($A67,'[1]Raw Data'!$A$3:$FB$285,84,FALSE)</f>
        <v>15853</v>
      </c>
      <c r="CE67" s="27" t="str">
        <f>VLOOKUP($A67,'[1]Raw Data'!$A$3:$FB$285,85,FALSE)</f>
        <v/>
      </c>
      <c r="CF67" s="27" t="str">
        <f t="shared" si="7"/>
        <v/>
      </c>
      <c r="CG67" s="27" t="str">
        <f>VLOOKUP($A67,'[1]Raw Data'!$A$3:$FB$285,86,FALSE)</f>
        <v/>
      </c>
      <c r="CH67" s="27">
        <f>VLOOKUP($A67,'[1]Raw Data'!$A$3:$FB$285,87,FALSE)</f>
        <v>1046684</v>
      </c>
      <c r="CI67" s="27" t="str">
        <f>VLOOKUP($A67,'[1]Raw Data'!$A$3:$FB$285,88,FALSE)</f>
        <v>Y</v>
      </c>
      <c r="CJ67" s="27" t="str">
        <f t="shared" si="8"/>
        <v>छ</v>
      </c>
      <c r="CK67" s="27" t="str">
        <f>VLOOKUP($A67,'[1]Raw Data'!$A$3:$FB$285,89,FALSE)</f>
        <v/>
      </c>
      <c r="CL67" s="27" t="str">
        <f>VLOOKUP($A67,'[1]Raw Data'!$A$3:$FB$285,91,FALSE)</f>
        <v/>
      </c>
      <c r="CM67" s="27" t="str">
        <f>VLOOKUP($A67,'[1]Raw Data'!$A$3:$FB$285,93,FALSE)</f>
        <v/>
      </c>
      <c r="CN67" s="27" t="str">
        <f>VLOOKUP($A67,'[1]Raw Data'!$A$3:$FB$285,94,FALSE)</f>
        <v/>
      </c>
      <c r="CO67" s="27" t="str">
        <f>VLOOKUP($A67,'[1]Raw Data'!$A$3:$FB$285,95,FALSE)</f>
        <v/>
      </c>
      <c r="CP67" s="27" t="str">
        <f>VLOOKUP($A67,'[1]Raw Data'!$A$3:$FB$285,96,FALSE)</f>
        <v/>
      </c>
      <c r="CQ67" s="27" t="str">
        <f>VLOOKUP($A67,'[1]Raw Data'!$A$3:$FB$285,97,FALSE)</f>
        <v/>
      </c>
      <c r="CR67" s="27" t="str">
        <f>VLOOKUP($A67,'[1]Raw Data'!$A$3:$FB$285,98,FALSE)</f>
        <v/>
      </c>
      <c r="CS67" s="27" t="str">
        <f>VLOOKUP($A67,'[1]Raw Data'!$A$3:$FB$285,99,FALSE)</f>
        <v/>
      </c>
      <c r="CT67" s="27" t="str">
        <f>VLOOKUP($A67,'[1]Raw Data'!$A$3:$FB$285,101,FALSE)</f>
        <v>Khadga Bahadur Sunuwar</v>
      </c>
      <c r="CU67" s="27" t="s">
        <v>963</v>
      </c>
      <c r="CV67" s="27" t="str">
        <f>VLOOKUP($A67,'[1]Raw Data'!$A$3:$FB$285,102,FALSE)</f>
        <v xml:space="preserve">Chairman </v>
      </c>
      <c r="CW67" s="27" t="s">
        <v>878</v>
      </c>
      <c r="CX67" s="27">
        <f>VLOOKUP($A67,'[1]Raw Data'!$A$3:$FB$285,103,FALSE)</f>
        <v>9851171325</v>
      </c>
      <c r="CY67" s="27" t="str">
        <f>VLOOKUP($A67,'[1]Raw Data'!$A$3:$FB$285,105,FALSE)</f>
        <v>Radhika Shrestha</v>
      </c>
      <c r="CZ67" s="27" t="s">
        <v>964</v>
      </c>
      <c r="DA67" s="27" t="str">
        <f>VLOOKUP($A67,'[1]Raw Data'!$A$3:$FB$285,106,FALSE)</f>
        <v>Deputy Chairman</v>
      </c>
      <c r="DB67" s="27" t="s">
        <v>879</v>
      </c>
      <c r="DC67" s="27">
        <f>VLOOKUP($A67,'[1]Raw Data'!$A$3:$FB$285,107,FALSE)</f>
        <v>9744039057</v>
      </c>
      <c r="DD67" s="27" t="str">
        <f>VLOOKUP($A67,'[1]Raw Data'!$A$3:$FB$285,109,FALSE)</f>
        <v/>
      </c>
      <c r="DF67" s="27" t="str">
        <f>VLOOKUP($A67,'[1]Raw Data'!$A$3:$FB$285,110,FALSE)</f>
        <v>Chief Adminstration Officer</v>
      </c>
      <c r="DG67" s="27" t="s">
        <v>880</v>
      </c>
      <c r="DH67" s="27" t="str">
        <f>VLOOKUP($A67,'[1]Raw Data'!$A$3:$FB$285,111,FALSE)</f>
        <v/>
      </c>
      <c r="DI67" s="27" t="str">
        <f>VLOOKUP($A67,'[1]Raw Data'!$A$3:$FB$285,121,FALSE)</f>
        <v>Ekraj Bista</v>
      </c>
      <c r="DJ67" s="27" t="s">
        <v>965</v>
      </c>
      <c r="DK67" s="27" t="str">
        <f>VLOOKUP($A67,'[1]Raw Data'!$A$3:$FB$285,122,FALSE)</f>
        <v>Focal Person</v>
      </c>
      <c r="DL67" s="27" t="s">
        <v>881</v>
      </c>
      <c r="DM67" s="27">
        <f>VLOOKUP($A67,'[1]Raw Data'!$A$3:$FB$285,123,FALSE)</f>
        <v>9842520398</v>
      </c>
      <c r="DN67" s="27" t="str">
        <f>VLOOKUP($A67,'[1]Raw Data'!$A$3:$FB$285,113,FALSE)</f>
        <v>Krishna Lal Piya</v>
      </c>
      <c r="DO67" s="27" t="s">
        <v>959</v>
      </c>
      <c r="DP67" s="27" t="str">
        <f>VLOOKUP($A67,'[1]Raw Data'!$A$3:$FB$285,114,FALSE)</f>
        <v>NRA Chief-District</v>
      </c>
      <c r="DQ67" s="27" t="s">
        <v>882</v>
      </c>
      <c r="DR67" s="27">
        <f>VLOOKUP($A67,'[1]Raw Data'!$A$3:$FB$285,115,FALSE)</f>
        <v>9854043491</v>
      </c>
      <c r="DS67" s="27" t="str">
        <f>VLOOKUP($A67,'[1]Raw Data'!$A$3:$FB$285,117,FALSE)</f>
        <v>Prabhakar Lal Karna</v>
      </c>
      <c r="DT67" s="27" t="s">
        <v>894</v>
      </c>
      <c r="DU67" s="27" t="str">
        <f>VLOOKUP($A67,'[1]Raw Data'!$A$3:$FB$285,118,FALSE)</f>
        <v>DUDBC.DLPIU Chief</v>
      </c>
      <c r="DV67" s="27" t="s">
        <v>883</v>
      </c>
      <c r="DW67" s="27">
        <f>VLOOKUP($A67,'[1]Raw Data'!$A$3:$FB$285,119,FALSE)</f>
        <v>9854041543</v>
      </c>
      <c r="DX67" s="27" t="s">
        <v>339</v>
      </c>
      <c r="DY67" s="27" t="str">
        <f>VLOOKUP($A67,'[1]Raw Data'!$A$3:$FB$285,124,FALSE)</f>
        <v/>
      </c>
      <c r="DZ67" s="27" t="s">
        <v>884</v>
      </c>
      <c r="EA67" s="27" t="str">
        <f>VLOOKUP($A67,'[1]Raw Data'!$A$3:$FB$285,125,FALSE)</f>
        <v/>
      </c>
      <c r="EB67" s="27" t="s">
        <v>341</v>
      </c>
      <c r="EC67" s="27" t="str">
        <f>VLOOKUP($A67,'[1]Raw Data'!$A$3:$FB$285,126,FALSE)</f>
        <v/>
      </c>
      <c r="ED67" t="s">
        <v>478</v>
      </c>
      <c r="EE67" s="27" t="str">
        <f>VLOOKUP($A67,'[1]Raw Data'!$A$3:$FB$285,127,FALSE)</f>
        <v/>
      </c>
      <c r="EF67" s="27" t="s">
        <v>343</v>
      </c>
      <c r="EG67" s="27" t="str">
        <f>VLOOKUP($A67,'[1]Raw Data'!$A$3:$FB$285,128,FALSE)</f>
        <v/>
      </c>
      <c r="EH67" t="s">
        <v>344</v>
      </c>
      <c r="EI67" s="27" t="str">
        <f>VLOOKUP($A67,'[1]Raw Data'!$A$3:$FB$285,129,FALSE)</f>
        <v/>
      </c>
      <c r="EM67" s="27" t="str">
        <f>VLOOKUP($A67,'[1]Raw Data'!$A$3:$FB$285,130,FALSE)</f>
        <v/>
      </c>
      <c r="EN67" s="27" t="str">
        <f>VLOOKUP($A67,'[1]Raw Data'!$A$3:$FB$285,131,FALSE)</f>
        <v/>
      </c>
      <c r="EO67" s="27" t="str">
        <f>VLOOKUP($A67,'[1]Raw Data'!$A$3:$FB$285,132,FALSE)</f>
        <v/>
      </c>
      <c r="EP67" s="27" t="str">
        <f>VLOOKUP($A67,'[1]Raw Data'!$A$3:$FB$285,133,FALSE)</f>
        <v/>
      </c>
      <c r="EQ67" s="27" t="str">
        <f>VLOOKUP($A67,'[1]Raw Data'!$A$3:$FB$285,134,FALSE)</f>
        <v/>
      </c>
      <c r="ER67" s="27" t="str">
        <f>VLOOKUP($A67,'[1]Raw Data'!$A$3:$FB$285,135,FALSE)</f>
        <v/>
      </c>
      <c r="ES67" s="27" t="str">
        <f>VLOOKUP($A67,'[1]Raw Data'!$A$3:$FB$285,136,FALSE)</f>
        <v/>
      </c>
      <c r="ET67" s="27" t="str">
        <f>VLOOKUP($A67,'[1]Raw Data'!$A$3:$FB$285,137,FALSE)</f>
        <v/>
      </c>
      <c r="EU67" s="27" t="str">
        <f>VLOOKUP($A67,'[1]Raw Data'!$A$3:$FB$285,138,FALSE)</f>
        <v/>
      </c>
      <c r="EV67" s="27" t="str">
        <f>VLOOKUP($A67,'[1]Raw Data'!$A$3:$FB$285,139,FALSE)</f>
        <v/>
      </c>
      <c r="EW67" s="38">
        <f>VLOOKUP($A67,[1]Training!$A$2:$I$284,5,FALSE)</f>
        <v>487.92307692307691</v>
      </c>
      <c r="EX67" s="31">
        <f>VLOOKUP($A67,[1]Training!$A$2:$I$284,6,FALSE)</f>
        <v>143</v>
      </c>
      <c r="EY67" s="38">
        <f>VLOOKUP($A67,[1]Training!$A$2:$I$284,8,FALSE)</f>
        <v>652.84067517496919</v>
      </c>
      <c r="EZ67" s="31">
        <f>VLOOKUP($A67,[1]Training!$A$2:$I$284,9,FALSE)</f>
        <v>440</v>
      </c>
      <c r="FA67" s="27">
        <v>1</v>
      </c>
      <c r="FB67" s="27">
        <v>2</v>
      </c>
      <c r="FC67" s="27" t="str">
        <f>VLOOKUP($A67,'[1]Raw Data'!$A$3:$FB$285,148,FALSE)</f>
        <v>Prakash Bishwakarma</v>
      </c>
      <c r="FD67" s="27" t="s">
        <v>960</v>
      </c>
      <c r="FE67" s="27" t="str">
        <f>VLOOKUP($A67,'[1]Raw Data'!$A$3:$FB$285,149,FALSE)</f>
        <v>District Coordinator</v>
      </c>
      <c r="FF67" s="27" t="s">
        <v>885</v>
      </c>
      <c r="FG67" s="27">
        <f>VLOOKUP($A67,'[1]Raw Data'!$A$3:$FB$285,150,FALSE)</f>
        <v>9841720436</v>
      </c>
      <c r="FH67" s="27" t="str">
        <f>VLOOKUP($A67,'[1]Raw Data'!$A$3:$FB$285,156,FALSE)</f>
        <v>Tulasi Ram Lamichhane</v>
      </c>
      <c r="FI67" s="27" t="s">
        <v>961</v>
      </c>
      <c r="FJ67" s="27" t="str">
        <f>VLOOKUP($A67,'[1]Raw Data'!$A$3:$FB$285,157,FALSE)</f>
        <v>District Technical Officer</v>
      </c>
      <c r="FK67" s="27" t="s">
        <v>886</v>
      </c>
      <c r="FL67" s="27">
        <f>VLOOKUP($A67,'[1]Raw Data'!$A$3:$FB$285,158,FALSE)</f>
        <v>9851213610</v>
      </c>
      <c r="FM67" s="27" t="str">
        <f>VLOOKUP($A67,'[1]Raw Data'!$A$3:$FB$285,152,FALSE)</f>
        <v>Jawed Mohammad</v>
      </c>
      <c r="FN67" s="27" t="s">
        <v>962</v>
      </c>
      <c r="FO67" s="27" t="str">
        <f>VLOOKUP($A67,'[1]Raw Data'!$A$3:$FB$285,153,FALSE)</f>
        <v>DIstrict Information Management Officer</v>
      </c>
      <c r="FP67" s="27" t="s">
        <v>887</v>
      </c>
      <c r="FQ67" s="27" t="str">
        <f>VLOOKUP($A67,'[1]Raw Data'!$A$3:$FB$285,154,FALSE)</f>
        <v/>
      </c>
    </row>
    <row r="68" spans="1:173" ht="24" x14ac:dyDescent="0.45">
      <c r="A68" s="27">
        <v>21003</v>
      </c>
      <c r="B68" s="36" t="str">
        <f ca="1">IFERROR(__xludf.DUMMYFUNCTION("""COMPUTED_VALUE"""),"Khadadevi Gaunpalika")</f>
        <v>Khadadevi Gaunpalika</v>
      </c>
      <c r="C68" s="37" t="str">
        <f>VLOOKUP(A68,'[1]Palika and District in Nepali '!$D$1:$F$283,3,FALSE)</f>
        <v>खाँडादेवी गाउँपालिका</v>
      </c>
      <c r="D68" s="36" t="str">
        <f ca="1">IFERROR(__xludf.DUMMYFUNCTION("""COMPUTED_VALUE"""),"Ramechhap")</f>
        <v>Ramechhap</v>
      </c>
      <c r="E68" s="36"/>
      <c r="F68" s="27">
        <f>VLOOKUP(A68,'[1]Raw Data'!$A$3:$FB$285,4,FALSE)</f>
        <v>1422</v>
      </c>
      <c r="G68" s="27">
        <f>VLOOKUP(A68,'[1]Raw Data'!$A$3:$FB$285,5,FALSE)</f>
        <v>5662</v>
      </c>
      <c r="H68" s="27">
        <f>VLOOKUP(A68,'[1]Raw Data'!$A$3:$FB$285,6,FALSE)</f>
        <v>7084</v>
      </c>
      <c r="I68" s="27">
        <f>VLOOKUP($A68,'[1]Raw Data'!$A$3:$FB$285,8,FALSE)</f>
        <v>0.45</v>
      </c>
      <c r="J68" s="27">
        <f>VLOOKUP($A68,'[1]Raw Data'!$A$3:$FB$285,9,FALSE)</f>
        <v>0.46</v>
      </c>
      <c r="K68" s="27">
        <f>VLOOKUP($A68,'[1]Raw Data'!$A$3:$FB$285,11,FALSE)</f>
        <v>97.18</v>
      </c>
      <c r="L68" s="27">
        <f>VLOOKUP($A68,'[1]Raw Data'!$A$3:$FB$285,12,FALSE)</f>
        <v>97.73</v>
      </c>
      <c r="M68" s="27">
        <f>VLOOKUP($A68,'[1]Raw Data'!$A$3:$FB$285,14,FALSE)</f>
        <v>0</v>
      </c>
      <c r="N68" s="27">
        <f>VLOOKUP($A68,'[1]Raw Data'!$A$3:$FB$285,15,FALSE)</f>
        <v>0.17</v>
      </c>
      <c r="O68" s="27">
        <f>VLOOKUP($A68,'[1]Raw Data'!$A$3:$FB$285,17,FALSE)</f>
        <v>0</v>
      </c>
      <c r="P68" s="27">
        <f>VLOOKUP($A68,'[1]Raw Data'!$A$3:$FB$285,18,FALSE)</f>
        <v>0.02</v>
      </c>
      <c r="Q68" s="27">
        <f>VLOOKUP($A68,'[1]Raw Data'!$A$3:$FB$285,20,FALSE)</f>
        <v>0</v>
      </c>
      <c r="R68" s="27">
        <f>VLOOKUP($A68,'[1]Raw Data'!$A$3:$FB$285,21,FALSE)</f>
        <v>0.55000000000000004</v>
      </c>
      <c r="S68" s="27">
        <f>VLOOKUP($A68,'[1]Raw Data'!$A$3:$FB$285,23,FALSE)</f>
        <v>0</v>
      </c>
      <c r="T68" s="27">
        <f>VLOOKUP($A68,'[1]Raw Data'!$A$3:$FB$285,24,FALSE)</f>
        <v>0</v>
      </c>
      <c r="U68" s="27">
        <f>VLOOKUP($A68,'[1]Raw Data'!$A$3:$FB$285,26,FALSE)</f>
        <v>0.1</v>
      </c>
      <c r="V68" s="27">
        <f>VLOOKUP($A68,'[1]Raw Data'!$A$3:$FB$285,27,FALSE)</f>
        <v>0.37</v>
      </c>
      <c r="W68" s="27">
        <f>VLOOKUP($A68,'[1]Raw Data'!$A$3:$FB$285,29,FALSE)</f>
        <v>0</v>
      </c>
      <c r="X68" s="27">
        <f>VLOOKUP($A68,'[1]Raw Data'!$A$3:$FB$285,30,FALSE)</f>
        <v>0</v>
      </c>
      <c r="Y68" s="27">
        <f>VLOOKUP($A68,'[1]Raw Data'!$A$3:$FB$285,32,FALSE)</f>
        <v>0.17</v>
      </c>
      <c r="Z68" s="27">
        <f>VLOOKUP($A68,'[1]Raw Data'!$A$3:$FB$285,33,FALSE)</f>
        <v>0.11</v>
      </c>
      <c r="AA68" s="27">
        <f>VLOOKUP($A68,'[1]Raw Data'!$A$3:$FB$285,35,FALSE)</f>
        <v>2.0099999999999998</v>
      </c>
      <c r="AB68" s="27">
        <f>VLOOKUP($A68,'[1]Raw Data'!$A$3:$FB$285,36,FALSE)</f>
        <v>0.44</v>
      </c>
      <c r="AC68" s="27">
        <f>VLOOKUP($A68,'[1]Raw Data'!$A$3:$FB$285,38,FALSE)</f>
        <v>0.1</v>
      </c>
      <c r="AD68" s="27">
        <f>VLOOKUP($A68,'[1]Raw Data'!$A$3:$FB$285,39,FALSE)</f>
        <v>0.16</v>
      </c>
      <c r="AE68" s="27">
        <f>VLOOKUP($A68,'[1]Raw Data'!$A$3:$FB$285,41,FALSE)</f>
        <v>0</v>
      </c>
      <c r="AF68" s="27">
        <f>VLOOKUP($A68,'[1]Raw Data'!$A$3:$FB$285,42,FALSE)</f>
        <v>0</v>
      </c>
      <c r="AG68" s="27">
        <f>VLOOKUP($A68,'[1]Raw Data'!$A$3:$FB$285,44,FALSE)</f>
        <v>0</v>
      </c>
      <c r="AH68" s="27">
        <f>VLOOKUP($A68,'[1]Raw Data'!$A$3:$FB$285,45,FALSE)</f>
        <v>0</v>
      </c>
      <c r="AI68" s="27">
        <f>VLOOKUP($A68,'[1]Raw Data'!$A$3:$FB$285,46,FALSE)</f>
        <v>5212</v>
      </c>
      <c r="AJ68" s="27">
        <f>VLOOKUP($A68,'[1]Raw Data'!$A$3:$FB$285,47,FALSE)</f>
        <v>5106</v>
      </c>
      <c r="AK68" s="27">
        <f>VLOOKUP($A68,'[1]Raw Data'!$A$3:$FB$285,48,FALSE)</f>
        <v>5102</v>
      </c>
      <c r="AL68" s="27">
        <f>VLOOKUP($A68,'[1]Raw Data'!$A$3:$FB$285,49,FALSE)</f>
        <v>4627</v>
      </c>
      <c r="AM68" s="27">
        <f>VLOOKUP($A68,'[1]Raw Data'!$A$3:$FB$285,50,FALSE)</f>
        <v>3731</v>
      </c>
      <c r="AN68" s="27">
        <f>VLOOKUP($A68,'[1]Raw Data'!$A$3:$FB$285,51,FALSE)</f>
        <v>3020</v>
      </c>
      <c r="AO68" s="27">
        <f>VLOOKUP($A68,'[1]Raw Data'!$A$3:$FB$285,52,FALSE)</f>
        <v>3460</v>
      </c>
      <c r="AP68" s="27">
        <f>VLOOKUP($A68,'[1]Raw Data'!$A$3:$FB$285,53,FALSE)</f>
        <v>1317</v>
      </c>
      <c r="AQ68" s="27">
        <f>VLOOKUP($A68,'[1]Raw Data'!$A$3:$FB$285,54,FALSE)</f>
        <v>222</v>
      </c>
      <c r="AR68" s="27">
        <f>VLOOKUP($A68,'[1]Raw Data'!$A$3:$FB$285,55,FALSE)</f>
        <v>222</v>
      </c>
      <c r="AS68" s="27">
        <f>VLOOKUP($A68,'[1]Raw Data'!$A$3:$FB$285,56,FALSE)</f>
        <v>0</v>
      </c>
      <c r="AT68" s="27">
        <f>VLOOKUP($A68,'[1]Raw Data'!$A$3:$FB$285,57,FALSE)</f>
        <v>2007</v>
      </c>
      <c r="AU68" s="27">
        <f>VLOOKUP($A68,'[1]Raw Data'!$A$3:$FB$285,58,FALSE)</f>
        <v>2007</v>
      </c>
      <c r="AV68" s="27" t="str">
        <f>VLOOKUP($A68,'[1]Raw Data'!$A$3:$FB$285,59,FALSE)</f>
        <v/>
      </c>
      <c r="AW68" s="27" t="str">
        <f>VLOOKUP($A68,'[1]Raw Data'!$A$3:$FB$285,60,FALSE)</f>
        <v/>
      </c>
      <c r="AX68" s="27" t="str">
        <f>VLOOKUP(A68,'[1]PO''s List'!A66:E348,4,FALSE)</f>
        <v>NRCS(Shelter)</v>
      </c>
      <c r="AZ68" s="27" t="str">
        <f>VLOOKUP(A68,'[1]PO''s List'!$A$3:$E$285,5,FALSE)</f>
        <v>CDS(Shelter),CSIDB(Shelter),GON - DUDBC(Shelter),GON-PAF(Shelter),NRA(Shelter),SABAL(Shelter),SCI(Education,Shelter,Social Protection)</v>
      </c>
      <c r="BB68" s="27">
        <f>VLOOKUP($A68,'[1]Raw Data'!$A$3:$FB$285,63,FALSE)</f>
        <v>116050</v>
      </c>
      <c r="BC68" s="27" t="str">
        <f>VLOOKUP($A68,'[1]Raw Data'!$A$3:$FB$285,64,FALSE)</f>
        <v>Y</v>
      </c>
      <c r="BD68" s="27" t="str">
        <f t="shared" si="0"/>
        <v>छ</v>
      </c>
      <c r="BE68" s="27" t="str">
        <f>VLOOKUP($A68,'[1]Raw Data'!$A$3:$FB$285,65,FALSE)</f>
        <v/>
      </c>
      <c r="BF68" s="27">
        <f>VLOOKUP($A68,'[1]Raw Data'!$A$3:$FB$285,66,FALSE)</f>
        <v>120553</v>
      </c>
      <c r="BG68" s="27" t="str">
        <f>VLOOKUP($A68,'[1]Raw Data'!$A$3:$FB$285,67,FALSE)</f>
        <v>Y</v>
      </c>
      <c r="BH68" s="27" t="str">
        <f t="shared" si="1"/>
        <v>छ</v>
      </c>
      <c r="BI68" s="27" t="str">
        <f>VLOOKUP($A68,'[1]Raw Data'!$A$3:$FB$285,68,FALSE)</f>
        <v/>
      </c>
      <c r="BJ68" s="27">
        <f>VLOOKUP($A68,'[1]Raw Data'!$A$3:$FB$285,69,FALSE)</f>
        <v>12406</v>
      </c>
      <c r="BK68" s="27" t="str">
        <f>VLOOKUP($A68,'[1]Raw Data'!$A$3:$FB$285,70,FALSE)</f>
        <v>Y</v>
      </c>
      <c r="BL68" s="27" t="str">
        <f t="shared" si="2"/>
        <v>छ</v>
      </c>
      <c r="BM68" s="27" t="str">
        <f>VLOOKUP($A68,'[1]Raw Data'!$A$3:$FB$285,71,FALSE)</f>
        <v/>
      </c>
      <c r="BN68" s="27">
        <f>VLOOKUP($A68,'[1]Raw Data'!$A$3:$FB$285,72,FALSE)</f>
        <v>14370</v>
      </c>
      <c r="BO68" s="27" t="str">
        <f>VLOOKUP($A68,'[1]Raw Data'!$A$3:$FB$285,73,FALSE)</f>
        <v>Y</v>
      </c>
      <c r="BP68" s="27" t="str">
        <f t="shared" si="3"/>
        <v>छ</v>
      </c>
      <c r="BQ68" s="27" t="str">
        <f>VLOOKUP($A68,'[1]Raw Data'!$A$3:$FB$285,74,FALSE)</f>
        <v/>
      </c>
      <c r="BR68" s="27" t="str">
        <f>VLOOKUP($A68,'[1]Raw Data'!$A$3:$FB$285,75,FALSE)</f>
        <v/>
      </c>
      <c r="BS68" s="27" t="str">
        <f>VLOOKUP($A68,'[1]Raw Data'!$A$3:$FB$285,76,FALSE)</f>
        <v/>
      </c>
      <c r="BT68" s="27" t="str">
        <f t="shared" si="4"/>
        <v/>
      </c>
      <c r="BU68" s="27" t="str">
        <f>VLOOKUP($A68,'[1]Raw Data'!$A$3:$FB$285,77,FALSE)</f>
        <v/>
      </c>
      <c r="BV68" s="27">
        <f>VLOOKUP($A68,'[1]Raw Data'!$A$3:$FB$285,78,FALSE)</f>
        <v>399549</v>
      </c>
      <c r="BW68" s="27" t="str">
        <f>VLOOKUP($A68,'[1]Raw Data'!$A$3:$FB$285,79,FALSE)</f>
        <v>Y</v>
      </c>
      <c r="BX68" s="27" t="str">
        <f t="shared" si="5"/>
        <v>छ</v>
      </c>
      <c r="BY68" s="27" t="str">
        <f>VLOOKUP($A68,'[1]Raw Data'!$A$3:$FB$285,80,FALSE)</f>
        <v/>
      </c>
      <c r="BZ68" s="27">
        <f>VLOOKUP($A68,'[1]Raw Data'!$A$3:$FB$285,81,FALSE)</f>
        <v>1256200</v>
      </c>
      <c r="CA68" s="27" t="str">
        <f>VLOOKUP($A68,'[1]Raw Data'!$A$3:$FB$285,82,FALSE)</f>
        <v/>
      </c>
      <c r="CB68" s="27" t="str">
        <f t="shared" si="6"/>
        <v/>
      </c>
      <c r="CC68" s="27" t="str">
        <f>VLOOKUP($A68,'[1]Raw Data'!$A$3:$FB$285,83,FALSE)</f>
        <v/>
      </c>
      <c r="CD68" s="27">
        <f>VLOOKUP($A68,'[1]Raw Data'!$A$3:$FB$285,84,FALSE)</f>
        <v>16334</v>
      </c>
      <c r="CE68" s="27" t="str">
        <f>VLOOKUP($A68,'[1]Raw Data'!$A$3:$FB$285,85,FALSE)</f>
        <v/>
      </c>
      <c r="CF68" s="27" t="str">
        <f t="shared" si="7"/>
        <v/>
      </c>
      <c r="CG68" s="27" t="str">
        <f>VLOOKUP($A68,'[1]Raw Data'!$A$3:$FB$285,86,FALSE)</f>
        <v/>
      </c>
      <c r="CH68" s="27">
        <f>VLOOKUP($A68,'[1]Raw Data'!$A$3:$FB$285,87,FALSE)</f>
        <v>1089847</v>
      </c>
      <c r="CI68" s="27" t="str">
        <f>VLOOKUP($A68,'[1]Raw Data'!$A$3:$FB$285,88,FALSE)</f>
        <v>Y</v>
      </c>
      <c r="CJ68" s="27" t="str">
        <f t="shared" si="8"/>
        <v>छ</v>
      </c>
      <c r="CK68" s="27" t="str">
        <f>VLOOKUP($A68,'[1]Raw Data'!$A$3:$FB$285,89,FALSE)</f>
        <v/>
      </c>
      <c r="CL68" s="27" t="str">
        <f>VLOOKUP($A68,'[1]Raw Data'!$A$3:$FB$285,91,FALSE)</f>
        <v/>
      </c>
      <c r="CM68" s="27" t="str">
        <f>VLOOKUP($A68,'[1]Raw Data'!$A$3:$FB$285,93,FALSE)</f>
        <v/>
      </c>
      <c r="CN68" s="27" t="str">
        <f>VLOOKUP($A68,'[1]Raw Data'!$A$3:$FB$285,94,FALSE)</f>
        <v/>
      </c>
      <c r="CO68" s="27" t="str">
        <f>VLOOKUP($A68,'[1]Raw Data'!$A$3:$FB$285,95,FALSE)</f>
        <v/>
      </c>
      <c r="CP68" s="27" t="str">
        <f>VLOOKUP($A68,'[1]Raw Data'!$A$3:$FB$285,96,FALSE)</f>
        <v/>
      </c>
      <c r="CQ68" s="27" t="str">
        <f>VLOOKUP($A68,'[1]Raw Data'!$A$3:$FB$285,97,FALSE)</f>
        <v/>
      </c>
      <c r="CR68" s="27" t="str">
        <f>VLOOKUP($A68,'[1]Raw Data'!$A$3:$FB$285,98,FALSE)</f>
        <v/>
      </c>
      <c r="CS68" s="27" t="str">
        <f>VLOOKUP($A68,'[1]Raw Data'!$A$3:$FB$285,99,FALSE)</f>
        <v/>
      </c>
      <c r="CT68" s="27" t="str">
        <f>VLOOKUP($A68,'[1]Raw Data'!$A$3:$FB$285,101,FALSE)</f>
        <v>Prem Bahadur Tamang</v>
      </c>
      <c r="CU68" s="27" t="s">
        <v>966</v>
      </c>
      <c r="CV68" s="27" t="str">
        <f>VLOOKUP($A68,'[1]Raw Data'!$A$3:$FB$285,102,FALSE)</f>
        <v xml:space="preserve">Chairman </v>
      </c>
      <c r="CW68" s="27" t="s">
        <v>878</v>
      </c>
      <c r="CX68" s="27">
        <f>VLOOKUP($A68,'[1]Raw Data'!$A$3:$FB$285,103,FALSE)</f>
        <v>9854040168</v>
      </c>
      <c r="CY68" s="27" t="str">
        <f>VLOOKUP($A68,'[1]Raw Data'!$A$3:$FB$285,105,FALSE)</f>
        <v>Makhmali Shrestha</v>
      </c>
      <c r="CZ68" s="27" t="s">
        <v>967</v>
      </c>
      <c r="DA68" s="27" t="str">
        <f>VLOOKUP($A68,'[1]Raw Data'!$A$3:$FB$285,106,FALSE)</f>
        <v>Deputy Chairman</v>
      </c>
      <c r="DB68" s="27" t="s">
        <v>879</v>
      </c>
      <c r="DC68" s="27">
        <f>VLOOKUP($A68,'[1]Raw Data'!$A$3:$FB$285,107,FALSE)</f>
        <v>9849943796</v>
      </c>
      <c r="DD68" s="27" t="str">
        <f>VLOOKUP($A68,'[1]Raw Data'!$A$3:$FB$285,109,FALSE)</f>
        <v/>
      </c>
      <c r="DF68" s="27" t="str">
        <f>VLOOKUP($A68,'[1]Raw Data'!$A$3:$FB$285,110,FALSE)</f>
        <v>Chief Adminstration Officer</v>
      </c>
      <c r="DG68" s="27" t="s">
        <v>880</v>
      </c>
      <c r="DH68" s="27" t="str">
        <f>VLOOKUP($A68,'[1]Raw Data'!$A$3:$FB$285,111,FALSE)</f>
        <v/>
      </c>
      <c r="DI68" s="27" t="str">
        <f>VLOOKUP($A68,'[1]Raw Data'!$A$3:$FB$285,121,FALSE)</f>
        <v>Damodar Dhungana</v>
      </c>
      <c r="DJ68" s="27" t="s">
        <v>968</v>
      </c>
      <c r="DK68" s="27" t="str">
        <f>VLOOKUP($A68,'[1]Raw Data'!$A$3:$FB$285,122,FALSE)</f>
        <v>Focal Person</v>
      </c>
      <c r="DL68" s="27" t="s">
        <v>881</v>
      </c>
      <c r="DM68" s="27">
        <f>VLOOKUP($A68,'[1]Raw Data'!$A$3:$FB$285,123,FALSE)</f>
        <v>9861610438</v>
      </c>
      <c r="DN68" s="27" t="str">
        <f>VLOOKUP($A68,'[1]Raw Data'!$A$3:$FB$285,113,FALSE)</f>
        <v>Krishna Lal Piya</v>
      </c>
      <c r="DO68" s="27" t="s">
        <v>959</v>
      </c>
      <c r="DP68" s="27" t="str">
        <f>VLOOKUP($A68,'[1]Raw Data'!$A$3:$FB$285,114,FALSE)</f>
        <v>NRA Chief-District</v>
      </c>
      <c r="DQ68" s="27" t="s">
        <v>882</v>
      </c>
      <c r="DR68" s="27">
        <f>VLOOKUP($A68,'[1]Raw Data'!$A$3:$FB$285,115,FALSE)</f>
        <v>9854043491</v>
      </c>
      <c r="DS68" s="27" t="str">
        <f>VLOOKUP($A68,'[1]Raw Data'!$A$3:$FB$285,117,FALSE)</f>
        <v>Prabhakar Lal Karna</v>
      </c>
      <c r="DT68" s="27" t="s">
        <v>894</v>
      </c>
      <c r="DU68" s="27" t="str">
        <f>VLOOKUP($A68,'[1]Raw Data'!$A$3:$FB$285,118,FALSE)</f>
        <v>DUDBC.DLPIU Chief</v>
      </c>
      <c r="DV68" s="27" t="s">
        <v>883</v>
      </c>
      <c r="DW68" s="27">
        <f>VLOOKUP($A68,'[1]Raw Data'!$A$3:$FB$285,119,FALSE)</f>
        <v>9854041543</v>
      </c>
      <c r="DX68" s="27" t="s">
        <v>339</v>
      </c>
      <c r="DY68" s="27" t="str">
        <f>VLOOKUP($A68,'[1]Raw Data'!$A$3:$FB$285,124,FALSE)</f>
        <v/>
      </c>
      <c r="DZ68" s="27" t="s">
        <v>884</v>
      </c>
      <c r="EA68" s="27" t="str">
        <f>VLOOKUP($A68,'[1]Raw Data'!$A$3:$FB$285,125,FALSE)</f>
        <v/>
      </c>
      <c r="EB68" s="27" t="s">
        <v>341</v>
      </c>
      <c r="EC68" s="27" t="str">
        <f>VLOOKUP($A68,'[1]Raw Data'!$A$3:$FB$285,126,FALSE)</f>
        <v/>
      </c>
      <c r="ED68" t="s">
        <v>478</v>
      </c>
      <c r="EE68" s="27" t="str">
        <f>VLOOKUP($A68,'[1]Raw Data'!$A$3:$FB$285,127,FALSE)</f>
        <v/>
      </c>
      <c r="EF68" s="27" t="s">
        <v>343</v>
      </c>
      <c r="EG68" s="27" t="str">
        <f>VLOOKUP($A68,'[1]Raw Data'!$A$3:$FB$285,128,FALSE)</f>
        <v/>
      </c>
      <c r="EH68" t="s">
        <v>344</v>
      </c>
      <c r="EI68" s="27" t="str">
        <f>VLOOKUP($A68,'[1]Raw Data'!$A$3:$FB$285,129,FALSE)</f>
        <v/>
      </c>
      <c r="EM68" s="27" t="str">
        <f>VLOOKUP($A68,'[1]Raw Data'!$A$3:$FB$285,130,FALSE)</f>
        <v/>
      </c>
      <c r="EN68" s="27" t="str">
        <f>VLOOKUP($A68,'[1]Raw Data'!$A$3:$FB$285,131,FALSE)</f>
        <v/>
      </c>
      <c r="EO68" s="27" t="str">
        <f>VLOOKUP($A68,'[1]Raw Data'!$A$3:$FB$285,132,FALSE)</f>
        <v/>
      </c>
      <c r="EP68" s="27" t="str">
        <f>VLOOKUP($A68,'[1]Raw Data'!$A$3:$FB$285,133,FALSE)</f>
        <v/>
      </c>
      <c r="EQ68" s="27" t="str">
        <f>VLOOKUP($A68,'[1]Raw Data'!$A$3:$FB$285,134,FALSE)</f>
        <v/>
      </c>
      <c r="ER68" s="27" t="str">
        <f>VLOOKUP($A68,'[1]Raw Data'!$A$3:$FB$285,135,FALSE)</f>
        <v/>
      </c>
      <c r="ES68" s="27" t="str">
        <f>VLOOKUP($A68,'[1]Raw Data'!$A$3:$FB$285,136,FALSE)</f>
        <v/>
      </c>
      <c r="ET68" s="27" t="str">
        <f>VLOOKUP($A68,'[1]Raw Data'!$A$3:$FB$285,137,FALSE)</f>
        <v/>
      </c>
      <c r="EU68" s="27" t="str">
        <f>VLOOKUP($A68,'[1]Raw Data'!$A$3:$FB$285,138,FALSE)</f>
        <v/>
      </c>
      <c r="EV68" s="27" t="str">
        <f>VLOOKUP($A68,'[1]Raw Data'!$A$3:$FB$285,139,FALSE)</f>
        <v/>
      </c>
      <c r="EW68" s="38">
        <f>VLOOKUP($A68,[1]Training!$A$2:$I$284,5,FALSE)</f>
        <v>400.76923076923077</v>
      </c>
      <c r="EX68" s="31">
        <f>VLOOKUP($A68,[1]Training!$A$2:$I$284,6,FALSE)</f>
        <v>186</v>
      </c>
      <c r="EY68" s="38">
        <f>VLOOKUP($A68,[1]Training!$A$2:$I$284,8,FALSE)</f>
        <v>536.22890078221496</v>
      </c>
      <c r="EZ68" s="31">
        <f>VLOOKUP($A68,[1]Training!$A$2:$I$284,9,FALSE)</f>
        <v>249</v>
      </c>
      <c r="FA68" s="27">
        <v>1</v>
      </c>
      <c r="FB68" s="27">
        <v>2</v>
      </c>
      <c r="FC68" s="27" t="str">
        <f>VLOOKUP($A68,'[1]Raw Data'!$A$3:$FB$285,148,FALSE)</f>
        <v>Prakash Bishwakarma</v>
      </c>
      <c r="FD68" s="27" t="s">
        <v>960</v>
      </c>
      <c r="FE68" s="27" t="str">
        <f>VLOOKUP($A68,'[1]Raw Data'!$A$3:$FB$285,149,FALSE)</f>
        <v>District Coordinator</v>
      </c>
      <c r="FF68" s="27" t="s">
        <v>885</v>
      </c>
      <c r="FG68" s="27">
        <f>VLOOKUP($A68,'[1]Raw Data'!$A$3:$FB$285,150,FALSE)</f>
        <v>9841720436</v>
      </c>
      <c r="FH68" s="27" t="str">
        <f>VLOOKUP($A68,'[1]Raw Data'!$A$3:$FB$285,156,FALSE)</f>
        <v>Tulasi Ram Lamichhane</v>
      </c>
      <c r="FI68" s="27" t="s">
        <v>961</v>
      </c>
      <c r="FJ68" s="27" t="str">
        <f>VLOOKUP($A68,'[1]Raw Data'!$A$3:$FB$285,157,FALSE)</f>
        <v>District Technical Officer</v>
      </c>
      <c r="FK68" s="27" t="s">
        <v>886</v>
      </c>
      <c r="FL68" s="27">
        <f>VLOOKUP($A68,'[1]Raw Data'!$A$3:$FB$285,158,FALSE)</f>
        <v>9851213610</v>
      </c>
      <c r="FM68" s="27" t="str">
        <f>VLOOKUP($A68,'[1]Raw Data'!$A$3:$FB$285,152,FALSE)</f>
        <v>Jawed Mohammad</v>
      </c>
      <c r="FN68" s="27" t="s">
        <v>962</v>
      </c>
      <c r="FO68" s="27" t="str">
        <f>VLOOKUP($A68,'[1]Raw Data'!$A$3:$FB$285,153,FALSE)</f>
        <v>DIstrict Information Management Officer</v>
      </c>
      <c r="FP68" s="27" t="s">
        <v>887</v>
      </c>
      <c r="FQ68" s="27" t="str">
        <f>VLOOKUP($A68,'[1]Raw Data'!$A$3:$FB$285,154,FALSE)</f>
        <v/>
      </c>
    </row>
    <row r="69" spans="1:173" ht="24" x14ac:dyDescent="0.45">
      <c r="A69" s="27">
        <v>21004</v>
      </c>
      <c r="B69" s="36" t="str">
        <f ca="1">IFERROR(__xludf.DUMMYFUNCTION("""COMPUTED_VALUE"""),"Likhu Gaunpalika")</f>
        <v>Likhu Gaunpalika</v>
      </c>
      <c r="C69" s="37" t="str">
        <f>VLOOKUP(A69,'[1]Palika and District in Nepali '!$D$1:$F$283,3,FALSE)</f>
        <v xml:space="preserve">लिखु गाउँपालिका </v>
      </c>
      <c r="D69" s="36" t="str">
        <f ca="1">IFERROR(__xludf.DUMMYFUNCTION("""COMPUTED_VALUE"""),"Ramechhap")</f>
        <v>Ramechhap</v>
      </c>
      <c r="E69" s="36"/>
      <c r="F69" s="27">
        <f>VLOOKUP(A69,'[1]Raw Data'!$A$3:$FB$285,4,FALSE)</f>
        <v>1127</v>
      </c>
      <c r="G69" s="27">
        <f>VLOOKUP(A69,'[1]Raw Data'!$A$3:$FB$285,5,FALSE)</f>
        <v>5855</v>
      </c>
      <c r="H69" s="27">
        <f>VLOOKUP(A69,'[1]Raw Data'!$A$3:$FB$285,6,FALSE)</f>
        <v>6982</v>
      </c>
      <c r="I69" s="27">
        <f>VLOOKUP($A69,'[1]Raw Data'!$A$3:$FB$285,8,FALSE)</f>
        <v>0.26</v>
      </c>
      <c r="J69" s="27">
        <f>VLOOKUP($A69,'[1]Raw Data'!$A$3:$FB$285,9,FALSE)</f>
        <v>0.46</v>
      </c>
      <c r="K69" s="27">
        <f>VLOOKUP($A69,'[1]Raw Data'!$A$3:$FB$285,11,FALSE)</f>
        <v>97.89</v>
      </c>
      <c r="L69" s="27">
        <f>VLOOKUP($A69,'[1]Raw Data'!$A$3:$FB$285,12,FALSE)</f>
        <v>97.73</v>
      </c>
      <c r="M69" s="27">
        <f>VLOOKUP($A69,'[1]Raw Data'!$A$3:$FB$285,14,FALSE)</f>
        <v>0.3</v>
      </c>
      <c r="N69" s="27">
        <f>VLOOKUP($A69,'[1]Raw Data'!$A$3:$FB$285,15,FALSE)</f>
        <v>0.17</v>
      </c>
      <c r="O69" s="27">
        <f>VLOOKUP($A69,'[1]Raw Data'!$A$3:$FB$285,17,FALSE)</f>
        <v>0.01</v>
      </c>
      <c r="P69" s="27">
        <f>VLOOKUP($A69,'[1]Raw Data'!$A$3:$FB$285,18,FALSE)</f>
        <v>0.02</v>
      </c>
      <c r="Q69" s="27">
        <f>VLOOKUP($A69,'[1]Raw Data'!$A$3:$FB$285,20,FALSE)</f>
        <v>0.66</v>
      </c>
      <c r="R69" s="27">
        <f>VLOOKUP($A69,'[1]Raw Data'!$A$3:$FB$285,21,FALSE)</f>
        <v>0.55000000000000004</v>
      </c>
      <c r="S69" s="27">
        <f>VLOOKUP($A69,'[1]Raw Data'!$A$3:$FB$285,23,FALSE)</f>
        <v>0</v>
      </c>
      <c r="T69" s="27">
        <f>VLOOKUP($A69,'[1]Raw Data'!$A$3:$FB$285,24,FALSE)</f>
        <v>0</v>
      </c>
      <c r="U69" s="27">
        <f>VLOOKUP($A69,'[1]Raw Data'!$A$3:$FB$285,26,FALSE)</f>
        <v>0.54</v>
      </c>
      <c r="V69" s="27">
        <f>VLOOKUP($A69,'[1]Raw Data'!$A$3:$FB$285,27,FALSE)</f>
        <v>0.37</v>
      </c>
      <c r="W69" s="27">
        <f>VLOOKUP($A69,'[1]Raw Data'!$A$3:$FB$285,29,FALSE)</f>
        <v>0</v>
      </c>
      <c r="X69" s="27">
        <f>VLOOKUP($A69,'[1]Raw Data'!$A$3:$FB$285,30,FALSE)</f>
        <v>0</v>
      </c>
      <c r="Y69" s="27">
        <f>VLOOKUP($A69,'[1]Raw Data'!$A$3:$FB$285,32,FALSE)</f>
        <v>7.0000000000000007E-2</v>
      </c>
      <c r="Z69" s="27">
        <f>VLOOKUP($A69,'[1]Raw Data'!$A$3:$FB$285,33,FALSE)</f>
        <v>0.11</v>
      </c>
      <c r="AA69" s="27">
        <f>VLOOKUP($A69,'[1]Raw Data'!$A$3:$FB$285,35,FALSE)</f>
        <v>0.06</v>
      </c>
      <c r="AB69" s="27">
        <f>VLOOKUP($A69,'[1]Raw Data'!$A$3:$FB$285,36,FALSE)</f>
        <v>0.44</v>
      </c>
      <c r="AC69" s="27">
        <f>VLOOKUP($A69,'[1]Raw Data'!$A$3:$FB$285,38,FALSE)</f>
        <v>0.2</v>
      </c>
      <c r="AD69" s="27">
        <f>VLOOKUP($A69,'[1]Raw Data'!$A$3:$FB$285,39,FALSE)</f>
        <v>0.16</v>
      </c>
      <c r="AE69" s="27">
        <f>VLOOKUP($A69,'[1]Raw Data'!$A$3:$FB$285,41,FALSE)</f>
        <v>0</v>
      </c>
      <c r="AF69" s="27">
        <f>VLOOKUP($A69,'[1]Raw Data'!$A$3:$FB$285,42,FALSE)</f>
        <v>0</v>
      </c>
      <c r="AG69" s="27">
        <f>VLOOKUP($A69,'[1]Raw Data'!$A$3:$FB$285,44,FALSE)</f>
        <v>0</v>
      </c>
      <c r="AH69" s="27">
        <f>VLOOKUP($A69,'[1]Raw Data'!$A$3:$FB$285,45,FALSE)</f>
        <v>0</v>
      </c>
      <c r="AI69" s="27">
        <f>VLOOKUP($A69,'[1]Raw Data'!$A$3:$FB$285,46,FALSE)</f>
        <v>5686</v>
      </c>
      <c r="AJ69" s="27">
        <f>VLOOKUP($A69,'[1]Raw Data'!$A$3:$FB$285,47,FALSE)</f>
        <v>5498</v>
      </c>
      <c r="AK69" s="27">
        <f>VLOOKUP($A69,'[1]Raw Data'!$A$3:$FB$285,48,FALSE)</f>
        <v>5497</v>
      </c>
      <c r="AL69" s="27">
        <f>VLOOKUP($A69,'[1]Raw Data'!$A$3:$FB$285,49,FALSE)</f>
        <v>4888</v>
      </c>
      <c r="AM69" s="27">
        <f>VLOOKUP($A69,'[1]Raw Data'!$A$3:$FB$285,50,FALSE)</f>
        <v>3966</v>
      </c>
      <c r="AN69" s="27">
        <f>VLOOKUP($A69,'[1]Raw Data'!$A$3:$FB$285,51,FALSE)</f>
        <v>3359</v>
      </c>
      <c r="AO69" s="27">
        <f>VLOOKUP($A69,'[1]Raw Data'!$A$3:$FB$285,52,FALSE)</f>
        <v>3590</v>
      </c>
      <c r="AP69" s="27">
        <f>VLOOKUP($A69,'[1]Raw Data'!$A$3:$FB$285,53,FALSE)</f>
        <v>1010</v>
      </c>
      <c r="AQ69" s="27">
        <f>VLOOKUP($A69,'[1]Raw Data'!$A$3:$FB$285,54,FALSE)</f>
        <v>16</v>
      </c>
      <c r="AR69" s="27">
        <f>VLOOKUP($A69,'[1]Raw Data'!$A$3:$FB$285,55,FALSE)</f>
        <v>16</v>
      </c>
      <c r="AS69" s="27">
        <f>VLOOKUP($A69,'[1]Raw Data'!$A$3:$FB$285,56,FALSE)</f>
        <v>0</v>
      </c>
      <c r="AT69" s="27">
        <f>VLOOKUP($A69,'[1]Raw Data'!$A$3:$FB$285,57,FALSE)</f>
        <v>1562</v>
      </c>
      <c r="AU69" s="27">
        <f>VLOOKUP($A69,'[1]Raw Data'!$A$3:$FB$285,58,FALSE)</f>
        <v>1562</v>
      </c>
      <c r="AV69" s="27" t="str">
        <f>VLOOKUP($A69,'[1]Raw Data'!$A$3:$FB$285,59,FALSE)</f>
        <v/>
      </c>
      <c r="AW69" s="27" t="str">
        <f>VLOOKUP($A69,'[1]Raw Data'!$A$3:$FB$285,60,FALSE)</f>
        <v/>
      </c>
      <c r="AX69" s="27" t="str">
        <f>VLOOKUP(A69,'[1]PO''s List'!A67:E349,4,FALSE)</f>
        <v>NRCS(Shelter)</v>
      </c>
      <c r="AZ69" s="27" t="str">
        <f>VLOOKUP(A69,'[1]PO''s List'!$A$3:$E$285,5,FALSE)</f>
        <v>CSIDB(Shelter),GON - DUDBC(Shelter),GON-PAF(Shelter),HCI(Shelter),HELVETAS(Shelter),KFS-N(Education,Health,Shelter),MEDAIR(Shelter,Health),SABAL(Shelter),SW Nepal(Shelter)</v>
      </c>
      <c r="BB69" s="27">
        <f>VLOOKUP($A69,'[1]Raw Data'!$A$3:$FB$285,63,FALSE)</f>
        <v>99670</v>
      </c>
      <c r="BC69" s="27" t="str">
        <f>VLOOKUP($A69,'[1]Raw Data'!$A$3:$FB$285,64,FALSE)</f>
        <v>Y</v>
      </c>
      <c r="BD69" s="27" t="str">
        <f t="shared" si="0"/>
        <v>छ</v>
      </c>
      <c r="BE69" s="27" t="str">
        <f>VLOOKUP($A69,'[1]Raw Data'!$A$3:$FB$285,65,FALSE)</f>
        <v/>
      </c>
      <c r="BF69" s="27">
        <f>VLOOKUP($A69,'[1]Raw Data'!$A$3:$FB$285,66,FALSE)</f>
        <v>100164</v>
      </c>
      <c r="BG69" s="27" t="str">
        <f>VLOOKUP($A69,'[1]Raw Data'!$A$3:$FB$285,67,FALSE)</f>
        <v>Y</v>
      </c>
      <c r="BH69" s="27" t="str">
        <f t="shared" si="1"/>
        <v>छ</v>
      </c>
      <c r="BI69" s="27" t="str">
        <f>VLOOKUP($A69,'[1]Raw Data'!$A$3:$FB$285,68,FALSE)</f>
        <v/>
      </c>
      <c r="BJ69" s="27">
        <f>VLOOKUP($A69,'[1]Raw Data'!$A$3:$FB$285,69,FALSE)</f>
        <v>10626</v>
      </c>
      <c r="BK69" s="27" t="str">
        <f>VLOOKUP($A69,'[1]Raw Data'!$A$3:$FB$285,70,FALSE)</f>
        <v>Y</v>
      </c>
      <c r="BL69" s="27" t="str">
        <f t="shared" si="2"/>
        <v>छ</v>
      </c>
      <c r="BM69" s="27" t="str">
        <f>VLOOKUP($A69,'[1]Raw Data'!$A$3:$FB$285,71,FALSE)</f>
        <v/>
      </c>
      <c r="BN69" s="27">
        <f>VLOOKUP($A69,'[1]Raw Data'!$A$3:$FB$285,72,FALSE)</f>
        <v>12202</v>
      </c>
      <c r="BO69" s="27" t="str">
        <f>VLOOKUP($A69,'[1]Raw Data'!$A$3:$FB$285,73,FALSE)</f>
        <v>Y</v>
      </c>
      <c r="BP69" s="27" t="str">
        <f t="shared" si="3"/>
        <v>छ</v>
      </c>
      <c r="BQ69" s="27" t="str">
        <f>VLOOKUP($A69,'[1]Raw Data'!$A$3:$FB$285,74,FALSE)</f>
        <v/>
      </c>
      <c r="BR69" s="27" t="str">
        <f>VLOOKUP($A69,'[1]Raw Data'!$A$3:$FB$285,75,FALSE)</f>
        <v/>
      </c>
      <c r="BS69" s="27" t="str">
        <f>VLOOKUP($A69,'[1]Raw Data'!$A$3:$FB$285,76,FALSE)</f>
        <v/>
      </c>
      <c r="BT69" s="27" t="str">
        <f t="shared" si="4"/>
        <v/>
      </c>
      <c r="BU69" s="27" t="str">
        <f>VLOOKUP($A69,'[1]Raw Data'!$A$3:$FB$285,77,FALSE)</f>
        <v/>
      </c>
      <c r="BV69" s="27">
        <f>VLOOKUP($A69,'[1]Raw Data'!$A$3:$FB$285,78,FALSE)</f>
        <v>334480</v>
      </c>
      <c r="BW69" s="27" t="str">
        <f>VLOOKUP($A69,'[1]Raw Data'!$A$3:$FB$285,79,FALSE)</f>
        <v>Y</v>
      </c>
      <c r="BX69" s="27" t="str">
        <f t="shared" si="5"/>
        <v>छ</v>
      </c>
      <c r="BY69" s="27" t="str">
        <f>VLOOKUP($A69,'[1]Raw Data'!$A$3:$FB$285,80,FALSE)</f>
        <v/>
      </c>
      <c r="BZ69" s="27">
        <f>VLOOKUP($A69,'[1]Raw Data'!$A$3:$FB$285,81,FALSE)</f>
        <v>1086587</v>
      </c>
      <c r="CA69" s="27" t="str">
        <f>VLOOKUP($A69,'[1]Raw Data'!$A$3:$FB$285,82,FALSE)</f>
        <v/>
      </c>
      <c r="CB69" s="27" t="str">
        <f t="shared" si="6"/>
        <v/>
      </c>
      <c r="CC69" s="27" t="str">
        <f>VLOOKUP($A69,'[1]Raw Data'!$A$3:$FB$285,83,FALSE)</f>
        <v/>
      </c>
      <c r="CD69" s="27">
        <f>VLOOKUP($A69,'[1]Raw Data'!$A$3:$FB$285,84,FALSE)</f>
        <v>13680</v>
      </c>
      <c r="CE69" s="27" t="str">
        <f>VLOOKUP($A69,'[1]Raw Data'!$A$3:$FB$285,85,FALSE)</f>
        <v/>
      </c>
      <c r="CF69" s="27" t="str">
        <f t="shared" si="7"/>
        <v/>
      </c>
      <c r="CG69" s="27" t="str">
        <f>VLOOKUP($A69,'[1]Raw Data'!$A$3:$FB$285,86,FALSE)</f>
        <v/>
      </c>
      <c r="CH69" s="27">
        <f>VLOOKUP($A69,'[1]Raw Data'!$A$3:$FB$285,87,FALSE)</f>
        <v>1482773</v>
      </c>
      <c r="CI69" s="27" t="str">
        <f>VLOOKUP($A69,'[1]Raw Data'!$A$3:$FB$285,88,FALSE)</f>
        <v>Y</v>
      </c>
      <c r="CJ69" s="27" t="str">
        <f t="shared" si="8"/>
        <v>छ</v>
      </c>
      <c r="CK69" s="27" t="str">
        <f>VLOOKUP($A69,'[1]Raw Data'!$A$3:$FB$285,89,FALSE)</f>
        <v/>
      </c>
      <c r="CL69" s="27" t="str">
        <f>VLOOKUP($A69,'[1]Raw Data'!$A$3:$FB$285,91,FALSE)</f>
        <v/>
      </c>
      <c r="CM69" s="27" t="str">
        <f>VLOOKUP($A69,'[1]Raw Data'!$A$3:$FB$285,93,FALSE)</f>
        <v/>
      </c>
      <c r="CN69" s="27" t="str">
        <f>VLOOKUP($A69,'[1]Raw Data'!$A$3:$FB$285,94,FALSE)</f>
        <v/>
      </c>
      <c r="CO69" s="27" t="str">
        <f>VLOOKUP($A69,'[1]Raw Data'!$A$3:$FB$285,95,FALSE)</f>
        <v/>
      </c>
      <c r="CP69" s="27" t="str">
        <f>VLOOKUP($A69,'[1]Raw Data'!$A$3:$FB$285,96,FALSE)</f>
        <v/>
      </c>
      <c r="CQ69" s="27" t="str">
        <f>VLOOKUP($A69,'[1]Raw Data'!$A$3:$FB$285,97,FALSE)</f>
        <v/>
      </c>
      <c r="CR69" s="27" t="str">
        <f>VLOOKUP($A69,'[1]Raw Data'!$A$3:$FB$285,98,FALSE)</f>
        <v/>
      </c>
      <c r="CS69" s="27" t="str">
        <f>VLOOKUP($A69,'[1]Raw Data'!$A$3:$FB$285,99,FALSE)</f>
        <v/>
      </c>
      <c r="CT69" s="27" t="str">
        <f>VLOOKUP($A69,'[1]Raw Data'!$A$3:$FB$285,101,FALSE)</f>
        <v>Govinda Bahadur Khadka</v>
      </c>
      <c r="CU69" s="27" t="s">
        <v>969</v>
      </c>
      <c r="CV69" s="27" t="str">
        <f>VLOOKUP($A69,'[1]Raw Data'!$A$3:$FB$285,102,FALSE)</f>
        <v xml:space="preserve">Chairman </v>
      </c>
      <c r="CW69" s="27" t="s">
        <v>878</v>
      </c>
      <c r="CX69" s="27">
        <f>VLOOKUP($A69,'[1]Raw Data'!$A$3:$FB$285,103,FALSE)</f>
        <v>9843566666</v>
      </c>
      <c r="CY69" s="27" t="str">
        <f>VLOOKUP($A69,'[1]Raw Data'!$A$3:$FB$285,105,FALSE)</f>
        <v>Deep Shikha Dahal</v>
      </c>
      <c r="CZ69" s="27" t="s">
        <v>970</v>
      </c>
      <c r="DA69" s="27" t="str">
        <f>VLOOKUP($A69,'[1]Raw Data'!$A$3:$FB$285,106,FALSE)</f>
        <v>Deputy Chairman</v>
      </c>
      <c r="DB69" s="27" t="s">
        <v>879</v>
      </c>
      <c r="DC69" s="27">
        <f>VLOOKUP($A69,'[1]Raw Data'!$A$3:$FB$285,107,FALSE)</f>
        <v>9854203106</v>
      </c>
      <c r="DD69" s="27" t="str">
        <f>VLOOKUP($A69,'[1]Raw Data'!$A$3:$FB$285,109,FALSE)</f>
        <v/>
      </c>
      <c r="DF69" s="27" t="str">
        <f>VLOOKUP($A69,'[1]Raw Data'!$A$3:$FB$285,110,FALSE)</f>
        <v>Chief Adminstration Officer</v>
      </c>
      <c r="DG69" s="27" t="s">
        <v>880</v>
      </c>
      <c r="DH69" s="27" t="str">
        <f>VLOOKUP($A69,'[1]Raw Data'!$A$3:$FB$285,111,FALSE)</f>
        <v/>
      </c>
      <c r="DI69" s="27" t="str">
        <f>VLOOKUP($A69,'[1]Raw Data'!$A$3:$FB$285,121,FALSE)</f>
        <v>Narendra Basyal</v>
      </c>
      <c r="DJ69" s="27" t="s">
        <v>971</v>
      </c>
      <c r="DK69" s="27" t="str">
        <f>VLOOKUP($A69,'[1]Raw Data'!$A$3:$FB$285,122,FALSE)</f>
        <v>Focal Person</v>
      </c>
      <c r="DL69" s="27" t="s">
        <v>881</v>
      </c>
      <c r="DM69" s="27">
        <f>VLOOKUP($A69,'[1]Raw Data'!$A$3:$FB$285,123,FALSE)</f>
        <v>9841290857</v>
      </c>
      <c r="DN69" s="27" t="str">
        <f>VLOOKUP($A69,'[1]Raw Data'!$A$3:$FB$285,113,FALSE)</f>
        <v>Krishna Lal Piya</v>
      </c>
      <c r="DO69" s="27" t="s">
        <v>959</v>
      </c>
      <c r="DP69" s="27" t="str">
        <f>VLOOKUP($A69,'[1]Raw Data'!$A$3:$FB$285,114,FALSE)</f>
        <v>NRA Chief-District</v>
      </c>
      <c r="DQ69" s="27" t="s">
        <v>882</v>
      </c>
      <c r="DR69" s="27">
        <f>VLOOKUP($A69,'[1]Raw Data'!$A$3:$FB$285,115,FALSE)</f>
        <v>9854043491</v>
      </c>
      <c r="DS69" s="27" t="str">
        <f>VLOOKUP($A69,'[1]Raw Data'!$A$3:$FB$285,117,FALSE)</f>
        <v>Prabhakar Lal Karna</v>
      </c>
      <c r="DT69" s="27" t="s">
        <v>894</v>
      </c>
      <c r="DU69" s="27" t="str">
        <f>VLOOKUP($A69,'[1]Raw Data'!$A$3:$FB$285,118,FALSE)</f>
        <v>DUDBC.DLPIU Chief</v>
      </c>
      <c r="DV69" s="27" t="s">
        <v>883</v>
      </c>
      <c r="DW69" s="27">
        <f>VLOOKUP($A69,'[1]Raw Data'!$A$3:$FB$285,119,FALSE)</f>
        <v>9854041543</v>
      </c>
      <c r="DX69" s="27" t="s">
        <v>339</v>
      </c>
      <c r="DY69" s="27" t="str">
        <f>VLOOKUP($A69,'[1]Raw Data'!$A$3:$FB$285,124,FALSE)</f>
        <v/>
      </c>
      <c r="DZ69" s="27" t="s">
        <v>884</v>
      </c>
      <c r="EA69" s="27" t="str">
        <f>VLOOKUP($A69,'[1]Raw Data'!$A$3:$FB$285,125,FALSE)</f>
        <v/>
      </c>
      <c r="EB69" s="27" t="s">
        <v>341</v>
      </c>
      <c r="EC69" s="27" t="str">
        <f>VLOOKUP($A69,'[1]Raw Data'!$A$3:$FB$285,126,FALSE)</f>
        <v/>
      </c>
      <c r="ED69" t="s">
        <v>478</v>
      </c>
      <c r="EE69" s="27" t="str">
        <f>VLOOKUP($A69,'[1]Raw Data'!$A$3:$FB$285,127,FALSE)</f>
        <v/>
      </c>
      <c r="EF69" s="27" t="s">
        <v>343</v>
      </c>
      <c r="EG69" s="27" t="str">
        <f>VLOOKUP($A69,'[1]Raw Data'!$A$3:$FB$285,128,FALSE)</f>
        <v/>
      </c>
      <c r="EH69" t="s">
        <v>344</v>
      </c>
      <c r="EI69" s="27" t="str">
        <f>VLOOKUP($A69,'[1]Raw Data'!$A$3:$FB$285,129,FALSE)</f>
        <v/>
      </c>
      <c r="EM69" s="27" t="str">
        <f>VLOOKUP($A69,'[1]Raw Data'!$A$3:$FB$285,130,FALSE)</f>
        <v/>
      </c>
      <c r="EN69" s="27" t="str">
        <f>VLOOKUP($A69,'[1]Raw Data'!$A$3:$FB$285,131,FALSE)</f>
        <v/>
      </c>
      <c r="EO69" s="27" t="str">
        <f>VLOOKUP($A69,'[1]Raw Data'!$A$3:$FB$285,132,FALSE)</f>
        <v/>
      </c>
      <c r="EP69" s="27" t="str">
        <f>VLOOKUP($A69,'[1]Raw Data'!$A$3:$FB$285,133,FALSE)</f>
        <v/>
      </c>
      <c r="EQ69" s="27" t="str">
        <f>VLOOKUP($A69,'[1]Raw Data'!$A$3:$FB$285,134,FALSE)</f>
        <v/>
      </c>
      <c r="ER69" s="27" t="str">
        <f>VLOOKUP($A69,'[1]Raw Data'!$A$3:$FB$285,135,FALSE)</f>
        <v/>
      </c>
      <c r="ES69" s="27" t="str">
        <f>VLOOKUP($A69,'[1]Raw Data'!$A$3:$FB$285,136,FALSE)</f>
        <v/>
      </c>
      <c r="ET69" s="27" t="str">
        <f>VLOOKUP($A69,'[1]Raw Data'!$A$3:$FB$285,137,FALSE)</f>
        <v/>
      </c>
      <c r="EU69" s="27" t="str">
        <f>VLOOKUP($A69,'[1]Raw Data'!$A$3:$FB$285,138,FALSE)</f>
        <v/>
      </c>
      <c r="EV69" s="27" t="str">
        <f>VLOOKUP($A69,'[1]Raw Data'!$A$3:$FB$285,139,FALSE)</f>
        <v/>
      </c>
      <c r="EW69" s="38">
        <f>VLOOKUP($A69,[1]Training!$A$2:$I$284,5,FALSE)</f>
        <v>431.15384615384613</v>
      </c>
      <c r="EX69" s="31">
        <f>VLOOKUP($A69,[1]Training!$A$2:$I$284,6,FALSE)</f>
        <v>271</v>
      </c>
      <c r="EY69" s="38">
        <f>VLOOKUP($A69,[1]Training!$A$2:$I$284,8,FALSE)</f>
        <v>576.88349114862092</v>
      </c>
      <c r="EZ69" s="31">
        <f>VLOOKUP($A69,[1]Training!$A$2:$I$284,9,FALSE)</f>
        <v>20</v>
      </c>
      <c r="FA69" s="27">
        <v>1</v>
      </c>
      <c r="FB69" s="27">
        <v>2</v>
      </c>
      <c r="FC69" s="27" t="str">
        <f>VLOOKUP($A69,'[1]Raw Data'!$A$3:$FB$285,148,FALSE)</f>
        <v>Prakash Bishwakarma</v>
      </c>
      <c r="FD69" s="27" t="s">
        <v>960</v>
      </c>
      <c r="FE69" s="27" t="str">
        <f>VLOOKUP($A69,'[1]Raw Data'!$A$3:$FB$285,149,FALSE)</f>
        <v>District Coordinator</v>
      </c>
      <c r="FF69" s="27" t="s">
        <v>885</v>
      </c>
      <c r="FG69" s="27">
        <f>VLOOKUP($A69,'[1]Raw Data'!$A$3:$FB$285,150,FALSE)</f>
        <v>9841720436</v>
      </c>
      <c r="FH69" s="27" t="str">
        <f>VLOOKUP($A69,'[1]Raw Data'!$A$3:$FB$285,156,FALSE)</f>
        <v>Tulasi Ram Lamichhane</v>
      </c>
      <c r="FI69" s="27" t="s">
        <v>961</v>
      </c>
      <c r="FJ69" s="27" t="str">
        <f>VLOOKUP($A69,'[1]Raw Data'!$A$3:$FB$285,157,FALSE)</f>
        <v>District Technical Officer</v>
      </c>
      <c r="FK69" s="27" t="s">
        <v>886</v>
      </c>
      <c r="FL69" s="27">
        <f>VLOOKUP($A69,'[1]Raw Data'!$A$3:$FB$285,158,FALSE)</f>
        <v>9851213610</v>
      </c>
      <c r="FM69" s="27" t="str">
        <f>VLOOKUP($A69,'[1]Raw Data'!$A$3:$FB$285,152,FALSE)</f>
        <v>Jawed Mohammad</v>
      </c>
      <c r="FN69" s="27" t="s">
        <v>962</v>
      </c>
      <c r="FO69" s="27" t="str">
        <f>VLOOKUP($A69,'[1]Raw Data'!$A$3:$FB$285,153,FALSE)</f>
        <v>DIstrict Information Management Officer</v>
      </c>
      <c r="FP69" s="27" t="s">
        <v>887</v>
      </c>
      <c r="FQ69" s="27" t="str">
        <f>VLOOKUP($A69,'[1]Raw Data'!$A$3:$FB$285,154,FALSE)</f>
        <v/>
      </c>
    </row>
    <row r="70" spans="1:173" ht="24" x14ac:dyDescent="0.45">
      <c r="A70" s="27">
        <v>21005</v>
      </c>
      <c r="B70" s="36" t="str">
        <f ca="1">IFERROR(__xludf.DUMMYFUNCTION("""COMPUTED_VALUE"""),"Manthali Nagarpalika")</f>
        <v>Manthali Nagarpalika</v>
      </c>
      <c r="C70" s="37" t="str">
        <f>VLOOKUP(A70,'[1]Palika and District in Nepali '!$D$1:$F$283,3,FALSE)</f>
        <v>मन्थली नगरपालिका</v>
      </c>
      <c r="D70" s="36" t="str">
        <f ca="1">IFERROR(__xludf.DUMMYFUNCTION("""COMPUTED_VALUE"""),"Ramechhap")</f>
        <v>Ramechhap</v>
      </c>
      <c r="E70" s="36"/>
      <c r="F70" s="27">
        <f>VLOOKUP(A70,'[1]Raw Data'!$A$3:$FB$285,4,FALSE)</f>
        <v>1959</v>
      </c>
      <c r="G70" s="27">
        <f>VLOOKUP(A70,'[1]Raw Data'!$A$3:$FB$285,5,FALSE)</f>
        <v>10429</v>
      </c>
      <c r="H70" s="27">
        <f>VLOOKUP(A70,'[1]Raw Data'!$A$3:$FB$285,6,FALSE)</f>
        <v>12388</v>
      </c>
      <c r="I70" s="27">
        <f>VLOOKUP($A70,'[1]Raw Data'!$A$3:$FB$285,8,FALSE)</f>
        <v>1.19</v>
      </c>
      <c r="J70" s="27">
        <f>VLOOKUP($A70,'[1]Raw Data'!$A$3:$FB$285,9,FALSE)</f>
        <v>0.46</v>
      </c>
      <c r="K70" s="27">
        <f>VLOOKUP($A70,'[1]Raw Data'!$A$3:$FB$285,11,FALSE)</f>
        <v>96.04</v>
      </c>
      <c r="L70" s="27">
        <f>VLOOKUP($A70,'[1]Raw Data'!$A$3:$FB$285,12,FALSE)</f>
        <v>97.73</v>
      </c>
      <c r="M70" s="27">
        <f>VLOOKUP($A70,'[1]Raw Data'!$A$3:$FB$285,14,FALSE)</f>
        <v>0.4</v>
      </c>
      <c r="N70" s="27">
        <f>VLOOKUP($A70,'[1]Raw Data'!$A$3:$FB$285,15,FALSE)</f>
        <v>0.17</v>
      </c>
      <c r="O70" s="27">
        <f>VLOOKUP($A70,'[1]Raw Data'!$A$3:$FB$285,17,FALSE)</f>
        <v>0.04</v>
      </c>
      <c r="P70" s="27">
        <f>VLOOKUP($A70,'[1]Raw Data'!$A$3:$FB$285,18,FALSE)</f>
        <v>0.02</v>
      </c>
      <c r="Q70" s="27">
        <f>VLOOKUP($A70,'[1]Raw Data'!$A$3:$FB$285,20,FALSE)</f>
        <v>1.87</v>
      </c>
      <c r="R70" s="27">
        <f>VLOOKUP($A70,'[1]Raw Data'!$A$3:$FB$285,21,FALSE)</f>
        <v>0.55000000000000004</v>
      </c>
      <c r="S70" s="27">
        <f>VLOOKUP($A70,'[1]Raw Data'!$A$3:$FB$285,23,FALSE)</f>
        <v>0</v>
      </c>
      <c r="T70" s="27">
        <f>VLOOKUP($A70,'[1]Raw Data'!$A$3:$FB$285,24,FALSE)</f>
        <v>0</v>
      </c>
      <c r="U70" s="27">
        <f>VLOOKUP($A70,'[1]Raw Data'!$A$3:$FB$285,26,FALSE)</f>
        <v>0.13</v>
      </c>
      <c r="V70" s="27">
        <f>VLOOKUP($A70,'[1]Raw Data'!$A$3:$FB$285,27,FALSE)</f>
        <v>0.37</v>
      </c>
      <c r="W70" s="27">
        <f>VLOOKUP($A70,'[1]Raw Data'!$A$3:$FB$285,29,FALSE)</f>
        <v>0</v>
      </c>
      <c r="X70" s="27">
        <f>VLOOKUP($A70,'[1]Raw Data'!$A$3:$FB$285,30,FALSE)</f>
        <v>0</v>
      </c>
      <c r="Y70" s="27">
        <f>VLOOKUP($A70,'[1]Raw Data'!$A$3:$FB$285,32,FALSE)</f>
        <v>0.11</v>
      </c>
      <c r="Z70" s="27">
        <f>VLOOKUP($A70,'[1]Raw Data'!$A$3:$FB$285,33,FALSE)</f>
        <v>0.11</v>
      </c>
      <c r="AA70" s="27">
        <f>VLOOKUP($A70,'[1]Raw Data'!$A$3:$FB$285,35,FALSE)</f>
        <v>0.11</v>
      </c>
      <c r="AB70" s="27">
        <f>VLOOKUP($A70,'[1]Raw Data'!$A$3:$FB$285,36,FALSE)</f>
        <v>0.44</v>
      </c>
      <c r="AC70" s="27">
        <f>VLOOKUP($A70,'[1]Raw Data'!$A$3:$FB$285,38,FALSE)</f>
        <v>0.11</v>
      </c>
      <c r="AD70" s="27">
        <f>VLOOKUP($A70,'[1]Raw Data'!$A$3:$FB$285,39,FALSE)</f>
        <v>0.16</v>
      </c>
      <c r="AE70" s="27">
        <f>VLOOKUP($A70,'[1]Raw Data'!$A$3:$FB$285,41,FALSE)</f>
        <v>0</v>
      </c>
      <c r="AF70" s="27">
        <f>VLOOKUP($A70,'[1]Raw Data'!$A$3:$FB$285,42,FALSE)</f>
        <v>0</v>
      </c>
      <c r="AG70" s="27">
        <f>VLOOKUP($A70,'[1]Raw Data'!$A$3:$FB$285,44,FALSE)</f>
        <v>0</v>
      </c>
      <c r="AH70" s="27">
        <f>VLOOKUP($A70,'[1]Raw Data'!$A$3:$FB$285,45,FALSE)</f>
        <v>0</v>
      </c>
      <c r="AI70" s="27">
        <f>VLOOKUP($A70,'[1]Raw Data'!$A$3:$FB$285,46,FALSE)</f>
        <v>11077</v>
      </c>
      <c r="AJ70" s="27">
        <f>VLOOKUP($A70,'[1]Raw Data'!$A$3:$FB$285,47,FALSE)</f>
        <v>10640</v>
      </c>
      <c r="AK70" s="27">
        <f>VLOOKUP($A70,'[1]Raw Data'!$A$3:$FB$285,48,FALSE)</f>
        <v>10629</v>
      </c>
      <c r="AL70" s="27">
        <f>VLOOKUP($A70,'[1]Raw Data'!$A$3:$FB$285,49,FALSE)</f>
        <v>9425</v>
      </c>
      <c r="AM70" s="27">
        <f>VLOOKUP($A70,'[1]Raw Data'!$A$3:$FB$285,50,FALSE)</f>
        <v>7477</v>
      </c>
      <c r="AN70" s="27">
        <f>VLOOKUP($A70,'[1]Raw Data'!$A$3:$FB$285,51,FALSE)</f>
        <v>5590</v>
      </c>
      <c r="AO70" s="27">
        <f>VLOOKUP($A70,'[1]Raw Data'!$A$3:$FB$285,52,FALSE)</f>
        <v>7045</v>
      </c>
      <c r="AP70" s="27">
        <f>VLOOKUP($A70,'[1]Raw Data'!$A$3:$FB$285,53,FALSE)</f>
        <v>1271</v>
      </c>
      <c r="AQ70" s="27">
        <f>VLOOKUP($A70,'[1]Raw Data'!$A$3:$FB$285,54,FALSE)</f>
        <v>39</v>
      </c>
      <c r="AR70" s="27">
        <f>VLOOKUP($A70,'[1]Raw Data'!$A$3:$FB$285,55,FALSE)</f>
        <v>39</v>
      </c>
      <c r="AS70" s="27">
        <f>VLOOKUP($A70,'[1]Raw Data'!$A$3:$FB$285,56,FALSE)</f>
        <v>0</v>
      </c>
      <c r="AT70" s="27">
        <f>VLOOKUP($A70,'[1]Raw Data'!$A$3:$FB$285,57,FALSE)</f>
        <v>2815</v>
      </c>
      <c r="AU70" s="27">
        <f>VLOOKUP($A70,'[1]Raw Data'!$A$3:$FB$285,58,FALSE)</f>
        <v>2815</v>
      </c>
      <c r="AV70" s="27" t="str">
        <f>VLOOKUP($A70,'[1]Raw Data'!$A$3:$FB$285,59,FALSE)</f>
        <v/>
      </c>
      <c r="AW70" s="27" t="str">
        <f>VLOOKUP($A70,'[1]Raw Data'!$A$3:$FB$285,60,FALSE)</f>
        <v/>
      </c>
      <c r="AX70" s="27" t="str">
        <f>VLOOKUP(A70,'[1]PO''s List'!A68:E350,4,FALSE)</f>
        <v>BC(Shelter),NRCS(Livelihood,Employment ,Health,Shelter,Health)</v>
      </c>
      <c r="AZ70" s="27" t="str">
        <f>VLOOKUP(A70,'[1]PO''s List'!$A$3:$E$285,5,FALSE)</f>
        <v>CDS(Shelter),CSIDB(Shelter),GON - DUDBC(Shelter),GON-PAF(Shelter),HELVETAS(Shelter),HI(Shelter),IOM(Shelter),NDBS(Education),RRN(Shelter),SABAL(Shelter),SW Nepal(Shelter),WHH(Education)</v>
      </c>
      <c r="BB70" s="27">
        <f>VLOOKUP($A70,'[1]Raw Data'!$A$3:$FB$285,63,FALSE)</f>
        <v>221289</v>
      </c>
      <c r="BC70" s="27" t="str">
        <f>VLOOKUP($A70,'[1]Raw Data'!$A$3:$FB$285,64,FALSE)</f>
        <v>Y</v>
      </c>
      <c r="BD70" s="27" t="str">
        <f t="shared" ref="BD70:BD133" si="9">IF(BC70="Y","छ", IF(BC70="N","छैन",""))</f>
        <v>छ</v>
      </c>
      <c r="BE70" s="27" t="str">
        <f>VLOOKUP($A70,'[1]Raw Data'!$A$3:$FB$285,65,FALSE)</f>
        <v/>
      </c>
      <c r="BF70" s="27">
        <f>VLOOKUP($A70,'[1]Raw Data'!$A$3:$FB$285,66,FALSE)</f>
        <v>219015</v>
      </c>
      <c r="BG70" s="27" t="str">
        <f>VLOOKUP($A70,'[1]Raw Data'!$A$3:$FB$285,67,FALSE)</f>
        <v>Y</v>
      </c>
      <c r="BH70" s="27" t="str">
        <f t="shared" ref="BH70:BH133" si="10">IF(BG70="Y","छ", IF(BG70="N","छैन",""))</f>
        <v>छ</v>
      </c>
      <c r="BI70" s="27" t="str">
        <f>VLOOKUP($A70,'[1]Raw Data'!$A$3:$FB$285,68,FALSE)</f>
        <v/>
      </c>
      <c r="BJ70" s="27">
        <f>VLOOKUP($A70,'[1]Raw Data'!$A$3:$FB$285,69,FALSE)</f>
        <v>23549</v>
      </c>
      <c r="BK70" s="27" t="str">
        <f>VLOOKUP($A70,'[1]Raw Data'!$A$3:$FB$285,70,FALSE)</f>
        <v>Y</v>
      </c>
      <c r="BL70" s="27" t="str">
        <f t="shared" ref="BL70:BL133" si="11">IF(BK70="Y","छ", IF(BK70="N","छैन",""))</f>
        <v>छ</v>
      </c>
      <c r="BM70" s="27" t="str">
        <f>VLOOKUP($A70,'[1]Raw Data'!$A$3:$FB$285,71,FALSE)</f>
        <v/>
      </c>
      <c r="BN70" s="27">
        <f>VLOOKUP($A70,'[1]Raw Data'!$A$3:$FB$285,72,FALSE)</f>
        <v>26885</v>
      </c>
      <c r="BO70" s="27" t="str">
        <f>VLOOKUP($A70,'[1]Raw Data'!$A$3:$FB$285,73,FALSE)</f>
        <v>Y</v>
      </c>
      <c r="BP70" s="27" t="str">
        <f t="shared" ref="BP70:BP133" si="12">IF(BO70="Y","छ", IF(BO70="N","छैन",""))</f>
        <v>छ</v>
      </c>
      <c r="BQ70" s="27" t="str">
        <f>VLOOKUP($A70,'[1]Raw Data'!$A$3:$FB$285,74,FALSE)</f>
        <v/>
      </c>
      <c r="BR70" s="27" t="str">
        <f>VLOOKUP($A70,'[1]Raw Data'!$A$3:$FB$285,75,FALSE)</f>
        <v/>
      </c>
      <c r="BS70" s="27" t="str">
        <f>VLOOKUP($A70,'[1]Raw Data'!$A$3:$FB$285,76,FALSE)</f>
        <v/>
      </c>
      <c r="BT70" s="27" t="str">
        <f t="shared" ref="BT70:BT133" si="13">IF(BS70="Y","छ", IF(BS70="N","छैन",""))</f>
        <v/>
      </c>
      <c r="BU70" s="27" t="str">
        <f>VLOOKUP($A70,'[1]Raw Data'!$A$3:$FB$285,77,FALSE)</f>
        <v/>
      </c>
      <c r="BV70" s="27">
        <f>VLOOKUP($A70,'[1]Raw Data'!$A$3:$FB$285,78,FALSE)</f>
        <v>723341</v>
      </c>
      <c r="BW70" s="27" t="str">
        <f>VLOOKUP($A70,'[1]Raw Data'!$A$3:$FB$285,79,FALSE)</f>
        <v>Y</v>
      </c>
      <c r="BX70" s="27" t="str">
        <f t="shared" ref="BX70:BX133" si="14">IF(BW70="Y","छ", IF(BW70="N","छैन",""))</f>
        <v>छ</v>
      </c>
      <c r="BY70" s="27" t="str">
        <f>VLOOKUP($A70,'[1]Raw Data'!$A$3:$FB$285,80,FALSE)</f>
        <v/>
      </c>
      <c r="BZ70" s="27">
        <f>VLOOKUP($A70,'[1]Raw Data'!$A$3:$FB$285,81,FALSE)</f>
        <v>2405924</v>
      </c>
      <c r="CA70" s="27" t="str">
        <f>VLOOKUP($A70,'[1]Raw Data'!$A$3:$FB$285,82,FALSE)</f>
        <v/>
      </c>
      <c r="CB70" s="27" t="str">
        <f t="shared" ref="CB70:CB133" si="15">IF(CA70="Y","छ", IF(CA70="N","छैन",""))</f>
        <v/>
      </c>
      <c r="CC70" s="27" t="str">
        <f>VLOOKUP($A70,'[1]Raw Data'!$A$3:$FB$285,83,FALSE)</f>
        <v/>
      </c>
      <c r="CD70" s="27">
        <f>VLOOKUP($A70,'[1]Raw Data'!$A$3:$FB$285,84,FALSE)</f>
        <v>29529</v>
      </c>
      <c r="CE70" s="27" t="str">
        <f>VLOOKUP($A70,'[1]Raw Data'!$A$3:$FB$285,85,FALSE)</f>
        <v/>
      </c>
      <c r="CF70" s="27" t="str">
        <f t="shared" ref="CF70:CF133" si="16">IF(CE70="Y","छ", IF(CE70="N","छैन",""))</f>
        <v/>
      </c>
      <c r="CG70" s="27" t="str">
        <f>VLOOKUP($A70,'[1]Raw Data'!$A$3:$FB$285,86,FALSE)</f>
        <v/>
      </c>
      <c r="CH70" s="27">
        <f>VLOOKUP($A70,'[1]Raw Data'!$A$3:$FB$285,87,FALSE)</f>
        <v>2213129</v>
      </c>
      <c r="CI70" s="27" t="str">
        <f>VLOOKUP($A70,'[1]Raw Data'!$A$3:$FB$285,88,FALSE)</f>
        <v>Y</v>
      </c>
      <c r="CJ70" s="27" t="str">
        <f t="shared" ref="CJ70:CJ133" si="17">IF(CI70="Y","छ", IF(CI70="N","छैन",""))</f>
        <v>छ</v>
      </c>
      <c r="CK70" s="27" t="str">
        <f>VLOOKUP($A70,'[1]Raw Data'!$A$3:$FB$285,89,FALSE)</f>
        <v/>
      </c>
      <c r="CL70" s="27" t="str">
        <f>VLOOKUP($A70,'[1]Raw Data'!$A$3:$FB$285,91,FALSE)</f>
        <v/>
      </c>
      <c r="CM70" s="27" t="str">
        <f>VLOOKUP($A70,'[1]Raw Data'!$A$3:$FB$285,93,FALSE)</f>
        <v/>
      </c>
      <c r="CN70" s="27" t="str">
        <f>VLOOKUP($A70,'[1]Raw Data'!$A$3:$FB$285,94,FALSE)</f>
        <v/>
      </c>
      <c r="CO70" s="27" t="str">
        <f>VLOOKUP($A70,'[1]Raw Data'!$A$3:$FB$285,95,FALSE)</f>
        <v/>
      </c>
      <c r="CP70" s="27" t="str">
        <f>VLOOKUP($A70,'[1]Raw Data'!$A$3:$FB$285,96,FALSE)</f>
        <v/>
      </c>
      <c r="CQ70" s="27" t="str">
        <f>VLOOKUP($A70,'[1]Raw Data'!$A$3:$FB$285,97,FALSE)</f>
        <v/>
      </c>
      <c r="CR70" s="27" t="str">
        <f>VLOOKUP($A70,'[1]Raw Data'!$A$3:$FB$285,98,FALSE)</f>
        <v/>
      </c>
      <c r="CS70" s="27" t="str">
        <f>VLOOKUP($A70,'[1]Raw Data'!$A$3:$FB$285,99,FALSE)</f>
        <v/>
      </c>
      <c r="CT70" s="27" t="str">
        <f>VLOOKUP($A70,'[1]Raw Data'!$A$3:$FB$285,101,FALSE)</f>
        <v>Ramesh Basnet</v>
      </c>
      <c r="CU70" s="27" t="s">
        <v>972</v>
      </c>
      <c r="CV70" s="27" t="str">
        <f>VLOOKUP($A70,'[1]Raw Data'!$A$3:$FB$285,102,FALSE)</f>
        <v>Mayor</v>
      </c>
      <c r="CW70" s="27" t="s">
        <v>834</v>
      </c>
      <c r="CX70" s="27">
        <f>VLOOKUP($A70,'[1]Raw Data'!$A$3:$FB$285,103,FALSE)</f>
        <v>9851048458</v>
      </c>
      <c r="CY70" s="27" t="str">
        <f>VLOOKUP($A70,'[1]Raw Data'!$A$3:$FB$285,105,FALSE)</f>
        <v>Maya Kumari Karki</v>
      </c>
      <c r="CZ70" s="27" t="s">
        <v>973</v>
      </c>
      <c r="DA70" s="27" t="str">
        <f>VLOOKUP($A70,'[1]Raw Data'!$A$3:$FB$285,106,FALSE)</f>
        <v>Deputy Mayor</v>
      </c>
      <c r="DB70" s="27" t="s">
        <v>888</v>
      </c>
      <c r="DC70" s="27">
        <f>VLOOKUP($A70,'[1]Raw Data'!$A$3:$FB$285,107,FALSE)</f>
        <v>9854040371</v>
      </c>
      <c r="DD70" s="27" t="str">
        <f>VLOOKUP($A70,'[1]Raw Data'!$A$3:$FB$285,109,FALSE)</f>
        <v/>
      </c>
      <c r="DF70" s="27" t="str">
        <f>VLOOKUP($A70,'[1]Raw Data'!$A$3:$FB$285,110,FALSE)</f>
        <v>Chief Adminstration Officer</v>
      </c>
      <c r="DG70" s="27" t="s">
        <v>880</v>
      </c>
      <c r="DH70" s="27" t="str">
        <f>VLOOKUP($A70,'[1]Raw Data'!$A$3:$FB$285,111,FALSE)</f>
        <v/>
      </c>
      <c r="DI70" s="27" t="str">
        <f>VLOOKUP($A70,'[1]Raw Data'!$A$3:$FB$285,121,FALSE)</f>
        <v>Pradeep Kunwar</v>
      </c>
      <c r="DJ70" s="27" t="s">
        <v>974</v>
      </c>
      <c r="DK70" s="27" t="str">
        <f>VLOOKUP($A70,'[1]Raw Data'!$A$3:$FB$285,122,FALSE)</f>
        <v>Focal Person</v>
      </c>
      <c r="DL70" s="27" t="s">
        <v>881</v>
      </c>
      <c r="DM70" s="27">
        <f>VLOOKUP($A70,'[1]Raw Data'!$A$3:$FB$285,123,FALSE)</f>
        <v>9849194373</v>
      </c>
      <c r="DN70" s="27" t="str">
        <f>VLOOKUP($A70,'[1]Raw Data'!$A$3:$FB$285,113,FALSE)</f>
        <v>Krishna Lal Piya</v>
      </c>
      <c r="DO70" s="27" t="s">
        <v>959</v>
      </c>
      <c r="DP70" s="27" t="str">
        <f>VLOOKUP($A70,'[1]Raw Data'!$A$3:$FB$285,114,FALSE)</f>
        <v>NRA Chief-District</v>
      </c>
      <c r="DQ70" s="27" t="s">
        <v>882</v>
      </c>
      <c r="DR70" s="27">
        <f>VLOOKUP($A70,'[1]Raw Data'!$A$3:$FB$285,115,FALSE)</f>
        <v>9854043491</v>
      </c>
      <c r="DS70" s="27" t="str">
        <f>VLOOKUP($A70,'[1]Raw Data'!$A$3:$FB$285,117,FALSE)</f>
        <v>Prabhakar Lal Karna</v>
      </c>
      <c r="DT70" s="27" t="s">
        <v>894</v>
      </c>
      <c r="DU70" s="27" t="str">
        <f>VLOOKUP($A70,'[1]Raw Data'!$A$3:$FB$285,118,FALSE)</f>
        <v>DUDBC.DLPIU Chief</v>
      </c>
      <c r="DV70" s="27" t="s">
        <v>883</v>
      </c>
      <c r="DW70" s="27">
        <f>VLOOKUP($A70,'[1]Raw Data'!$A$3:$FB$285,119,FALSE)</f>
        <v>9854041543</v>
      </c>
      <c r="DX70" s="27" t="s">
        <v>339</v>
      </c>
      <c r="DY70" s="27" t="str">
        <f>VLOOKUP($A70,'[1]Raw Data'!$A$3:$FB$285,124,FALSE)</f>
        <v/>
      </c>
      <c r="DZ70" s="27" t="s">
        <v>884</v>
      </c>
      <c r="EA70" s="27" t="str">
        <f>VLOOKUP($A70,'[1]Raw Data'!$A$3:$FB$285,125,FALSE)</f>
        <v/>
      </c>
      <c r="EB70" s="27" t="s">
        <v>341</v>
      </c>
      <c r="EC70" s="27" t="str">
        <f>VLOOKUP($A70,'[1]Raw Data'!$A$3:$FB$285,126,FALSE)</f>
        <v/>
      </c>
      <c r="ED70" t="s">
        <v>478</v>
      </c>
      <c r="EE70" s="27" t="str">
        <f>VLOOKUP($A70,'[1]Raw Data'!$A$3:$FB$285,127,FALSE)</f>
        <v/>
      </c>
      <c r="EF70" s="27" t="s">
        <v>343</v>
      </c>
      <c r="EG70" s="27" t="str">
        <f>VLOOKUP($A70,'[1]Raw Data'!$A$3:$FB$285,128,FALSE)</f>
        <v/>
      </c>
      <c r="EH70" t="s">
        <v>344</v>
      </c>
      <c r="EI70" s="27" t="str">
        <f>VLOOKUP($A70,'[1]Raw Data'!$A$3:$FB$285,129,FALSE)</f>
        <v/>
      </c>
      <c r="EM70" s="27" t="str">
        <f>VLOOKUP($A70,'[1]Raw Data'!$A$3:$FB$285,130,FALSE)</f>
        <v/>
      </c>
      <c r="EN70" s="27" t="str">
        <f>VLOOKUP($A70,'[1]Raw Data'!$A$3:$FB$285,131,FALSE)</f>
        <v/>
      </c>
      <c r="EO70" s="27" t="str">
        <f>VLOOKUP($A70,'[1]Raw Data'!$A$3:$FB$285,132,FALSE)</f>
        <v/>
      </c>
      <c r="EP70" s="27" t="str">
        <f>VLOOKUP($A70,'[1]Raw Data'!$A$3:$FB$285,133,FALSE)</f>
        <v/>
      </c>
      <c r="EQ70" s="27" t="str">
        <f>VLOOKUP($A70,'[1]Raw Data'!$A$3:$FB$285,134,FALSE)</f>
        <v/>
      </c>
      <c r="ER70" s="27" t="str">
        <f>VLOOKUP($A70,'[1]Raw Data'!$A$3:$FB$285,135,FALSE)</f>
        <v/>
      </c>
      <c r="ES70" s="27" t="str">
        <f>VLOOKUP($A70,'[1]Raw Data'!$A$3:$FB$285,136,FALSE)</f>
        <v/>
      </c>
      <c r="ET70" s="27" t="str">
        <f>VLOOKUP($A70,'[1]Raw Data'!$A$3:$FB$285,137,FALSE)</f>
        <v/>
      </c>
      <c r="EU70" s="27" t="str">
        <f>VLOOKUP($A70,'[1]Raw Data'!$A$3:$FB$285,138,FALSE)</f>
        <v/>
      </c>
      <c r="EV70" s="27" t="str">
        <f>VLOOKUP($A70,'[1]Raw Data'!$A$3:$FB$285,139,FALSE)</f>
        <v/>
      </c>
      <c r="EW70" s="38">
        <f>VLOOKUP($A70,[1]Training!$A$2:$I$284,5,FALSE)</f>
        <v>854.07692307692309</v>
      </c>
      <c r="EX70" s="31">
        <f>VLOOKUP($A70,[1]Training!$A$2:$I$284,6,FALSE)</f>
        <v>321</v>
      </c>
      <c r="EY70" s="38">
        <f>VLOOKUP($A70,[1]Training!$A$2:$I$284,8,FALSE)</f>
        <v>1142.7542198435572</v>
      </c>
      <c r="EZ70" s="31">
        <f>VLOOKUP($A70,[1]Training!$A$2:$I$284,9,FALSE)</f>
        <v>120</v>
      </c>
      <c r="FA70" s="27">
        <v>1</v>
      </c>
      <c r="FB70" s="27">
        <v>2</v>
      </c>
      <c r="FC70" s="27" t="str">
        <f>VLOOKUP($A70,'[1]Raw Data'!$A$3:$FB$285,148,FALSE)</f>
        <v>Prakash Bishwakarma</v>
      </c>
      <c r="FD70" s="27" t="s">
        <v>960</v>
      </c>
      <c r="FE70" s="27" t="str">
        <f>VLOOKUP($A70,'[1]Raw Data'!$A$3:$FB$285,149,FALSE)</f>
        <v>District Coordinator</v>
      </c>
      <c r="FF70" s="27" t="s">
        <v>885</v>
      </c>
      <c r="FG70" s="27">
        <f>VLOOKUP($A70,'[1]Raw Data'!$A$3:$FB$285,150,FALSE)</f>
        <v>9841720436</v>
      </c>
      <c r="FH70" s="27" t="str">
        <f>VLOOKUP($A70,'[1]Raw Data'!$A$3:$FB$285,156,FALSE)</f>
        <v>Tulasi Ram Lamichhane</v>
      </c>
      <c r="FI70" s="27" t="s">
        <v>961</v>
      </c>
      <c r="FJ70" s="27" t="str">
        <f>VLOOKUP($A70,'[1]Raw Data'!$A$3:$FB$285,157,FALSE)</f>
        <v>District Technical Officer</v>
      </c>
      <c r="FK70" s="27" t="s">
        <v>886</v>
      </c>
      <c r="FL70" s="27">
        <f>VLOOKUP($A70,'[1]Raw Data'!$A$3:$FB$285,158,FALSE)</f>
        <v>9851213610</v>
      </c>
      <c r="FM70" s="27" t="str">
        <f>VLOOKUP($A70,'[1]Raw Data'!$A$3:$FB$285,152,FALSE)</f>
        <v>Jawed Mohammad</v>
      </c>
      <c r="FN70" s="27" t="s">
        <v>962</v>
      </c>
      <c r="FO70" s="27" t="str">
        <f>VLOOKUP($A70,'[1]Raw Data'!$A$3:$FB$285,153,FALSE)</f>
        <v>DIstrict Information Management Officer</v>
      </c>
      <c r="FP70" s="27" t="s">
        <v>887</v>
      </c>
      <c r="FQ70" s="27" t="str">
        <f>VLOOKUP($A70,'[1]Raw Data'!$A$3:$FB$285,154,FALSE)</f>
        <v/>
      </c>
    </row>
    <row r="71" spans="1:173" ht="24" x14ac:dyDescent="0.45">
      <c r="A71" s="27">
        <v>21006</v>
      </c>
      <c r="B71" s="36" t="str">
        <f ca="1">IFERROR(__xludf.DUMMYFUNCTION("""COMPUTED_VALUE"""),"Ramechhap Nagarpalika")</f>
        <v>Ramechhap Nagarpalika</v>
      </c>
      <c r="C71" s="37" t="str">
        <f>VLOOKUP(A71,'[1]Palika and District in Nepali '!$D$1:$F$283,3,FALSE)</f>
        <v>रामेछाप नगरपालिका</v>
      </c>
      <c r="D71" s="36" t="str">
        <f ca="1">IFERROR(__xludf.DUMMYFUNCTION("""COMPUTED_VALUE"""),"Ramechhap")</f>
        <v>Ramechhap</v>
      </c>
      <c r="E71" s="36"/>
      <c r="F71" s="27">
        <f>VLOOKUP(A71,'[1]Raw Data'!$A$3:$FB$285,4,FALSE)</f>
        <v>1414</v>
      </c>
      <c r="G71" s="27">
        <f>VLOOKUP(A71,'[1]Raw Data'!$A$3:$FB$285,5,FALSE)</f>
        <v>6807</v>
      </c>
      <c r="H71" s="27">
        <f>VLOOKUP(A71,'[1]Raw Data'!$A$3:$FB$285,6,FALSE)</f>
        <v>8221</v>
      </c>
      <c r="I71" s="27">
        <f>VLOOKUP($A71,'[1]Raw Data'!$A$3:$FB$285,8,FALSE)</f>
        <v>0.21</v>
      </c>
      <c r="J71" s="27">
        <f>VLOOKUP($A71,'[1]Raw Data'!$A$3:$FB$285,9,FALSE)</f>
        <v>0.46</v>
      </c>
      <c r="K71" s="27">
        <f>VLOOKUP($A71,'[1]Raw Data'!$A$3:$FB$285,11,FALSE)</f>
        <v>98.79</v>
      </c>
      <c r="L71" s="27">
        <f>VLOOKUP($A71,'[1]Raw Data'!$A$3:$FB$285,12,FALSE)</f>
        <v>97.73</v>
      </c>
      <c r="M71" s="27">
        <f>VLOOKUP($A71,'[1]Raw Data'!$A$3:$FB$285,14,FALSE)</f>
        <v>0.02</v>
      </c>
      <c r="N71" s="27">
        <f>VLOOKUP($A71,'[1]Raw Data'!$A$3:$FB$285,15,FALSE)</f>
        <v>0.17</v>
      </c>
      <c r="O71" s="27">
        <f>VLOOKUP($A71,'[1]Raw Data'!$A$3:$FB$285,17,FALSE)</f>
        <v>0.04</v>
      </c>
      <c r="P71" s="27">
        <f>VLOOKUP($A71,'[1]Raw Data'!$A$3:$FB$285,18,FALSE)</f>
        <v>0.02</v>
      </c>
      <c r="Q71" s="27">
        <f>VLOOKUP($A71,'[1]Raw Data'!$A$3:$FB$285,20,FALSE)</f>
        <v>0.43</v>
      </c>
      <c r="R71" s="27">
        <f>VLOOKUP($A71,'[1]Raw Data'!$A$3:$FB$285,21,FALSE)</f>
        <v>0.55000000000000004</v>
      </c>
      <c r="S71" s="27">
        <f>VLOOKUP($A71,'[1]Raw Data'!$A$3:$FB$285,23,FALSE)</f>
        <v>0</v>
      </c>
      <c r="T71" s="27">
        <f>VLOOKUP($A71,'[1]Raw Data'!$A$3:$FB$285,24,FALSE)</f>
        <v>0</v>
      </c>
      <c r="U71" s="27">
        <f>VLOOKUP($A71,'[1]Raw Data'!$A$3:$FB$285,26,FALSE)</f>
        <v>0.11</v>
      </c>
      <c r="V71" s="27">
        <f>VLOOKUP($A71,'[1]Raw Data'!$A$3:$FB$285,27,FALSE)</f>
        <v>0.37</v>
      </c>
      <c r="W71" s="27">
        <f>VLOOKUP($A71,'[1]Raw Data'!$A$3:$FB$285,29,FALSE)</f>
        <v>0</v>
      </c>
      <c r="X71" s="27">
        <f>VLOOKUP($A71,'[1]Raw Data'!$A$3:$FB$285,30,FALSE)</f>
        <v>0</v>
      </c>
      <c r="Y71" s="27">
        <f>VLOOKUP($A71,'[1]Raw Data'!$A$3:$FB$285,32,FALSE)</f>
        <v>0.12</v>
      </c>
      <c r="Z71" s="27">
        <f>VLOOKUP($A71,'[1]Raw Data'!$A$3:$FB$285,33,FALSE)</f>
        <v>0.11</v>
      </c>
      <c r="AA71" s="27">
        <f>VLOOKUP($A71,'[1]Raw Data'!$A$3:$FB$285,35,FALSE)</f>
        <v>7.0000000000000007E-2</v>
      </c>
      <c r="AB71" s="27">
        <f>VLOOKUP($A71,'[1]Raw Data'!$A$3:$FB$285,36,FALSE)</f>
        <v>0.44</v>
      </c>
      <c r="AC71" s="27">
        <f>VLOOKUP($A71,'[1]Raw Data'!$A$3:$FB$285,38,FALSE)</f>
        <v>0.21</v>
      </c>
      <c r="AD71" s="27">
        <f>VLOOKUP($A71,'[1]Raw Data'!$A$3:$FB$285,39,FALSE)</f>
        <v>0.16</v>
      </c>
      <c r="AE71" s="27">
        <f>VLOOKUP($A71,'[1]Raw Data'!$A$3:$FB$285,41,FALSE)</f>
        <v>0</v>
      </c>
      <c r="AF71" s="27">
        <f>VLOOKUP($A71,'[1]Raw Data'!$A$3:$FB$285,42,FALSE)</f>
        <v>0</v>
      </c>
      <c r="AG71" s="27">
        <f>VLOOKUP($A71,'[1]Raw Data'!$A$3:$FB$285,44,FALSE)</f>
        <v>0</v>
      </c>
      <c r="AH71" s="27">
        <f>VLOOKUP($A71,'[1]Raw Data'!$A$3:$FB$285,45,FALSE)</f>
        <v>0</v>
      </c>
      <c r="AI71" s="27">
        <f>VLOOKUP($A71,'[1]Raw Data'!$A$3:$FB$285,46,FALSE)</f>
        <v>6554</v>
      </c>
      <c r="AJ71" s="27">
        <f>VLOOKUP($A71,'[1]Raw Data'!$A$3:$FB$285,47,FALSE)</f>
        <v>6394</v>
      </c>
      <c r="AK71" s="27">
        <f>VLOOKUP($A71,'[1]Raw Data'!$A$3:$FB$285,48,FALSE)</f>
        <v>6385</v>
      </c>
      <c r="AL71" s="27">
        <f>VLOOKUP($A71,'[1]Raw Data'!$A$3:$FB$285,49,FALSE)</f>
        <v>5590</v>
      </c>
      <c r="AM71" s="27">
        <f>VLOOKUP($A71,'[1]Raw Data'!$A$3:$FB$285,50,FALSE)</f>
        <v>4674</v>
      </c>
      <c r="AN71" s="27">
        <f>VLOOKUP($A71,'[1]Raw Data'!$A$3:$FB$285,51,FALSE)</f>
        <v>3900</v>
      </c>
      <c r="AO71" s="27">
        <f>VLOOKUP($A71,'[1]Raw Data'!$A$3:$FB$285,52,FALSE)</f>
        <v>4250</v>
      </c>
      <c r="AP71" s="27">
        <f>VLOOKUP($A71,'[1]Raw Data'!$A$3:$FB$285,53,FALSE)</f>
        <v>960</v>
      </c>
      <c r="AQ71" s="27">
        <f>VLOOKUP($A71,'[1]Raw Data'!$A$3:$FB$285,54,FALSE)</f>
        <v>6</v>
      </c>
      <c r="AR71" s="27">
        <f>VLOOKUP($A71,'[1]Raw Data'!$A$3:$FB$285,55,FALSE)</f>
        <v>6</v>
      </c>
      <c r="AS71" s="27">
        <f>VLOOKUP($A71,'[1]Raw Data'!$A$3:$FB$285,56,FALSE)</f>
        <v>0</v>
      </c>
      <c r="AT71" s="27">
        <f>VLOOKUP($A71,'[1]Raw Data'!$A$3:$FB$285,57,FALSE)</f>
        <v>1841</v>
      </c>
      <c r="AU71" s="27">
        <f>VLOOKUP($A71,'[1]Raw Data'!$A$3:$FB$285,58,FALSE)</f>
        <v>1841</v>
      </c>
      <c r="AV71" s="27" t="str">
        <f>VLOOKUP($A71,'[1]Raw Data'!$A$3:$FB$285,59,FALSE)</f>
        <v/>
      </c>
      <c r="AW71" s="27" t="str">
        <f>VLOOKUP($A71,'[1]Raw Data'!$A$3:$FB$285,60,FALSE)</f>
        <v/>
      </c>
      <c r="AX71" s="27" t="str">
        <f>VLOOKUP(A71,'[1]PO''s List'!A69:E351,4,FALSE)</f>
        <v>NRCS(Livelihood,Education,Employment ,Health,Shelter,Health)</v>
      </c>
      <c r="AZ71" s="27" t="str">
        <f>VLOOKUP(A71,'[1]PO''s List'!$A$3:$E$285,5,FALSE)</f>
        <v>CFJ(Education),CSIDB(Shelter),GON - DUDBC(Shelter),GON-PAF(Shelter),KFS-N(Shelter),MEDAIR(Shelter),SABAL(Shelter)</v>
      </c>
      <c r="BB71" s="27">
        <f>VLOOKUP($A71,'[1]Raw Data'!$A$3:$FB$285,63,FALSE)</f>
        <v>106864</v>
      </c>
      <c r="BC71" s="27" t="str">
        <f>VLOOKUP($A71,'[1]Raw Data'!$A$3:$FB$285,64,FALSE)</f>
        <v>Y</v>
      </c>
      <c r="BD71" s="27" t="str">
        <f t="shared" si="9"/>
        <v>छ</v>
      </c>
      <c r="BE71" s="27" t="str">
        <f>VLOOKUP($A71,'[1]Raw Data'!$A$3:$FB$285,65,FALSE)</f>
        <v/>
      </c>
      <c r="BF71" s="27">
        <f>VLOOKUP($A71,'[1]Raw Data'!$A$3:$FB$285,66,FALSE)</f>
        <v>110974</v>
      </c>
      <c r="BG71" s="27" t="str">
        <f>VLOOKUP($A71,'[1]Raw Data'!$A$3:$FB$285,67,FALSE)</f>
        <v>Y</v>
      </c>
      <c r="BH71" s="27" t="str">
        <f t="shared" si="10"/>
        <v>छ</v>
      </c>
      <c r="BI71" s="27" t="str">
        <f>VLOOKUP($A71,'[1]Raw Data'!$A$3:$FB$285,68,FALSE)</f>
        <v/>
      </c>
      <c r="BJ71" s="27">
        <f>VLOOKUP($A71,'[1]Raw Data'!$A$3:$FB$285,69,FALSE)</f>
        <v>11423</v>
      </c>
      <c r="BK71" s="27" t="str">
        <f>VLOOKUP($A71,'[1]Raw Data'!$A$3:$FB$285,70,FALSE)</f>
        <v>Y</v>
      </c>
      <c r="BL71" s="27" t="str">
        <f t="shared" si="11"/>
        <v>छ</v>
      </c>
      <c r="BM71" s="27" t="str">
        <f>VLOOKUP($A71,'[1]Raw Data'!$A$3:$FB$285,71,FALSE)</f>
        <v/>
      </c>
      <c r="BN71" s="27">
        <f>VLOOKUP($A71,'[1]Raw Data'!$A$3:$FB$285,72,FALSE)</f>
        <v>13228</v>
      </c>
      <c r="BO71" s="27" t="str">
        <f>VLOOKUP($A71,'[1]Raw Data'!$A$3:$FB$285,73,FALSE)</f>
        <v>Y</v>
      </c>
      <c r="BP71" s="27" t="str">
        <f t="shared" si="12"/>
        <v>छ</v>
      </c>
      <c r="BQ71" s="27" t="str">
        <f>VLOOKUP($A71,'[1]Raw Data'!$A$3:$FB$285,74,FALSE)</f>
        <v/>
      </c>
      <c r="BR71" s="27" t="str">
        <f>VLOOKUP($A71,'[1]Raw Data'!$A$3:$FB$285,75,FALSE)</f>
        <v/>
      </c>
      <c r="BS71" s="27" t="str">
        <f>VLOOKUP($A71,'[1]Raw Data'!$A$3:$FB$285,76,FALSE)</f>
        <v/>
      </c>
      <c r="BT71" s="27" t="str">
        <f t="shared" si="13"/>
        <v/>
      </c>
      <c r="BU71" s="27" t="str">
        <f>VLOOKUP($A71,'[1]Raw Data'!$A$3:$FB$285,77,FALSE)</f>
        <v/>
      </c>
      <c r="BV71" s="27">
        <f>VLOOKUP($A71,'[1]Raw Data'!$A$3:$FB$285,78,FALSE)</f>
        <v>367337</v>
      </c>
      <c r="BW71" s="27" t="str">
        <f>VLOOKUP($A71,'[1]Raw Data'!$A$3:$FB$285,79,FALSE)</f>
        <v>Y</v>
      </c>
      <c r="BX71" s="27" t="str">
        <f t="shared" si="14"/>
        <v>छ</v>
      </c>
      <c r="BY71" s="27" t="str">
        <f>VLOOKUP($A71,'[1]Raw Data'!$A$3:$FB$285,80,FALSE)</f>
        <v/>
      </c>
      <c r="BZ71" s="27">
        <f>VLOOKUP($A71,'[1]Raw Data'!$A$3:$FB$285,81,FALSE)</f>
        <v>1156195</v>
      </c>
      <c r="CA71" s="27" t="str">
        <f>VLOOKUP($A71,'[1]Raw Data'!$A$3:$FB$285,82,FALSE)</f>
        <v/>
      </c>
      <c r="CB71" s="27" t="str">
        <f t="shared" si="15"/>
        <v/>
      </c>
      <c r="CC71" s="27" t="str">
        <f>VLOOKUP($A71,'[1]Raw Data'!$A$3:$FB$285,83,FALSE)</f>
        <v/>
      </c>
      <c r="CD71" s="27">
        <f>VLOOKUP($A71,'[1]Raw Data'!$A$3:$FB$285,84,FALSE)</f>
        <v>15014</v>
      </c>
      <c r="CE71" s="27" t="str">
        <f>VLOOKUP($A71,'[1]Raw Data'!$A$3:$FB$285,85,FALSE)</f>
        <v/>
      </c>
      <c r="CF71" s="27" t="str">
        <f t="shared" si="16"/>
        <v/>
      </c>
      <c r="CG71" s="27" t="str">
        <f>VLOOKUP($A71,'[1]Raw Data'!$A$3:$FB$285,86,FALSE)</f>
        <v/>
      </c>
      <c r="CH71" s="27">
        <f>VLOOKUP($A71,'[1]Raw Data'!$A$3:$FB$285,87,FALSE)</f>
        <v>934212</v>
      </c>
      <c r="CI71" s="27" t="str">
        <f>VLOOKUP($A71,'[1]Raw Data'!$A$3:$FB$285,88,FALSE)</f>
        <v>Y</v>
      </c>
      <c r="CJ71" s="27" t="str">
        <f t="shared" si="17"/>
        <v>छ</v>
      </c>
      <c r="CK71" s="27" t="str">
        <f>VLOOKUP($A71,'[1]Raw Data'!$A$3:$FB$285,89,FALSE)</f>
        <v/>
      </c>
      <c r="CL71" s="27" t="str">
        <f>VLOOKUP($A71,'[1]Raw Data'!$A$3:$FB$285,91,FALSE)</f>
        <v/>
      </c>
      <c r="CM71" s="27" t="str">
        <f>VLOOKUP($A71,'[1]Raw Data'!$A$3:$FB$285,93,FALSE)</f>
        <v/>
      </c>
      <c r="CN71" s="27" t="str">
        <f>VLOOKUP($A71,'[1]Raw Data'!$A$3:$FB$285,94,FALSE)</f>
        <v/>
      </c>
      <c r="CO71" s="27" t="str">
        <f>VLOOKUP($A71,'[1]Raw Data'!$A$3:$FB$285,95,FALSE)</f>
        <v/>
      </c>
      <c r="CP71" s="27" t="str">
        <f>VLOOKUP($A71,'[1]Raw Data'!$A$3:$FB$285,96,FALSE)</f>
        <v/>
      </c>
      <c r="CQ71" s="27" t="str">
        <f>VLOOKUP($A71,'[1]Raw Data'!$A$3:$FB$285,97,FALSE)</f>
        <v/>
      </c>
      <c r="CR71" s="27" t="str">
        <f>VLOOKUP($A71,'[1]Raw Data'!$A$3:$FB$285,98,FALSE)</f>
        <v/>
      </c>
      <c r="CS71" s="27" t="str">
        <f>VLOOKUP($A71,'[1]Raw Data'!$A$3:$FB$285,99,FALSE)</f>
        <v/>
      </c>
      <c r="CT71" s="27" t="str">
        <f>VLOOKUP($A71,'[1]Raw Data'!$A$3:$FB$285,101,FALSE)</f>
        <v>Nar Bahadur Thapa Magar</v>
      </c>
      <c r="CU71" s="27" t="s">
        <v>975</v>
      </c>
      <c r="CV71" s="27" t="str">
        <f>VLOOKUP($A71,'[1]Raw Data'!$A$3:$FB$285,102,FALSE)</f>
        <v>Mayor</v>
      </c>
      <c r="CW71" s="27" t="s">
        <v>834</v>
      </c>
      <c r="CX71" s="27">
        <f>VLOOKUP($A71,'[1]Raw Data'!$A$3:$FB$285,103,FALSE)</f>
        <v>9851113802</v>
      </c>
      <c r="CY71" s="27" t="str">
        <f>VLOOKUP($A71,'[1]Raw Data'!$A$3:$FB$285,105,FALSE)</f>
        <v>Srijana Khadka</v>
      </c>
      <c r="CZ71" s="27" t="s">
        <v>976</v>
      </c>
      <c r="DA71" s="27" t="str">
        <f>VLOOKUP($A71,'[1]Raw Data'!$A$3:$FB$285,106,FALSE)</f>
        <v>Deputy Mayor</v>
      </c>
      <c r="DB71" s="27" t="s">
        <v>888</v>
      </c>
      <c r="DC71" s="27">
        <f>VLOOKUP($A71,'[1]Raw Data'!$A$3:$FB$285,107,FALSE)</f>
        <v>9844148037</v>
      </c>
      <c r="DD71" s="27" t="str">
        <f>VLOOKUP($A71,'[1]Raw Data'!$A$3:$FB$285,109,FALSE)</f>
        <v/>
      </c>
      <c r="DF71" s="27" t="str">
        <f>VLOOKUP($A71,'[1]Raw Data'!$A$3:$FB$285,110,FALSE)</f>
        <v>Chief Adminstration Officer</v>
      </c>
      <c r="DG71" s="27" t="s">
        <v>880</v>
      </c>
      <c r="DH71" s="27" t="str">
        <f>VLOOKUP($A71,'[1]Raw Data'!$A$3:$FB$285,111,FALSE)</f>
        <v/>
      </c>
      <c r="DI71" s="27" t="str">
        <f>VLOOKUP($A71,'[1]Raw Data'!$A$3:$FB$285,121,FALSE)</f>
        <v>Sabita Sah</v>
      </c>
      <c r="DJ71" s="27" t="s">
        <v>977</v>
      </c>
      <c r="DK71" s="27" t="str">
        <f>VLOOKUP($A71,'[1]Raw Data'!$A$3:$FB$285,122,FALSE)</f>
        <v>Focal Person</v>
      </c>
      <c r="DL71" s="27" t="s">
        <v>881</v>
      </c>
      <c r="DM71" s="27">
        <f>VLOOKUP($A71,'[1]Raw Data'!$A$3:$FB$285,123,FALSE)</f>
        <v>9817710591</v>
      </c>
      <c r="DN71" s="27" t="str">
        <f>VLOOKUP($A71,'[1]Raw Data'!$A$3:$FB$285,113,FALSE)</f>
        <v>Krishna Lal Piya</v>
      </c>
      <c r="DO71" s="27" t="s">
        <v>959</v>
      </c>
      <c r="DP71" s="27" t="str">
        <f>VLOOKUP($A71,'[1]Raw Data'!$A$3:$FB$285,114,FALSE)</f>
        <v>NRA Chief-District</v>
      </c>
      <c r="DQ71" s="27" t="s">
        <v>882</v>
      </c>
      <c r="DR71" s="27">
        <f>VLOOKUP($A71,'[1]Raw Data'!$A$3:$FB$285,115,FALSE)</f>
        <v>9854043491</v>
      </c>
      <c r="DS71" s="27" t="str">
        <f>VLOOKUP($A71,'[1]Raw Data'!$A$3:$FB$285,117,FALSE)</f>
        <v>Prabhakar Lal Karna</v>
      </c>
      <c r="DT71" s="27" t="s">
        <v>894</v>
      </c>
      <c r="DU71" s="27" t="str">
        <f>VLOOKUP($A71,'[1]Raw Data'!$A$3:$FB$285,118,FALSE)</f>
        <v>DUDBC.DLPIU Chief</v>
      </c>
      <c r="DV71" s="27" t="s">
        <v>883</v>
      </c>
      <c r="DW71" s="27">
        <f>VLOOKUP($A71,'[1]Raw Data'!$A$3:$FB$285,119,FALSE)</f>
        <v>9854041543</v>
      </c>
      <c r="DX71" s="27" t="s">
        <v>339</v>
      </c>
      <c r="DY71" s="27" t="str">
        <f>VLOOKUP($A71,'[1]Raw Data'!$A$3:$FB$285,124,FALSE)</f>
        <v/>
      </c>
      <c r="DZ71" s="27" t="s">
        <v>884</v>
      </c>
      <c r="EA71" s="27" t="str">
        <f>VLOOKUP($A71,'[1]Raw Data'!$A$3:$FB$285,125,FALSE)</f>
        <v/>
      </c>
      <c r="EB71" s="27" t="s">
        <v>341</v>
      </c>
      <c r="EC71" s="27" t="str">
        <f>VLOOKUP($A71,'[1]Raw Data'!$A$3:$FB$285,126,FALSE)</f>
        <v/>
      </c>
      <c r="ED71" t="s">
        <v>478</v>
      </c>
      <c r="EE71" s="27" t="str">
        <f>VLOOKUP($A71,'[1]Raw Data'!$A$3:$FB$285,127,FALSE)</f>
        <v/>
      </c>
      <c r="EF71" s="27" t="s">
        <v>343</v>
      </c>
      <c r="EG71" s="27" t="str">
        <f>VLOOKUP($A71,'[1]Raw Data'!$A$3:$FB$285,128,FALSE)</f>
        <v/>
      </c>
      <c r="EH71" t="s">
        <v>344</v>
      </c>
      <c r="EI71" s="27" t="str">
        <f>VLOOKUP($A71,'[1]Raw Data'!$A$3:$FB$285,129,FALSE)</f>
        <v/>
      </c>
      <c r="EM71" s="27" t="str">
        <f>VLOOKUP($A71,'[1]Raw Data'!$A$3:$FB$285,130,FALSE)</f>
        <v/>
      </c>
      <c r="EN71" s="27" t="str">
        <f>VLOOKUP($A71,'[1]Raw Data'!$A$3:$FB$285,131,FALSE)</f>
        <v/>
      </c>
      <c r="EO71" s="27" t="str">
        <f>VLOOKUP($A71,'[1]Raw Data'!$A$3:$FB$285,132,FALSE)</f>
        <v/>
      </c>
      <c r="EP71" s="27" t="str">
        <f>VLOOKUP($A71,'[1]Raw Data'!$A$3:$FB$285,133,FALSE)</f>
        <v/>
      </c>
      <c r="EQ71" s="27" t="str">
        <f>VLOOKUP($A71,'[1]Raw Data'!$A$3:$FB$285,134,FALSE)</f>
        <v/>
      </c>
      <c r="ER71" s="27" t="str">
        <f>VLOOKUP($A71,'[1]Raw Data'!$A$3:$FB$285,135,FALSE)</f>
        <v/>
      </c>
      <c r="ES71" s="27" t="str">
        <f>VLOOKUP($A71,'[1]Raw Data'!$A$3:$FB$285,136,FALSE)</f>
        <v/>
      </c>
      <c r="ET71" s="27" t="str">
        <f>VLOOKUP($A71,'[1]Raw Data'!$A$3:$FB$285,137,FALSE)</f>
        <v/>
      </c>
      <c r="EU71" s="27" t="str">
        <f>VLOOKUP($A71,'[1]Raw Data'!$A$3:$FB$285,138,FALSE)</f>
        <v/>
      </c>
      <c r="EV71" s="27" t="str">
        <f>VLOOKUP($A71,'[1]Raw Data'!$A$3:$FB$285,139,FALSE)</f>
        <v/>
      </c>
      <c r="EW71" s="38">
        <f>VLOOKUP($A71,[1]Training!$A$2:$I$284,5,FALSE)</f>
        <v>506.23076923076923</v>
      </c>
      <c r="EX71" s="31">
        <f>VLOOKUP($A71,[1]Training!$A$2:$I$284,6,FALSE)</f>
        <v>430</v>
      </c>
      <c r="EY71" s="38">
        <f>VLOOKUP($A71,[1]Training!$A$2:$I$284,8,FALSE)</f>
        <v>677.33635240839851</v>
      </c>
      <c r="EZ71" s="31">
        <f>VLOOKUP($A71,[1]Training!$A$2:$I$284,9,FALSE)</f>
        <v>68</v>
      </c>
      <c r="FA71" s="27">
        <v>1</v>
      </c>
      <c r="FB71" s="27">
        <v>2</v>
      </c>
      <c r="FC71" s="27" t="str">
        <f>VLOOKUP($A71,'[1]Raw Data'!$A$3:$FB$285,148,FALSE)</f>
        <v>Prakash Bishwakarma</v>
      </c>
      <c r="FD71" s="27" t="s">
        <v>960</v>
      </c>
      <c r="FE71" s="27" t="str">
        <f>VLOOKUP($A71,'[1]Raw Data'!$A$3:$FB$285,149,FALSE)</f>
        <v>District Coordinator</v>
      </c>
      <c r="FF71" s="27" t="s">
        <v>885</v>
      </c>
      <c r="FG71" s="27">
        <f>VLOOKUP($A71,'[1]Raw Data'!$A$3:$FB$285,150,FALSE)</f>
        <v>9841720436</v>
      </c>
      <c r="FH71" s="27" t="str">
        <f>VLOOKUP($A71,'[1]Raw Data'!$A$3:$FB$285,156,FALSE)</f>
        <v>Tulasi Ram Lamichhane</v>
      </c>
      <c r="FI71" s="27" t="s">
        <v>961</v>
      </c>
      <c r="FJ71" s="27" t="str">
        <f>VLOOKUP($A71,'[1]Raw Data'!$A$3:$FB$285,157,FALSE)</f>
        <v>District Technical Officer</v>
      </c>
      <c r="FK71" s="27" t="s">
        <v>886</v>
      </c>
      <c r="FL71" s="27">
        <f>VLOOKUP($A71,'[1]Raw Data'!$A$3:$FB$285,158,FALSE)</f>
        <v>9851213610</v>
      </c>
      <c r="FM71" s="27" t="str">
        <f>VLOOKUP($A71,'[1]Raw Data'!$A$3:$FB$285,152,FALSE)</f>
        <v>Jawed Mohammad</v>
      </c>
      <c r="FN71" s="27" t="s">
        <v>962</v>
      </c>
      <c r="FO71" s="27" t="str">
        <f>VLOOKUP($A71,'[1]Raw Data'!$A$3:$FB$285,153,FALSE)</f>
        <v>DIstrict Information Management Officer</v>
      </c>
      <c r="FP71" s="27" t="s">
        <v>887</v>
      </c>
      <c r="FQ71" s="27" t="str">
        <f>VLOOKUP($A71,'[1]Raw Data'!$A$3:$FB$285,154,FALSE)</f>
        <v/>
      </c>
    </row>
    <row r="72" spans="1:173" ht="24" x14ac:dyDescent="0.45">
      <c r="A72" s="27">
        <v>21007</v>
      </c>
      <c r="B72" s="36" t="str">
        <f ca="1">IFERROR(__xludf.DUMMYFUNCTION("""COMPUTED_VALUE"""),"Sunapati Gaunpalika")</f>
        <v>Sunapati Gaunpalika</v>
      </c>
      <c r="C72" s="37" t="str">
        <f>VLOOKUP(A72,'[1]Palika and District in Nepali '!$D$1:$F$283,3,FALSE)</f>
        <v>सुनापति गाउँपालिका</v>
      </c>
      <c r="D72" s="36" t="str">
        <f ca="1">IFERROR(__xludf.DUMMYFUNCTION("""COMPUTED_VALUE"""),"Ramechhap")</f>
        <v>Ramechhap</v>
      </c>
      <c r="E72" s="36"/>
      <c r="F72" s="27">
        <f>VLOOKUP(A72,'[1]Raw Data'!$A$3:$FB$285,4,FALSE)</f>
        <v>902</v>
      </c>
      <c r="G72" s="27">
        <f>VLOOKUP(A72,'[1]Raw Data'!$A$3:$FB$285,5,FALSE)</f>
        <v>4723</v>
      </c>
      <c r="H72" s="27">
        <f>VLOOKUP(A72,'[1]Raw Data'!$A$3:$FB$285,6,FALSE)</f>
        <v>5625</v>
      </c>
      <c r="I72" s="27">
        <f>VLOOKUP($A72,'[1]Raw Data'!$A$3:$FB$285,8,FALSE)</f>
        <v>0.14000000000000001</v>
      </c>
      <c r="J72" s="27">
        <f>VLOOKUP($A72,'[1]Raw Data'!$A$3:$FB$285,9,FALSE)</f>
        <v>0.46</v>
      </c>
      <c r="K72" s="27">
        <f>VLOOKUP($A72,'[1]Raw Data'!$A$3:$FB$285,11,FALSE)</f>
        <v>99.02</v>
      </c>
      <c r="L72" s="27">
        <f>VLOOKUP($A72,'[1]Raw Data'!$A$3:$FB$285,12,FALSE)</f>
        <v>97.73</v>
      </c>
      <c r="M72" s="27">
        <f>VLOOKUP($A72,'[1]Raw Data'!$A$3:$FB$285,14,FALSE)</f>
        <v>0.04</v>
      </c>
      <c r="N72" s="27">
        <f>VLOOKUP($A72,'[1]Raw Data'!$A$3:$FB$285,15,FALSE)</f>
        <v>0.17</v>
      </c>
      <c r="O72" s="27">
        <f>VLOOKUP($A72,'[1]Raw Data'!$A$3:$FB$285,17,FALSE)</f>
        <v>0</v>
      </c>
      <c r="P72" s="27">
        <f>VLOOKUP($A72,'[1]Raw Data'!$A$3:$FB$285,18,FALSE)</f>
        <v>0.02</v>
      </c>
      <c r="Q72" s="27">
        <f>VLOOKUP($A72,'[1]Raw Data'!$A$3:$FB$285,20,FALSE)</f>
        <v>7.0000000000000007E-2</v>
      </c>
      <c r="R72" s="27">
        <f>VLOOKUP($A72,'[1]Raw Data'!$A$3:$FB$285,21,FALSE)</f>
        <v>0.55000000000000004</v>
      </c>
      <c r="S72" s="27">
        <f>VLOOKUP($A72,'[1]Raw Data'!$A$3:$FB$285,23,FALSE)</f>
        <v>0</v>
      </c>
      <c r="T72" s="27">
        <f>VLOOKUP($A72,'[1]Raw Data'!$A$3:$FB$285,24,FALSE)</f>
        <v>0</v>
      </c>
      <c r="U72" s="27">
        <f>VLOOKUP($A72,'[1]Raw Data'!$A$3:$FB$285,26,FALSE)</f>
        <v>0</v>
      </c>
      <c r="V72" s="27">
        <f>VLOOKUP($A72,'[1]Raw Data'!$A$3:$FB$285,27,FALSE)</f>
        <v>0.37</v>
      </c>
      <c r="W72" s="27">
        <f>VLOOKUP($A72,'[1]Raw Data'!$A$3:$FB$285,29,FALSE)</f>
        <v>0</v>
      </c>
      <c r="X72" s="27">
        <f>VLOOKUP($A72,'[1]Raw Data'!$A$3:$FB$285,30,FALSE)</f>
        <v>0</v>
      </c>
      <c r="Y72" s="27">
        <f>VLOOKUP($A72,'[1]Raw Data'!$A$3:$FB$285,32,FALSE)</f>
        <v>0.21</v>
      </c>
      <c r="Z72" s="27">
        <f>VLOOKUP($A72,'[1]Raw Data'!$A$3:$FB$285,33,FALSE)</f>
        <v>0.11</v>
      </c>
      <c r="AA72" s="27">
        <f>VLOOKUP($A72,'[1]Raw Data'!$A$3:$FB$285,35,FALSE)</f>
        <v>0.41</v>
      </c>
      <c r="AB72" s="27">
        <f>VLOOKUP($A72,'[1]Raw Data'!$A$3:$FB$285,36,FALSE)</f>
        <v>0.44</v>
      </c>
      <c r="AC72" s="27">
        <f>VLOOKUP($A72,'[1]Raw Data'!$A$3:$FB$285,38,FALSE)</f>
        <v>0.11</v>
      </c>
      <c r="AD72" s="27">
        <f>VLOOKUP($A72,'[1]Raw Data'!$A$3:$FB$285,39,FALSE)</f>
        <v>0.16</v>
      </c>
      <c r="AE72" s="27">
        <f>VLOOKUP($A72,'[1]Raw Data'!$A$3:$FB$285,41,FALSE)</f>
        <v>0</v>
      </c>
      <c r="AF72" s="27">
        <f>VLOOKUP($A72,'[1]Raw Data'!$A$3:$FB$285,42,FALSE)</f>
        <v>0</v>
      </c>
      <c r="AG72" s="27">
        <f>VLOOKUP($A72,'[1]Raw Data'!$A$3:$FB$285,44,FALSE)</f>
        <v>0</v>
      </c>
      <c r="AH72" s="27">
        <f>VLOOKUP($A72,'[1]Raw Data'!$A$3:$FB$285,45,FALSE)</f>
        <v>0</v>
      </c>
      <c r="AI72" s="27">
        <f>VLOOKUP($A72,'[1]Raw Data'!$A$3:$FB$285,46,FALSE)</f>
        <v>3671</v>
      </c>
      <c r="AJ72" s="27">
        <f>VLOOKUP($A72,'[1]Raw Data'!$A$3:$FB$285,47,FALSE)</f>
        <v>3473</v>
      </c>
      <c r="AK72" s="27">
        <f>VLOOKUP($A72,'[1]Raw Data'!$A$3:$FB$285,48,FALSE)</f>
        <v>3470</v>
      </c>
      <c r="AL72" s="27">
        <f>VLOOKUP($A72,'[1]Raw Data'!$A$3:$FB$285,49,FALSE)</f>
        <v>3105</v>
      </c>
      <c r="AM72" s="27">
        <f>VLOOKUP($A72,'[1]Raw Data'!$A$3:$FB$285,50,FALSE)</f>
        <v>2022</v>
      </c>
      <c r="AN72" s="27">
        <f>VLOOKUP($A72,'[1]Raw Data'!$A$3:$FB$285,51,FALSE)</f>
        <v>1485</v>
      </c>
      <c r="AO72" s="27">
        <f>VLOOKUP($A72,'[1]Raw Data'!$A$3:$FB$285,52,FALSE)</f>
        <v>2175</v>
      </c>
      <c r="AP72" s="27">
        <f>VLOOKUP($A72,'[1]Raw Data'!$A$3:$FB$285,53,FALSE)</f>
        <v>821</v>
      </c>
      <c r="AQ72" s="27">
        <f>VLOOKUP($A72,'[1]Raw Data'!$A$3:$FB$285,54,FALSE)</f>
        <v>20</v>
      </c>
      <c r="AR72" s="27">
        <f>VLOOKUP($A72,'[1]Raw Data'!$A$3:$FB$285,55,FALSE)</f>
        <v>20</v>
      </c>
      <c r="AS72" s="27">
        <f>VLOOKUP($A72,'[1]Raw Data'!$A$3:$FB$285,56,FALSE)</f>
        <v>0</v>
      </c>
      <c r="AT72" s="27">
        <f>VLOOKUP($A72,'[1]Raw Data'!$A$3:$FB$285,57,FALSE)</f>
        <v>1392</v>
      </c>
      <c r="AU72" s="27">
        <f>VLOOKUP($A72,'[1]Raw Data'!$A$3:$FB$285,58,FALSE)</f>
        <v>1392</v>
      </c>
      <c r="AV72" s="27" t="str">
        <f>VLOOKUP($A72,'[1]Raw Data'!$A$3:$FB$285,59,FALSE)</f>
        <v/>
      </c>
      <c r="AW72" s="27" t="str">
        <f>VLOOKUP($A72,'[1]Raw Data'!$A$3:$FB$285,60,FALSE)</f>
        <v/>
      </c>
      <c r="AX72" s="27" t="str">
        <f>VLOOKUP(A72,'[1]PO''s List'!A70:E352,4,FALSE)</f>
        <v/>
      </c>
      <c r="AZ72" s="27" t="str">
        <f>VLOOKUP(A72,'[1]PO''s List'!$A$3:$E$285,5,FALSE)</f>
        <v>CSIDB(Shelter),GON - DUDBC(Shelter),GON-PAF(Shelter),HELVETAS(Shelter),NDBS(Education),SABAL(Shelter),SCI(Education,Shelter,Social Protection)</v>
      </c>
      <c r="BB72" s="27">
        <f>VLOOKUP($A72,'[1]Raw Data'!$A$3:$FB$285,63,FALSE)</f>
        <v>87654</v>
      </c>
      <c r="BC72" s="27" t="str">
        <f>VLOOKUP($A72,'[1]Raw Data'!$A$3:$FB$285,64,FALSE)</f>
        <v>Y</v>
      </c>
      <c r="BD72" s="27" t="str">
        <f t="shared" si="9"/>
        <v>छ</v>
      </c>
      <c r="BE72" s="27" t="str">
        <f>VLOOKUP($A72,'[1]Raw Data'!$A$3:$FB$285,65,FALSE)</f>
        <v/>
      </c>
      <c r="BF72" s="27">
        <f>VLOOKUP($A72,'[1]Raw Data'!$A$3:$FB$285,66,FALSE)</f>
        <v>90490</v>
      </c>
      <c r="BG72" s="27" t="str">
        <f>VLOOKUP($A72,'[1]Raw Data'!$A$3:$FB$285,67,FALSE)</f>
        <v>Y</v>
      </c>
      <c r="BH72" s="27" t="str">
        <f t="shared" si="10"/>
        <v>छ</v>
      </c>
      <c r="BI72" s="27" t="str">
        <f>VLOOKUP($A72,'[1]Raw Data'!$A$3:$FB$285,68,FALSE)</f>
        <v/>
      </c>
      <c r="BJ72" s="27">
        <f>VLOOKUP($A72,'[1]Raw Data'!$A$3:$FB$285,69,FALSE)</f>
        <v>9366</v>
      </c>
      <c r="BK72" s="27" t="str">
        <f>VLOOKUP($A72,'[1]Raw Data'!$A$3:$FB$285,70,FALSE)</f>
        <v>Y</v>
      </c>
      <c r="BL72" s="27" t="str">
        <f t="shared" si="11"/>
        <v>छ</v>
      </c>
      <c r="BM72" s="27" t="str">
        <f>VLOOKUP($A72,'[1]Raw Data'!$A$3:$FB$285,71,FALSE)</f>
        <v/>
      </c>
      <c r="BN72" s="27">
        <f>VLOOKUP($A72,'[1]Raw Data'!$A$3:$FB$285,72,FALSE)</f>
        <v>10831</v>
      </c>
      <c r="BO72" s="27" t="str">
        <f>VLOOKUP($A72,'[1]Raw Data'!$A$3:$FB$285,73,FALSE)</f>
        <v>Y</v>
      </c>
      <c r="BP72" s="27" t="str">
        <f t="shared" si="12"/>
        <v>छ</v>
      </c>
      <c r="BQ72" s="27" t="str">
        <f>VLOOKUP($A72,'[1]Raw Data'!$A$3:$FB$285,74,FALSE)</f>
        <v/>
      </c>
      <c r="BR72" s="27" t="str">
        <f>VLOOKUP($A72,'[1]Raw Data'!$A$3:$FB$285,75,FALSE)</f>
        <v/>
      </c>
      <c r="BS72" s="27" t="str">
        <f>VLOOKUP($A72,'[1]Raw Data'!$A$3:$FB$285,76,FALSE)</f>
        <v/>
      </c>
      <c r="BT72" s="27" t="str">
        <f t="shared" si="13"/>
        <v/>
      </c>
      <c r="BU72" s="27" t="str">
        <f>VLOOKUP($A72,'[1]Raw Data'!$A$3:$FB$285,77,FALSE)</f>
        <v/>
      </c>
      <c r="BV72" s="27">
        <f>VLOOKUP($A72,'[1]Raw Data'!$A$3:$FB$285,78,FALSE)</f>
        <v>300487</v>
      </c>
      <c r="BW72" s="27" t="str">
        <f>VLOOKUP($A72,'[1]Raw Data'!$A$3:$FB$285,79,FALSE)</f>
        <v>Y</v>
      </c>
      <c r="BX72" s="27" t="str">
        <f t="shared" si="14"/>
        <v>छ</v>
      </c>
      <c r="BY72" s="27" t="str">
        <f>VLOOKUP($A72,'[1]Raw Data'!$A$3:$FB$285,80,FALSE)</f>
        <v/>
      </c>
      <c r="BZ72" s="27">
        <f>VLOOKUP($A72,'[1]Raw Data'!$A$3:$FB$285,81,FALSE)</f>
        <v>950315</v>
      </c>
      <c r="CA72" s="27" t="str">
        <f>VLOOKUP($A72,'[1]Raw Data'!$A$3:$FB$285,82,FALSE)</f>
        <v/>
      </c>
      <c r="CB72" s="27" t="str">
        <f t="shared" si="15"/>
        <v/>
      </c>
      <c r="CC72" s="27" t="str">
        <f>VLOOKUP($A72,'[1]Raw Data'!$A$3:$FB$285,83,FALSE)</f>
        <v/>
      </c>
      <c r="CD72" s="27">
        <f>VLOOKUP($A72,'[1]Raw Data'!$A$3:$FB$285,84,FALSE)</f>
        <v>12286</v>
      </c>
      <c r="CE72" s="27" t="str">
        <f>VLOOKUP($A72,'[1]Raw Data'!$A$3:$FB$285,85,FALSE)</f>
        <v/>
      </c>
      <c r="CF72" s="27" t="str">
        <f t="shared" si="16"/>
        <v/>
      </c>
      <c r="CG72" s="27" t="str">
        <f>VLOOKUP($A72,'[1]Raw Data'!$A$3:$FB$285,86,FALSE)</f>
        <v/>
      </c>
      <c r="CH72" s="27">
        <f>VLOOKUP($A72,'[1]Raw Data'!$A$3:$FB$285,87,FALSE)</f>
        <v>938462</v>
      </c>
      <c r="CI72" s="27" t="str">
        <f>VLOOKUP($A72,'[1]Raw Data'!$A$3:$FB$285,88,FALSE)</f>
        <v>Y</v>
      </c>
      <c r="CJ72" s="27" t="str">
        <f t="shared" si="17"/>
        <v>छ</v>
      </c>
      <c r="CK72" s="27" t="str">
        <f>VLOOKUP($A72,'[1]Raw Data'!$A$3:$FB$285,89,FALSE)</f>
        <v/>
      </c>
      <c r="CL72" s="27" t="str">
        <f>VLOOKUP($A72,'[1]Raw Data'!$A$3:$FB$285,91,FALSE)</f>
        <v/>
      </c>
      <c r="CM72" s="27" t="str">
        <f>VLOOKUP($A72,'[1]Raw Data'!$A$3:$FB$285,93,FALSE)</f>
        <v/>
      </c>
      <c r="CN72" s="27" t="str">
        <f>VLOOKUP($A72,'[1]Raw Data'!$A$3:$FB$285,94,FALSE)</f>
        <v/>
      </c>
      <c r="CO72" s="27" t="str">
        <f>VLOOKUP($A72,'[1]Raw Data'!$A$3:$FB$285,95,FALSE)</f>
        <v/>
      </c>
      <c r="CP72" s="27" t="str">
        <f>VLOOKUP($A72,'[1]Raw Data'!$A$3:$FB$285,96,FALSE)</f>
        <v/>
      </c>
      <c r="CQ72" s="27" t="str">
        <f>VLOOKUP($A72,'[1]Raw Data'!$A$3:$FB$285,97,FALSE)</f>
        <v/>
      </c>
      <c r="CR72" s="27" t="str">
        <f>VLOOKUP($A72,'[1]Raw Data'!$A$3:$FB$285,98,FALSE)</f>
        <v/>
      </c>
      <c r="CS72" s="27" t="str">
        <f>VLOOKUP($A72,'[1]Raw Data'!$A$3:$FB$285,99,FALSE)</f>
        <v/>
      </c>
      <c r="CT72" s="27" t="str">
        <f>VLOOKUP($A72,'[1]Raw Data'!$A$3:$FB$285,101,FALSE)</f>
        <v>Dhawa Lama</v>
      </c>
      <c r="CU72" s="27" t="s">
        <v>978</v>
      </c>
      <c r="CV72" s="27" t="str">
        <f>VLOOKUP($A72,'[1]Raw Data'!$A$3:$FB$285,102,FALSE)</f>
        <v xml:space="preserve">Chairman </v>
      </c>
      <c r="CW72" s="27" t="s">
        <v>878</v>
      </c>
      <c r="CX72" s="27">
        <f>VLOOKUP($A72,'[1]Raw Data'!$A$3:$FB$285,103,FALSE)</f>
        <v>9854040040</v>
      </c>
      <c r="CY72" s="27" t="str">
        <f>VLOOKUP($A72,'[1]Raw Data'!$A$3:$FB$285,105,FALSE)</f>
        <v>Gita Bista</v>
      </c>
      <c r="CZ72" s="27" t="s">
        <v>979</v>
      </c>
      <c r="DA72" s="27" t="str">
        <f>VLOOKUP($A72,'[1]Raw Data'!$A$3:$FB$285,106,FALSE)</f>
        <v>Deputy Chairman</v>
      </c>
      <c r="DB72" s="27" t="s">
        <v>879</v>
      </c>
      <c r="DC72" s="27">
        <f>VLOOKUP($A72,'[1]Raw Data'!$A$3:$FB$285,107,FALSE)</f>
        <v>9849346863</v>
      </c>
      <c r="DD72" s="27" t="str">
        <f>VLOOKUP($A72,'[1]Raw Data'!$A$3:$FB$285,109,FALSE)</f>
        <v/>
      </c>
      <c r="DF72" s="27" t="str">
        <f>VLOOKUP($A72,'[1]Raw Data'!$A$3:$FB$285,110,FALSE)</f>
        <v>Chief Adminstration Officer</v>
      </c>
      <c r="DG72" s="27" t="s">
        <v>880</v>
      </c>
      <c r="DH72" s="27" t="str">
        <f>VLOOKUP($A72,'[1]Raw Data'!$A$3:$FB$285,111,FALSE)</f>
        <v/>
      </c>
      <c r="DI72" s="27" t="str">
        <f>VLOOKUP($A72,'[1]Raw Data'!$A$3:$FB$285,121,FALSE)</f>
        <v>Raj Kishor Jaiswal</v>
      </c>
      <c r="DJ72" s="27" t="s">
        <v>980</v>
      </c>
      <c r="DK72" s="27" t="str">
        <f>VLOOKUP($A72,'[1]Raw Data'!$A$3:$FB$285,122,FALSE)</f>
        <v>Focal Person</v>
      </c>
      <c r="DL72" s="27" t="s">
        <v>881</v>
      </c>
      <c r="DM72" s="27">
        <f>VLOOKUP($A72,'[1]Raw Data'!$A$3:$FB$285,123,FALSE)</f>
        <v>9843905584</v>
      </c>
      <c r="DN72" s="27" t="str">
        <f>VLOOKUP($A72,'[1]Raw Data'!$A$3:$FB$285,113,FALSE)</f>
        <v>Krishna Lal Piya</v>
      </c>
      <c r="DO72" s="27" t="s">
        <v>959</v>
      </c>
      <c r="DP72" s="27" t="str">
        <f>VLOOKUP($A72,'[1]Raw Data'!$A$3:$FB$285,114,FALSE)</f>
        <v>NRA Chief-District</v>
      </c>
      <c r="DQ72" s="27" t="s">
        <v>882</v>
      </c>
      <c r="DR72" s="27">
        <f>VLOOKUP($A72,'[1]Raw Data'!$A$3:$FB$285,115,FALSE)</f>
        <v>9854043491</v>
      </c>
      <c r="DS72" s="27" t="str">
        <f>VLOOKUP($A72,'[1]Raw Data'!$A$3:$FB$285,117,FALSE)</f>
        <v>Prabhakar Lal Karna</v>
      </c>
      <c r="DT72" s="27" t="s">
        <v>894</v>
      </c>
      <c r="DU72" s="27" t="str">
        <f>VLOOKUP($A72,'[1]Raw Data'!$A$3:$FB$285,118,FALSE)</f>
        <v>DUDBC.DLPIU Chief</v>
      </c>
      <c r="DV72" s="27" t="s">
        <v>883</v>
      </c>
      <c r="DW72" s="27">
        <f>VLOOKUP($A72,'[1]Raw Data'!$A$3:$FB$285,119,FALSE)</f>
        <v>9854041543</v>
      </c>
      <c r="DX72" s="27" t="s">
        <v>339</v>
      </c>
      <c r="DY72" s="27" t="str">
        <f>VLOOKUP($A72,'[1]Raw Data'!$A$3:$FB$285,124,FALSE)</f>
        <v/>
      </c>
      <c r="DZ72" s="27" t="s">
        <v>884</v>
      </c>
      <c r="EA72" s="27" t="str">
        <f>VLOOKUP($A72,'[1]Raw Data'!$A$3:$FB$285,125,FALSE)</f>
        <v/>
      </c>
      <c r="EB72" s="27" t="s">
        <v>341</v>
      </c>
      <c r="EC72" s="27" t="str">
        <f>VLOOKUP($A72,'[1]Raw Data'!$A$3:$FB$285,126,FALSE)</f>
        <v/>
      </c>
      <c r="ED72" t="s">
        <v>478</v>
      </c>
      <c r="EE72" s="27" t="str">
        <f>VLOOKUP($A72,'[1]Raw Data'!$A$3:$FB$285,127,FALSE)</f>
        <v/>
      </c>
      <c r="EF72" s="27" t="s">
        <v>343</v>
      </c>
      <c r="EG72" s="27" t="str">
        <f>VLOOKUP($A72,'[1]Raw Data'!$A$3:$FB$285,128,FALSE)</f>
        <v/>
      </c>
      <c r="EH72" t="s">
        <v>344</v>
      </c>
      <c r="EI72" s="27" t="str">
        <f>VLOOKUP($A72,'[1]Raw Data'!$A$3:$FB$285,129,FALSE)</f>
        <v/>
      </c>
      <c r="EM72" s="27" t="str">
        <f>VLOOKUP($A72,'[1]Raw Data'!$A$3:$FB$285,130,FALSE)</f>
        <v/>
      </c>
      <c r="EN72" s="27" t="str">
        <f>VLOOKUP($A72,'[1]Raw Data'!$A$3:$FB$285,131,FALSE)</f>
        <v/>
      </c>
      <c r="EO72" s="27" t="str">
        <f>VLOOKUP($A72,'[1]Raw Data'!$A$3:$FB$285,132,FALSE)</f>
        <v/>
      </c>
      <c r="EP72" s="27" t="str">
        <f>VLOOKUP($A72,'[1]Raw Data'!$A$3:$FB$285,133,FALSE)</f>
        <v/>
      </c>
      <c r="EQ72" s="27" t="str">
        <f>VLOOKUP($A72,'[1]Raw Data'!$A$3:$FB$285,134,FALSE)</f>
        <v/>
      </c>
      <c r="ER72" s="27" t="str">
        <f>VLOOKUP($A72,'[1]Raw Data'!$A$3:$FB$285,135,FALSE)</f>
        <v/>
      </c>
      <c r="ES72" s="27" t="str">
        <f>VLOOKUP($A72,'[1]Raw Data'!$A$3:$FB$285,136,FALSE)</f>
        <v/>
      </c>
      <c r="ET72" s="27" t="str">
        <f>VLOOKUP($A72,'[1]Raw Data'!$A$3:$FB$285,137,FALSE)</f>
        <v/>
      </c>
      <c r="EU72" s="27" t="str">
        <f>VLOOKUP($A72,'[1]Raw Data'!$A$3:$FB$285,138,FALSE)</f>
        <v/>
      </c>
      <c r="EV72" s="27" t="str">
        <f>VLOOKUP($A72,'[1]Raw Data'!$A$3:$FB$285,139,FALSE)</f>
        <v/>
      </c>
      <c r="EW72" s="38">
        <f>VLOOKUP($A72,[1]Training!$A$2:$I$284,5,FALSE)</f>
        <v>282.23076923076923</v>
      </c>
      <c r="EX72" s="31">
        <f>VLOOKUP($A72,[1]Training!$A$2:$I$284,6,FALSE)</f>
        <v>80</v>
      </c>
      <c r="EY72" s="38">
        <f>VLOOKUP($A72,[1]Training!$A$2:$I$284,8,FALSE)</f>
        <v>377.6245368464389</v>
      </c>
      <c r="EZ72" s="31">
        <f>VLOOKUP($A72,[1]Training!$A$2:$I$284,9,FALSE)</f>
        <v>358</v>
      </c>
      <c r="FA72" s="27">
        <v>1</v>
      </c>
      <c r="FB72" s="27">
        <v>2</v>
      </c>
      <c r="FC72" s="27" t="str">
        <f>VLOOKUP($A72,'[1]Raw Data'!$A$3:$FB$285,148,FALSE)</f>
        <v>Prakash Bishwakarma</v>
      </c>
      <c r="FD72" s="27" t="s">
        <v>960</v>
      </c>
      <c r="FE72" s="27" t="str">
        <f>VLOOKUP($A72,'[1]Raw Data'!$A$3:$FB$285,149,FALSE)</f>
        <v>District Coordinator</v>
      </c>
      <c r="FF72" s="27" t="s">
        <v>885</v>
      </c>
      <c r="FG72" s="27">
        <f>VLOOKUP($A72,'[1]Raw Data'!$A$3:$FB$285,150,FALSE)</f>
        <v>9841720436</v>
      </c>
      <c r="FH72" s="27" t="str">
        <f>VLOOKUP($A72,'[1]Raw Data'!$A$3:$FB$285,156,FALSE)</f>
        <v>Tulasi Ram Lamichhane</v>
      </c>
      <c r="FI72" s="27" t="s">
        <v>961</v>
      </c>
      <c r="FJ72" s="27" t="str">
        <f>VLOOKUP($A72,'[1]Raw Data'!$A$3:$FB$285,157,FALSE)</f>
        <v>District Technical Officer</v>
      </c>
      <c r="FK72" s="27" t="s">
        <v>886</v>
      </c>
      <c r="FL72" s="27">
        <f>VLOOKUP($A72,'[1]Raw Data'!$A$3:$FB$285,158,FALSE)</f>
        <v>9851213610</v>
      </c>
      <c r="FM72" s="27" t="str">
        <f>VLOOKUP($A72,'[1]Raw Data'!$A$3:$FB$285,152,FALSE)</f>
        <v>Jawed Mohammad</v>
      </c>
      <c r="FN72" s="27" t="s">
        <v>962</v>
      </c>
      <c r="FO72" s="27" t="str">
        <f>VLOOKUP($A72,'[1]Raw Data'!$A$3:$FB$285,153,FALSE)</f>
        <v>DIstrict Information Management Officer</v>
      </c>
      <c r="FP72" s="27" t="s">
        <v>887</v>
      </c>
      <c r="FQ72" s="27" t="str">
        <f>VLOOKUP($A72,'[1]Raw Data'!$A$3:$FB$285,154,FALSE)</f>
        <v/>
      </c>
    </row>
    <row r="73" spans="1:173" ht="24" x14ac:dyDescent="0.45">
      <c r="A73" s="27">
        <v>21008</v>
      </c>
      <c r="B73" s="36" t="str">
        <f ca="1">IFERROR(__xludf.DUMMYFUNCTION("""COMPUTED_VALUE"""),"Umakunda Gaunpalika")</f>
        <v>Umakunda Gaunpalika</v>
      </c>
      <c r="C73" s="37" t="str">
        <f>VLOOKUP(A73,'[1]Palika and District in Nepali '!$D$1:$F$283,3,FALSE)</f>
        <v>उमाकुण्ड गाउँपालिका</v>
      </c>
      <c r="D73" s="36" t="str">
        <f ca="1">IFERROR(__xludf.DUMMYFUNCTION("""COMPUTED_VALUE"""),"Ramechhap")</f>
        <v>Ramechhap</v>
      </c>
      <c r="E73" s="36"/>
      <c r="F73" s="27">
        <f>VLOOKUP(A73,'[1]Raw Data'!$A$3:$FB$285,4,FALSE)</f>
        <v>509</v>
      </c>
      <c r="G73" s="27">
        <f>VLOOKUP(A73,'[1]Raw Data'!$A$3:$FB$285,5,FALSE)</f>
        <v>5928</v>
      </c>
      <c r="H73" s="27">
        <f>VLOOKUP(A73,'[1]Raw Data'!$A$3:$FB$285,6,FALSE)</f>
        <v>6437</v>
      </c>
      <c r="I73" s="27">
        <f>VLOOKUP($A73,'[1]Raw Data'!$A$3:$FB$285,8,FALSE)</f>
        <v>0.25</v>
      </c>
      <c r="J73" s="27">
        <f>VLOOKUP($A73,'[1]Raw Data'!$A$3:$FB$285,9,FALSE)</f>
        <v>0.46</v>
      </c>
      <c r="K73" s="27">
        <f>VLOOKUP($A73,'[1]Raw Data'!$A$3:$FB$285,11,FALSE)</f>
        <v>98.01</v>
      </c>
      <c r="L73" s="27">
        <f>VLOOKUP($A73,'[1]Raw Data'!$A$3:$FB$285,12,FALSE)</f>
        <v>97.73</v>
      </c>
      <c r="M73" s="27">
        <f>VLOOKUP($A73,'[1]Raw Data'!$A$3:$FB$285,14,FALSE)</f>
        <v>0.03</v>
      </c>
      <c r="N73" s="27">
        <f>VLOOKUP($A73,'[1]Raw Data'!$A$3:$FB$285,15,FALSE)</f>
        <v>0.17</v>
      </c>
      <c r="O73" s="27">
        <f>VLOOKUP($A73,'[1]Raw Data'!$A$3:$FB$285,17,FALSE)</f>
        <v>0</v>
      </c>
      <c r="P73" s="27">
        <f>VLOOKUP($A73,'[1]Raw Data'!$A$3:$FB$285,18,FALSE)</f>
        <v>0.02</v>
      </c>
      <c r="Q73" s="27">
        <f>VLOOKUP($A73,'[1]Raw Data'!$A$3:$FB$285,20,FALSE)</f>
        <v>0.02</v>
      </c>
      <c r="R73" s="27">
        <f>VLOOKUP($A73,'[1]Raw Data'!$A$3:$FB$285,21,FALSE)</f>
        <v>0.55000000000000004</v>
      </c>
      <c r="S73" s="27">
        <f>VLOOKUP($A73,'[1]Raw Data'!$A$3:$FB$285,23,FALSE)</f>
        <v>0</v>
      </c>
      <c r="T73" s="27">
        <f>VLOOKUP($A73,'[1]Raw Data'!$A$3:$FB$285,24,FALSE)</f>
        <v>0</v>
      </c>
      <c r="U73" s="27">
        <f>VLOOKUP($A73,'[1]Raw Data'!$A$3:$FB$285,26,FALSE)</f>
        <v>1.01</v>
      </c>
      <c r="V73" s="27">
        <f>VLOOKUP($A73,'[1]Raw Data'!$A$3:$FB$285,27,FALSE)</f>
        <v>0.37</v>
      </c>
      <c r="W73" s="27">
        <f>VLOOKUP($A73,'[1]Raw Data'!$A$3:$FB$285,29,FALSE)</f>
        <v>0</v>
      </c>
      <c r="X73" s="27">
        <f>VLOOKUP($A73,'[1]Raw Data'!$A$3:$FB$285,30,FALSE)</f>
        <v>0</v>
      </c>
      <c r="Y73" s="27">
        <f>VLOOKUP($A73,'[1]Raw Data'!$A$3:$FB$285,32,FALSE)</f>
        <v>0.06</v>
      </c>
      <c r="Z73" s="27">
        <f>VLOOKUP($A73,'[1]Raw Data'!$A$3:$FB$285,33,FALSE)</f>
        <v>0.11</v>
      </c>
      <c r="AA73" s="27">
        <f>VLOOKUP($A73,'[1]Raw Data'!$A$3:$FB$285,35,FALSE)</f>
        <v>0.45</v>
      </c>
      <c r="AB73" s="27">
        <f>VLOOKUP($A73,'[1]Raw Data'!$A$3:$FB$285,36,FALSE)</f>
        <v>0.44</v>
      </c>
      <c r="AC73" s="27">
        <f>VLOOKUP($A73,'[1]Raw Data'!$A$3:$FB$285,38,FALSE)</f>
        <v>0.17</v>
      </c>
      <c r="AD73" s="27">
        <f>VLOOKUP($A73,'[1]Raw Data'!$A$3:$FB$285,39,FALSE)</f>
        <v>0.16</v>
      </c>
      <c r="AE73" s="27">
        <f>VLOOKUP($A73,'[1]Raw Data'!$A$3:$FB$285,41,FALSE)</f>
        <v>0</v>
      </c>
      <c r="AF73" s="27">
        <f>VLOOKUP($A73,'[1]Raw Data'!$A$3:$FB$285,42,FALSE)</f>
        <v>0</v>
      </c>
      <c r="AG73" s="27">
        <f>VLOOKUP($A73,'[1]Raw Data'!$A$3:$FB$285,44,FALSE)</f>
        <v>0</v>
      </c>
      <c r="AH73" s="27">
        <f>VLOOKUP($A73,'[1]Raw Data'!$A$3:$FB$285,45,FALSE)</f>
        <v>0</v>
      </c>
      <c r="AI73" s="27">
        <f>VLOOKUP($A73,'[1]Raw Data'!$A$3:$FB$285,46,FALSE)</f>
        <v>4984</v>
      </c>
      <c r="AJ73" s="27">
        <f>VLOOKUP($A73,'[1]Raw Data'!$A$3:$FB$285,47,FALSE)</f>
        <v>4561</v>
      </c>
      <c r="AK73" s="27">
        <f>VLOOKUP($A73,'[1]Raw Data'!$A$3:$FB$285,48,FALSE)</f>
        <v>4560</v>
      </c>
      <c r="AL73" s="27">
        <f>VLOOKUP($A73,'[1]Raw Data'!$A$3:$FB$285,49,FALSE)</f>
        <v>4008</v>
      </c>
      <c r="AM73" s="27">
        <f>VLOOKUP($A73,'[1]Raw Data'!$A$3:$FB$285,50,FALSE)</f>
        <v>2510</v>
      </c>
      <c r="AN73" s="27">
        <f>VLOOKUP($A73,'[1]Raw Data'!$A$3:$FB$285,51,FALSE)</f>
        <v>2087</v>
      </c>
      <c r="AO73" s="27">
        <f>VLOOKUP($A73,'[1]Raw Data'!$A$3:$FB$285,52,FALSE)</f>
        <v>2190</v>
      </c>
      <c r="AP73" s="27">
        <f>VLOOKUP($A73,'[1]Raw Data'!$A$3:$FB$285,53,FALSE)</f>
        <v>343</v>
      </c>
      <c r="AQ73" s="27">
        <f>VLOOKUP($A73,'[1]Raw Data'!$A$3:$FB$285,54,FALSE)</f>
        <v>5</v>
      </c>
      <c r="AR73" s="27">
        <f>VLOOKUP($A73,'[1]Raw Data'!$A$3:$FB$285,55,FALSE)</f>
        <v>5</v>
      </c>
      <c r="AS73" s="27">
        <f>VLOOKUP($A73,'[1]Raw Data'!$A$3:$FB$285,56,FALSE)</f>
        <v>0</v>
      </c>
      <c r="AT73" s="27">
        <f>VLOOKUP($A73,'[1]Raw Data'!$A$3:$FB$285,57,FALSE)</f>
        <v>843</v>
      </c>
      <c r="AU73" s="27">
        <f>VLOOKUP($A73,'[1]Raw Data'!$A$3:$FB$285,58,FALSE)</f>
        <v>843</v>
      </c>
      <c r="AV73" s="27" t="str">
        <f>VLOOKUP($A73,'[1]Raw Data'!$A$3:$FB$285,59,FALSE)</f>
        <v/>
      </c>
      <c r="AW73" s="27" t="str">
        <f>VLOOKUP($A73,'[1]Raw Data'!$A$3:$FB$285,60,FALSE)</f>
        <v/>
      </c>
      <c r="AX73" s="27" t="str">
        <f>VLOOKUP(A73,'[1]PO''s List'!A71:E353,4,FALSE)</f>
        <v/>
      </c>
      <c r="AZ73" s="27" t="str">
        <f>VLOOKUP(A73,'[1]PO''s List'!$A$3:$E$285,5,FALSE)</f>
        <v>ACTED(Shelter),CSIDB(Shelter),FRADS-N(Education),GOAL(Other),Shelter),GON-PAF(Shelter),HELVETAS(Shelter),NRA(Shelter),SABAL(Shelter)</v>
      </c>
      <c r="BB73" s="27">
        <f>VLOOKUP($A73,'[1]Raw Data'!$A$3:$FB$285,63,FALSE)</f>
        <v>91395</v>
      </c>
      <c r="BC73" s="27" t="str">
        <f>VLOOKUP($A73,'[1]Raw Data'!$A$3:$FB$285,64,FALSE)</f>
        <v>Y</v>
      </c>
      <c r="BD73" s="27" t="str">
        <f t="shared" si="9"/>
        <v>छ</v>
      </c>
      <c r="BE73" s="27" t="str">
        <f>VLOOKUP($A73,'[1]Raw Data'!$A$3:$FB$285,65,FALSE)</f>
        <v/>
      </c>
      <c r="BF73" s="27">
        <f>VLOOKUP($A73,'[1]Raw Data'!$A$3:$FB$285,66,FALSE)</f>
        <v>95739</v>
      </c>
      <c r="BG73" s="27" t="str">
        <f>VLOOKUP($A73,'[1]Raw Data'!$A$3:$FB$285,67,FALSE)</f>
        <v>Y</v>
      </c>
      <c r="BH73" s="27" t="str">
        <f t="shared" si="10"/>
        <v>छ</v>
      </c>
      <c r="BI73" s="27" t="str">
        <f>VLOOKUP($A73,'[1]Raw Data'!$A$3:$FB$285,68,FALSE)</f>
        <v/>
      </c>
      <c r="BJ73" s="27">
        <f>VLOOKUP($A73,'[1]Raw Data'!$A$3:$FB$285,69,FALSE)</f>
        <v>9775</v>
      </c>
      <c r="BK73" s="27" t="str">
        <f>VLOOKUP($A73,'[1]Raw Data'!$A$3:$FB$285,70,FALSE)</f>
        <v>Y</v>
      </c>
      <c r="BL73" s="27" t="str">
        <f t="shared" si="11"/>
        <v>छ</v>
      </c>
      <c r="BM73" s="27" t="str">
        <f>VLOOKUP($A73,'[1]Raw Data'!$A$3:$FB$285,71,FALSE)</f>
        <v/>
      </c>
      <c r="BN73" s="27">
        <f>VLOOKUP($A73,'[1]Raw Data'!$A$3:$FB$285,72,FALSE)</f>
        <v>11341</v>
      </c>
      <c r="BO73" s="27" t="str">
        <f>VLOOKUP($A73,'[1]Raw Data'!$A$3:$FB$285,73,FALSE)</f>
        <v>Y</v>
      </c>
      <c r="BP73" s="27" t="str">
        <f t="shared" si="12"/>
        <v>छ</v>
      </c>
      <c r="BQ73" s="27" t="str">
        <f>VLOOKUP($A73,'[1]Raw Data'!$A$3:$FB$285,74,FALSE)</f>
        <v/>
      </c>
      <c r="BR73" s="27" t="str">
        <f>VLOOKUP($A73,'[1]Raw Data'!$A$3:$FB$285,75,FALSE)</f>
        <v/>
      </c>
      <c r="BS73" s="27" t="str">
        <f>VLOOKUP($A73,'[1]Raw Data'!$A$3:$FB$285,76,FALSE)</f>
        <v/>
      </c>
      <c r="BT73" s="27" t="str">
        <f t="shared" si="13"/>
        <v/>
      </c>
      <c r="BU73" s="27" t="str">
        <f>VLOOKUP($A73,'[1]Raw Data'!$A$3:$FB$285,77,FALSE)</f>
        <v/>
      </c>
      <c r="BV73" s="27">
        <f>VLOOKUP($A73,'[1]Raw Data'!$A$3:$FB$285,78,FALSE)</f>
        <v>315288</v>
      </c>
      <c r="BW73" s="27" t="str">
        <f>VLOOKUP($A73,'[1]Raw Data'!$A$3:$FB$285,79,FALSE)</f>
        <v>Y</v>
      </c>
      <c r="BX73" s="27" t="str">
        <f t="shared" si="14"/>
        <v>छ</v>
      </c>
      <c r="BY73" s="27" t="str">
        <f>VLOOKUP($A73,'[1]Raw Data'!$A$3:$FB$285,80,FALSE)</f>
        <v/>
      </c>
      <c r="BZ73" s="27">
        <f>VLOOKUP($A73,'[1]Raw Data'!$A$3:$FB$285,81,FALSE)</f>
        <v>985586</v>
      </c>
      <c r="CA73" s="27" t="str">
        <f>VLOOKUP($A73,'[1]Raw Data'!$A$3:$FB$285,82,FALSE)</f>
        <v/>
      </c>
      <c r="CB73" s="27" t="str">
        <f t="shared" si="15"/>
        <v/>
      </c>
      <c r="CC73" s="27" t="str">
        <f>VLOOKUP($A73,'[1]Raw Data'!$A$3:$FB$285,83,FALSE)</f>
        <v/>
      </c>
      <c r="CD73" s="27">
        <f>VLOOKUP($A73,'[1]Raw Data'!$A$3:$FB$285,84,FALSE)</f>
        <v>12879</v>
      </c>
      <c r="CE73" s="27" t="str">
        <f>VLOOKUP($A73,'[1]Raw Data'!$A$3:$FB$285,85,FALSE)</f>
        <v/>
      </c>
      <c r="CF73" s="27" t="str">
        <f t="shared" si="16"/>
        <v/>
      </c>
      <c r="CG73" s="27" t="str">
        <f>VLOOKUP($A73,'[1]Raw Data'!$A$3:$FB$285,86,FALSE)</f>
        <v/>
      </c>
      <c r="CH73" s="27">
        <f>VLOOKUP($A73,'[1]Raw Data'!$A$3:$FB$285,87,FALSE)</f>
        <v>510318</v>
      </c>
      <c r="CI73" s="27" t="str">
        <f>VLOOKUP($A73,'[1]Raw Data'!$A$3:$FB$285,88,FALSE)</f>
        <v>Y</v>
      </c>
      <c r="CJ73" s="27" t="str">
        <f t="shared" si="17"/>
        <v>छ</v>
      </c>
      <c r="CK73" s="27" t="str">
        <f>VLOOKUP($A73,'[1]Raw Data'!$A$3:$FB$285,89,FALSE)</f>
        <v/>
      </c>
      <c r="CL73" s="27" t="str">
        <f>VLOOKUP($A73,'[1]Raw Data'!$A$3:$FB$285,91,FALSE)</f>
        <v/>
      </c>
      <c r="CM73" s="27" t="str">
        <f>VLOOKUP($A73,'[1]Raw Data'!$A$3:$FB$285,93,FALSE)</f>
        <v/>
      </c>
      <c r="CN73" s="27" t="str">
        <f>VLOOKUP($A73,'[1]Raw Data'!$A$3:$FB$285,94,FALSE)</f>
        <v/>
      </c>
      <c r="CO73" s="27" t="str">
        <f>VLOOKUP($A73,'[1]Raw Data'!$A$3:$FB$285,95,FALSE)</f>
        <v/>
      </c>
      <c r="CP73" s="27" t="str">
        <f>VLOOKUP($A73,'[1]Raw Data'!$A$3:$FB$285,96,FALSE)</f>
        <v/>
      </c>
      <c r="CQ73" s="27" t="str">
        <f>VLOOKUP($A73,'[1]Raw Data'!$A$3:$FB$285,97,FALSE)</f>
        <v/>
      </c>
      <c r="CR73" s="27" t="str">
        <f>VLOOKUP($A73,'[1]Raw Data'!$A$3:$FB$285,98,FALSE)</f>
        <v/>
      </c>
      <c r="CS73" s="27" t="str">
        <f>VLOOKUP($A73,'[1]Raw Data'!$A$3:$FB$285,99,FALSE)</f>
        <v/>
      </c>
      <c r="CT73" s="27" t="str">
        <f>VLOOKUP($A73,'[1]Raw Data'!$A$3:$FB$285,101,FALSE)</f>
        <v>Sher bahadur Sunuwar</v>
      </c>
      <c r="CU73" s="27" t="s">
        <v>981</v>
      </c>
      <c r="CV73" s="27" t="str">
        <f>VLOOKUP($A73,'[1]Raw Data'!$A$3:$FB$285,102,FALSE)</f>
        <v xml:space="preserve">Chairman </v>
      </c>
      <c r="CW73" s="27" t="s">
        <v>878</v>
      </c>
      <c r="CX73" s="27">
        <f>VLOOKUP($A73,'[1]Raw Data'!$A$3:$FB$285,103,FALSE)</f>
        <v>9843081851</v>
      </c>
      <c r="CY73" s="27" t="str">
        <f>VLOOKUP($A73,'[1]Raw Data'!$A$3:$FB$285,105,FALSE)</f>
        <v>Urmila Karki</v>
      </c>
      <c r="CZ73" s="27" t="s">
        <v>982</v>
      </c>
      <c r="DA73" s="27" t="str">
        <f>VLOOKUP($A73,'[1]Raw Data'!$A$3:$FB$285,106,FALSE)</f>
        <v>Deputy Chairman</v>
      </c>
      <c r="DB73" s="27" t="s">
        <v>879</v>
      </c>
      <c r="DC73" s="27">
        <f>VLOOKUP($A73,'[1]Raw Data'!$A$3:$FB$285,107,FALSE)</f>
        <v>9841363663</v>
      </c>
      <c r="DD73" s="27" t="str">
        <f>VLOOKUP($A73,'[1]Raw Data'!$A$3:$FB$285,109,FALSE)</f>
        <v/>
      </c>
      <c r="DF73" s="27" t="str">
        <f>VLOOKUP($A73,'[1]Raw Data'!$A$3:$FB$285,110,FALSE)</f>
        <v>Chief Adminstration Officer</v>
      </c>
      <c r="DG73" s="27" t="s">
        <v>880</v>
      </c>
      <c r="DH73" s="27" t="str">
        <f>VLOOKUP($A73,'[1]Raw Data'!$A$3:$FB$285,111,FALSE)</f>
        <v/>
      </c>
      <c r="DI73" s="27" t="str">
        <f>VLOOKUP($A73,'[1]Raw Data'!$A$3:$FB$285,121,FALSE)</f>
        <v>Anil Thapa Magar</v>
      </c>
      <c r="DJ73" s="27" t="s">
        <v>983</v>
      </c>
      <c r="DK73" s="27" t="str">
        <f>VLOOKUP($A73,'[1]Raw Data'!$A$3:$FB$285,122,FALSE)</f>
        <v>Focal Person</v>
      </c>
      <c r="DL73" s="27" t="s">
        <v>881</v>
      </c>
      <c r="DM73" s="27">
        <f>VLOOKUP($A73,'[1]Raw Data'!$A$3:$FB$285,123,FALSE)</f>
        <v>9861082182</v>
      </c>
      <c r="DN73" s="27" t="str">
        <f>VLOOKUP($A73,'[1]Raw Data'!$A$3:$FB$285,113,FALSE)</f>
        <v>Krishna Lal Piya</v>
      </c>
      <c r="DO73" s="27" t="s">
        <v>959</v>
      </c>
      <c r="DP73" s="27" t="str">
        <f>VLOOKUP($A73,'[1]Raw Data'!$A$3:$FB$285,114,FALSE)</f>
        <v>NRA Chief-District</v>
      </c>
      <c r="DQ73" s="27" t="s">
        <v>882</v>
      </c>
      <c r="DR73" s="27">
        <f>VLOOKUP($A73,'[1]Raw Data'!$A$3:$FB$285,115,FALSE)</f>
        <v>9854043491</v>
      </c>
      <c r="DS73" s="27" t="str">
        <f>VLOOKUP($A73,'[1]Raw Data'!$A$3:$FB$285,117,FALSE)</f>
        <v>Prabhakar Lal Karna</v>
      </c>
      <c r="DT73" s="27" t="s">
        <v>894</v>
      </c>
      <c r="DU73" s="27" t="str">
        <f>VLOOKUP($A73,'[1]Raw Data'!$A$3:$FB$285,118,FALSE)</f>
        <v>DUDBC.DLPIU Chief</v>
      </c>
      <c r="DV73" s="27" t="s">
        <v>883</v>
      </c>
      <c r="DW73" s="27">
        <f>VLOOKUP($A73,'[1]Raw Data'!$A$3:$FB$285,119,FALSE)</f>
        <v>9854041543</v>
      </c>
      <c r="DX73" s="27" t="s">
        <v>339</v>
      </c>
      <c r="DY73" s="27" t="str">
        <f>VLOOKUP($A73,'[1]Raw Data'!$A$3:$FB$285,124,FALSE)</f>
        <v/>
      </c>
      <c r="DZ73" s="27" t="s">
        <v>884</v>
      </c>
      <c r="EA73" s="27" t="str">
        <f>VLOOKUP($A73,'[1]Raw Data'!$A$3:$FB$285,125,FALSE)</f>
        <v/>
      </c>
      <c r="EB73" s="27" t="s">
        <v>341</v>
      </c>
      <c r="EC73" s="27" t="str">
        <f>VLOOKUP($A73,'[1]Raw Data'!$A$3:$FB$285,126,FALSE)</f>
        <v/>
      </c>
      <c r="ED73" t="s">
        <v>478</v>
      </c>
      <c r="EE73" s="27" t="str">
        <f>VLOOKUP($A73,'[1]Raw Data'!$A$3:$FB$285,127,FALSE)</f>
        <v/>
      </c>
      <c r="EF73" s="27" t="s">
        <v>343</v>
      </c>
      <c r="EG73" s="27" t="str">
        <f>VLOOKUP($A73,'[1]Raw Data'!$A$3:$FB$285,128,FALSE)</f>
        <v/>
      </c>
      <c r="EH73" t="s">
        <v>344</v>
      </c>
      <c r="EI73" s="27" t="str">
        <f>VLOOKUP($A73,'[1]Raw Data'!$A$3:$FB$285,129,FALSE)</f>
        <v/>
      </c>
      <c r="EM73" s="27" t="str">
        <f>VLOOKUP($A73,'[1]Raw Data'!$A$3:$FB$285,130,FALSE)</f>
        <v/>
      </c>
      <c r="EN73" s="27" t="str">
        <f>VLOOKUP($A73,'[1]Raw Data'!$A$3:$FB$285,131,FALSE)</f>
        <v/>
      </c>
      <c r="EO73" s="27" t="str">
        <f>VLOOKUP($A73,'[1]Raw Data'!$A$3:$FB$285,132,FALSE)</f>
        <v/>
      </c>
      <c r="EP73" s="27" t="str">
        <f>VLOOKUP($A73,'[1]Raw Data'!$A$3:$FB$285,133,FALSE)</f>
        <v/>
      </c>
      <c r="EQ73" s="27" t="str">
        <f>VLOOKUP($A73,'[1]Raw Data'!$A$3:$FB$285,134,FALSE)</f>
        <v/>
      </c>
      <c r="ER73" s="27" t="str">
        <f>VLOOKUP($A73,'[1]Raw Data'!$A$3:$FB$285,135,FALSE)</f>
        <v/>
      </c>
      <c r="ES73" s="27" t="str">
        <f>VLOOKUP($A73,'[1]Raw Data'!$A$3:$FB$285,136,FALSE)</f>
        <v/>
      </c>
      <c r="ET73" s="27" t="str">
        <f>VLOOKUP($A73,'[1]Raw Data'!$A$3:$FB$285,137,FALSE)</f>
        <v/>
      </c>
      <c r="EU73" s="27" t="str">
        <f>VLOOKUP($A73,'[1]Raw Data'!$A$3:$FB$285,138,FALSE)</f>
        <v/>
      </c>
      <c r="EV73" s="27" t="str">
        <f>VLOOKUP($A73,'[1]Raw Data'!$A$3:$FB$285,139,FALSE)</f>
        <v/>
      </c>
      <c r="EW73" s="38">
        <f>VLOOKUP($A73,[1]Training!$A$2:$I$284,5,FALSE)</f>
        <v>383.38461538461536</v>
      </c>
      <c r="EX73" s="31">
        <f>VLOOKUP($A73,[1]Training!$A$2:$I$284,6,FALSE)</f>
        <v>190</v>
      </c>
      <c r="EY73" s="38">
        <f>VLOOKUP($A73,[1]Training!$A$2:$I$284,8,FALSE)</f>
        <v>512.96829971181558</v>
      </c>
      <c r="EZ73" s="31">
        <f>VLOOKUP($A73,[1]Training!$A$2:$I$284,9,FALSE)</f>
        <v>0</v>
      </c>
      <c r="FA73" s="27">
        <v>1</v>
      </c>
      <c r="FB73" s="27">
        <v>2</v>
      </c>
      <c r="FC73" s="27" t="str">
        <f>VLOOKUP($A73,'[1]Raw Data'!$A$3:$FB$285,148,FALSE)</f>
        <v>Prakash Bishwakarma</v>
      </c>
      <c r="FD73" s="27" t="s">
        <v>960</v>
      </c>
      <c r="FE73" s="27" t="str">
        <f>VLOOKUP($A73,'[1]Raw Data'!$A$3:$FB$285,149,FALSE)</f>
        <v>District Coordinator</v>
      </c>
      <c r="FF73" s="27" t="s">
        <v>885</v>
      </c>
      <c r="FG73" s="27">
        <f>VLOOKUP($A73,'[1]Raw Data'!$A$3:$FB$285,150,FALSE)</f>
        <v>9841720436</v>
      </c>
      <c r="FH73" s="27" t="str">
        <f>VLOOKUP($A73,'[1]Raw Data'!$A$3:$FB$285,156,FALSE)</f>
        <v>Tulasi Ram Lamichhane</v>
      </c>
      <c r="FI73" s="27" t="s">
        <v>961</v>
      </c>
      <c r="FJ73" s="27" t="str">
        <f>VLOOKUP($A73,'[1]Raw Data'!$A$3:$FB$285,157,FALSE)</f>
        <v>District Technical Officer</v>
      </c>
      <c r="FK73" s="27" t="s">
        <v>886</v>
      </c>
      <c r="FL73" s="27">
        <f>VLOOKUP($A73,'[1]Raw Data'!$A$3:$FB$285,158,FALSE)</f>
        <v>9851213610</v>
      </c>
      <c r="FM73" s="27" t="str">
        <f>VLOOKUP($A73,'[1]Raw Data'!$A$3:$FB$285,152,FALSE)</f>
        <v>Jawed Mohammad</v>
      </c>
      <c r="FN73" s="27" t="s">
        <v>962</v>
      </c>
      <c r="FO73" s="27" t="str">
        <f>VLOOKUP($A73,'[1]Raw Data'!$A$3:$FB$285,153,FALSE)</f>
        <v>DIstrict Information Management Officer</v>
      </c>
      <c r="FP73" s="27" t="s">
        <v>887</v>
      </c>
      <c r="FQ73" s="27" t="str">
        <f>VLOOKUP($A73,'[1]Raw Data'!$A$3:$FB$285,154,FALSE)</f>
        <v/>
      </c>
    </row>
    <row r="74" spans="1:173" ht="24" x14ac:dyDescent="0.45">
      <c r="A74" s="27">
        <v>22001</v>
      </c>
      <c r="B74" s="36" t="str">
        <f ca="1">IFERROR(__xludf.DUMMYFUNCTION("""COMPUTED_VALUE"""),"Baiteshwor Gaunpalika")</f>
        <v>Baiteshwor Gaunpalika</v>
      </c>
      <c r="C74" s="37" t="str">
        <f>VLOOKUP(A74,'[1]Palika and District in Nepali '!$D$1:$F$283,3,FALSE)</f>
        <v>बैतेश्वर गाउँपालिका</v>
      </c>
      <c r="D74" s="36" t="str">
        <f ca="1">IFERROR(__xludf.DUMMYFUNCTION("""COMPUTED_VALUE"""),"Dolakha")</f>
        <v>Dolakha</v>
      </c>
      <c r="E74" s="36"/>
      <c r="F74" s="27">
        <f>VLOOKUP(A74,'[1]Raw Data'!$A$3:$FB$285,4,FALSE)</f>
        <v>467</v>
      </c>
      <c r="G74" s="27">
        <f>VLOOKUP(A74,'[1]Raw Data'!$A$3:$FB$285,5,FALSE)</f>
        <v>5925</v>
      </c>
      <c r="H74" s="27">
        <f>VLOOKUP(A74,'[1]Raw Data'!$A$3:$FB$285,6,FALSE)</f>
        <v>6392</v>
      </c>
      <c r="I74" s="27">
        <f>VLOOKUP($A74,'[1]Raw Data'!$A$3:$FB$285,8,FALSE)</f>
        <v>0.22</v>
      </c>
      <c r="J74" s="27">
        <f>VLOOKUP($A74,'[1]Raw Data'!$A$3:$FB$285,9,FALSE)</f>
        <v>0.54</v>
      </c>
      <c r="K74" s="27">
        <f>VLOOKUP($A74,'[1]Raw Data'!$A$3:$FB$285,11,FALSE)</f>
        <v>89.43</v>
      </c>
      <c r="L74" s="27">
        <f>VLOOKUP($A74,'[1]Raw Data'!$A$3:$FB$285,12,FALSE)</f>
        <v>94.39</v>
      </c>
      <c r="M74" s="27">
        <f>VLOOKUP($A74,'[1]Raw Data'!$A$3:$FB$285,14,FALSE)</f>
        <v>0.34</v>
      </c>
      <c r="N74" s="27">
        <f>VLOOKUP($A74,'[1]Raw Data'!$A$3:$FB$285,15,FALSE)</f>
        <v>1.54</v>
      </c>
      <c r="O74" s="27">
        <f>VLOOKUP($A74,'[1]Raw Data'!$A$3:$FB$285,17,FALSE)</f>
        <v>0.02</v>
      </c>
      <c r="P74" s="27">
        <f>VLOOKUP($A74,'[1]Raw Data'!$A$3:$FB$285,18,FALSE)</f>
        <v>0.04</v>
      </c>
      <c r="Q74" s="27">
        <f>VLOOKUP($A74,'[1]Raw Data'!$A$3:$FB$285,20,FALSE)</f>
        <v>1.68</v>
      </c>
      <c r="R74" s="27">
        <f>VLOOKUP($A74,'[1]Raw Data'!$A$3:$FB$285,21,FALSE)</f>
        <v>0.67</v>
      </c>
      <c r="S74" s="27">
        <f>VLOOKUP($A74,'[1]Raw Data'!$A$3:$FB$285,23,FALSE)</f>
        <v>0</v>
      </c>
      <c r="T74" s="27">
        <f>VLOOKUP($A74,'[1]Raw Data'!$A$3:$FB$285,24,FALSE)</f>
        <v>0</v>
      </c>
      <c r="U74" s="27">
        <f>VLOOKUP($A74,'[1]Raw Data'!$A$3:$FB$285,26,FALSE)</f>
        <v>0.39</v>
      </c>
      <c r="V74" s="27">
        <f>VLOOKUP($A74,'[1]Raw Data'!$A$3:$FB$285,27,FALSE)</f>
        <v>0.64</v>
      </c>
      <c r="W74" s="27">
        <f>VLOOKUP($A74,'[1]Raw Data'!$A$3:$FB$285,29,FALSE)</f>
        <v>0</v>
      </c>
      <c r="X74" s="27">
        <f>VLOOKUP($A74,'[1]Raw Data'!$A$3:$FB$285,30,FALSE)</f>
        <v>0</v>
      </c>
      <c r="Y74" s="27">
        <f>VLOOKUP($A74,'[1]Raw Data'!$A$3:$FB$285,32,FALSE)</f>
        <v>0.11</v>
      </c>
      <c r="Z74" s="27">
        <f>VLOOKUP($A74,'[1]Raw Data'!$A$3:$FB$285,33,FALSE)</f>
        <v>0.35</v>
      </c>
      <c r="AA74" s="27">
        <f>VLOOKUP($A74,'[1]Raw Data'!$A$3:$FB$285,35,FALSE)</f>
        <v>7.61</v>
      </c>
      <c r="AB74" s="27">
        <f>VLOOKUP($A74,'[1]Raw Data'!$A$3:$FB$285,36,FALSE)</f>
        <v>1.71</v>
      </c>
      <c r="AC74" s="27">
        <f>VLOOKUP($A74,'[1]Raw Data'!$A$3:$FB$285,38,FALSE)</f>
        <v>0.2</v>
      </c>
      <c r="AD74" s="27">
        <f>VLOOKUP($A74,'[1]Raw Data'!$A$3:$FB$285,39,FALSE)</f>
        <v>0.13</v>
      </c>
      <c r="AE74" s="27">
        <f>VLOOKUP($A74,'[1]Raw Data'!$A$3:$FB$285,41,FALSE)</f>
        <v>0</v>
      </c>
      <c r="AF74" s="27">
        <f>VLOOKUP($A74,'[1]Raw Data'!$A$3:$FB$285,42,FALSE)</f>
        <v>0</v>
      </c>
      <c r="AG74" s="27">
        <f>VLOOKUP($A74,'[1]Raw Data'!$A$3:$FB$285,44,FALSE)</f>
        <v>0</v>
      </c>
      <c r="AH74" s="27">
        <f>VLOOKUP($A74,'[1]Raw Data'!$A$3:$FB$285,45,FALSE)</f>
        <v>0</v>
      </c>
      <c r="AI74" s="27">
        <f>VLOOKUP($A74,'[1]Raw Data'!$A$3:$FB$285,46,FALSE)</f>
        <v>8339</v>
      </c>
      <c r="AJ74" s="27">
        <f>VLOOKUP($A74,'[1]Raw Data'!$A$3:$FB$285,47,FALSE)</f>
        <v>8204</v>
      </c>
      <c r="AK74" s="27">
        <f>VLOOKUP($A74,'[1]Raw Data'!$A$3:$FB$285,48,FALSE)</f>
        <v>7703</v>
      </c>
      <c r="AL74" s="27">
        <f>VLOOKUP($A74,'[1]Raw Data'!$A$3:$FB$285,49,FALSE)</f>
        <v>6713</v>
      </c>
      <c r="AM74" s="27">
        <f>VLOOKUP($A74,'[1]Raw Data'!$A$3:$FB$285,50,FALSE)</f>
        <v>6064</v>
      </c>
      <c r="AN74" s="27">
        <f>VLOOKUP($A74,'[1]Raw Data'!$A$3:$FB$285,51,FALSE)</f>
        <v>5701</v>
      </c>
      <c r="AO74" s="27">
        <f>VLOOKUP($A74,'[1]Raw Data'!$A$3:$FB$285,52,FALSE)</f>
        <v>5763</v>
      </c>
      <c r="AP74" s="27">
        <f>VLOOKUP($A74,'[1]Raw Data'!$A$3:$FB$285,53,FALSE)</f>
        <v>342</v>
      </c>
      <c r="AQ74" s="27">
        <f>VLOOKUP($A74,'[1]Raw Data'!$A$3:$FB$285,54,FALSE)</f>
        <v>342</v>
      </c>
      <c r="AR74" s="27">
        <f>VLOOKUP($A74,'[1]Raw Data'!$A$3:$FB$285,55,FALSE)</f>
        <v>4</v>
      </c>
      <c r="AS74" s="27" t="str">
        <f>VLOOKUP($A74,'[1]Raw Data'!$A$3:$FB$285,56,FALSE)</f>
        <v/>
      </c>
      <c r="AT74" s="27">
        <f>VLOOKUP($A74,'[1]Raw Data'!$A$3:$FB$285,57,FALSE)</f>
        <v>0</v>
      </c>
      <c r="AU74" s="27">
        <f>VLOOKUP($A74,'[1]Raw Data'!$A$3:$FB$285,58,FALSE)</f>
        <v>1795</v>
      </c>
      <c r="AV74" s="27" t="str">
        <f>VLOOKUP($A74,'[1]Raw Data'!$A$3:$FB$285,59,FALSE)</f>
        <v/>
      </c>
      <c r="AW74" s="27" t="str">
        <f>VLOOKUP($A74,'[1]Raw Data'!$A$3:$FB$285,60,FALSE)</f>
        <v/>
      </c>
      <c r="AX74" s="27" t="str">
        <f>VLOOKUP(A74,'[1]PO''s List'!A72:E354,4,FALSE)</f>
        <v>NSET(Shelter)</v>
      </c>
      <c r="AZ74" s="27" t="str">
        <f>VLOOKUP(A74,'[1]PO''s List'!$A$3:$E$285,5,FALSE)</f>
        <v>AA(DRR,Education,Employment ,GESI,Shelter),CA(Shelter),CW(Education),GON-PAF(Shelter),LIONS(Education),NDBS(Education),SCI(DRR,Education,Employment ,Shelter,Social Protection,Health)</v>
      </c>
      <c r="BB74" s="27">
        <f>VLOOKUP($A74,'[1]Raw Data'!$A$3:$FB$285,63,FALSE)</f>
        <v>175691</v>
      </c>
      <c r="BC74" s="27" t="str">
        <f>VLOOKUP($A74,'[1]Raw Data'!$A$3:$FB$285,64,FALSE)</f>
        <v>Y</v>
      </c>
      <c r="BD74" s="27" t="str">
        <f t="shared" si="9"/>
        <v>छ</v>
      </c>
      <c r="BE74" s="27">
        <f>VLOOKUP($A74,'[1]Raw Data'!$A$3:$FB$285,65,FALSE)</f>
        <v>4500</v>
      </c>
      <c r="BF74" s="27">
        <f>VLOOKUP($A74,'[1]Raw Data'!$A$3:$FB$285,66,FALSE)</f>
        <v>178323</v>
      </c>
      <c r="BG74" s="27" t="str">
        <f>VLOOKUP($A74,'[1]Raw Data'!$A$3:$FB$285,67,FALSE)</f>
        <v>Y</v>
      </c>
      <c r="BH74" s="27" t="str">
        <f t="shared" si="10"/>
        <v>छ</v>
      </c>
      <c r="BI74" s="27">
        <f>VLOOKUP($A74,'[1]Raw Data'!$A$3:$FB$285,68,FALSE)</f>
        <v>5500</v>
      </c>
      <c r="BJ74" s="27">
        <f>VLOOKUP($A74,'[1]Raw Data'!$A$3:$FB$285,69,FALSE)</f>
        <v>18741</v>
      </c>
      <c r="BK74" s="27" t="str">
        <f>VLOOKUP($A74,'[1]Raw Data'!$A$3:$FB$285,70,FALSE)</f>
        <v>Y</v>
      </c>
      <c r="BL74" s="27" t="str">
        <f t="shared" si="11"/>
        <v>छ</v>
      </c>
      <c r="BM74" s="27">
        <f>VLOOKUP($A74,'[1]Raw Data'!$A$3:$FB$285,71,FALSE)</f>
        <v>5000</v>
      </c>
      <c r="BN74" s="27">
        <f>VLOOKUP($A74,'[1]Raw Data'!$A$3:$FB$285,72,FALSE)</f>
        <v>21558</v>
      </c>
      <c r="BO74" s="27" t="str">
        <f>VLOOKUP($A74,'[1]Raw Data'!$A$3:$FB$285,73,FALSE)</f>
        <v>Y</v>
      </c>
      <c r="BP74" s="27" t="str">
        <f t="shared" si="12"/>
        <v>छ</v>
      </c>
      <c r="BQ74" s="27" t="str">
        <f>VLOOKUP($A74,'[1]Raw Data'!$A$3:$FB$285,74,FALSE)</f>
        <v>450</v>
      </c>
      <c r="BR74" s="27" t="str">
        <f>VLOOKUP($A74,'[1]Raw Data'!$A$3:$FB$285,75,FALSE)</f>
        <v/>
      </c>
      <c r="BS74" s="27" t="str">
        <f>VLOOKUP($A74,'[1]Raw Data'!$A$3:$FB$285,76,FALSE)</f>
        <v>Y</v>
      </c>
      <c r="BT74" s="27" t="str">
        <f t="shared" si="13"/>
        <v>छ</v>
      </c>
      <c r="BU74" s="27">
        <f>VLOOKUP($A74,'[1]Raw Data'!$A$3:$FB$285,77,FALSE)</f>
        <v>900</v>
      </c>
      <c r="BV74" s="27">
        <f>VLOOKUP($A74,'[1]Raw Data'!$A$3:$FB$285,78,FALSE)</f>
        <v>590315</v>
      </c>
      <c r="BW74" s="27" t="str">
        <f>VLOOKUP($A74,'[1]Raw Data'!$A$3:$FB$285,79,FALSE)</f>
        <v/>
      </c>
      <c r="BX74" s="27" t="str">
        <f t="shared" si="14"/>
        <v/>
      </c>
      <c r="BY74" s="27">
        <f>VLOOKUP($A74,'[1]Raw Data'!$A$3:$FB$285,80,FALSE)</f>
        <v>1100</v>
      </c>
      <c r="BZ74" s="27">
        <f>VLOOKUP($A74,'[1]Raw Data'!$A$3:$FB$285,81,FALSE)</f>
        <v>1906235</v>
      </c>
      <c r="CA74" s="27" t="str">
        <f>VLOOKUP($A74,'[1]Raw Data'!$A$3:$FB$285,82,FALSE)</f>
        <v>Y</v>
      </c>
      <c r="CB74" s="27" t="str">
        <f t="shared" si="15"/>
        <v>छ</v>
      </c>
      <c r="CC74" s="27">
        <f>VLOOKUP($A74,'[1]Raw Data'!$A$3:$FB$285,83,FALSE)</f>
        <v>96</v>
      </c>
      <c r="CD74" s="27">
        <f>VLOOKUP($A74,'[1]Raw Data'!$A$3:$FB$285,84,FALSE)</f>
        <v>24118</v>
      </c>
      <c r="CE74" s="27" t="str">
        <f>VLOOKUP($A74,'[1]Raw Data'!$A$3:$FB$285,85,FALSE)</f>
        <v>Y</v>
      </c>
      <c r="CF74" s="27" t="str">
        <f t="shared" si="16"/>
        <v>छ</v>
      </c>
      <c r="CG74" s="27" t="str">
        <f>VLOOKUP($A74,'[1]Raw Data'!$A$3:$FB$285,86,FALSE)</f>
        <v/>
      </c>
      <c r="CH74" s="27">
        <f>VLOOKUP($A74,'[1]Raw Data'!$A$3:$FB$285,87,FALSE)</f>
        <v>1744358</v>
      </c>
      <c r="CI74" s="27" t="str">
        <f>VLOOKUP($A74,'[1]Raw Data'!$A$3:$FB$285,88,FALSE)</f>
        <v/>
      </c>
      <c r="CJ74" s="27" t="str">
        <f t="shared" si="17"/>
        <v/>
      </c>
      <c r="CK74" s="27">
        <f>VLOOKUP($A74,'[1]Raw Data'!$A$3:$FB$285,89,FALSE)</f>
        <v>26</v>
      </c>
      <c r="CL74" s="27">
        <f>VLOOKUP($A74,'[1]Raw Data'!$A$3:$FB$285,91,FALSE)</f>
        <v>1200</v>
      </c>
      <c r="CM74" s="27">
        <f>VLOOKUP($A74,'[1]Raw Data'!$A$3:$FB$285,93,FALSE)</f>
        <v>800</v>
      </c>
      <c r="CN74" s="27" t="str">
        <f>VLOOKUP($A74,'[1]Raw Data'!$A$3:$FB$285,94,FALSE)</f>
        <v/>
      </c>
      <c r="CO74" s="27" t="str">
        <f>VLOOKUP($A74,'[1]Raw Data'!$A$3:$FB$285,95,FALSE)</f>
        <v/>
      </c>
      <c r="CP74" s="27" t="str">
        <f>VLOOKUP($A74,'[1]Raw Data'!$A$3:$FB$285,96,FALSE)</f>
        <v/>
      </c>
      <c r="CQ74" s="27" t="str">
        <f>VLOOKUP($A74,'[1]Raw Data'!$A$3:$FB$285,97,FALSE)</f>
        <v/>
      </c>
      <c r="CR74" s="27" t="str">
        <f>VLOOKUP($A74,'[1]Raw Data'!$A$3:$FB$285,98,FALSE)</f>
        <v/>
      </c>
      <c r="CS74" s="27" t="str">
        <f>VLOOKUP($A74,'[1]Raw Data'!$A$3:$FB$285,99,FALSE)</f>
        <v/>
      </c>
      <c r="CT74" s="27" t="str">
        <f>VLOOKUP($A74,'[1]Raw Data'!$A$3:$FB$285,101,FALSE)</f>
        <v>Chhabi Lama</v>
      </c>
      <c r="CU74" s="27" t="s">
        <v>984</v>
      </c>
      <c r="CV74" s="27" t="str">
        <f>VLOOKUP($A74,'[1]Raw Data'!$A$3:$FB$285,102,FALSE)</f>
        <v>Chairman</v>
      </c>
      <c r="CW74" s="27" t="s">
        <v>878</v>
      </c>
      <c r="CX74" s="27">
        <f>VLOOKUP($A74,'[1]Raw Data'!$A$3:$FB$285,103,FALSE)</f>
        <v>9754201232</v>
      </c>
      <c r="CY74" s="27" t="str">
        <f>VLOOKUP($A74,'[1]Raw Data'!$A$3:$FB$285,105,FALSE)</f>
        <v>Rabi Chandra Acharya</v>
      </c>
      <c r="CZ74" s="27" t="s">
        <v>985</v>
      </c>
      <c r="DA74" s="27" t="str">
        <f>VLOOKUP($A74,'[1]Raw Data'!$A$3:$FB$285,106,FALSE)</f>
        <v>Deputy Chairman</v>
      </c>
      <c r="DB74" s="27" t="s">
        <v>879</v>
      </c>
      <c r="DC74" s="27">
        <f>VLOOKUP($A74,'[1]Raw Data'!$A$3:$FB$285,107,FALSE)</f>
        <v>9861221412</v>
      </c>
      <c r="DD74" s="27" t="str">
        <f>VLOOKUP($A74,'[1]Raw Data'!$A$3:$FB$285,109,FALSE)</f>
        <v>Nawaraj Parajuli</v>
      </c>
      <c r="DE74" s="27" t="s">
        <v>986</v>
      </c>
      <c r="DF74" s="27" t="str">
        <f>VLOOKUP($A74,'[1]Raw Data'!$A$3:$FB$285,110,FALSE)</f>
        <v>Chief Adminstration Officer</v>
      </c>
      <c r="DG74" s="27" t="s">
        <v>880</v>
      </c>
      <c r="DH74" s="27">
        <f>VLOOKUP($A74,'[1]Raw Data'!$A$3:$FB$285,111,FALSE)</f>
        <v>9851249203</v>
      </c>
      <c r="DI74" s="27" t="str">
        <f>VLOOKUP($A74,'[1]Raw Data'!$A$3:$FB$285,121,FALSE)</f>
        <v>Ganesh Chaulagain</v>
      </c>
      <c r="DJ74" s="27" t="s">
        <v>987</v>
      </c>
      <c r="DK74" s="27" t="str">
        <f>VLOOKUP($A74,'[1]Raw Data'!$A$3:$FB$285,122,FALSE)</f>
        <v>Focal Person</v>
      </c>
      <c r="DL74" s="27" t="s">
        <v>881</v>
      </c>
      <c r="DM74" s="27">
        <f>VLOOKUP($A74,'[1]Raw Data'!$A$3:$FB$285,123,FALSE)</f>
        <v>9849145438</v>
      </c>
      <c r="DN74" s="27" t="str">
        <f>VLOOKUP($A74,'[1]Raw Data'!$A$3:$FB$285,113,FALSE)</f>
        <v>Nirmal Darshan Acharya</v>
      </c>
      <c r="DO74" s="27" t="s">
        <v>988</v>
      </c>
      <c r="DP74" s="27" t="str">
        <f>VLOOKUP($A74,'[1]Raw Data'!$A$3:$FB$285,114,FALSE)</f>
        <v>NRA Chief-District</v>
      </c>
      <c r="DQ74" s="27" t="s">
        <v>882</v>
      </c>
      <c r="DR74" s="27">
        <f>VLOOKUP($A74,'[1]Raw Data'!$A$3:$FB$285,115,FALSE)</f>
        <v>9854045832</v>
      </c>
      <c r="DS74" s="27" t="str">
        <f>VLOOKUP($A74,'[1]Raw Data'!$A$3:$FB$285,117,FALSE)</f>
        <v>Arjun Tamang</v>
      </c>
      <c r="DT74" s="27" t="s">
        <v>989</v>
      </c>
      <c r="DU74" s="27" t="str">
        <f>VLOOKUP($A74,'[1]Raw Data'!$A$3:$FB$285,118,FALSE)</f>
        <v>DUDBC.DLPIU Chief</v>
      </c>
      <c r="DV74" s="27" t="s">
        <v>883</v>
      </c>
      <c r="DW74" s="27">
        <f>VLOOKUP($A74,'[1]Raw Data'!$A$3:$FB$285,119,FALSE)</f>
        <v>9849246296</v>
      </c>
      <c r="DX74" s="27" t="s">
        <v>339</v>
      </c>
      <c r="DY74" s="27" t="str">
        <f>VLOOKUP($A74,'[1]Raw Data'!$A$3:$FB$285,124,FALSE)</f>
        <v/>
      </c>
      <c r="DZ74" s="27" t="s">
        <v>884</v>
      </c>
      <c r="EA74" s="27" t="str">
        <f>VLOOKUP($A74,'[1]Raw Data'!$A$3:$FB$285,125,FALSE)</f>
        <v/>
      </c>
      <c r="EB74" s="27" t="s">
        <v>341</v>
      </c>
      <c r="EC74" s="27" t="str">
        <f>VLOOKUP($A74,'[1]Raw Data'!$A$3:$FB$285,126,FALSE)</f>
        <v/>
      </c>
      <c r="ED74" t="s">
        <v>478</v>
      </c>
      <c r="EE74" s="27" t="str">
        <f>VLOOKUP($A74,'[1]Raw Data'!$A$3:$FB$285,127,FALSE)</f>
        <v/>
      </c>
      <c r="EF74" s="27" t="s">
        <v>343</v>
      </c>
      <c r="EG74" s="27" t="str">
        <f>VLOOKUP($A74,'[1]Raw Data'!$A$3:$FB$285,128,FALSE)</f>
        <v/>
      </c>
      <c r="EH74" t="s">
        <v>344</v>
      </c>
      <c r="EI74" s="27" t="str">
        <f>VLOOKUP($A74,'[1]Raw Data'!$A$3:$FB$285,129,FALSE)</f>
        <v/>
      </c>
      <c r="EM74" s="27" t="str">
        <f>VLOOKUP($A74,'[1]Raw Data'!$A$3:$FB$285,130,FALSE)</f>
        <v/>
      </c>
      <c r="EN74" s="27" t="str">
        <f>VLOOKUP($A74,'[1]Raw Data'!$A$3:$FB$285,131,FALSE)</f>
        <v/>
      </c>
      <c r="EO74" s="27" t="str">
        <f>VLOOKUP($A74,'[1]Raw Data'!$A$3:$FB$285,132,FALSE)</f>
        <v/>
      </c>
      <c r="EP74" s="27" t="str">
        <f>VLOOKUP($A74,'[1]Raw Data'!$A$3:$FB$285,133,FALSE)</f>
        <v/>
      </c>
      <c r="EQ74" s="27" t="str">
        <f>VLOOKUP($A74,'[1]Raw Data'!$A$3:$FB$285,134,FALSE)</f>
        <v/>
      </c>
      <c r="ER74" s="27" t="str">
        <f>VLOOKUP($A74,'[1]Raw Data'!$A$3:$FB$285,135,FALSE)</f>
        <v/>
      </c>
      <c r="ES74" s="27" t="str">
        <f>VLOOKUP($A74,'[1]Raw Data'!$A$3:$FB$285,136,FALSE)</f>
        <v/>
      </c>
      <c r="ET74" s="27" t="str">
        <f>VLOOKUP($A74,'[1]Raw Data'!$A$3:$FB$285,137,FALSE)</f>
        <v/>
      </c>
      <c r="EU74" s="27" t="str">
        <f>VLOOKUP($A74,'[1]Raw Data'!$A$3:$FB$285,138,FALSE)</f>
        <v/>
      </c>
      <c r="EV74" s="27" t="str">
        <f>VLOOKUP($A74,'[1]Raw Data'!$A$3:$FB$285,139,FALSE)</f>
        <v/>
      </c>
      <c r="EW74" s="38">
        <f>VLOOKUP($A74,[1]Training!$A$2:$I$284,5,FALSE)</f>
        <v>639.30769230769226</v>
      </c>
      <c r="EX74" s="31">
        <f>VLOOKUP($A74,[1]Training!$A$2:$I$284,6,FALSE)</f>
        <v>396</v>
      </c>
      <c r="EY74" s="38">
        <f>VLOOKUP($A74,[1]Training!$A$2:$I$284,8,FALSE)</f>
        <v>693.64306579496451</v>
      </c>
      <c r="EZ74" s="31">
        <f>VLOOKUP($A74,[1]Training!$A$2:$I$284,9,FALSE)</f>
        <v>7</v>
      </c>
      <c r="FA74" s="27">
        <v>1</v>
      </c>
      <c r="FB74" s="27">
        <v>2</v>
      </c>
      <c r="FC74" s="27" t="str">
        <f>VLOOKUP($A74,'[1]Raw Data'!$A$3:$FB$285,148,FALSE)</f>
        <v>Kamal Bahadur Mahat</v>
      </c>
      <c r="FD74" s="27" t="s">
        <v>990</v>
      </c>
      <c r="FE74" s="27" t="str">
        <f>VLOOKUP($A74,'[1]Raw Data'!$A$3:$FB$285,149,FALSE)</f>
        <v>District Coordinator</v>
      </c>
      <c r="FF74" s="27" t="s">
        <v>885</v>
      </c>
      <c r="FG74" s="27">
        <f>VLOOKUP($A74,'[1]Raw Data'!$A$3:$FB$285,150,FALSE)</f>
        <v>9841712677</v>
      </c>
      <c r="FH74" s="27" t="str">
        <f>VLOOKUP($A74,'[1]Raw Data'!$A$3:$FB$285,156,FALSE)</f>
        <v>Binod Kumar Kalauni</v>
      </c>
      <c r="FI74" s="27" t="s">
        <v>991</v>
      </c>
      <c r="FJ74" s="27" t="str">
        <f>VLOOKUP($A74,'[1]Raw Data'!$A$3:$FB$285,157,FALSE)</f>
        <v>District Technical Officer</v>
      </c>
      <c r="FK74" s="27" t="s">
        <v>886</v>
      </c>
      <c r="FL74" s="27">
        <f>VLOOKUP($A74,'[1]Raw Data'!$A$3:$FB$285,158,FALSE)</f>
        <v>9864291323</v>
      </c>
      <c r="FM74" s="27" t="str">
        <f>VLOOKUP($A74,'[1]Raw Data'!$A$3:$FB$285,152,FALSE)</f>
        <v>Ravi Pajiyar</v>
      </c>
      <c r="FN74" s="27" t="s">
        <v>992</v>
      </c>
      <c r="FO74" s="27" t="str">
        <f>VLOOKUP($A74,'[1]Raw Data'!$A$3:$FB$285,153,FALSE)</f>
        <v>DIstrict Information Management Officer</v>
      </c>
      <c r="FP74" s="27" t="s">
        <v>887</v>
      </c>
      <c r="FQ74" s="27">
        <f>VLOOKUP($A74,'[1]Raw Data'!$A$3:$FB$285,154,FALSE)</f>
        <v>9849829112</v>
      </c>
    </row>
    <row r="75" spans="1:173" ht="24" x14ac:dyDescent="0.45">
      <c r="A75" s="27">
        <v>22002</v>
      </c>
      <c r="B75" s="36" t="str">
        <f ca="1">IFERROR(__xludf.DUMMYFUNCTION("""COMPUTED_VALUE"""),"Bhimeshwor Nagarpalika")</f>
        <v>Bhimeshwor Nagarpalika</v>
      </c>
      <c r="C75" s="37" t="str">
        <f>VLOOKUP(A75,'[1]Palika and District in Nepali '!$D$1:$F$283,3,FALSE)</f>
        <v>भिमेश्वर गाउँपालिका</v>
      </c>
      <c r="D75" s="36" t="str">
        <f ca="1">IFERROR(__xludf.DUMMYFUNCTION("""COMPUTED_VALUE"""),"Dolakha")</f>
        <v>Dolakha</v>
      </c>
      <c r="E75" s="36"/>
      <c r="F75" s="27">
        <f>VLOOKUP(A75,'[1]Raw Data'!$A$3:$FB$285,4,FALSE)</f>
        <v>1316</v>
      </c>
      <c r="G75" s="27">
        <f>VLOOKUP(A75,'[1]Raw Data'!$A$3:$FB$285,5,FALSE)</f>
        <v>9480</v>
      </c>
      <c r="H75" s="27">
        <f>VLOOKUP(A75,'[1]Raw Data'!$A$3:$FB$285,6,FALSE)</f>
        <v>10796</v>
      </c>
      <c r="I75" s="27">
        <f>VLOOKUP($A75,'[1]Raw Data'!$A$3:$FB$285,8,FALSE)</f>
        <v>1.01</v>
      </c>
      <c r="J75" s="27">
        <f>VLOOKUP($A75,'[1]Raw Data'!$A$3:$FB$285,9,FALSE)</f>
        <v>0.54</v>
      </c>
      <c r="K75" s="27">
        <f>VLOOKUP($A75,'[1]Raw Data'!$A$3:$FB$285,11,FALSE)</f>
        <v>88.14</v>
      </c>
      <c r="L75" s="27">
        <f>VLOOKUP($A75,'[1]Raw Data'!$A$3:$FB$285,12,FALSE)</f>
        <v>94.39</v>
      </c>
      <c r="M75" s="27">
        <f>VLOOKUP($A75,'[1]Raw Data'!$A$3:$FB$285,14,FALSE)</f>
        <v>7.55</v>
      </c>
      <c r="N75" s="27">
        <f>VLOOKUP($A75,'[1]Raw Data'!$A$3:$FB$285,15,FALSE)</f>
        <v>1.54</v>
      </c>
      <c r="O75" s="27">
        <f>VLOOKUP($A75,'[1]Raw Data'!$A$3:$FB$285,17,FALSE)</f>
        <v>0.13</v>
      </c>
      <c r="P75" s="27">
        <f>VLOOKUP($A75,'[1]Raw Data'!$A$3:$FB$285,18,FALSE)</f>
        <v>0.04</v>
      </c>
      <c r="Q75" s="27">
        <f>VLOOKUP($A75,'[1]Raw Data'!$A$3:$FB$285,20,FALSE)</f>
        <v>1.91</v>
      </c>
      <c r="R75" s="27">
        <f>VLOOKUP($A75,'[1]Raw Data'!$A$3:$FB$285,21,FALSE)</f>
        <v>0.67</v>
      </c>
      <c r="S75" s="27">
        <f>VLOOKUP($A75,'[1]Raw Data'!$A$3:$FB$285,23,FALSE)</f>
        <v>0</v>
      </c>
      <c r="T75" s="27">
        <f>VLOOKUP($A75,'[1]Raw Data'!$A$3:$FB$285,24,FALSE)</f>
        <v>0</v>
      </c>
      <c r="U75" s="27">
        <f>VLOOKUP($A75,'[1]Raw Data'!$A$3:$FB$285,26,FALSE)</f>
        <v>0.81</v>
      </c>
      <c r="V75" s="27">
        <f>VLOOKUP($A75,'[1]Raw Data'!$A$3:$FB$285,27,FALSE)</f>
        <v>0.64</v>
      </c>
      <c r="W75" s="27">
        <f>VLOOKUP($A75,'[1]Raw Data'!$A$3:$FB$285,29,FALSE)</f>
        <v>0</v>
      </c>
      <c r="X75" s="27">
        <f>VLOOKUP($A75,'[1]Raw Data'!$A$3:$FB$285,30,FALSE)</f>
        <v>0</v>
      </c>
      <c r="Y75" s="27">
        <f>VLOOKUP($A75,'[1]Raw Data'!$A$3:$FB$285,32,FALSE)</f>
        <v>0.17</v>
      </c>
      <c r="Z75" s="27">
        <f>VLOOKUP($A75,'[1]Raw Data'!$A$3:$FB$285,33,FALSE)</f>
        <v>0.35</v>
      </c>
      <c r="AA75" s="27">
        <f>VLOOKUP($A75,'[1]Raw Data'!$A$3:$FB$285,35,FALSE)</f>
        <v>0.2</v>
      </c>
      <c r="AB75" s="27">
        <f>VLOOKUP($A75,'[1]Raw Data'!$A$3:$FB$285,36,FALSE)</f>
        <v>1.71</v>
      </c>
      <c r="AC75" s="27">
        <f>VLOOKUP($A75,'[1]Raw Data'!$A$3:$FB$285,38,FALSE)</f>
        <v>7.0000000000000007E-2</v>
      </c>
      <c r="AD75" s="27">
        <f>VLOOKUP($A75,'[1]Raw Data'!$A$3:$FB$285,39,FALSE)</f>
        <v>0.13</v>
      </c>
      <c r="AE75" s="27">
        <f>VLOOKUP($A75,'[1]Raw Data'!$A$3:$FB$285,41,FALSE)</f>
        <v>0</v>
      </c>
      <c r="AF75" s="27">
        <f>VLOOKUP($A75,'[1]Raw Data'!$A$3:$FB$285,42,FALSE)</f>
        <v>0</v>
      </c>
      <c r="AG75" s="27">
        <f>VLOOKUP($A75,'[1]Raw Data'!$A$3:$FB$285,44,FALSE)</f>
        <v>0</v>
      </c>
      <c r="AH75" s="27">
        <f>VLOOKUP($A75,'[1]Raw Data'!$A$3:$FB$285,45,FALSE)</f>
        <v>0</v>
      </c>
      <c r="AI75" s="27">
        <f>VLOOKUP($A75,'[1]Raw Data'!$A$3:$FB$285,46,FALSE)</f>
        <v>12503</v>
      </c>
      <c r="AJ75" s="27">
        <f>VLOOKUP($A75,'[1]Raw Data'!$A$3:$FB$285,47,FALSE)</f>
        <v>11147</v>
      </c>
      <c r="AK75" s="27">
        <f>VLOOKUP($A75,'[1]Raw Data'!$A$3:$FB$285,48,FALSE)</f>
        <v>10900</v>
      </c>
      <c r="AL75" s="27">
        <f>VLOOKUP($A75,'[1]Raw Data'!$A$3:$FB$285,49,FALSE)</f>
        <v>7856</v>
      </c>
      <c r="AM75" s="27">
        <f>VLOOKUP($A75,'[1]Raw Data'!$A$3:$FB$285,50,FALSE)</f>
        <v>6138</v>
      </c>
      <c r="AN75" s="27">
        <f>VLOOKUP($A75,'[1]Raw Data'!$A$3:$FB$285,51,FALSE)</f>
        <v>5326</v>
      </c>
      <c r="AO75" s="27">
        <f>VLOOKUP($A75,'[1]Raw Data'!$A$3:$FB$285,52,FALSE)</f>
        <v>5329</v>
      </c>
      <c r="AP75" s="27">
        <f>VLOOKUP($A75,'[1]Raw Data'!$A$3:$FB$285,53,FALSE)</f>
        <v>348</v>
      </c>
      <c r="AQ75" s="27">
        <f>VLOOKUP($A75,'[1]Raw Data'!$A$3:$FB$285,54,FALSE)</f>
        <v>349</v>
      </c>
      <c r="AR75" s="27">
        <f>VLOOKUP($A75,'[1]Raw Data'!$A$3:$FB$285,55,FALSE)</f>
        <v>101</v>
      </c>
      <c r="AS75" s="27">
        <f>VLOOKUP($A75,'[1]Raw Data'!$A$3:$FB$285,56,FALSE)</f>
        <v>0</v>
      </c>
      <c r="AT75" s="27">
        <f>VLOOKUP($A75,'[1]Raw Data'!$A$3:$FB$285,57,FALSE)</f>
        <v>0</v>
      </c>
      <c r="AU75" s="27">
        <f>VLOOKUP($A75,'[1]Raw Data'!$A$3:$FB$285,58,FALSE)</f>
        <v>3610</v>
      </c>
      <c r="AV75" s="27" t="str">
        <f>VLOOKUP($A75,'[1]Raw Data'!$A$3:$FB$285,59,FALSE)</f>
        <v/>
      </c>
      <c r="AW75" s="27" t="str">
        <f>VLOOKUP($A75,'[1]Raw Data'!$A$3:$FB$285,60,FALSE)</f>
        <v/>
      </c>
      <c r="AX75" s="27" t="str">
        <f>VLOOKUP(A75,'[1]PO''s List'!A73:E355,4,FALSE)</f>
        <v>BC(Shelter),NRCS(Education,Employment ,Health,Shelter,Health),NSET(Shelter)</v>
      </c>
      <c r="AZ75" s="27" t="str">
        <f>VLOOKUP(A75,'[1]PO''s List'!$A$3:$E$285,5,FALSE)</f>
        <v>AATWIN(Social Protection),BFW(Shelter),CARITAS-N(Shelter),CCFRY(DRR,Education),GAN(Shelter),IOM(Shelter),LIONS(Education),NDBS(Education),PLAN(Education,GESI,Shelter,Health),Samagra(Education),SOS(Shelter)</v>
      </c>
      <c r="BB75" s="27">
        <f>VLOOKUP($A75,'[1]Raw Data'!$A$3:$FB$285,63,FALSE)</f>
        <v>243223</v>
      </c>
      <c r="BC75" s="27" t="str">
        <f>VLOOKUP($A75,'[1]Raw Data'!$A$3:$FB$285,64,FALSE)</f>
        <v>Y</v>
      </c>
      <c r="BD75" s="27" t="str">
        <f t="shared" si="9"/>
        <v>छ</v>
      </c>
      <c r="BE75" s="27">
        <f>VLOOKUP($A75,'[1]Raw Data'!$A$3:$FB$285,65,FALSE)</f>
        <v>5000</v>
      </c>
      <c r="BF75" s="27">
        <f>VLOOKUP($A75,'[1]Raw Data'!$A$3:$FB$285,66,FALSE)</f>
        <v>219988</v>
      </c>
      <c r="BG75" s="27" t="str">
        <f>VLOOKUP($A75,'[1]Raw Data'!$A$3:$FB$285,67,FALSE)</f>
        <v>Y</v>
      </c>
      <c r="BH75" s="27" t="str">
        <f t="shared" si="10"/>
        <v>छ</v>
      </c>
      <c r="BI75" s="27">
        <f>VLOOKUP($A75,'[1]Raw Data'!$A$3:$FB$285,68,FALSE)</f>
        <v>5000</v>
      </c>
      <c r="BJ75" s="27">
        <f>VLOOKUP($A75,'[1]Raw Data'!$A$3:$FB$285,69,FALSE)</f>
        <v>25697</v>
      </c>
      <c r="BK75" s="27" t="str">
        <f>VLOOKUP($A75,'[1]Raw Data'!$A$3:$FB$285,70,FALSE)</f>
        <v>Y</v>
      </c>
      <c r="BL75" s="27" t="str">
        <f t="shared" si="11"/>
        <v>छ</v>
      </c>
      <c r="BM75" s="27">
        <f>VLOOKUP($A75,'[1]Raw Data'!$A$3:$FB$285,71,FALSE)</f>
        <v>5000</v>
      </c>
      <c r="BN75" s="27">
        <f>VLOOKUP($A75,'[1]Raw Data'!$A$3:$FB$285,72,FALSE)</f>
        <v>28651</v>
      </c>
      <c r="BO75" s="27" t="str">
        <f>VLOOKUP($A75,'[1]Raw Data'!$A$3:$FB$285,73,FALSE)</f>
        <v>Y</v>
      </c>
      <c r="BP75" s="27" t="str">
        <f t="shared" si="12"/>
        <v>छ</v>
      </c>
      <c r="BQ75" s="27" t="str">
        <f>VLOOKUP($A75,'[1]Raw Data'!$A$3:$FB$285,74,FALSE)</f>
        <v>500</v>
      </c>
      <c r="BR75" s="27" t="str">
        <f>VLOOKUP($A75,'[1]Raw Data'!$A$3:$FB$285,75,FALSE)</f>
        <v/>
      </c>
      <c r="BS75" s="27" t="str">
        <f>VLOOKUP($A75,'[1]Raw Data'!$A$3:$FB$285,76,FALSE)</f>
        <v>Y</v>
      </c>
      <c r="BT75" s="27" t="str">
        <f t="shared" si="13"/>
        <v>छ</v>
      </c>
      <c r="BU75" s="27">
        <f>VLOOKUP($A75,'[1]Raw Data'!$A$3:$FB$285,77,FALSE)</f>
        <v>920</v>
      </c>
      <c r="BV75" s="27">
        <f>VLOOKUP($A75,'[1]Raw Data'!$A$3:$FB$285,78,FALSE)</f>
        <v>735026</v>
      </c>
      <c r="BW75" s="27" t="str">
        <f>VLOOKUP($A75,'[1]Raw Data'!$A$3:$FB$285,79,FALSE)</f>
        <v/>
      </c>
      <c r="BX75" s="27" t="str">
        <f t="shared" si="14"/>
        <v/>
      </c>
      <c r="BY75" s="27">
        <f>VLOOKUP($A75,'[1]Raw Data'!$A$3:$FB$285,80,FALSE)</f>
        <v>1100</v>
      </c>
      <c r="BZ75" s="27">
        <f>VLOOKUP($A75,'[1]Raw Data'!$A$3:$FB$285,81,FALSE)</f>
        <v>2682730</v>
      </c>
      <c r="CA75" s="27" t="str">
        <f>VLOOKUP($A75,'[1]Raw Data'!$A$3:$FB$285,82,FALSE)</f>
        <v>Y</v>
      </c>
      <c r="CB75" s="27" t="str">
        <f t="shared" si="15"/>
        <v>छ</v>
      </c>
      <c r="CC75" s="27">
        <f>VLOOKUP($A75,'[1]Raw Data'!$A$3:$FB$285,83,FALSE)</f>
        <v>89</v>
      </c>
      <c r="CD75" s="27">
        <f>VLOOKUP($A75,'[1]Raw Data'!$A$3:$FB$285,84,FALSE)</f>
        <v>30003</v>
      </c>
      <c r="CE75" s="27" t="str">
        <f>VLOOKUP($A75,'[1]Raw Data'!$A$3:$FB$285,85,FALSE)</f>
        <v>Y</v>
      </c>
      <c r="CF75" s="27" t="str">
        <f t="shared" si="16"/>
        <v>छ</v>
      </c>
      <c r="CG75" s="27" t="str">
        <f>VLOOKUP($A75,'[1]Raw Data'!$A$3:$FB$285,86,FALSE)</f>
        <v/>
      </c>
      <c r="CH75" s="27">
        <f>VLOOKUP($A75,'[1]Raw Data'!$A$3:$FB$285,87,FALSE)</f>
        <v>4767560</v>
      </c>
      <c r="CI75" s="27" t="str">
        <f>VLOOKUP($A75,'[1]Raw Data'!$A$3:$FB$285,88,FALSE)</f>
        <v/>
      </c>
      <c r="CJ75" s="27" t="str">
        <f t="shared" si="17"/>
        <v/>
      </c>
      <c r="CK75" s="27">
        <f>VLOOKUP($A75,'[1]Raw Data'!$A$3:$FB$285,89,FALSE)</f>
        <v>25</v>
      </c>
      <c r="CL75" s="27">
        <f>VLOOKUP($A75,'[1]Raw Data'!$A$3:$FB$285,91,FALSE)</f>
        <v>1200</v>
      </c>
      <c r="CM75" s="27">
        <f>VLOOKUP($A75,'[1]Raw Data'!$A$3:$FB$285,93,FALSE)</f>
        <v>800</v>
      </c>
      <c r="CN75" s="27" t="str">
        <f>VLOOKUP($A75,'[1]Raw Data'!$A$3:$FB$285,94,FALSE)</f>
        <v/>
      </c>
      <c r="CO75" s="27" t="str">
        <f>VLOOKUP($A75,'[1]Raw Data'!$A$3:$FB$285,95,FALSE)</f>
        <v/>
      </c>
      <c r="CP75" s="27" t="str">
        <f>VLOOKUP($A75,'[1]Raw Data'!$A$3:$FB$285,96,FALSE)</f>
        <v/>
      </c>
      <c r="CQ75" s="27" t="str">
        <f>VLOOKUP($A75,'[1]Raw Data'!$A$3:$FB$285,97,FALSE)</f>
        <v/>
      </c>
      <c r="CR75" s="27" t="str">
        <f>VLOOKUP($A75,'[1]Raw Data'!$A$3:$FB$285,98,FALSE)</f>
        <v/>
      </c>
      <c r="CS75" s="27" t="str">
        <f>VLOOKUP($A75,'[1]Raw Data'!$A$3:$FB$285,99,FALSE)</f>
        <v/>
      </c>
      <c r="CT75" s="27" t="str">
        <f>VLOOKUP($A75,'[1]Raw Data'!$A$3:$FB$285,101,FALSE)</f>
        <v>Bharat Bahadur KC</v>
      </c>
      <c r="CU75" s="27" t="s">
        <v>993</v>
      </c>
      <c r="CV75" s="27" t="str">
        <f>VLOOKUP($A75,'[1]Raw Data'!$A$3:$FB$285,102,FALSE)</f>
        <v>Mayor</v>
      </c>
      <c r="CW75" s="27" t="s">
        <v>834</v>
      </c>
      <c r="CX75" s="27">
        <f>VLOOKUP($A75,'[1]Raw Data'!$A$3:$FB$285,103,FALSE)</f>
        <v>9851143779</v>
      </c>
      <c r="CY75" s="27" t="str">
        <f>VLOOKUP($A75,'[1]Raw Data'!$A$3:$FB$285,105,FALSE)</f>
        <v>Kamala Basnet</v>
      </c>
      <c r="CZ75" s="27" t="s">
        <v>994</v>
      </c>
      <c r="DA75" s="27" t="str">
        <f>VLOOKUP($A75,'[1]Raw Data'!$A$3:$FB$285,106,FALSE)</f>
        <v>Deputy Mayor</v>
      </c>
      <c r="DB75" s="27" t="s">
        <v>888</v>
      </c>
      <c r="DC75" s="27">
        <f>VLOOKUP($A75,'[1]Raw Data'!$A$3:$FB$285,107,FALSE)</f>
        <v>9844060271</v>
      </c>
      <c r="DD75" s="27" t="str">
        <f>VLOOKUP($A75,'[1]Raw Data'!$A$3:$FB$285,109,FALSE)</f>
        <v>Ram Krishna Upreti</v>
      </c>
      <c r="DE75" s="27" t="s">
        <v>995</v>
      </c>
      <c r="DF75" s="27" t="str">
        <f>VLOOKUP($A75,'[1]Raw Data'!$A$3:$FB$285,110,FALSE)</f>
        <v>Chief Adminstration Officer</v>
      </c>
      <c r="DG75" s="27" t="s">
        <v>880</v>
      </c>
      <c r="DH75" s="27">
        <f>VLOOKUP($A75,'[1]Raw Data'!$A$3:$FB$285,111,FALSE)</f>
        <v>9854046111</v>
      </c>
      <c r="DI75" s="27" t="str">
        <f>VLOOKUP($A75,'[1]Raw Data'!$A$3:$FB$285,121,FALSE)</f>
        <v>Nirajan Dahal</v>
      </c>
      <c r="DJ75" s="27" t="s">
        <v>996</v>
      </c>
      <c r="DK75" s="27" t="str">
        <f>VLOOKUP($A75,'[1]Raw Data'!$A$3:$FB$285,122,FALSE)</f>
        <v>Focal Person</v>
      </c>
      <c r="DL75" s="27" t="s">
        <v>881</v>
      </c>
      <c r="DM75" s="27">
        <f>VLOOKUP($A75,'[1]Raw Data'!$A$3:$FB$285,123,FALSE)</f>
        <v>9841036406</v>
      </c>
      <c r="DN75" s="27" t="str">
        <f>VLOOKUP($A75,'[1]Raw Data'!$A$3:$FB$285,113,FALSE)</f>
        <v>Nirmal Darshan Acharya</v>
      </c>
      <c r="DO75" s="27" t="s">
        <v>988</v>
      </c>
      <c r="DP75" s="27" t="str">
        <f>VLOOKUP($A75,'[1]Raw Data'!$A$3:$FB$285,114,FALSE)</f>
        <v>NRA Chief-District</v>
      </c>
      <c r="DQ75" s="27" t="s">
        <v>882</v>
      </c>
      <c r="DR75" s="27">
        <f>VLOOKUP($A75,'[1]Raw Data'!$A$3:$FB$285,115,FALSE)</f>
        <v>9854045832</v>
      </c>
      <c r="DS75" s="27" t="str">
        <f>VLOOKUP($A75,'[1]Raw Data'!$A$3:$FB$285,117,FALSE)</f>
        <v>Arjun Tamang</v>
      </c>
      <c r="DT75" s="27" t="s">
        <v>989</v>
      </c>
      <c r="DU75" s="27" t="str">
        <f>VLOOKUP($A75,'[1]Raw Data'!$A$3:$FB$285,118,FALSE)</f>
        <v>DUDBC.DLPIU Chief</v>
      </c>
      <c r="DV75" s="27" t="s">
        <v>883</v>
      </c>
      <c r="DW75" s="27">
        <f>VLOOKUP($A75,'[1]Raw Data'!$A$3:$FB$285,119,FALSE)</f>
        <v>9849246296</v>
      </c>
      <c r="DX75" s="27" t="s">
        <v>339</v>
      </c>
      <c r="DY75" s="27" t="str">
        <f>VLOOKUP($A75,'[1]Raw Data'!$A$3:$FB$285,124,FALSE)</f>
        <v/>
      </c>
      <c r="DZ75" s="27" t="s">
        <v>884</v>
      </c>
      <c r="EA75" s="27" t="str">
        <f>VLOOKUP($A75,'[1]Raw Data'!$A$3:$FB$285,125,FALSE)</f>
        <v/>
      </c>
      <c r="EB75" s="27" t="s">
        <v>341</v>
      </c>
      <c r="EC75" s="27" t="str">
        <f>VLOOKUP($A75,'[1]Raw Data'!$A$3:$FB$285,126,FALSE)</f>
        <v/>
      </c>
      <c r="ED75" t="s">
        <v>478</v>
      </c>
      <c r="EE75" s="27" t="str">
        <f>VLOOKUP($A75,'[1]Raw Data'!$A$3:$FB$285,127,FALSE)</f>
        <v/>
      </c>
      <c r="EF75" s="27" t="s">
        <v>343</v>
      </c>
      <c r="EG75" s="27" t="str">
        <f>VLOOKUP($A75,'[1]Raw Data'!$A$3:$FB$285,128,FALSE)</f>
        <v/>
      </c>
      <c r="EH75" t="s">
        <v>344</v>
      </c>
      <c r="EI75" s="27" t="str">
        <f>VLOOKUP($A75,'[1]Raw Data'!$A$3:$FB$285,129,FALSE)</f>
        <v/>
      </c>
      <c r="EM75" s="27" t="str">
        <f>VLOOKUP($A75,'[1]Raw Data'!$A$3:$FB$285,130,FALSE)</f>
        <v/>
      </c>
      <c r="EN75" s="27" t="str">
        <f>VLOOKUP($A75,'[1]Raw Data'!$A$3:$FB$285,131,FALSE)</f>
        <v/>
      </c>
      <c r="EO75" s="27" t="str">
        <f>VLOOKUP($A75,'[1]Raw Data'!$A$3:$FB$285,132,FALSE)</f>
        <v/>
      </c>
      <c r="EP75" s="27" t="str">
        <f>VLOOKUP($A75,'[1]Raw Data'!$A$3:$FB$285,133,FALSE)</f>
        <v/>
      </c>
      <c r="EQ75" s="27" t="str">
        <f>VLOOKUP($A75,'[1]Raw Data'!$A$3:$FB$285,134,FALSE)</f>
        <v/>
      </c>
      <c r="ER75" s="27" t="str">
        <f>VLOOKUP($A75,'[1]Raw Data'!$A$3:$FB$285,135,FALSE)</f>
        <v/>
      </c>
      <c r="ES75" s="27" t="str">
        <f>VLOOKUP($A75,'[1]Raw Data'!$A$3:$FB$285,136,FALSE)</f>
        <v/>
      </c>
      <c r="ET75" s="27" t="str">
        <f>VLOOKUP($A75,'[1]Raw Data'!$A$3:$FB$285,137,FALSE)</f>
        <v/>
      </c>
      <c r="EU75" s="27" t="str">
        <f>VLOOKUP($A75,'[1]Raw Data'!$A$3:$FB$285,138,FALSE)</f>
        <v/>
      </c>
      <c r="EV75" s="27" t="str">
        <f>VLOOKUP($A75,'[1]Raw Data'!$A$3:$FB$285,139,FALSE)</f>
        <v/>
      </c>
      <c r="EW75" s="38">
        <f>VLOOKUP($A75,[1]Training!$A$2:$I$284,5,FALSE)</f>
        <v>953.46153846153845</v>
      </c>
      <c r="EX75" s="31">
        <f>VLOOKUP($A75,[1]Training!$A$2:$I$284,6,FALSE)</f>
        <v>620</v>
      </c>
      <c r="EY75" s="38">
        <f>VLOOKUP($A75,[1]Training!$A$2:$I$284,8,FALSE)</f>
        <v>1034.497148421199</v>
      </c>
      <c r="EZ75" s="31">
        <f>VLOOKUP($A75,[1]Training!$A$2:$I$284,9,FALSE)</f>
        <v>0</v>
      </c>
      <c r="FA75" s="27">
        <v>1</v>
      </c>
      <c r="FB75" s="27">
        <v>2</v>
      </c>
      <c r="FC75" s="27" t="str">
        <f>VLOOKUP($A75,'[1]Raw Data'!$A$3:$FB$285,148,FALSE)</f>
        <v>Kamal Bahadur Mahat</v>
      </c>
      <c r="FD75" s="27" t="s">
        <v>990</v>
      </c>
      <c r="FE75" s="27" t="str">
        <f>VLOOKUP($A75,'[1]Raw Data'!$A$3:$FB$285,149,FALSE)</f>
        <v>District Coordinator</v>
      </c>
      <c r="FF75" s="27" t="s">
        <v>885</v>
      </c>
      <c r="FG75" s="27">
        <f>VLOOKUP($A75,'[1]Raw Data'!$A$3:$FB$285,150,FALSE)</f>
        <v>9841712677</v>
      </c>
      <c r="FH75" s="27" t="str">
        <f>VLOOKUP($A75,'[1]Raw Data'!$A$3:$FB$285,156,FALSE)</f>
        <v>Binod Kumar Kalauni</v>
      </c>
      <c r="FI75" s="27" t="s">
        <v>991</v>
      </c>
      <c r="FJ75" s="27" t="str">
        <f>VLOOKUP($A75,'[1]Raw Data'!$A$3:$FB$285,157,FALSE)</f>
        <v>District Technical Officer</v>
      </c>
      <c r="FK75" s="27" t="s">
        <v>886</v>
      </c>
      <c r="FL75" s="27">
        <f>VLOOKUP($A75,'[1]Raw Data'!$A$3:$FB$285,158,FALSE)</f>
        <v>9864291323</v>
      </c>
      <c r="FM75" s="27" t="str">
        <f>VLOOKUP($A75,'[1]Raw Data'!$A$3:$FB$285,152,FALSE)</f>
        <v>Ravi Pajiyar</v>
      </c>
      <c r="FN75" s="27" t="s">
        <v>992</v>
      </c>
      <c r="FO75" s="27" t="str">
        <f>VLOOKUP($A75,'[1]Raw Data'!$A$3:$FB$285,153,FALSE)</f>
        <v>DIstrict Information Management Officer</v>
      </c>
      <c r="FP75" s="27" t="s">
        <v>887</v>
      </c>
      <c r="FQ75" s="27">
        <f>VLOOKUP($A75,'[1]Raw Data'!$A$3:$FB$285,154,FALSE)</f>
        <v>9849829112</v>
      </c>
    </row>
    <row r="76" spans="1:173" ht="24" x14ac:dyDescent="0.45">
      <c r="A76" s="27">
        <v>22003</v>
      </c>
      <c r="B76" s="36" t="str">
        <f ca="1">IFERROR(__xludf.DUMMYFUNCTION("""COMPUTED_VALUE"""),"Bigu Gaunpalika")</f>
        <v>Bigu Gaunpalika</v>
      </c>
      <c r="C76" s="37" t="str">
        <f>VLOOKUP(A76,'[1]Palika and District in Nepali '!$D$1:$F$283,3,FALSE)</f>
        <v>बिगु गाउँपालिका</v>
      </c>
      <c r="D76" s="36" t="str">
        <f ca="1">IFERROR(__xludf.DUMMYFUNCTION("""COMPUTED_VALUE"""),"Dolakha")</f>
        <v>Dolakha</v>
      </c>
      <c r="E76" s="36"/>
      <c r="F76" s="27">
        <f>VLOOKUP(A76,'[1]Raw Data'!$A$3:$FB$285,4,FALSE)</f>
        <v>102</v>
      </c>
      <c r="G76" s="27">
        <f>VLOOKUP(A76,'[1]Raw Data'!$A$3:$FB$285,5,FALSE)</f>
        <v>5656</v>
      </c>
      <c r="H76" s="27">
        <f>VLOOKUP(A76,'[1]Raw Data'!$A$3:$FB$285,6,FALSE)</f>
        <v>5758</v>
      </c>
      <c r="I76" s="27">
        <f>VLOOKUP($A76,'[1]Raw Data'!$A$3:$FB$285,8,FALSE)</f>
        <v>1.56</v>
      </c>
      <c r="J76" s="27">
        <f>VLOOKUP($A76,'[1]Raw Data'!$A$3:$FB$285,9,FALSE)</f>
        <v>0.54</v>
      </c>
      <c r="K76" s="27">
        <f>VLOOKUP($A76,'[1]Raw Data'!$A$3:$FB$285,11,FALSE)</f>
        <v>95.86</v>
      </c>
      <c r="L76" s="27">
        <f>VLOOKUP($A76,'[1]Raw Data'!$A$3:$FB$285,12,FALSE)</f>
        <v>94.39</v>
      </c>
      <c r="M76" s="27">
        <f>VLOOKUP($A76,'[1]Raw Data'!$A$3:$FB$285,14,FALSE)</f>
        <v>7.0000000000000007E-2</v>
      </c>
      <c r="N76" s="27">
        <f>VLOOKUP($A76,'[1]Raw Data'!$A$3:$FB$285,15,FALSE)</f>
        <v>1.54</v>
      </c>
      <c r="O76" s="27">
        <f>VLOOKUP($A76,'[1]Raw Data'!$A$3:$FB$285,17,FALSE)</f>
        <v>0</v>
      </c>
      <c r="P76" s="27">
        <f>VLOOKUP($A76,'[1]Raw Data'!$A$3:$FB$285,18,FALSE)</f>
        <v>0.04</v>
      </c>
      <c r="Q76" s="27">
        <f>VLOOKUP($A76,'[1]Raw Data'!$A$3:$FB$285,20,FALSE)</f>
        <v>0.54</v>
      </c>
      <c r="R76" s="27">
        <f>VLOOKUP($A76,'[1]Raw Data'!$A$3:$FB$285,21,FALSE)</f>
        <v>0.67</v>
      </c>
      <c r="S76" s="27">
        <f>VLOOKUP($A76,'[1]Raw Data'!$A$3:$FB$285,23,FALSE)</f>
        <v>0</v>
      </c>
      <c r="T76" s="27">
        <f>VLOOKUP($A76,'[1]Raw Data'!$A$3:$FB$285,24,FALSE)</f>
        <v>0</v>
      </c>
      <c r="U76" s="27">
        <f>VLOOKUP($A76,'[1]Raw Data'!$A$3:$FB$285,26,FALSE)</f>
        <v>0.33</v>
      </c>
      <c r="V76" s="27">
        <f>VLOOKUP($A76,'[1]Raw Data'!$A$3:$FB$285,27,FALSE)</f>
        <v>0.64</v>
      </c>
      <c r="W76" s="27">
        <f>VLOOKUP($A76,'[1]Raw Data'!$A$3:$FB$285,29,FALSE)</f>
        <v>0</v>
      </c>
      <c r="X76" s="27">
        <f>VLOOKUP($A76,'[1]Raw Data'!$A$3:$FB$285,30,FALSE)</f>
        <v>0</v>
      </c>
      <c r="Y76" s="27">
        <f>VLOOKUP($A76,'[1]Raw Data'!$A$3:$FB$285,32,FALSE)</f>
        <v>1.32</v>
      </c>
      <c r="Z76" s="27">
        <f>VLOOKUP($A76,'[1]Raw Data'!$A$3:$FB$285,33,FALSE)</f>
        <v>0.35</v>
      </c>
      <c r="AA76" s="27">
        <f>VLOOKUP($A76,'[1]Raw Data'!$A$3:$FB$285,35,FALSE)</f>
        <v>0.05</v>
      </c>
      <c r="AB76" s="27">
        <f>VLOOKUP($A76,'[1]Raw Data'!$A$3:$FB$285,36,FALSE)</f>
        <v>1.71</v>
      </c>
      <c r="AC76" s="27">
        <f>VLOOKUP($A76,'[1]Raw Data'!$A$3:$FB$285,38,FALSE)</f>
        <v>0.26</v>
      </c>
      <c r="AD76" s="27">
        <f>VLOOKUP($A76,'[1]Raw Data'!$A$3:$FB$285,39,FALSE)</f>
        <v>0.13</v>
      </c>
      <c r="AE76" s="27">
        <f>VLOOKUP($A76,'[1]Raw Data'!$A$3:$FB$285,41,FALSE)</f>
        <v>0</v>
      </c>
      <c r="AF76" s="27">
        <f>VLOOKUP($A76,'[1]Raw Data'!$A$3:$FB$285,42,FALSE)</f>
        <v>0</v>
      </c>
      <c r="AG76" s="27">
        <f>VLOOKUP($A76,'[1]Raw Data'!$A$3:$FB$285,44,FALSE)</f>
        <v>0</v>
      </c>
      <c r="AH76" s="27">
        <f>VLOOKUP($A76,'[1]Raw Data'!$A$3:$FB$285,45,FALSE)</f>
        <v>0</v>
      </c>
      <c r="AI76" s="27">
        <f>VLOOKUP($A76,'[1]Raw Data'!$A$3:$FB$285,46,FALSE)</f>
        <v>6731</v>
      </c>
      <c r="AJ76" s="27">
        <f>VLOOKUP($A76,'[1]Raw Data'!$A$3:$FB$285,47,FALSE)</f>
        <v>6257</v>
      </c>
      <c r="AK76" s="27">
        <f>VLOOKUP($A76,'[1]Raw Data'!$A$3:$FB$285,48,FALSE)</f>
        <v>6189</v>
      </c>
      <c r="AL76" s="27">
        <f>VLOOKUP($A76,'[1]Raw Data'!$A$3:$FB$285,49,FALSE)</f>
        <v>5222</v>
      </c>
      <c r="AM76" s="27">
        <f>VLOOKUP($A76,'[1]Raw Data'!$A$3:$FB$285,50,FALSE)</f>
        <v>4552</v>
      </c>
      <c r="AN76" s="27">
        <f>VLOOKUP($A76,'[1]Raw Data'!$A$3:$FB$285,51,FALSE)</f>
        <v>4213</v>
      </c>
      <c r="AO76" s="27">
        <f>VLOOKUP($A76,'[1]Raw Data'!$A$3:$FB$285,52,FALSE)</f>
        <v>4384</v>
      </c>
      <c r="AP76" s="27">
        <f>VLOOKUP($A76,'[1]Raw Data'!$A$3:$FB$285,53,FALSE)</f>
        <v>34</v>
      </c>
      <c r="AQ76" s="27">
        <f>VLOOKUP($A76,'[1]Raw Data'!$A$3:$FB$285,54,FALSE)</f>
        <v>34</v>
      </c>
      <c r="AR76" s="27">
        <f>VLOOKUP($A76,'[1]Raw Data'!$A$3:$FB$285,55,FALSE)</f>
        <v>4</v>
      </c>
      <c r="AS76" s="27">
        <f>VLOOKUP($A76,'[1]Raw Data'!$A$3:$FB$285,56,FALSE)</f>
        <v>0</v>
      </c>
      <c r="AT76" s="27">
        <f>VLOOKUP($A76,'[1]Raw Data'!$A$3:$FB$285,57,FALSE)</f>
        <v>0</v>
      </c>
      <c r="AU76" s="27">
        <f>VLOOKUP($A76,'[1]Raw Data'!$A$3:$FB$285,58,FALSE)</f>
        <v>719</v>
      </c>
      <c r="AV76" s="27" t="str">
        <f>VLOOKUP($A76,'[1]Raw Data'!$A$3:$FB$285,59,FALSE)</f>
        <v/>
      </c>
      <c r="AW76" s="27" t="str">
        <f>VLOOKUP($A76,'[1]Raw Data'!$A$3:$FB$285,60,FALSE)</f>
        <v/>
      </c>
      <c r="AX76" s="27" t="str">
        <f>VLOOKUP(A76,'[1]PO''s List'!A74:E356,4,FALSE)</f>
        <v/>
      </c>
      <c r="AZ76" s="27" t="str">
        <f>VLOOKUP(A76,'[1]PO''s List'!$A$3:$E$285,5,FALSE)</f>
        <v>CARITAS-N(Shelter)</v>
      </c>
      <c r="BB76" s="27">
        <f>VLOOKUP($A76,'[1]Raw Data'!$A$3:$FB$285,63,FALSE)</f>
        <v>90002</v>
      </c>
      <c r="BC76" s="27" t="str">
        <f>VLOOKUP($A76,'[1]Raw Data'!$A$3:$FB$285,64,FALSE)</f>
        <v>Y</v>
      </c>
      <c r="BD76" s="27" t="str">
        <f t="shared" si="9"/>
        <v>छ</v>
      </c>
      <c r="BE76" s="27">
        <f>VLOOKUP($A76,'[1]Raw Data'!$A$3:$FB$285,65,FALSE)</f>
        <v>15000</v>
      </c>
      <c r="BF76" s="27">
        <f>VLOOKUP($A76,'[1]Raw Data'!$A$3:$FB$285,66,FALSE)</f>
        <v>90231</v>
      </c>
      <c r="BG76" s="27" t="str">
        <f>VLOOKUP($A76,'[1]Raw Data'!$A$3:$FB$285,67,FALSE)</f>
        <v>Y</v>
      </c>
      <c r="BH76" s="27" t="str">
        <f t="shared" si="10"/>
        <v>छ</v>
      </c>
      <c r="BI76" s="27">
        <f>VLOOKUP($A76,'[1]Raw Data'!$A$3:$FB$285,68,FALSE)</f>
        <v>15000</v>
      </c>
      <c r="BJ76" s="27">
        <f>VLOOKUP($A76,'[1]Raw Data'!$A$3:$FB$285,69,FALSE)</f>
        <v>9592</v>
      </c>
      <c r="BK76" s="27" t="str">
        <f>VLOOKUP($A76,'[1]Raw Data'!$A$3:$FB$285,70,FALSE)</f>
        <v>Y</v>
      </c>
      <c r="BL76" s="27" t="str">
        <f t="shared" si="11"/>
        <v>छ</v>
      </c>
      <c r="BM76" s="27">
        <f>VLOOKUP($A76,'[1]Raw Data'!$A$3:$FB$285,71,FALSE)</f>
        <v>15000</v>
      </c>
      <c r="BN76" s="27">
        <f>VLOOKUP($A76,'[1]Raw Data'!$A$3:$FB$285,72,FALSE)</f>
        <v>11002</v>
      </c>
      <c r="BO76" s="27" t="str">
        <f>VLOOKUP($A76,'[1]Raw Data'!$A$3:$FB$285,73,FALSE)</f>
        <v/>
      </c>
      <c r="BP76" s="27" t="str">
        <f t="shared" si="12"/>
        <v/>
      </c>
      <c r="BQ76" s="27" t="str">
        <f>VLOOKUP($A76,'[1]Raw Data'!$A$3:$FB$285,74,FALSE)</f>
        <v/>
      </c>
      <c r="BR76" s="27" t="str">
        <f>VLOOKUP($A76,'[1]Raw Data'!$A$3:$FB$285,75,FALSE)</f>
        <v/>
      </c>
      <c r="BS76" s="27" t="str">
        <f>VLOOKUP($A76,'[1]Raw Data'!$A$3:$FB$285,76,FALSE)</f>
        <v/>
      </c>
      <c r="BT76" s="27" t="str">
        <f t="shared" si="13"/>
        <v/>
      </c>
      <c r="BU76" s="27">
        <f>VLOOKUP($A76,'[1]Raw Data'!$A$3:$FB$285,77,FALSE)</f>
        <v>1000</v>
      </c>
      <c r="BV76" s="27">
        <f>VLOOKUP($A76,'[1]Raw Data'!$A$3:$FB$285,78,FALSE)</f>
        <v>300268</v>
      </c>
      <c r="BW76" s="27" t="str">
        <f>VLOOKUP($A76,'[1]Raw Data'!$A$3:$FB$285,79,FALSE)</f>
        <v/>
      </c>
      <c r="BX76" s="27" t="str">
        <f t="shared" si="14"/>
        <v/>
      </c>
      <c r="BY76" s="27">
        <f>VLOOKUP($A76,'[1]Raw Data'!$A$3:$FB$285,80,FALSE)</f>
        <v>1350</v>
      </c>
      <c r="BZ76" s="27">
        <f>VLOOKUP($A76,'[1]Raw Data'!$A$3:$FB$285,81,FALSE)</f>
        <v>980070</v>
      </c>
      <c r="CA76" s="27" t="str">
        <f>VLOOKUP($A76,'[1]Raw Data'!$A$3:$FB$285,82,FALSE)</f>
        <v/>
      </c>
      <c r="CB76" s="27" t="str">
        <f t="shared" si="15"/>
        <v/>
      </c>
      <c r="CC76" s="27">
        <f>VLOOKUP($A76,'[1]Raw Data'!$A$3:$FB$285,83,FALSE)</f>
        <v>110</v>
      </c>
      <c r="CD76" s="27">
        <f>VLOOKUP($A76,'[1]Raw Data'!$A$3:$FB$285,84,FALSE)</f>
        <v>12274</v>
      </c>
      <c r="CE76" s="27" t="str">
        <f>VLOOKUP($A76,'[1]Raw Data'!$A$3:$FB$285,85,FALSE)</f>
        <v/>
      </c>
      <c r="CF76" s="27" t="str">
        <f t="shared" si="16"/>
        <v/>
      </c>
      <c r="CG76" s="27" t="str">
        <f>VLOOKUP($A76,'[1]Raw Data'!$A$3:$FB$285,86,FALSE)</f>
        <v>105</v>
      </c>
      <c r="CH76" s="27">
        <f>VLOOKUP($A76,'[1]Raw Data'!$A$3:$FB$285,87,FALSE)</f>
        <v>1189008</v>
      </c>
      <c r="CI76" s="27" t="str">
        <f>VLOOKUP($A76,'[1]Raw Data'!$A$3:$FB$285,88,FALSE)</f>
        <v/>
      </c>
      <c r="CJ76" s="27" t="str">
        <f t="shared" si="17"/>
        <v/>
      </c>
      <c r="CK76" s="27" t="str">
        <f>VLOOKUP($A76,'[1]Raw Data'!$A$3:$FB$285,89,FALSE)</f>
        <v/>
      </c>
      <c r="CL76" s="27" t="str">
        <f>VLOOKUP($A76,'[1]Raw Data'!$A$3:$FB$285,91,FALSE)</f>
        <v/>
      </c>
      <c r="CM76" s="27" t="str">
        <f>VLOOKUP($A76,'[1]Raw Data'!$A$3:$FB$285,93,FALSE)</f>
        <v/>
      </c>
      <c r="CN76" s="27" t="str">
        <f>VLOOKUP($A76,'[1]Raw Data'!$A$3:$FB$285,94,FALSE)</f>
        <v/>
      </c>
      <c r="CO76" s="27" t="str">
        <f>VLOOKUP($A76,'[1]Raw Data'!$A$3:$FB$285,95,FALSE)</f>
        <v/>
      </c>
      <c r="CP76" s="27" t="str">
        <f>VLOOKUP($A76,'[1]Raw Data'!$A$3:$FB$285,96,FALSE)</f>
        <v/>
      </c>
      <c r="CQ76" s="27" t="str">
        <f>VLOOKUP($A76,'[1]Raw Data'!$A$3:$FB$285,97,FALSE)</f>
        <v/>
      </c>
      <c r="CR76" s="27" t="str">
        <f>VLOOKUP($A76,'[1]Raw Data'!$A$3:$FB$285,98,FALSE)</f>
        <v/>
      </c>
      <c r="CS76" s="27" t="str">
        <f>VLOOKUP($A76,'[1]Raw Data'!$A$3:$FB$285,99,FALSE)</f>
        <v/>
      </c>
      <c r="CT76" s="27" t="str">
        <f>VLOOKUP($A76,'[1]Raw Data'!$A$3:$FB$285,101,FALSE)</f>
        <v>Yudhistir Khadka</v>
      </c>
      <c r="CU76" s="27" t="s">
        <v>997</v>
      </c>
      <c r="CV76" s="27" t="str">
        <f>VLOOKUP($A76,'[1]Raw Data'!$A$3:$FB$285,102,FALSE)</f>
        <v>Chairman</v>
      </c>
      <c r="CW76" s="27" t="s">
        <v>878</v>
      </c>
      <c r="CX76" s="27">
        <f>VLOOKUP($A76,'[1]Raw Data'!$A$3:$FB$285,103,FALSE)</f>
        <v>9851203451</v>
      </c>
      <c r="CY76" s="27" t="str">
        <f>VLOOKUP($A76,'[1]Raw Data'!$A$3:$FB$285,105,FALSE)</f>
        <v>Sanjib Bali</v>
      </c>
      <c r="CZ76" s="27" t="s">
        <v>998</v>
      </c>
      <c r="DA76" s="27" t="str">
        <f>VLOOKUP($A76,'[1]Raw Data'!$A$3:$FB$285,106,FALSE)</f>
        <v>Deputy Chairman</v>
      </c>
      <c r="DB76" s="27" t="s">
        <v>879</v>
      </c>
      <c r="DC76" s="27">
        <f>VLOOKUP($A76,'[1]Raw Data'!$A$3:$FB$285,107,FALSE)</f>
        <v>9851004295</v>
      </c>
      <c r="DD76" s="27" t="str">
        <f>VLOOKUP($A76,'[1]Raw Data'!$A$3:$FB$285,109,FALSE)</f>
        <v>Nawarajj Oli</v>
      </c>
      <c r="DE76" s="27" t="s">
        <v>999</v>
      </c>
      <c r="DF76" s="27" t="str">
        <f>VLOOKUP($A76,'[1]Raw Data'!$A$3:$FB$285,110,FALSE)</f>
        <v>Chief Adminstration Officer</v>
      </c>
      <c r="DG76" s="27" t="s">
        <v>880</v>
      </c>
      <c r="DH76" s="27">
        <f>VLOOKUP($A76,'[1]Raw Data'!$A$3:$FB$285,111,FALSE)</f>
        <v>9851249206</v>
      </c>
      <c r="DI76" s="27" t="str">
        <f>VLOOKUP($A76,'[1]Raw Data'!$A$3:$FB$285,121,FALSE)</f>
        <v>Debak K.C.</v>
      </c>
      <c r="DJ76" s="27" t="s">
        <v>1000</v>
      </c>
      <c r="DK76" s="27" t="str">
        <f>VLOOKUP($A76,'[1]Raw Data'!$A$3:$FB$285,122,FALSE)</f>
        <v>Focal Person</v>
      </c>
      <c r="DL76" s="27" t="s">
        <v>881</v>
      </c>
      <c r="DM76" s="27">
        <f>VLOOKUP($A76,'[1]Raw Data'!$A$3:$FB$285,123,FALSE)</f>
        <v>9854045000</v>
      </c>
      <c r="DN76" s="27" t="str">
        <f>VLOOKUP($A76,'[1]Raw Data'!$A$3:$FB$285,113,FALSE)</f>
        <v>Nirmal Darshan Acharya</v>
      </c>
      <c r="DO76" s="27" t="s">
        <v>988</v>
      </c>
      <c r="DP76" s="27" t="str">
        <f>VLOOKUP($A76,'[1]Raw Data'!$A$3:$FB$285,114,FALSE)</f>
        <v>NRA Chief-District</v>
      </c>
      <c r="DQ76" s="27" t="s">
        <v>882</v>
      </c>
      <c r="DR76" s="27">
        <f>VLOOKUP($A76,'[1]Raw Data'!$A$3:$FB$285,115,FALSE)</f>
        <v>9854045832</v>
      </c>
      <c r="DS76" s="27" t="str">
        <f>VLOOKUP($A76,'[1]Raw Data'!$A$3:$FB$285,117,FALSE)</f>
        <v>Arjun Tamang</v>
      </c>
      <c r="DT76" s="27" t="s">
        <v>989</v>
      </c>
      <c r="DU76" s="27" t="str">
        <f>VLOOKUP($A76,'[1]Raw Data'!$A$3:$FB$285,118,FALSE)</f>
        <v>DUDBC.DLPIU Chief</v>
      </c>
      <c r="DV76" s="27" t="s">
        <v>883</v>
      </c>
      <c r="DW76" s="27">
        <f>VLOOKUP($A76,'[1]Raw Data'!$A$3:$FB$285,119,FALSE)</f>
        <v>9849246296</v>
      </c>
      <c r="DX76" s="27" t="s">
        <v>339</v>
      </c>
      <c r="DY76" s="27" t="str">
        <f>VLOOKUP($A76,'[1]Raw Data'!$A$3:$FB$285,124,FALSE)</f>
        <v/>
      </c>
      <c r="DZ76" s="27" t="s">
        <v>884</v>
      </c>
      <c r="EA76" s="27" t="str">
        <f>VLOOKUP($A76,'[1]Raw Data'!$A$3:$FB$285,125,FALSE)</f>
        <v/>
      </c>
      <c r="EB76" s="27" t="s">
        <v>341</v>
      </c>
      <c r="EC76" s="27" t="str">
        <f>VLOOKUP($A76,'[1]Raw Data'!$A$3:$FB$285,126,FALSE)</f>
        <v/>
      </c>
      <c r="ED76" t="s">
        <v>478</v>
      </c>
      <c r="EE76" s="27" t="str">
        <f>VLOOKUP($A76,'[1]Raw Data'!$A$3:$FB$285,127,FALSE)</f>
        <v/>
      </c>
      <c r="EF76" s="27" t="s">
        <v>343</v>
      </c>
      <c r="EG76" s="27" t="str">
        <f>VLOOKUP($A76,'[1]Raw Data'!$A$3:$FB$285,128,FALSE)</f>
        <v/>
      </c>
      <c r="EH76" t="s">
        <v>344</v>
      </c>
      <c r="EI76" s="27" t="str">
        <f>VLOOKUP($A76,'[1]Raw Data'!$A$3:$FB$285,129,FALSE)</f>
        <v/>
      </c>
      <c r="EM76" s="27" t="str">
        <f>VLOOKUP($A76,'[1]Raw Data'!$A$3:$FB$285,130,FALSE)</f>
        <v/>
      </c>
      <c r="EN76" s="27" t="str">
        <f>VLOOKUP($A76,'[1]Raw Data'!$A$3:$FB$285,131,FALSE)</f>
        <v/>
      </c>
      <c r="EO76" s="27" t="str">
        <f>VLOOKUP($A76,'[1]Raw Data'!$A$3:$FB$285,132,FALSE)</f>
        <v/>
      </c>
      <c r="EP76" s="27" t="str">
        <f>VLOOKUP($A76,'[1]Raw Data'!$A$3:$FB$285,133,FALSE)</f>
        <v/>
      </c>
      <c r="EQ76" s="27" t="str">
        <f>VLOOKUP($A76,'[1]Raw Data'!$A$3:$FB$285,134,FALSE)</f>
        <v/>
      </c>
      <c r="ER76" s="27" t="str">
        <f>VLOOKUP($A76,'[1]Raw Data'!$A$3:$FB$285,135,FALSE)</f>
        <v/>
      </c>
      <c r="ES76" s="27" t="str">
        <f>VLOOKUP($A76,'[1]Raw Data'!$A$3:$FB$285,136,FALSE)</f>
        <v/>
      </c>
      <c r="ET76" s="27" t="str">
        <f>VLOOKUP($A76,'[1]Raw Data'!$A$3:$FB$285,137,FALSE)</f>
        <v/>
      </c>
      <c r="EU76" s="27" t="str">
        <f>VLOOKUP($A76,'[1]Raw Data'!$A$3:$FB$285,138,FALSE)</f>
        <v/>
      </c>
      <c r="EV76" s="27" t="str">
        <f>VLOOKUP($A76,'[1]Raw Data'!$A$3:$FB$285,139,FALSE)</f>
        <v/>
      </c>
      <c r="EW76" s="38">
        <f>VLOOKUP($A76,[1]Training!$A$2:$I$284,5,FALSE)</f>
        <v>515.46153846153845</v>
      </c>
      <c r="EX76" s="31">
        <f>VLOOKUP($A76,[1]Training!$A$2:$I$284,6,FALSE)</f>
        <v>624</v>
      </c>
      <c r="EY76" s="38">
        <f>VLOOKUP($A76,[1]Training!$A$2:$I$284,8,FALSE)</f>
        <v>559.27110863819723</v>
      </c>
      <c r="EZ76" s="31">
        <f>VLOOKUP($A76,[1]Training!$A$2:$I$284,9,FALSE)</f>
        <v>7</v>
      </c>
      <c r="FA76" s="27">
        <v>1</v>
      </c>
      <c r="FB76" s="27">
        <v>2</v>
      </c>
      <c r="FC76" s="27" t="str">
        <f>VLOOKUP($A76,'[1]Raw Data'!$A$3:$FB$285,148,FALSE)</f>
        <v>Kamal Bahadur Mahat</v>
      </c>
      <c r="FD76" s="27" t="s">
        <v>990</v>
      </c>
      <c r="FE76" s="27" t="str">
        <f>VLOOKUP($A76,'[1]Raw Data'!$A$3:$FB$285,149,FALSE)</f>
        <v>District Coordinator</v>
      </c>
      <c r="FF76" s="27" t="s">
        <v>885</v>
      </c>
      <c r="FG76" s="27">
        <f>VLOOKUP($A76,'[1]Raw Data'!$A$3:$FB$285,150,FALSE)</f>
        <v>9841712677</v>
      </c>
      <c r="FH76" s="27" t="str">
        <f>VLOOKUP($A76,'[1]Raw Data'!$A$3:$FB$285,156,FALSE)</f>
        <v>Binod Kumar Kalauni</v>
      </c>
      <c r="FI76" s="27" t="s">
        <v>991</v>
      </c>
      <c r="FJ76" s="27" t="str">
        <f>VLOOKUP($A76,'[1]Raw Data'!$A$3:$FB$285,157,FALSE)</f>
        <v>District Technical Officer</v>
      </c>
      <c r="FK76" s="27" t="s">
        <v>886</v>
      </c>
      <c r="FL76" s="27">
        <f>VLOOKUP($A76,'[1]Raw Data'!$A$3:$FB$285,158,FALSE)</f>
        <v>9864291323</v>
      </c>
      <c r="FM76" s="27" t="str">
        <f>VLOOKUP($A76,'[1]Raw Data'!$A$3:$FB$285,152,FALSE)</f>
        <v>Ravi Pajiyar</v>
      </c>
      <c r="FN76" s="27" t="s">
        <v>992</v>
      </c>
      <c r="FO76" s="27" t="str">
        <f>VLOOKUP($A76,'[1]Raw Data'!$A$3:$FB$285,153,FALSE)</f>
        <v>DIstrict Information Management Officer</v>
      </c>
      <c r="FP76" s="27" t="s">
        <v>887</v>
      </c>
      <c r="FQ76" s="27">
        <f>VLOOKUP($A76,'[1]Raw Data'!$A$3:$FB$285,154,FALSE)</f>
        <v>9849829112</v>
      </c>
    </row>
    <row r="77" spans="1:173" ht="24" x14ac:dyDescent="0.45">
      <c r="A77" s="27">
        <v>22004</v>
      </c>
      <c r="B77" s="36" t="str">
        <f ca="1">IFERROR(__xludf.DUMMYFUNCTION("""COMPUTED_VALUE"""),"Gaurishankar Gaunpalika")</f>
        <v>Gaurishankar Gaunpalika</v>
      </c>
      <c r="C77" s="37" t="str">
        <f>VLOOKUP(A77,'[1]Palika and District in Nepali '!$D$1:$F$283,3,FALSE)</f>
        <v>गौरीशंकर गाउँपालिका</v>
      </c>
      <c r="D77" s="36" t="str">
        <f ca="1">IFERROR(__xludf.DUMMYFUNCTION("""COMPUTED_VALUE"""),"Dolakha")</f>
        <v>Dolakha</v>
      </c>
      <c r="E77" s="36"/>
      <c r="F77" s="27">
        <f>VLOOKUP(A77,'[1]Raw Data'!$A$3:$FB$285,4,FALSE)</f>
        <v>108</v>
      </c>
      <c r="G77" s="27">
        <f>VLOOKUP(A77,'[1]Raw Data'!$A$3:$FB$285,5,FALSE)</f>
        <v>5297</v>
      </c>
      <c r="H77" s="27">
        <f>VLOOKUP(A77,'[1]Raw Data'!$A$3:$FB$285,6,FALSE)</f>
        <v>5405</v>
      </c>
      <c r="I77" s="27">
        <f>VLOOKUP($A77,'[1]Raw Data'!$A$3:$FB$285,8,FALSE)</f>
        <v>0.11</v>
      </c>
      <c r="J77" s="27">
        <f>VLOOKUP($A77,'[1]Raw Data'!$A$3:$FB$285,9,FALSE)</f>
        <v>0.54</v>
      </c>
      <c r="K77" s="27">
        <f>VLOOKUP($A77,'[1]Raw Data'!$A$3:$FB$285,11,FALSE)</f>
        <v>97.48</v>
      </c>
      <c r="L77" s="27">
        <f>VLOOKUP($A77,'[1]Raw Data'!$A$3:$FB$285,12,FALSE)</f>
        <v>94.39</v>
      </c>
      <c r="M77" s="27">
        <f>VLOOKUP($A77,'[1]Raw Data'!$A$3:$FB$285,14,FALSE)</f>
        <v>0.09</v>
      </c>
      <c r="N77" s="27">
        <f>VLOOKUP($A77,'[1]Raw Data'!$A$3:$FB$285,15,FALSE)</f>
        <v>1.54</v>
      </c>
      <c r="O77" s="27">
        <f>VLOOKUP($A77,'[1]Raw Data'!$A$3:$FB$285,17,FALSE)</f>
        <v>0</v>
      </c>
      <c r="P77" s="27">
        <f>VLOOKUP($A77,'[1]Raw Data'!$A$3:$FB$285,18,FALSE)</f>
        <v>0.04</v>
      </c>
      <c r="Q77" s="27">
        <f>VLOOKUP($A77,'[1]Raw Data'!$A$3:$FB$285,20,FALSE)</f>
        <v>0.02</v>
      </c>
      <c r="R77" s="27">
        <f>VLOOKUP($A77,'[1]Raw Data'!$A$3:$FB$285,21,FALSE)</f>
        <v>0.67</v>
      </c>
      <c r="S77" s="27">
        <f>VLOOKUP($A77,'[1]Raw Data'!$A$3:$FB$285,23,FALSE)</f>
        <v>0</v>
      </c>
      <c r="T77" s="27">
        <f>VLOOKUP($A77,'[1]Raw Data'!$A$3:$FB$285,24,FALSE)</f>
        <v>0</v>
      </c>
      <c r="U77" s="27">
        <f>VLOOKUP($A77,'[1]Raw Data'!$A$3:$FB$285,26,FALSE)</f>
        <v>0.33</v>
      </c>
      <c r="V77" s="27">
        <f>VLOOKUP($A77,'[1]Raw Data'!$A$3:$FB$285,27,FALSE)</f>
        <v>0.64</v>
      </c>
      <c r="W77" s="27">
        <f>VLOOKUP($A77,'[1]Raw Data'!$A$3:$FB$285,29,FALSE)</f>
        <v>0</v>
      </c>
      <c r="X77" s="27">
        <f>VLOOKUP($A77,'[1]Raw Data'!$A$3:$FB$285,30,FALSE)</f>
        <v>0</v>
      </c>
      <c r="Y77" s="27">
        <f>VLOOKUP($A77,'[1]Raw Data'!$A$3:$FB$285,32,FALSE)</f>
        <v>1.52</v>
      </c>
      <c r="Z77" s="27">
        <f>VLOOKUP($A77,'[1]Raw Data'!$A$3:$FB$285,33,FALSE)</f>
        <v>0.35</v>
      </c>
      <c r="AA77" s="27">
        <f>VLOOKUP($A77,'[1]Raw Data'!$A$3:$FB$285,35,FALSE)</f>
        <v>0.28000000000000003</v>
      </c>
      <c r="AB77" s="27">
        <f>VLOOKUP($A77,'[1]Raw Data'!$A$3:$FB$285,36,FALSE)</f>
        <v>1.71</v>
      </c>
      <c r="AC77" s="27">
        <f>VLOOKUP($A77,'[1]Raw Data'!$A$3:$FB$285,38,FALSE)</f>
        <v>0.17</v>
      </c>
      <c r="AD77" s="27">
        <f>VLOOKUP($A77,'[1]Raw Data'!$A$3:$FB$285,39,FALSE)</f>
        <v>0.13</v>
      </c>
      <c r="AE77" s="27">
        <f>VLOOKUP($A77,'[1]Raw Data'!$A$3:$FB$285,41,FALSE)</f>
        <v>0</v>
      </c>
      <c r="AF77" s="27">
        <f>VLOOKUP($A77,'[1]Raw Data'!$A$3:$FB$285,42,FALSE)</f>
        <v>0</v>
      </c>
      <c r="AG77" s="27">
        <f>VLOOKUP($A77,'[1]Raw Data'!$A$3:$FB$285,44,FALSE)</f>
        <v>0</v>
      </c>
      <c r="AH77" s="27">
        <f>VLOOKUP($A77,'[1]Raw Data'!$A$3:$FB$285,45,FALSE)</f>
        <v>0</v>
      </c>
      <c r="AI77" s="27">
        <f>VLOOKUP($A77,'[1]Raw Data'!$A$3:$FB$285,46,FALSE)</f>
        <v>6767</v>
      </c>
      <c r="AJ77" s="27">
        <f>VLOOKUP($A77,'[1]Raw Data'!$A$3:$FB$285,47,FALSE)</f>
        <v>6541</v>
      </c>
      <c r="AK77" s="27">
        <f>VLOOKUP($A77,'[1]Raw Data'!$A$3:$FB$285,48,FALSE)</f>
        <v>6439</v>
      </c>
      <c r="AL77" s="27">
        <f>VLOOKUP($A77,'[1]Raw Data'!$A$3:$FB$285,49,FALSE)</f>
        <v>5179</v>
      </c>
      <c r="AM77" s="27">
        <f>VLOOKUP($A77,'[1]Raw Data'!$A$3:$FB$285,50,FALSE)</f>
        <v>4869</v>
      </c>
      <c r="AN77" s="27">
        <f>VLOOKUP($A77,'[1]Raw Data'!$A$3:$FB$285,51,FALSE)</f>
        <v>4613</v>
      </c>
      <c r="AO77" s="27">
        <f>VLOOKUP($A77,'[1]Raw Data'!$A$3:$FB$285,52,FALSE)</f>
        <v>4751</v>
      </c>
      <c r="AP77" s="27">
        <f>VLOOKUP($A77,'[1]Raw Data'!$A$3:$FB$285,53,FALSE)</f>
        <v>74</v>
      </c>
      <c r="AQ77" s="27">
        <f>VLOOKUP($A77,'[1]Raw Data'!$A$3:$FB$285,54,FALSE)</f>
        <v>74</v>
      </c>
      <c r="AR77" s="27">
        <f>VLOOKUP($A77,'[1]Raw Data'!$A$3:$FB$285,55,FALSE)</f>
        <v>25</v>
      </c>
      <c r="AS77" s="27" t="str">
        <f>VLOOKUP($A77,'[1]Raw Data'!$A$3:$FB$285,56,FALSE)</f>
        <v/>
      </c>
      <c r="AT77" s="27">
        <f>VLOOKUP($A77,'[1]Raw Data'!$A$3:$FB$285,57,FALSE)</f>
        <v>0</v>
      </c>
      <c r="AU77" s="27">
        <f>VLOOKUP($A77,'[1]Raw Data'!$A$3:$FB$285,58,FALSE)</f>
        <v>760</v>
      </c>
      <c r="AV77" s="27" t="str">
        <f>VLOOKUP($A77,'[1]Raw Data'!$A$3:$FB$285,59,FALSE)</f>
        <v/>
      </c>
      <c r="AW77" s="27" t="str">
        <f>VLOOKUP($A77,'[1]Raw Data'!$A$3:$FB$285,60,FALSE)</f>
        <v/>
      </c>
      <c r="AX77" s="27" t="str">
        <f>VLOOKUP(A77,'[1]PO''s List'!A75:E357,4,FALSE)</f>
        <v>NSET(Shelter)</v>
      </c>
      <c r="AZ77" s="27" t="str">
        <f>VLOOKUP(A77,'[1]PO''s List'!$A$3:$E$285,5,FALSE)</f>
        <v>HELVETAS(Shelter),LWF(Shelter),PLAN(Health),SCI(Education,Employment ,Shelter,Social Protection,Health)</v>
      </c>
      <c r="BB77" s="27">
        <f>VLOOKUP($A77,'[1]Raw Data'!$A$3:$FB$285,63,FALSE)</f>
        <v>117835</v>
      </c>
      <c r="BC77" s="27" t="str">
        <f>VLOOKUP($A77,'[1]Raw Data'!$A$3:$FB$285,64,FALSE)</f>
        <v>Y</v>
      </c>
      <c r="BD77" s="27" t="str">
        <f t="shared" si="9"/>
        <v>छ</v>
      </c>
      <c r="BE77" s="27" t="str">
        <f>VLOOKUP($A77,'[1]Raw Data'!$A$3:$FB$285,65,FALSE)</f>
        <v/>
      </c>
      <c r="BF77" s="27">
        <f>VLOOKUP($A77,'[1]Raw Data'!$A$3:$FB$285,66,FALSE)</f>
        <v>122129</v>
      </c>
      <c r="BG77" s="27" t="str">
        <f>VLOOKUP($A77,'[1]Raw Data'!$A$3:$FB$285,67,FALSE)</f>
        <v>Y</v>
      </c>
      <c r="BH77" s="27" t="str">
        <f t="shared" si="10"/>
        <v>छ</v>
      </c>
      <c r="BI77" s="27" t="str">
        <f>VLOOKUP($A77,'[1]Raw Data'!$A$3:$FB$285,68,FALSE)</f>
        <v/>
      </c>
      <c r="BJ77" s="27">
        <f>VLOOKUP($A77,'[1]Raw Data'!$A$3:$FB$285,69,FALSE)</f>
        <v>12593</v>
      </c>
      <c r="BK77" s="27" t="str">
        <f>VLOOKUP($A77,'[1]Raw Data'!$A$3:$FB$285,70,FALSE)</f>
        <v>Y</v>
      </c>
      <c r="BL77" s="27" t="str">
        <f t="shared" si="11"/>
        <v>छ</v>
      </c>
      <c r="BM77" s="27" t="str">
        <f>VLOOKUP($A77,'[1]Raw Data'!$A$3:$FB$285,71,FALSE)</f>
        <v/>
      </c>
      <c r="BN77" s="27">
        <f>VLOOKUP($A77,'[1]Raw Data'!$A$3:$FB$285,72,FALSE)</f>
        <v>14574</v>
      </c>
      <c r="BO77" s="27" t="str">
        <f>VLOOKUP($A77,'[1]Raw Data'!$A$3:$FB$285,73,FALSE)</f>
        <v/>
      </c>
      <c r="BP77" s="27" t="str">
        <f t="shared" si="12"/>
        <v/>
      </c>
      <c r="BQ77" s="27" t="str">
        <f>VLOOKUP($A77,'[1]Raw Data'!$A$3:$FB$285,74,FALSE)</f>
        <v/>
      </c>
      <c r="BR77" s="27" t="str">
        <f>VLOOKUP($A77,'[1]Raw Data'!$A$3:$FB$285,75,FALSE)</f>
        <v/>
      </c>
      <c r="BS77" s="27" t="str">
        <f>VLOOKUP($A77,'[1]Raw Data'!$A$3:$FB$285,76,FALSE)</f>
        <v/>
      </c>
      <c r="BT77" s="27" t="str">
        <f t="shared" si="13"/>
        <v/>
      </c>
      <c r="BU77" s="27" t="str">
        <f>VLOOKUP($A77,'[1]Raw Data'!$A$3:$FB$285,77,FALSE)</f>
        <v/>
      </c>
      <c r="BV77" s="27">
        <f>VLOOKUP($A77,'[1]Raw Data'!$A$3:$FB$285,78,FALSE)</f>
        <v>404097</v>
      </c>
      <c r="BW77" s="27" t="str">
        <f>VLOOKUP($A77,'[1]Raw Data'!$A$3:$FB$285,79,FALSE)</f>
        <v/>
      </c>
      <c r="BX77" s="27" t="str">
        <f t="shared" si="14"/>
        <v/>
      </c>
      <c r="BY77" s="27" t="str">
        <f>VLOOKUP($A77,'[1]Raw Data'!$A$3:$FB$285,80,FALSE)</f>
        <v/>
      </c>
      <c r="BZ77" s="27">
        <f>VLOOKUP($A77,'[1]Raw Data'!$A$3:$FB$285,81,FALSE)</f>
        <v>1274973</v>
      </c>
      <c r="CA77" s="27" t="str">
        <f>VLOOKUP($A77,'[1]Raw Data'!$A$3:$FB$285,82,FALSE)</f>
        <v/>
      </c>
      <c r="CB77" s="27" t="str">
        <f t="shared" si="15"/>
        <v/>
      </c>
      <c r="CC77" s="27" t="str">
        <f>VLOOKUP($A77,'[1]Raw Data'!$A$3:$FB$285,83,FALSE)</f>
        <v/>
      </c>
      <c r="CD77" s="27">
        <f>VLOOKUP($A77,'[1]Raw Data'!$A$3:$FB$285,84,FALSE)</f>
        <v>16515</v>
      </c>
      <c r="CE77" s="27" t="str">
        <f>VLOOKUP($A77,'[1]Raw Data'!$A$3:$FB$285,85,FALSE)</f>
        <v/>
      </c>
      <c r="CF77" s="27" t="str">
        <f t="shared" si="16"/>
        <v/>
      </c>
      <c r="CG77" s="27" t="str">
        <f>VLOOKUP($A77,'[1]Raw Data'!$A$3:$FB$285,86,FALSE)</f>
        <v/>
      </c>
      <c r="CH77" s="27">
        <f>VLOOKUP($A77,'[1]Raw Data'!$A$3:$FB$285,87,FALSE)</f>
        <v>1016814</v>
      </c>
      <c r="CI77" s="27" t="str">
        <f>VLOOKUP($A77,'[1]Raw Data'!$A$3:$FB$285,88,FALSE)</f>
        <v/>
      </c>
      <c r="CJ77" s="27" t="str">
        <f t="shared" si="17"/>
        <v/>
      </c>
      <c r="CK77" s="27" t="str">
        <f>VLOOKUP($A77,'[1]Raw Data'!$A$3:$FB$285,89,FALSE)</f>
        <v/>
      </c>
      <c r="CL77" s="27" t="str">
        <f>VLOOKUP($A77,'[1]Raw Data'!$A$3:$FB$285,91,FALSE)</f>
        <v/>
      </c>
      <c r="CM77" s="27" t="str">
        <f>VLOOKUP($A77,'[1]Raw Data'!$A$3:$FB$285,93,FALSE)</f>
        <v/>
      </c>
      <c r="CN77" s="27" t="str">
        <f>VLOOKUP($A77,'[1]Raw Data'!$A$3:$FB$285,94,FALSE)</f>
        <v/>
      </c>
      <c r="CO77" s="27" t="str">
        <f>VLOOKUP($A77,'[1]Raw Data'!$A$3:$FB$285,95,FALSE)</f>
        <v/>
      </c>
      <c r="CP77" s="27" t="str">
        <f>VLOOKUP($A77,'[1]Raw Data'!$A$3:$FB$285,96,FALSE)</f>
        <v/>
      </c>
      <c r="CQ77" s="27" t="str">
        <f>VLOOKUP($A77,'[1]Raw Data'!$A$3:$FB$285,97,FALSE)</f>
        <v/>
      </c>
      <c r="CR77" s="27" t="str">
        <f>VLOOKUP($A77,'[1]Raw Data'!$A$3:$FB$285,98,FALSE)</f>
        <v/>
      </c>
      <c r="CS77" s="27" t="str">
        <f>VLOOKUP($A77,'[1]Raw Data'!$A$3:$FB$285,99,FALSE)</f>
        <v/>
      </c>
      <c r="CT77" s="27" t="str">
        <f>VLOOKUP($A77,'[1]Raw Data'!$A$3:$FB$285,101,FALSE)</f>
        <v>Soyam Bahadur Khadka</v>
      </c>
      <c r="CU77" s="27" t="s">
        <v>1001</v>
      </c>
      <c r="CV77" s="27" t="str">
        <f>VLOOKUP($A77,'[1]Raw Data'!$A$3:$FB$285,102,FALSE)</f>
        <v>Chairman</v>
      </c>
      <c r="CW77" s="27" t="s">
        <v>878</v>
      </c>
      <c r="CX77" s="27">
        <f>VLOOKUP($A77,'[1]Raw Data'!$A$3:$FB$285,103,FALSE)</f>
        <v>9614919113</v>
      </c>
      <c r="CY77" s="27" t="str">
        <f>VLOOKUP($A77,'[1]Raw Data'!$A$3:$FB$285,105,FALSE)</f>
        <v>Urmila Thami</v>
      </c>
      <c r="CZ77" s="27" t="s">
        <v>1002</v>
      </c>
      <c r="DA77" s="27" t="str">
        <f>VLOOKUP($A77,'[1]Raw Data'!$A$3:$FB$285,106,FALSE)</f>
        <v>Deputy Chairman</v>
      </c>
      <c r="DB77" s="27" t="s">
        <v>879</v>
      </c>
      <c r="DC77" s="27">
        <f>VLOOKUP($A77,'[1]Raw Data'!$A$3:$FB$285,107,FALSE)</f>
        <v>9844175168</v>
      </c>
      <c r="DD77" s="27" t="str">
        <f>VLOOKUP($A77,'[1]Raw Data'!$A$3:$FB$285,109,FALSE)</f>
        <v>Dipesh Chhadchha</v>
      </c>
      <c r="DE77" s="27" t="s">
        <v>1003</v>
      </c>
      <c r="DF77" s="27" t="str">
        <f>VLOOKUP($A77,'[1]Raw Data'!$A$3:$FB$285,110,FALSE)</f>
        <v>Chief Adminstration Officer</v>
      </c>
      <c r="DG77" s="27" t="s">
        <v>880</v>
      </c>
      <c r="DH77" s="27">
        <f>VLOOKUP($A77,'[1]Raw Data'!$A$3:$FB$285,111,FALSE)</f>
        <v>9860439172</v>
      </c>
      <c r="DI77" s="27" t="str">
        <f>VLOOKUP($A77,'[1]Raw Data'!$A$3:$FB$285,121,FALSE)</f>
        <v>Lila Raj Paudel</v>
      </c>
      <c r="DJ77" s="27" t="s">
        <v>1004</v>
      </c>
      <c r="DK77" s="27" t="str">
        <f>VLOOKUP($A77,'[1]Raw Data'!$A$3:$FB$285,122,FALSE)</f>
        <v>Focal Person</v>
      </c>
      <c r="DL77" s="27" t="s">
        <v>881</v>
      </c>
      <c r="DM77" s="27">
        <f>VLOOKUP($A77,'[1]Raw Data'!$A$3:$FB$285,123,FALSE)</f>
        <v>9855071938</v>
      </c>
      <c r="DN77" s="27" t="str">
        <f>VLOOKUP($A77,'[1]Raw Data'!$A$3:$FB$285,113,FALSE)</f>
        <v>Nirmal Darshan Acharya</v>
      </c>
      <c r="DO77" s="27" t="s">
        <v>988</v>
      </c>
      <c r="DP77" s="27" t="str">
        <f>VLOOKUP($A77,'[1]Raw Data'!$A$3:$FB$285,114,FALSE)</f>
        <v>NRA Chief-District</v>
      </c>
      <c r="DQ77" s="27" t="s">
        <v>882</v>
      </c>
      <c r="DR77" s="27">
        <f>VLOOKUP($A77,'[1]Raw Data'!$A$3:$FB$285,115,FALSE)</f>
        <v>9854045832</v>
      </c>
      <c r="DS77" s="27" t="str">
        <f>VLOOKUP($A77,'[1]Raw Data'!$A$3:$FB$285,117,FALSE)</f>
        <v>Arjun Tamang</v>
      </c>
      <c r="DT77" s="27" t="s">
        <v>989</v>
      </c>
      <c r="DU77" s="27" t="str">
        <f>VLOOKUP($A77,'[1]Raw Data'!$A$3:$FB$285,118,FALSE)</f>
        <v>DUDBC.DLPIU Chief</v>
      </c>
      <c r="DV77" s="27" t="s">
        <v>883</v>
      </c>
      <c r="DW77" s="27">
        <f>VLOOKUP($A77,'[1]Raw Data'!$A$3:$FB$285,119,FALSE)</f>
        <v>9849246296</v>
      </c>
      <c r="DX77" s="27" t="s">
        <v>339</v>
      </c>
      <c r="DY77" s="27" t="str">
        <f>VLOOKUP($A77,'[1]Raw Data'!$A$3:$FB$285,124,FALSE)</f>
        <v/>
      </c>
      <c r="DZ77" s="27" t="s">
        <v>884</v>
      </c>
      <c r="EA77" s="27" t="str">
        <f>VLOOKUP($A77,'[1]Raw Data'!$A$3:$FB$285,125,FALSE)</f>
        <v/>
      </c>
      <c r="EB77" s="27" t="s">
        <v>341</v>
      </c>
      <c r="EC77" s="27" t="str">
        <f>VLOOKUP($A77,'[1]Raw Data'!$A$3:$FB$285,126,FALSE)</f>
        <v/>
      </c>
      <c r="ED77" t="s">
        <v>478</v>
      </c>
      <c r="EE77" s="27" t="str">
        <f>VLOOKUP($A77,'[1]Raw Data'!$A$3:$FB$285,127,FALSE)</f>
        <v/>
      </c>
      <c r="EF77" s="27" t="s">
        <v>343</v>
      </c>
      <c r="EG77" s="27" t="str">
        <f>VLOOKUP($A77,'[1]Raw Data'!$A$3:$FB$285,128,FALSE)</f>
        <v/>
      </c>
      <c r="EH77" t="s">
        <v>344</v>
      </c>
      <c r="EI77" s="27" t="str">
        <f>VLOOKUP($A77,'[1]Raw Data'!$A$3:$FB$285,129,FALSE)</f>
        <v/>
      </c>
      <c r="EM77" s="27" t="str">
        <f>VLOOKUP($A77,'[1]Raw Data'!$A$3:$FB$285,130,FALSE)</f>
        <v/>
      </c>
      <c r="EN77" s="27" t="str">
        <f>VLOOKUP($A77,'[1]Raw Data'!$A$3:$FB$285,131,FALSE)</f>
        <v/>
      </c>
      <c r="EO77" s="27" t="str">
        <f>VLOOKUP($A77,'[1]Raw Data'!$A$3:$FB$285,132,FALSE)</f>
        <v/>
      </c>
      <c r="EP77" s="27" t="str">
        <f>VLOOKUP($A77,'[1]Raw Data'!$A$3:$FB$285,133,FALSE)</f>
        <v/>
      </c>
      <c r="EQ77" s="27" t="str">
        <f>VLOOKUP($A77,'[1]Raw Data'!$A$3:$FB$285,134,FALSE)</f>
        <v/>
      </c>
      <c r="ER77" s="27" t="str">
        <f>VLOOKUP($A77,'[1]Raw Data'!$A$3:$FB$285,135,FALSE)</f>
        <v/>
      </c>
      <c r="ES77" s="27" t="str">
        <f>VLOOKUP($A77,'[1]Raw Data'!$A$3:$FB$285,136,FALSE)</f>
        <v/>
      </c>
      <c r="ET77" s="27" t="str">
        <f>VLOOKUP($A77,'[1]Raw Data'!$A$3:$FB$285,137,FALSE)</f>
        <v/>
      </c>
      <c r="EU77" s="27" t="str">
        <f>VLOOKUP($A77,'[1]Raw Data'!$A$3:$FB$285,138,FALSE)</f>
        <v/>
      </c>
      <c r="EV77" s="27" t="str">
        <f>VLOOKUP($A77,'[1]Raw Data'!$A$3:$FB$285,139,FALSE)</f>
        <v/>
      </c>
      <c r="EW77" s="38">
        <f>VLOOKUP($A77,[1]Training!$A$2:$I$284,5,FALSE)</f>
        <v>520.30769230769226</v>
      </c>
      <c r="EX77" s="31">
        <f>VLOOKUP($A77,[1]Training!$A$2:$I$284,6,FALSE)</f>
        <v>233</v>
      </c>
      <c r="EY77" s="38">
        <f>VLOOKUP($A77,[1]Training!$A$2:$I$284,8,FALSE)</f>
        <v>564.52914174433158</v>
      </c>
      <c r="EZ77" s="31">
        <f>VLOOKUP($A77,[1]Training!$A$2:$I$284,9,FALSE)</f>
        <v>0</v>
      </c>
      <c r="FA77" s="27">
        <v>1</v>
      </c>
      <c r="FB77" s="27">
        <v>2</v>
      </c>
      <c r="FC77" s="27" t="str">
        <f>VLOOKUP($A77,'[1]Raw Data'!$A$3:$FB$285,148,FALSE)</f>
        <v>Kamal Bahadur Mahat</v>
      </c>
      <c r="FD77" s="27" t="s">
        <v>990</v>
      </c>
      <c r="FE77" s="27" t="str">
        <f>VLOOKUP($A77,'[1]Raw Data'!$A$3:$FB$285,149,FALSE)</f>
        <v>District Coordinator</v>
      </c>
      <c r="FF77" s="27" t="s">
        <v>885</v>
      </c>
      <c r="FG77" s="27">
        <f>VLOOKUP($A77,'[1]Raw Data'!$A$3:$FB$285,150,FALSE)</f>
        <v>9841712677</v>
      </c>
      <c r="FH77" s="27" t="str">
        <f>VLOOKUP($A77,'[1]Raw Data'!$A$3:$FB$285,156,FALSE)</f>
        <v>Binod Kumar Kalauni</v>
      </c>
      <c r="FI77" s="27" t="s">
        <v>991</v>
      </c>
      <c r="FJ77" s="27" t="str">
        <f>VLOOKUP($A77,'[1]Raw Data'!$A$3:$FB$285,157,FALSE)</f>
        <v>District Technical Officer</v>
      </c>
      <c r="FK77" s="27" t="s">
        <v>886</v>
      </c>
      <c r="FL77" s="27">
        <f>VLOOKUP($A77,'[1]Raw Data'!$A$3:$FB$285,158,FALSE)</f>
        <v>9864291323</v>
      </c>
      <c r="FM77" s="27" t="str">
        <f>VLOOKUP($A77,'[1]Raw Data'!$A$3:$FB$285,152,FALSE)</f>
        <v>Ravi Pajiyar</v>
      </c>
      <c r="FN77" s="27" t="s">
        <v>992</v>
      </c>
      <c r="FO77" s="27" t="str">
        <f>VLOOKUP($A77,'[1]Raw Data'!$A$3:$FB$285,153,FALSE)</f>
        <v>DIstrict Information Management Officer</v>
      </c>
      <c r="FP77" s="27" t="s">
        <v>887</v>
      </c>
      <c r="FQ77" s="27">
        <f>VLOOKUP($A77,'[1]Raw Data'!$A$3:$FB$285,154,FALSE)</f>
        <v>9849829112</v>
      </c>
    </row>
    <row r="78" spans="1:173" ht="24" x14ac:dyDescent="0.45">
      <c r="A78" s="27">
        <v>22005</v>
      </c>
      <c r="B78" s="36" t="str">
        <f ca="1">IFERROR(__xludf.DUMMYFUNCTION("""COMPUTED_VALUE"""),"Jiri Nagarpalika")</f>
        <v>Jiri Nagarpalika</v>
      </c>
      <c r="C78" s="37" t="str">
        <f>VLOOKUP(A78,'[1]Palika and District in Nepali '!$D$1:$F$283,3,FALSE)</f>
        <v>जिरी नगरपालिका</v>
      </c>
      <c r="D78" s="36" t="str">
        <f ca="1">IFERROR(__xludf.DUMMYFUNCTION("""COMPUTED_VALUE"""),"Dolakha")</f>
        <v>Dolakha</v>
      </c>
      <c r="E78" s="36"/>
      <c r="F78" s="27">
        <f>VLOOKUP(A78,'[1]Raw Data'!$A$3:$FB$285,4,FALSE)</f>
        <v>289</v>
      </c>
      <c r="G78" s="27">
        <f>VLOOKUP(A78,'[1]Raw Data'!$A$3:$FB$285,5,FALSE)</f>
        <v>4475</v>
      </c>
      <c r="H78" s="27">
        <f>VLOOKUP(A78,'[1]Raw Data'!$A$3:$FB$285,6,FALSE)</f>
        <v>4764</v>
      </c>
      <c r="I78" s="27">
        <f>VLOOKUP($A78,'[1]Raw Data'!$A$3:$FB$285,8,FALSE)</f>
        <v>0.11</v>
      </c>
      <c r="J78" s="27">
        <f>VLOOKUP($A78,'[1]Raw Data'!$A$3:$FB$285,9,FALSE)</f>
        <v>0.54</v>
      </c>
      <c r="K78" s="27">
        <f>VLOOKUP($A78,'[1]Raw Data'!$A$3:$FB$285,11,FALSE)</f>
        <v>95.44</v>
      </c>
      <c r="L78" s="27">
        <f>VLOOKUP($A78,'[1]Raw Data'!$A$3:$FB$285,12,FALSE)</f>
        <v>94.39</v>
      </c>
      <c r="M78" s="27">
        <f>VLOOKUP($A78,'[1]Raw Data'!$A$3:$FB$285,14,FALSE)</f>
        <v>0.88</v>
      </c>
      <c r="N78" s="27">
        <f>VLOOKUP($A78,'[1]Raw Data'!$A$3:$FB$285,15,FALSE)</f>
        <v>1.54</v>
      </c>
      <c r="O78" s="27">
        <f>VLOOKUP($A78,'[1]Raw Data'!$A$3:$FB$285,17,FALSE)</f>
        <v>0.04</v>
      </c>
      <c r="P78" s="27">
        <f>VLOOKUP($A78,'[1]Raw Data'!$A$3:$FB$285,18,FALSE)</f>
        <v>0.04</v>
      </c>
      <c r="Q78" s="27">
        <f>VLOOKUP($A78,'[1]Raw Data'!$A$3:$FB$285,20,FALSE)</f>
        <v>0.25</v>
      </c>
      <c r="R78" s="27">
        <f>VLOOKUP($A78,'[1]Raw Data'!$A$3:$FB$285,21,FALSE)</f>
        <v>0.67</v>
      </c>
      <c r="S78" s="27">
        <f>VLOOKUP($A78,'[1]Raw Data'!$A$3:$FB$285,23,FALSE)</f>
        <v>0</v>
      </c>
      <c r="T78" s="27">
        <f>VLOOKUP($A78,'[1]Raw Data'!$A$3:$FB$285,24,FALSE)</f>
        <v>0</v>
      </c>
      <c r="U78" s="27">
        <f>VLOOKUP($A78,'[1]Raw Data'!$A$3:$FB$285,26,FALSE)</f>
        <v>3.05</v>
      </c>
      <c r="V78" s="27">
        <f>VLOOKUP($A78,'[1]Raw Data'!$A$3:$FB$285,27,FALSE)</f>
        <v>0.64</v>
      </c>
      <c r="W78" s="27">
        <f>VLOOKUP($A78,'[1]Raw Data'!$A$3:$FB$285,29,FALSE)</f>
        <v>0</v>
      </c>
      <c r="X78" s="27">
        <f>VLOOKUP($A78,'[1]Raw Data'!$A$3:$FB$285,30,FALSE)</f>
        <v>0</v>
      </c>
      <c r="Y78" s="27">
        <f>VLOOKUP($A78,'[1]Raw Data'!$A$3:$FB$285,32,FALSE)</f>
        <v>0</v>
      </c>
      <c r="Z78" s="27">
        <f>VLOOKUP($A78,'[1]Raw Data'!$A$3:$FB$285,33,FALSE)</f>
        <v>0.35</v>
      </c>
      <c r="AA78" s="27">
        <f>VLOOKUP($A78,'[1]Raw Data'!$A$3:$FB$285,35,FALSE)</f>
        <v>0.06</v>
      </c>
      <c r="AB78" s="27">
        <f>VLOOKUP($A78,'[1]Raw Data'!$A$3:$FB$285,36,FALSE)</f>
        <v>1.71</v>
      </c>
      <c r="AC78" s="27">
        <f>VLOOKUP($A78,'[1]Raw Data'!$A$3:$FB$285,38,FALSE)</f>
        <v>0.17</v>
      </c>
      <c r="AD78" s="27">
        <f>VLOOKUP($A78,'[1]Raw Data'!$A$3:$FB$285,39,FALSE)</f>
        <v>0.13</v>
      </c>
      <c r="AE78" s="27">
        <f>VLOOKUP($A78,'[1]Raw Data'!$A$3:$FB$285,41,FALSE)</f>
        <v>0</v>
      </c>
      <c r="AF78" s="27">
        <f>VLOOKUP($A78,'[1]Raw Data'!$A$3:$FB$285,42,FALSE)</f>
        <v>0</v>
      </c>
      <c r="AG78" s="27">
        <f>VLOOKUP($A78,'[1]Raw Data'!$A$3:$FB$285,44,FALSE)</f>
        <v>0</v>
      </c>
      <c r="AH78" s="27">
        <f>VLOOKUP($A78,'[1]Raw Data'!$A$3:$FB$285,45,FALSE)</f>
        <v>0</v>
      </c>
      <c r="AI78" s="27">
        <f>VLOOKUP($A78,'[1]Raw Data'!$A$3:$FB$285,46,FALSE)</f>
        <v>5836</v>
      </c>
      <c r="AJ78" s="27">
        <f>VLOOKUP($A78,'[1]Raw Data'!$A$3:$FB$285,47,FALSE)</f>
        <v>5740</v>
      </c>
      <c r="AK78" s="27">
        <f>VLOOKUP($A78,'[1]Raw Data'!$A$3:$FB$285,48,FALSE)</f>
        <v>4906</v>
      </c>
      <c r="AL78" s="27">
        <f>VLOOKUP($A78,'[1]Raw Data'!$A$3:$FB$285,49,FALSE)</f>
        <v>3708</v>
      </c>
      <c r="AM78" s="27">
        <f>VLOOKUP($A78,'[1]Raw Data'!$A$3:$FB$285,50,FALSE)</f>
        <v>2847</v>
      </c>
      <c r="AN78" s="27">
        <f>VLOOKUP($A78,'[1]Raw Data'!$A$3:$FB$285,51,FALSE)</f>
        <v>2613</v>
      </c>
      <c r="AO78" s="27">
        <f>VLOOKUP($A78,'[1]Raw Data'!$A$3:$FB$285,52,FALSE)</f>
        <v>2632</v>
      </c>
      <c r="AP78" s="27">
        <f>VLOOKUP($A78,'[1]Raw Data'!$A$3:$FB$285,53,FALSE)</f>
        <v>153</v>
      </c>
      <c r="AQ78" s="27">
        <f>VLOOKUP($A78,'[1]Raw Data'!$A$3:$FB$285,54,FALSE)</f>
        <v>154</v>
      </c>
      <c r="AR78" s="27">
        <f>VLOOKUP($A78,'[1]Raw Data'!$A$3:$FB$285,55,FALSE)</f>
        <v>20</v>
      </c>
      <c r="AS78" s="27" t="str">
        <f>VLOOKUP($A78,'[1]Raw Data'!$A$3:$FB$285,56,FALSE)</f>
        <v/>
      </c>
      <c r="AT78" s="27">
        <f>VLOOKUP($A78,'[1]Raw Data'!$A$3:$FB$285,57,FALSE)</f>
        <v>0</v>
      </c>
      <c r="AU78" s="27">
        <f>VLOOKUP($A78,'[1]Raw Data'!$A$3:$FB$285,58,FALSE)</f>
        <v>961</v>
      </c>
      <c r="AV78" s="27" t="str">
        <f>VLOOKUP($A78,'[1]Raw Data'!$A$3:$FB$285,59,FALSE)</f>
        <v/>
      </c>
      <c r="AW78" s="27" t="str">
        <f>VLOOKUP($A78,'[1]Raw Data'!$A$3:$FB$285,60,FALSE)</f>
        <v/>
      </c>
      <c r="AX78" s="27" t="str">
        <f>VLOOKUP(A78,'[1]PO''s List'!A76:E358,4,FALSE)</f>
        <v>BC(Shelter),NSET(Shelter)</v>
      </c>
      <c r="AZ78" s="27" t="str">
        <f>VLOOKUP(A78,'[1]PO''s List'!$A$3:$E$285,5,FALSE)</f>
        <v>CA(Shelter),GON - DUDBC(Shelter),LIONS(Education),LWF(Shelter)</v>
      </c>
      <c r="BB78" s="27">
        <f>VLOOKUP($A78,'[1]Raw Data'!$A$3:$FB$285,63,FALSE)</f>
        <v>88280</v>
      </c>
      <c r="BC78" s="27" t="str">
        <f>VLOOKUP($A78,'[1]Raw Data'!$A$3:$FB$285,64,FALSE)</f>
        <v>Y</v>
      </c>
      <c r="BD78" s="27" t="str">
        <f t="shared" si="9"/>
        <v>छ</v>
      </c>
      <c r="BE78" s="27" t="str">
        <f>VLOOKUP($A78,'[1]Raw Data'!$A$3:$FB$285,65,FALSE)</f>
        <v/>
      </c>
      <c r="BF78" s="27">
        <f>VLOOKUP($A78,'[1]Raw Data'!$A$3:$FB$285,66,FALSE)</f>
        <v>90462</v>
      </c>
      <c r="BG78" s="27" t="str">
        <f>VLOOKUP($A78,'[1]Raw Data'!$A$3:$FB$285,67,FALSE)</f>
        <v>Y</v>
      </c>
      <c r="BH78" s="27" t="str">
        <f t="shared" si="10"/>
        <v>छ</v>
      </c>
      <c r="BI78" s="27" t="str">
        <f>VLOOKUP($A78,'[1]Raw Data'!$A$3:$FB$285,68,FALSE)</f>
        <v/>
      </c>
      <c r="BJ78" s="27">
        <f>VLOOKUP($A78,'[1]Raw Data'!$A$3:$FB$285,69,FALSE)</f>
        <v>9425</v>
      </c>
      <c r="BK78" s="27" t="str">
        <f>VLOOKUP($A78,'[1]Raw Data'!$A$3:$FB$285,70,FALSE)</f>
        <v>Y</v>
      </c>
      <c r="BL78" s="27" t="str">
        <f t="shared" si="11"/>
        <v>छ</v>
      </c>
      <c r="BM78" s="27" t="str">
        <f>VLOOKUP($A78,'[1]Raw Data'!$A$3:$FB$285,71,FALSE)</f>
        <v/>
      </c>
      <c r="BN78" s="27">
        <f>VLOOKUP($A78,'[1]Raw Data'!$A$3:$FB$285,72,FALSE)</f>
        <v>10874</v>
      </c>
      <c r="BO78" s="27" t="str">
        <f>VLOOKUP($A78,'[1]Raw Data'!$A$3:$FB$285,73,FALSE)</f>
        <v/>
      </c>
      <c r="BP78" s="27" t="str">
        <f t="shared" si="12"/>
        <v/>
      </c>
      <c r="BQ78" s="27" t="str">
        <f>VLOOKUP($A78,'[1]Raw Data'!$A$3:$FB$285,74,FALSE)</f>
        <v/>
      </c>
      <c r="BR78" s="27" t="str">
        <f>VLOOKUP($A78,'[1]Raw Data'!$A$3:$FB$285,75,FALSE)</f>
        <v/>
      </c>
      <c r="BS78" s="27" t="str">
        <f>VLOOKUP($A78,'[1]Raw Data'!$A$3:$FB$285,76,FALSE)</f>
        <v/>
      </c>
      <c r="BT78" s="27" t="str">
        <f t="shared" si="13"/>
        <v/>
      </c>
      <c r="BU78" s="27" t="str">
        <f>VLOOKUP($A78,'[1]Raw Data'!$A$3:$FB$285,77,FALSE)</f>
        <v/>
      </c>
      <c r="BV78" s="27">
        <f>VLOOKUP($A78,'[1]Raw Data'!$A$3:$FB$285,78,FALSE)</f>
        <v>299806</v>
      </c>
      <c r="BW78" s="27" t="str">
        <f>VLOOKUP($A78,'[1]Raw Data'!$A$3:$FB$285,79,FALSE)</f>
        <v/>
      </c>
      <c r="BX78" s="27" t="str">
        <f t="shared" si="14"/>
        <v/>
      </c>
      <c r="BY78" s="27" t="str">
        <f>VLOOKUP($A78,'[1]Raw Data'!$A$3:$FB$285,80,FALSE)</f>
        <v/>
      </c>
      <c r="BZ78" s="27">
        <f>VLOOKUP($A78,'[1]Raw Data'!$A$3:$FB$285,81,FALSE)</f>
        <v>957177</v>
      </c>
      <c r="CA78" s="27" t="str">
        <f>VLOOKUP($A78,'[1]Raw Data'!$A$3:$FB$285,82,FALSE)</f>
        <v/>
      </c>
      <c r="CB78" s="27" t="str">
        <f t="shared" si="15"/>
        <v/>
      </c>
      <c r="CC78" s="27" t="str">
        <f>VLOOKUP($A78,'[1]Raw Data'!$A$3:$FB$285,83,FALSE)</f>
        <v/>
      </c>
      <c r="CD78" s="27">
        <f>VLOOKUP($A78,'[1]Raw Data'!$A$3:$FB$285,84,FALSE)</f>
        <v>12253</v>
      </c>
      <c r="CE78" s="27" t="str">
        <f>VLOOKUP($A78,'[1]Raw Data'!$A$3:$FB$285,85,FALSE)</f>
        <v/>
      </c>
      <c r="CF78" s="27" t="str">
        <f t="shared" si="16"/>
        <v/>
      </c>
      <c r="CG78" s="27" t="str">
        <f>VLOOKUP($A78,'[1]Raw Data'!$A$3:$FB$285,86,FALSE)</f>
        <v/>
      </c>
      <c r="CH78" s="27">
        <f>VLOOKUP($A78,'[1]Raw Data'!$A$3:$FB$285,87,FALSE)</f>
        <v>887241</v>
      </c>
      <c r="CI78" s="27" t="str">
        <f>VLOOKUP($A78,'[1]Raw Data'!$A$3:$FB$285,88,FALSE)</f>
        <v/>
      </c>
      <c r="CJ78" s="27" t="str">
        <f t="shared" si="17"/>
        <v/>
      </c>
      <c r="CK78" s="27" t="str">
        <f>VLOOKUP($A78,'[1]Raw Data'!$A$3:$FB$285,89,FALSE)</f>
        <v/>
      </c>
      <c r="CL78" s="27" t="str">
        <f>VLOOKUP($A78,'[1]Raw Data'!$A$3:$FB$285,91,FALSE)</f>
        <v/>
      </c>
      <c r="CM78" s="27" t="str">
        <f>VLOOKUP($A78,'[1]Raw Data'!$A$3:$FB$285,93,FALSE)</f>
        <v/>
      </c>
      <c r="CN78" s="27" t="str">
        <f>VLOOKUP($A78,'[1]Raw Data'!$A$3:$FB$285,94,FALSE)</f>
        <v/>
      </c>
      <c r="CO78" s="27" t="str">
        <f>VLOOKUP($A78,'[1]Raw Data'!$A$3:$FB$285,95,FALSE)</f>
        <v/>
      </c>
      <c r="CP78" s="27" t="str">
        <f>VLOOKUP($A78,'[1]Raw Data'!$A$3:$FB$285,96,FALSE)</f>
        <v/>
      </c>
      <c r="CQ78" s="27" t="str">
        <f>VLOOKUP($A78,'[1]Raw Data'!$A$3:$FB$285,97,FALSE)</f>
        <v/>
      </c>
      <c r="CR78" s="27" t="str">
        <f>VLOOKUP($A78,'[1]Raw Data'!$A$3:$FB$285,98,FALSE)</f>
        <v/>
      </c>
      <c r="CS78" s="27" t="str">
        <f>VLOOKUP($A78,'[1]Raw Data'!$A$3:$FB$285,99,FALSE)</f>
        <v/>
      </c>
      <c r="CT78" s="27" t="str">
        <f>VLOOKUP($A78,'[1]Raw Data'!$A$3:$FB$285,101,FALSE)</f>
        <v>Tanka Jirel</v>
      </c>
      <c r="CU78" s="27" t="s">
        <v>1005</v>
      </c>
      <c r="CV78" s="27" t="str">
        <f>VLOOKUP($A78,'[1]Raw Data'!$A$3:$FB$285,102,FALSE)</f>
        <v>Mayor</v>
      </c>
      <c r="CW78" s="27" t="s">
        <v>834</v>
      </c>
      <c r="CX78" s="27">
        <f>VLOOKUP($A78,'[1]Raw Data'!$A$3:$FB$285,103,FALSE)</f>
        <v>9851151281</v>
      </c>
      <c r="CY78" s="27" t="str">
        <f>VLOOKUP($A78,'[1]Raw Data'!$A$3:$FB$285,105,FALSE)</f>
        <v>Krishna Maya Budhathoki</v>
      </c>
      <c r="CZ78" s="27" t="s">
        <v>1006</v>
      </c>
      <c r="DA78" s="27" t="str">
        <f>VLOOKUP($A78,'[1]Raw Data'!$A$3:$FB$285,106,FALSE)</f>
        <v>Deputy Mayor</v>
      </c>
      <c r="DB78" s="27" t="s">
        <v>888</v>
      </c>
      <c r="DC78" s="27">
        <f>VLOOKUP($A78,'[1]Raw Data'!$A$3:$FB$285,107,FALSE)</f>
        <v>9840115122</v>
      </c>
      <c r="DD78" s="27" t="str">
        <f>VLOOKUP($A78,'[1]Raw Data'!$A$3:$FB$285,109,FALSE)</f>
        <v>Jagat Prasad Bhusal</v>
      </c>
      <c r="DE78" s="27" t="s">
        <v>1007</v>
      </c>
      <c r="DF78" s="27" t="str">
        <f>VLOOKUP($A78,'[1]Raw Data'!$A$3:$FB$285,110,FALSE)</f>
        <v>Chief Adminstration Officer</v>
      </c>
      <c r="DG78" s="27" t="s">
        <v>880</v>
      </c>
      <c r="DH78" s="27">
        <f>VLOOKUP($A78,'[1]Raw Data'!$A$3:$FB$285,111,FALSE)</f>
        <v>9857035509</v>
      </c>
      <c r="DI78" s="27" t="str">
        <f>VLOOKUP($A78,'[1]Raw Data'!$A$3:$FB$285,121,FALSE)</f>
        <v>Chandra Bhusan Sah</v>
      </c>
      <c r="DJ78" s="27" t="s">
        <v>1008</v>
      </c>
      <c r="DK78" s="27" t="str">
        <f>VLOOKUP($A78,'[1]Raw Data'!$A$3:$FB$285,122,FALSE)</f>
        <v>Focal Person</v>
      </c>
      <c r="DL78" s="27" t="s">
        <v>881</v>
      </c>
      <c r="DM78" s="27">
        <f>VLOOKUP($A78,'[1]Raw Data'!$A$3:$FB$285,123,FALSE)</f>
        <v>9817853670</v>
      </c>
      <c r="DN78" s="27" t="str">
        <f>VLOOKUP($A78,'[1]Raw Data'!$A$3:$FB$285,113,FALSE)</f>
        <v>Nirmal Darshan Acharya</v>
      </c>
      <c r="DO78" s="27" t="s">
        <v>988</v>
      </c>
      <c r="DP78" s="27" t="str">
        <f>VLOOKUP($A78,'[1]Raw Data'!$A$3:$FB$285,114,FALSE)</f>
        <v>NRA Chief-District</v>
      </c>
      <c r="DQ78" s="27" t="s">
        <v>882</v>
      </c>
      <c r="DR78" s="27">
        <f>VLOOKUP($A78,'[1]Raw Data'!$A$3:$FB$285,115,FALSE)</f>
        <v>9854045832</v>
      </c>
      <c r="DS78" s="27" t="str">
        <f>VLOOKUP($A78,'[1]Raw Data'!$A$3:$FB$285,117,FALSE)</f>
        <v>Arjun Tamang</v>
      </c>
      <c r="DT78" s="27" t="s">
        <v>989</v>
      </c>
      <c r="DU78" s="27" t="str">
        <f>VLOOKUP($A78,'[1]Raw Data'!$A$3:$FB$285,118,FALSE)</f>
        <v>DUDBC.DLPIU Chief</v>
      </c>
      <c r="DV78" s="27" t="s">
        <v>883</v>
      </c>
      <c r="DW78" s="27">
        <f>VLOOKUP($A78,'[1]Raw Data'!$A$3:$FB$285,119,FALSE)</f>
        <v>9849246296</v>
      </c>
      <c r="DX78" s="27" t="s">
        <v>339</v>
      </c>
      <c r="DY78" s="27" t="str">
        <f>VLOOKUP($A78,'[1]Raw Data'!$A$3:$FB$285,124,FALSE)</f>
        <v/>
      </c>
      <c r="DZ78" s="27" t="s">
        <v>884</v>
      </c>
      <c r="EA78" s="27" t="str">
        <f>VLOOKUP($A78,'[1]Raw Data'!$A$3:$FB$285,125,FALSE)</f>
        <v/>
      </c>
      <c r="EB78" s="27" t="s">
        <v>341</v>
      </c>
      <c r="EC78" s="27" t="str">
        <f>VLOOKUP($A78,'[1]Raw Data'!$A$3:$FB$285,126,FALSE)</f>
        <v/>
      </c>
      <c r="ED78" t="s">
        <v>478</v>
      </c>
      <c r="EE78" s="27" t="str">
        <f>VLOOKUP($A78,'[1]Raw Data'!$A$3:$FB$285,127,FALSE)</f>
        <v/>
      </c>
      <c r="EF78" s="27" t="s">
        <v>343</v>
      </c>
      <c r="EG78" s="27" t="str">
        <f>VLOOKUP($A78,'[1]Raw Data'!$A$3:$FB$285,128,FALSE)</f>
        <v/>
      </c>
      <c r="EH78" t="s">
        <v>344</v>
      </c>
      <c r="EI78" s="27" t="str">
        <f>VLOOKUP($A78,'[1]Raw Data'!$A$3:$FB$285,129,FALSE)</f>
        <v/>
      </c>
      <c r="EM78" s="27" t="str">
        <f>VLOOKUP($A78,'[1]Raw Data'!$A$3:$FB$285,130,FALSE)</f>
        <v/>
      </c>
      <c r="EN78" s="27" t="str">
        <f>VLOOKUP($A78,'[1]Raw Data'!$A$3:$FB$285,131,FALSE)</f>
        <v/>
      </c>
      <c r="EO78" s="27" t="str">
        <f>VLOOKUP($A78,'[1]Raw Data'!$A$3:$FB$285,132,FALSE)</f>
        <v/>
      </c>
      <c r="EP78" s="27" t="str">
        <f>VLOOKUP($A78,'[1]Raw Data'!$A$3:$FB$285,133,FALSE)</f>
        <v/>
      </c>
      <c r="EQ78" s="27" t="str">
        <f>VLOOKUP($A78,'[1]Raw Data'!$A$3:$FB$285,134,FALSE)</f>
        <v/>
      </c>
      <c r="ER78" s="27" t="str">
        <f>VLOOKUP($A78,'[1]Raw Data'!$A$3:$FB$285,135,FALSE)</f>
        <v/>
      </c>
      <c r="ES78" s="27" t="str">
        <f>VLOOKUP($A78,'[1]Raw Data'!$A$3:$FB$285,136,FALSE)</f>
        <v/>
      </c>
      <c r="ET78" s="27" t="str">
        <f>VLOOKUP($A78,'[1]Raw Data'!$A$3:$FB$285,137,FALSE)</f>
        <v/>
      </c>
      <c r="EU78" s="27" t="str">
        <f>VLOOKUP($A78,'[1]Raw Data'!$A$3:$FB$285,138,FALSE)</f>
        <v/>
      </c>
      <c r="EV78" s="27" t="str">
        <f>VLOOKUP($A78,'[1]Raw Data'!$A$3:$FB$285,139,FALSE)</f>
        <v/>
      </c>
      <c r="EW78" s="38">
        <f>VLOOKUP($A78,[1]Training!$A$2:$I$284,5,FALSE)</f>
        <v>448.92307692307691</v>
      </c>
      <c r="EX78" s="31">
        <f>VLOOKUP($A78,[1]Training!$A$2:$I$284,6,FALSE)</f>
        <v>297</v>
      </c>
      <c r="EY78" s="38">
        <f>VLOOKUP($A78,[1]Training!$A$2:$I$284,8,FALSE)</f>
        <v>487.07747948254274</v>
      </c>
      <c r="EZ78" s="31">
        <f>VLOOKUP($A78,[1]Training!$A$2:$I$284,9,FALSE)</f>
        <v>18</v>
      </c>
      <c r="FA78" s="27">
        <v>1</v>
      </c>
      <c r="FB78" s="27">
        <v>2</v>
      </c>
      <c r="FC78" s="27" t="str">
        <f>VLOOKUP($A78,'[1]Raw Data'!$A$3:$FB$285,148,FALSE)</f>
        <v>Kamal Bahadur Mahat</v>
      </c>
      <c r="FD78" s="27" t="s">
        <v>990</v>
      </c>
      <c r="FE78" s="27" t="str">
        <f>VLOOKUP($A78,'[1]Raw Data'!$A$3:$FB$285,149,FALSE)</f>
        <v>District Coordinator</v>
      </c>
      <c r="FF78" s="27" t="s">
        <v>885</v>
      </c>
      <c r="FG78" s="27">
        <f>VLOOKUP($A78,'[1]Raw Data'!$A$3:$FB$285,150,FALSE)</f>
        <v>9841712677</v>
      </c>
      <c r="FH78" s="27" t="str">
        <f>VLOOKUP($A78,'[1]Raw Data'!$A$3:$FB$285,156,FALSE)</f>
        <v>Binod Kumar Kalauni</v>
      </c>
      <c r="FI78" s="27" t="s">
        <v>991</v>
      </c>
      <c r="FJ78" s="27" t="str">
        <f>VLOOKUP($A78,'[1]Raw Data'!$A$3:$FB$285,157,FALSE)</f>
        <v>District Technical Officer</v>
      </c>
      <c r="FK78" s="27" t="s">
        <v>886</v>
      </c>
      <c r="FL78" s="27">
        <f>VLOOKUP($A78,'[1]Raw Data'!$A$3:$FB$285,158,FALSE)</f>
        <v>9864291323</v>
      </c>
      <c r="FM78" s="27" t="str">
        <f>VLOOKUP($A78,'[1]Raw Data'!$A$3:$FB$285,152,FALSE)</f>
        <v>Ravi Pajiyar</v>
      </c>
      <c r="FN78" s="27" t="s">
        <v>992</v>
      </c>
      <c r="FO78" s="27" t="str">
        <f>VLOOKUP($A78,'[1]Raw Data'!$A$3:$FB$285,153,FALSE)</f>
        <v>DIstrict Information Management Officer</v>
      </c>
      <c r="FP78" s="27" t="s">
        <v>887</v>
      </c>
      <c r="FQ78" s="27">
        <f>VLOOKUP($A78,'[1]Raw Data'!$A$3:$FB$285,154,FALSE)</f>
        <v>9849829112</v>
      </c>
    </row>
    <row r="79" spans="1:173" ht="24" x14ac:dyDescent="0.45">
      <c r="A79" s="27">
        <v>22006</v>
      </c>
      <c r="B79" s="36" t="str">
        <f ca="1">IFERROR(__xludf.DUMMYFUNCTION("""COMPUTED_VALUE"""),"Kalinchok Gaunpalika")</f>
        <v>Kalinchok Gaunpalika</v>
      </c>
      <c r="C79" s="37" t="str">
        <f>VLOOKUP(A79,'[1]Palika and District in Nepali '!$D$1:$F$283,3,FALSE)</f>
        <v>कालिन्चोक गाउँपालिका</v>
      </c>
      <c r="D79" s="36" t="str">
        <f ca="1">IFERROR(__xludf.DUMMYFUNCTION("""COMPUTED_VALUE"""),"Dolakha")</f>
        <v>Dolakha</v>
      </c>
      <c r="E79" s="36"/>
      <c r="F79" s="27">
        <f>VLOOKUP(A79,'[1]Raw Data'!$A$3:$FB$285,4,FALSE)</f>
        <v>80</v>
      </c>
      <c r="G79" s="27">
        <f>VLOOKUP(A79,'[1]Raw Data'!$A$3:$FB$285,5,FALSE)</f>
        <v>7447</v>
      </c>
      <c r="H79" s="27">
        <f>VLOOKUP(A79,'[1]Raw Data'!$A$3:$FB$285,6,FALSE)</f>
        <v>7527</v>
      </c>
      <c r="I79" s="27">
        <f>VLOOKUP($A79,'[1]Raw Data'!$A$3:$FB$285,8,FALSE)</f>
        <v>0.32</v>
      </c>
      <c r="J79" s="27">
        <f>VLOOKUP($A79,'[1]Raw Data'!$A$3:$FB$285,9,FALSE)</f>
        <v>0.54</v>
      </c>
      <c r="K79" s="27">
        <f>VLOOKUP($A79,'[1]Raw Data'!$A$3:$FB$285,11,FALSE)</f>
        <v>98.71</v>
      </c>
      <c r="L79" s="27">
        <f>VLOOKUP($A79,'[1]Raw Data'!$A$3:$FB$285,12,FALSE)</f>
        <v>94.39</v>
      </c>
      <c r="M79" s="27">
        <f>VLOOKUP($A79,'[1]Raw Data'!$A$3:$FB$285,14,FALSE)</f>
        <v>7.0000000000000007E-2</v>
      </c>
      <c r="N79" s="27">
        <f>VLOOKUP($A79,'[1]Raw Data'!$A$3:$FB$285,15,FALSE)</f>
        <v>1.54</v>
      </c>
      <c r="O79" s="27">
        <f>VLOOKUP($A79,'[1]Raw Data'!$A$3:$FB$285,17,FALSE)</f>
        <v>0.04</v>
      </c>
      <c r="P79" s="27">
        <f>VLOOKUP($A79,'[1]Raw Data'!$A$3:$FB$285,18,FALSE)</f>
        <v>0.04</v>
      </c>
      <c r="Q79" s="27">
        <f>VLOOKUP($A79,'[1]Raw Data'!$A$3:$FB$285,20,FALSE)</f>
        <v>0.36</v>
      </c>
      <c r="R79" s="27">
        <f>VLOOKUP($A79,'[1]Raw Data'!$A$3:$FB$285,21,FALSE)</f>
        <v>0.67</v>
      </c>
      <c r="S79" s="27">
        <f>VLOOKUP($A79,'[1]Raw Data'!$A$3:$FB$285,23,FALSE)</f>
        <v>0</v>
      </c>
      <c r="T79" s="27">
        <f>VLOOKUP($A79,'[1]Raw Data'!$A$3:$FB$285,24,FALSE)</f>
        <v>0</v>
      </c>
      <c r="U79" s="27">
        <f>VLOOKUP($A79,'[1]Raw Data'!$A$3:$FB$285,26,FALSE)</f>
        <v>0.25</v>
      </c>
      <c r="V79" s="27">
        <f>VLOOKUP($A79,'[1]Raw Data'!$A$3:$FB$285,27,FALSE)</f>
        <v>0.64</v>
      </c>
      <c r="W79" s="27">
        <f>VLOOKUP($A79,'[1]Raw Data'!$A$3:$FB$285,29,FALSE)</f>
        <v>0</v>
      </c>
      <c r="X79" s="27">
        <f>VLOOKUP($A79,'[1]Raw Data'!$A$3:$FB$285,30,FALSE)</f>
        <v>0</v>
      </c>
      <c r="Y79" s="27">
        <f>VLOOKUP($A79,'[1]Raw Data'!$A$3:$FB$285,32,FALSE)</f>
        <v>7.0000000000000007E-2</v>
      </c>
      <c r="Z79" s="27">
        <f>VLOOKUP($A79,'[1]Raw Data'!$A$3:$FB$285,33,FALSE)</f>
        <v>0.35</v>
      </c>
      <c r="AA79" s="27">
        <f>VLOOKUP($A79,'[1]Raw Data'!$A$3:$FB$285,35,FALSE)</f>
        <v>0.16</v>
      </c>
      <c r="AB79" s="27">
        <f>VLOOKUP($A79,'[1]Raw Data'!$A$3:$FB$285,36,FALSE)</f>
        <v>1.71</v>
      </c>
      <c r="AC79" s="27">
        <f>VLOOKUP($A79,'[1]Raw Data'!$A$3:$FB$285,38,FALSE)</f>
        <v>0.03</v>
      </c>
      <c r="AD79" s="27">
        <f>VLOOKUP($A79,'[1]Raw Data'!$A$3:$FB$285,39,FALSE)</f>
        <v>0.13</v>
      </c>
      <c r="AE79" s="27">
        <f>VLOOKUP($A79,'[1]Raw Data'!$A$3:$FB$285,41,FALSE)</f>
        <v>0</v>
      </c>
      <c r="AF79" s="27">
        <f>VLOOKUP($A79,'[1]Raw Data'!$A$3:$FB$285,42,FALSE)</f>
        <v>0</v>
      </c>
      <c r="AG79" s="27">
        <f>VLOOKUP($A79,'[1]Raw Data'!$A$3:$FB$285,44,FALSE)</f>
        <v>0</v>
      </c>
      <c r="AH79" s="27">
        <f>VLOOKUP($A79,'[1]Raw Data'!$A$3:$FB$285,45,FALSE)</f>
        <v>0</v>
      </c>
      <c r="AI79" s="27">
        <f>VLOOKUP($A79,'[1]Raw Data'!$A$3:$FB$285,46,FALSE)</f>
        <v>8914</v>
      </c>
      <c r="AJ79" s="27">
        <f>VLOOKUP($A79,'[1]Raw Data'!$A$3:$FB$285,47,FALSE)</f>
        <v>8395</v>
      </c>
      <c r="AK79" s="27">
        <f>VLOOKUP($A79,'[1]Raw Data'!$A$3:$FB$285,48,FALSE)</f>
        <v>8388</v>
      </c>
      <c r="AL79" s="27">
        <f>VLOOKUP($A79,'[1]Raw Data'!$A$3:$FB$285,49,FALSE)</f>
        <v>7395</v>
      </c>
      <c r="AM79" s="27">
        <f>VLOOKUP($A79,'[1]Raw Data'!$A$3:$FB$285,50,FALSE)</f>
        <v>6836</v>
      </c>
      <c r="AN79" s="27">
        <f>VLOOKUP($A79,'[1]Raw Data'!$A$3:$FB$285,51,FALSE)</f>
        <v>6514</v>
      </c>
      <c r="AO79" s="27">
        <f>VLOOKUP($A79,'[1]Raw Data'!$A$3:$FB$285,52,FALSE)</f>
        <v>6572</v>
      </c>
      <c r="AP79" s="27">
        <f>VLOOKUP($A79,'[1]Raw Data'!$A$3:$FB$285,53,FALSE)</f>
        <v>32</v>
      </c>
      <c r="AQ79" s="27">
        <f>VLOOKUP($A79,'[1]Raw Data'!$A$3:$FB$285,54,FALSE)</f>
        <v>32</v>
      </c>
      <c r="AR79" s="27">
        <f>VLOOKUP($A79,'[1]Raw Data'!$A$3:$FB$285,55,FALSE)</f>
        <v>1</v>
      </c>
      <c r="AS79" s="27" t="str">
        <f>VLOOKUP($A79,'[1]Raw Data'!$A$3:$FB$285,56,FALSE)</f>
        <v/>
      </c>
      <c r="AT79" s="27">
        <f>VLOOKUP($A79,'[1]Raw Data'!$A$3:$FB$285,57,FALSE)</f>
        <v>0</v>
      </c>
      <c r="AU79" s="27">
        <f>VLOOKUP($A79,'[1]Raw Data'!$A$3:$FB$285,58,FALSE)</f>
        <v>1238</v>
      </c>
      <c r="AV79" s="27" t="str">
        <f>VLOOKUP($A79,'[1]Raw Data'!$A$3:$FB$285,59,FALSE)</f>
        <v/>
      </c>
      <c r="AW79" s="27" t="str">
        <f>VLOOKUP($A79,'[1]Raw Data'!$A$3:$FB$285,60,FALSE)</f>
        <v/>
      </c>
      <c r="AX79" s="27" t="str">
        <f>VLOOKUP(A79,'[1]PO''s List'!A77:E359,4,FALSE)</f>
        <v>NRCS(Education,Employment ,Health,Shelter,Health),NSET(Shelter)</v>
      </c>
      <c r="AZ79" s="27" t="str">
        <f>VLOOKUP(A79,'[1]PO''s List'!$A$3:$E$285,5,FALSE)</f>
        <v>AA(DRR,Education,Employment ,GESI),AATWIN(Social Protection),CA(Shelter,Health),CWIN(Education),GAN(Shelter),HI(DRR),IOM(Shelter),Nyayik(Livelihood,Education,GESI),PLAN(Education,GESI,Health,Shelter,Health),PutaliS(Education),RCJ(Education)</v>
      </c>
      <c r="BB79" s="27">
        <f>VLOOKUP($A79,'[1]Raw Data'!$A$3:$FB$285,63,FALSE)</f>
        <v>195580</v>
      </c>
      <c r="BC79" s="27" t="str">
        <f>VLOOKUP($A79,'[1]Raw Data'!$A$3:$FB$285,64,FALSE)</f>
        <v>Y</v>
      </c>
      <c r="BD79" s="27" t="str">
        <f t="shared" si="9"/>
        <v>छ</v>
      </c>
      <c r="BE79" s="27" t="str">
        <f>VLOOKUP($A79,'[1]Raw Data'!$A$3:$FB$285,65,FALSE)</f>
        <v/>
      </c>
      <c r="BF79" s="27">
        <f>VLOOKUP($A79,'[1]Raw Data'!$A$3:$FB$285,66,FALSE)</f>
        <v>201529</v>
      </c>
      <c r="BG79" s="27" t="str">
        <f>VLOOKUP($A79,'[1]Raw Data'!$A$3:$FB$285,67,FALSE)</f>
        <v>Y</v>
      </c>
      <c r="BH79" s="27" t="str">
        <f t="shared" si="10"/>
        <v>छ</v>
      </c>
      <c r="BI79" s="27" t="str">
        <f>VLOOKUP($A79,'[1]Raw Data'!$A$3:$FB$285,68,FALSE)</f>
        <v/>
      </c>
      <c r="BJ79" s="27">
        <f>VLOOKUP($A79,'[1]Raw Data'!$A$3:$FB$285,69,FALSE)</f>
        <v>20887</v>
      </c>
      <c r="BK79" s="27" t="str">
        <f>VLOOKUP($A79,'[1]Raw Data'!$A$3:$FB$285,70,FALSE)</f>
        <v>Y</v>
      </c>
      <c r="BL79" s="27" t="str">
        <f t="shared" si="11"/>
        <v>छ</v>
      </c>
      <c r="BM79" s="27" t="str">
        <f>VLOOKUP($A79,'[1]Raw Data'!$A$3:$FB$285,71,FALSE)</f>
        <v/>
      </c>
      <c r="BN79" s="27">
        <f>VLOOKUP($A79,'[1]Raw Data'!$A$3:$FB$285,72,FALSE)</f>
        <v>24120</v>
      </c>
      <c r="BO79" s="27" t="str">
        <f>VLOOKUP($A79,'[1]Raw Data'!$A$3:$FB$285,73,FALSE)</f>
        <v/>
      </c>
      <c r="BP79" s="27" t="str">
        <f t="shared" si="12"/>
        <v/>
      </c>
      <c r="BQ79" s="27" t="str">
        <f>VLOOKUP($A79,'[1]Raw Data'!$A$3:$FB$285,74,FALSE)</f>
        <v/>
      </c>
      <c r="BR79" s="27" t="str">
        <f>VLOOKUP($A79,'[1]Raw Data'!$A$3:$FB$285,75,FALSE)</f>
        <v/>
      </c>
      <c r="BS79" s="27" t="str">
        <f>VLOOKUP($A79,'[1]Raw Data'!$A$3:$FB$285,76,FALSE)</f>
        <v/>
      </c>
      <c r="BT79" s="27" t="str">
        <f t="shared" si="13"/>
        <v/>
      </c>
      <c r="BU79" s="27" t="str">
        <f>VLOOKUP($A79,'[1]Raw Data'!$A$3:$FB$285,77,FALSE)</f>
        <v/>
      </c>
      <c r="BV79" s="27">
        <f>VLOOKUP($A79,'[1]Raw Data'!$A$3:$FB$285,78,FALSE)</f>
        <v>664439</v>
      </c>
      <c r="BW79" s="27" t="str">
        <f>VLOOKUP($A79,'[1]Raw Data'!$A$3:$FB$285,79,FALSE)</f>
        <v/>
      </c>
      <c r="BX79" s="27" t="str">
        <f t="shared" si="14"/>
        <v/>
      </c>
      <c r="BY79" s="27" t="str">
        <f>VLOOKUP($A79,'[1]Raw Data'!$A$3:$FB$285,80,FALSE)</f>
        <v/>
      </c>
      <c r="BZ79" s="27">
        <f>VLOOKUP($A79,'[1]Raw Data'!$A$3:$FB$285,81,FALSE)</f>
        <v>2114511</v>
      </c>
      <c r="CA79" s="27" t="str">
        <f>VLOOKUP($A79,'[1]Raw Data'!$A$3:$FB$285,82,FALSE)</f>
        <v/>
      </c>
      <c r="CB79" s="27" t="str">
        <f t="shared" si="15"/>
        <v/>
      </c>
      <c r="CC79" s="27" t="str">
        <f>VLOOKUP($A79,'[1]Raw Data'!$A$3:$FB$285,83,FALSE)</f>
        <v/>
      </c>
      <c r="CD79" s="27">
        <f>VLOOKUP($A79,'[1]Raw Data'!$A$3:$FB$285,84,FALSE)</f>
        <v>27138</v>
      </c>
      <c r="CE79" s="27" t="str">
        <f>VLOOKUP($A79,'[1]Raw Data'!$A$3:$FB$285,85,FALSE)</f>
        <v/>
      </c>
      <c r="CF79" s="27" t="str">
        <f t="shared" si="16"/>
        <v/>
      </c>
      <c r="CG79" s="27" t="str">
        <f>VLOOKUP($A79,'[1]Raw Data'!$A$3:$FB$285,86,FALSE)</f>
        <v/>
      </c>
      <c r="CH79" s="27">
        <f>VLOOKUP($A79,'[1]Raw Data'!$A$3:$FB$285,87,FALSE)</f>
        <v>1381601</v>
      </c>
      <c r="CI79" s="27" t="str">
        <f>VLOOKUP($A79,'[1]Raw Data'!$A$3:$FB$285,88,FALSE)</f>
        <v/>
      </c>
      <c r="CJ79" s="27" t="str">
        <f t="shared" si="17"/>
        <v/>
      </c>
      <c r="CK79" s="27" t="str">
        <f>VLOOKUP($A79,'[1]Raw Data'!$A$3:$FB$285,89,FALSE)</f>
        <v/>
      </c>
      <c r="CL79" s="27" t="str">
        <f>VLOOKUP($A79,'[1]Raw Data'!$A$3:$FB$285,91,FALSE)</f>
        <v/>
      </c>
      <c r="CM79" s="27" t="str">
        <f>VLOOKUP($A79,'[1]Raw Data'!$A$3:$FB$285,93,FALSE)</f>
        <v/>
      </c>
      <c r="CN79" s="27" t="str">
        <f>VLOOKUP($A79,'[1]Raw Data'!$A$3:$FB$285,94,FALSE)</f>
        <v/>
      </c>
      <c r="CO79" s="27" t="str">
        <f>VLOOKUP($A79,'[1]Raw Data'!$A$3:$FB$285,95,FALSE)</f>
        <v/>
      </c>
      <c r="CP79" s="27" t="str">
        <f>VLOOKUP($A79,'[1]Raw Data'!$A$3:$FB$285,96,FALSE)</f>
        <v/>
      </c>
      <c r="CQ79" s="27" t="str">
        <f>VLOOKUP($A79,'[1]Raw Data'!$A$3:$FB$285,97,FALSE)</f>
        <v/>
      </c>
      <c r="CR79" s="27" t="str">
        <f>VLOOKUP($A79,'[1]Raw Data'!$A$3:$FB$285,98,FALSE)</f>
        <v/>
      </c>
      <c r="CS79" s="27" t="str">
        <f>VLOOKUP($A79,'[1]Raw Data'!$A$3:$FB$285,99,FALSE)</f>
        <v/>
      </c>
      <c r="CT79" s="27" t="str">
        <f>VLOOKUP($A79,'[1]Raw Data'!$A$3:$FB$285,101,FALSE)</f>
        <v>Bin Kumar Thami</v>
      </c>
      <c r="CU79" s="27" t="s">
        <v>1009</v>
      </c>
      <c r="CV79" s="27" t="str">
        <f>VLOOKUP($A79,'[1]Raw Data'!$A$3:$FB$285,102,FALSE)</f>
        <v>Chairman</v>
      </c>
      <c r="CW79" s="27" t="s">
        <v>878</v>
      </c>
      <c r="CX79" s="27">
        <f>VLOOKUP($A79,'[1]Raw Data'!$A$3:$FB$285,103,FALSE)</f>
        <v>9851144523</v>
      </c>
      <c r="CY79" s="27" t="str">
        <f>VLOOKUP($A79,'[1]Raw Data'!$A$3:$FB$285,105,FALSE)</f>
        <v>Kalika Pathak</v>
      </c>
      <c r="CZ79" s="27" t="s">
        <v>1010</v>
      </c>
      <c r="DA79" s="27" t="str">
        <f>VLOOKUP($A79,'[1]Raw Data'!$A$3:$FB$285,106,FALSE)</f>
        <v>Deputy Chairman</v>
      </c>
      <c r="DB79" s="27" t="s">
        <v>879</v>
      </c>
      <c r="DC79" s="27">
        <f>VLOOKUP($A79,'[1]Raw Data'!$A$3:$FB$285,107,FALSE)</f>
        <v>9851130443</v>
      </c>
      <c r="DD79" s="27" t="str">
        <f>VLOOKUP($A79,'[1]Raw Data'!$A$3:$FB$285,109,FALSE)</f>
        <v>Suraj Aryal</v>
      </c>
      <c r="DE79" s="27" t="s">
        <v>1011</v>
      </c>
      <c r="DF79" s="27" t="str">
        <f>VLOOKUP($A79,'[1]Raw Data'!$A$3:$FB$285,110,FALSE)</f>
        <v>Chief Adminstration Officer</v>
      </c>
      <c r="DG79" s="27" t="s">
        <v>880</v>
      </c>
      <c r="DH79" s="27">
        <f>VLOOKUP($A79,'[1]Raw Data'!$A$3:$FB$285,111,FALSE)</f>
        <v>9851249209</v>
      </c>
      <c r="DI79" s="27" t="str">
        <f>VLOOKUP($A79,'[1]Raw Data'!$A$3:$FB$285,121,FALSE)</f>
        <v>Aaisa Joshi</v>
      </c>
      <c r="DJ79" s="27" t="s">
        <v>1012</v>
      </c>
      <c r="DK79" s="27" t="str">
        <f>VLOOKUP($A79,'[1]Raw Data'!$A$3:$FB$285,122,FALSE)</f>
        <v>Focal Person</v>
      </c>
      <c r="DL79" s="27" t="s">
        <v>881</v>
      </c>
      <c r="DM79" s="27">
        <f>VLOOKUP($A79,'[1]Raw Data'!$A$3:$FB$285,123,FALSE)</f>
        <v>9845399622</v>
      </c>
      <c r="DN79" s="27" t="str">
        <f>VLOOKUP($A79,'[1]Raw Data'!$A$3:$FB$285,113,FALSE)</f>
        <v>Nirmal Darshan Acharya</v>
      </c>
      <c r="DO79" s="27" t="s">
        <v>988</v>
      </c>
      <c r="DP79" s="27" t="str">
        <f>VLOOKUP($A79,'[1]Raw Data'!$A$3:$FB$285,114,FALSE)</f>
        <v>NRA Chief-District</v>
      </c>
      <c r="DQ79" s="27" t="s">
        <v>882</v>
      </c>
      <c r="DR79" s="27">
        <f>VLOOKUP($A79,'[1]Raw Data'!$A$3:$FB$285,115,FALSE)</f>
        <v>9854045832</v>
      </c>
      <c r="DS79" s="27" t="str">
        <f>VLOOKUP($A79,'[1]Raw Data'!$A$3:$FB$285,117,FALSE)</f>
        <v>Arjun Tamang</v>
      </c>
      <c r="DT79" s="27" t="s">
        <v>989</v>
      </c>
      <c r="DU79" s="27" t="str">
        <f>VLOOKUP($A79,'[1]Raw Data'!$A$3:$FB$285,118,FALSE)</f>
        <v>DUDBC.DLPIU Chief</v>
      </c>
      <c r="DV79" s="27" t="s">
        <v>883</v>
      </c>
      <c r="DW79" s="27">
        <f>VLOOKUP($A79,'[1]Raw Data'!$A$3:$FB$285,119,FALSE)</f>
        <v>9849246296</v>
      </c>
      <c r="DX79" s="27" t="s">
        <v>339</v>
      </c>
      <c r="DY79" s="27" t="str">
        <f>VLOOKUP($A79,'[1]Raw Data'!$A$3:$FB$285,124,FALSE)</f>
        <v/>
      </c>
      <c r="DZ79" s="27" t="s">
        <v>884</v>
      </c>
      <c r="EA79" s="27" t="str">
        <f>VLOOKUP($A79,'[1]Raw Data'!$A$3:$FB$285,125,FALSE)</f>
        <v/>
      </c>
      <c r="EB79" s="27" t="s">
        <v>341</v>
      </c>
      <c r="EC79" s="27" t="str">
        <f>VLOOKUP($A79,'[1]Raw Data'!$A$3:$FB$285,126,FALSE)</f>
        <v/>
      </c>
      <c r="ED79" t="s">
        <v>478</v>
      </c>
      <c r="EE79" s="27" t="str">
        <f>VLOOKUP($A79,'[1]Raw Data'!$A$3:$FB$285,127,FALSE)</f>
        <v/>
      </c>
      <c r="EF79" s="27" t="s">
        <v>343</v>
      </c>
      <c r="EG79" s="27" t="str">
        <f>VLOOKUP($A79,'[1]Raw Data'!$A$3:$FB$285,128,FALSE)</f>
        <v/>
      </c>
      <c r="EH79" t="s">
        <v>344</v>
      </c>
      <c r="EI79" s="27" t="str">
        <f>VLOOKUP($A79,'[1]Raw Data'!$A$3:$FB$285,129,FALSE)</f>
        <v/>
      </c>
      <c r="EM79" s="27" t="str">
        <f>VLOOKUP($A79,'[1]Raw Data'!$A$3:$FB$285,130,FALSE)</f>
        <v/>
      </c>
      <c r="EN79" s="27" t="str">
        <f>VLOOKUP($A79,'[1]Raw Data'!$A$3:$FB$285,131,FALSE)</f>
        <v/>
      </c>
      <c r="EO79" s="27" t="str">
        <f>VLOOKUP($A79,'[1]Raw Data'!$A$3:$FB$285,132,FALSE)</f>
        <v/>
      </c>
      <c r="EP79" s="27" t="str">
        <f>VLOOKUP($A79,'[1]Raw Data'!$A$3:$FB$285,133,FALSE)</f>
        <v/>
      </c>
      <c r="EQ79" s="27" t="str">
        <f>VLOOKUP($A79,'[1]Raw Data'!$A$3:$FB$285,134,FALSE)</f>
        <v/>
      </c>
      <c r="ER79" s="27" t="str">
        <f>VLOOKUP($A79,'[1]Raw Data'!$A$3:$FB$285,135,FALSE)</f>
        <v/>
      </c>
      <c r="ES79" s="27" t="str">
        <f>VLOOKUP($A79,'[1]Raw Data'!$A$3:$FB$285,136,FALSE)</f>
        <v/>
      </c>
      <c r="ET79" s="27" t="str">
        <f>VLOOKUP($A79,'[1]Raw Data'!$A$3:$FB$285,137,FALSE)</f>
        <v/>
      </c>
      <c r="EU79" s="27" t="str">
        <f>VLOOKUP($A79,'[1]Raw Data'!$A$3:$FB$285,138,FALSE)</f>
        <v/>
      </c>
      <c r="EV79" s="27" t="str">
        <f>VLOOKUP($A79,'[1]Raw Data'!$A$3:$FB$285,139,FALSE)</f>
        <v/>
      </c>
      <c r="EW79" s="38">
        <f>VLOOKUP($A79,[1]Training!$A$2:$I$284,5,FALSE)</f>
        <v>682.07692307692309</v>
      </c>
      <c r="EX79" s="31">
        <f>VLOOKUP($A79,[1]Training!$A$2:$I$284,6,FALSE)</f>
        <v>542</v>
      </c>
      <c r="EY79" s="38">
        <f>VLOOKUP($A79,[1]Training!$A$2:$I$284,8,FALSE)</f>
        <v>740.0472944776742</v>
      </c>
      <c r="EZ79" s="31">
        <f>VLOOKUP($A79,[1]Training!$A$2:$I$284,9,FALSE)</f>
        <v>0</v>
      </c>
      <c r="FA79" s="27">
        <v>1</v>
      </c>
      <c r="FB79" s="27">
        <v>2</v>
      </c>
      <c r="FC79" s="27" t="str">
        <f>VLOOKUP($A79,'[1]Raw Data'!$A$3:$FB$285,148,FALSE)</f>
        <v>Kamal Bahadur Mahat</v>
      </c>
      <c r="FD79" s="27" t="s">
        <v>990</v>
      </c>
      <c r="FE79" s="27" t="str">
        <f>VLOOKUP($A79,'[1]Raw Data'!$A$3:$FB$285,149,FALSE)</f>
        <v>District Coordinator</v>
      </c>
      <c r="FF79" s="27" t="s">
        <v>885</v>
      </c>
      <c r="FG79" s="27">
        <f>VLOOKUP($A79,'[1]Raw Data'!$A$3:$FB$285,150,FALSE)</f>
        <v>9841712677</v>
      </c>
      <c r="FH79" s="27" t="str">
        <f>VLOOKUP($A79,'[1]Raw Data'!$A$3:$FB$285,156,FALSE)</f>
        <v>Binod Kumar Kalauni</v>
      </c>
      <c r="FI79" s="27" t="s">
        <v>991</v>
      </c>
      <c r="FJ79" s="27" t="str">
        <f>VLOOKUP($A79,'[1]Raw Data'!$A$3:$FB$285,157,FALSE)</f>
        <v>District Technical Officer</v>
      </c>
      <c r="FK79" s="27" t="s">
        <v>886</v>
      </c>
      <c r="FL79" s="27">
        <f>VLOOKUP($A79,'[1]Raw Data'!$A$3:$FB$285,158,FALSE)</f>
        <v>9864291323</v>
      </c>
      <c r="FM79" s="27" t="str">
        <f>VLOOKUP($A79,'[1]Raw Data'!$A$3:$FB$285,152,FALSE)</f>
        <v>Ravi Pajiyar</v>
      </c>
      <c r="FN79" s="27" t="s">
        <v>992</v>
      </c>
      <c r="FO79" s="27" t="str">
        <f>VLOOKUP($A79,'[1]Raw Data'!$A$3:$FB$285,153,FALSE)</f>
        <v>DIstrict Information Management Officer</v>
      </c>
      <c r="FP79" s="27" t="s">
        <v>887</v>
      </c>
      <c r="FQ79" s="27">
        <f>VLOOKUP($A79,'[1]Raw Data'!$A$3:$FB$285,154,FALSE)</f>
        <v>9849829112</v>
      </c>
    </row>
    <row r="80" spans="1:173" ht="24" x14ac:dyDescent="0.45">
      <c r="A80" s="27">
        <v>22007</v>
      </c>
      <c r="B80" s="36" t="str">
        <f ca="1">IFERROR(__xludf.DUMMYFUNCTION("""COMPUTED_VALUE"""),"Melung Gaunpalika")</f>
        <v>Melung Gaunpalika</v>
      </c>
      <c r="C80" s="37" t="str">
        <f>VLOOKUP(A80,'[1]Palika and District in Nepali '!$D$1:$F$283,3,FALSE)</f>
        <v>मेलुंङ गाउँपालिका</v>
      </c>
      <c r="D80" s="36" t="str">
        <f ca="1">IFERROR(__xludf.DUMMYFUNCTION("""COMPUTED_VALUE"""),"Dolakha")</f>
        <v>Dolakha</v>
      </c>
      <c r="E80" s="36"/>
      <c r="F80" s="27">
        <f>VLOOKUP(A80,'[1]Raw Data'!$A$3:$FB$285,4,FALSE)</f>
        <v>884</v>
      </c>
      <c r="G80" s="27">
        <f>VLOOKUP(A80,'[1]Raw Data'!$A$3:$FB$285,5,FALSE)</f>
        <v>6122</v>
      </c>
      <c r="H80" s="27">
        <f>VLOOKUP(A80,'[1]Raw Data'!$A$3:$FB$285,6,FALSE)</f>
        <v>7006</v>
      </c>
      <c r="I80" s="27">
        <f>VLOOKUP($A80,'[1]Raw Data'!$A$3:$FB$285,8,FALSE)</f>
        <v>0.28999999999999998</v>
      </c>
      <c r="J80" s="27">
        <f>VLOOKUP($A80,'[1]Raw Data'!$A$3:$FB$285,9,FALSE)</f>
        <v>0.54</v>
      </c>
      <c r="K80" s="27">
        <f>VLOOKUP($A80,'[1]Raw Data'!$A$3:$FB$285,11,FALSE)</f>
        <v>99.13</v>
      </c>
      <c r="L80" s="27">
        <f>VLOOKUP($A80,'[1]Raw Data'!$A$3:$FB$285,12,FALSE)</f>
        <v>94.39</v>
      </c>
      <c r="M80" s="27">
        <f>VLOOKUP($A80,'[1]Raw Data'!$A$3:$FB$285,14,FALSE)</f>
        <v>0.1</v>
      </c>
      <c r="N80" s="27">
        <f>VLOOKUP($A80,'[1]Raw Data'!$A$3:$FB$285,15,FALSE)</f>
        <v>1.54</v>
      </c>
      <c r="O80" s="27">
        <f>VLOOKUP($A80,'[1]Raw Data'!$A$3:$FB$285,17,FALSE)</f>
        <v>0.03</v>
      </c>
      <c r="P80" s="27">
        <f>VLOOKUP($A80,'[1]Raw Data'!$A$3:$FB$285,18,FALSE)</f>
        <v>0.04</v>
      </c>
      <c r="Q80" s="27">
        <f>VLOOKUP($A80,'[1]Raw Data'!$A$3:$FB$285,20,FALSE)</f>
        <v>0.03</v>
      </c>
      <c r="R80" s="27">
        <f>VLOOKUP($A80,'[1]Raw Data'!$A$3:$FB$285,21,FALSE)</f>
        <v>0.67</v>
      </c>
      <c r="S80" s="27">
        <f>VLOOKUP($A80,'[1]Raw Data'!$A$3:$FB$285,23,FALSE)</f>
        <v>0</v>
      </c>
      <c r="T80" s="27">
        <f>VLOOKUP($A80,'[1]Raw Data'!$A$3:$FB$285,24,FALSE)</f>
        <v>0</v>
      </c>
      <c r="U80" s="27">
        <f>VLOOKUP($A80,'[1]Raw Data'!$A$3:$FB$285,26,FALSE)</f>
        <v>0.09</v>
      </c>
      <c r="V80" s="27">
        <f>VLOOKUP($A80,'[1]Raw Data'!$A$3:$FB$285,27,FALSE)</f>
        <v>0.64</v>
      </c>
      <c r="W80" s="27">
        <f>VLOOKUP($A80,'[1]Raw Data'!$A$3:$FB$285,29,FALSE)</f>
        <v>0</v>
      </c>
      <c r="X80" s="27">
        <f>VLOOKUP($A80,'[1]Raw Data'!$A$3:$FB$285,30,FALSE)</f>
        <v>0</v>
      </c>
      <c r="Y80" s="27">
        <f>VLOOKUP($A80,'[1]Raw Data'!$A$3:$FB$285,32,FALSE)</f>
        <v>0.13</v>
      </c>
      <c r="Z80" s="27">
        <f>VLOOKUP($A80,'[1]Raw Data'!$A$3:$FB$285,33,FALSE)</f>
        <v>0.35</v>
      </c>
      <c r="AA80" s="27">
        <f>VLOOKUP($A80,'[1]Raw Data'!$A$3:$FB$285,35,FALSE)</f>
        <v>7.0000000000000007E-2</v>
      </c>
      <c r="AB80" s="27">
        <f>VLOOKUP($A80,'[1]Raw Data'!$A$3:$FB$285,36,FALSE)</f>
        <v>1.71</v>
      </c>
      <c r="AC80" s="27">
        <f>VLOOKUP($A80,'[1]Raw Data'!$A$3:$FB$285,38,FALSE)</f>
        <v>0.14000000000000001</v>
      </c>
      <c r="AD80" s="27">
        <f>VLOOKUP($A80,'[1]Raw Data'!$A$3:$FB$285,39,FALSE)</f>
        <v>0.13</v>
      </c>
      <c r="AE80" s="27">
        <f>VLOOKUP($A80,'[1]Raw Data'!$A$3:$FB$285,41,FALSE)</f>
        <v>0</v>
      </c>
      <c r="AF80" s="27">
        <f>VLOOKUP($A80,'[1]Raw Data'!$A$3:$FB$285,42,FALSE)</f>
        <v>0</v>
      </c>
      <c r="AG80" s="27">
        <f>VLOOKUP($A80,'[1]Raw Data'!$A$3:$FB$285,44,FALSE)</f>
        <v>0</v>
      </c>
      <c r="AH80" s="27">
        <f>VLOOKUP($A80,'[1]Raw Data'!$A$3:$FB$285,45,FALSE)</f>
        <v>0</v>
      </c>
      <c r="AI80" s="27">
        <f>VLOOKUP($A80,'[1]Raw Data'!$A$3:$FB$285,46,FALSE)</f>
        <v>7607</v>
      </c>
      <c r="AJ80" s="27">
        <f>VLOOKUP($A80,'[1]Raw Data'!$A$3:$FB$285,47,FALSE)</f>
        <v>6935</v>
      </c>
      <c r="AK80" s="27">
        <f>VLOOKUP($A80,'[1]Raw Data'!$A$3:$FB$285,48,FALSE)</f>
        <v>6534</v>
      </c>
      <c r="AL80" s="27">
        <f>VLOOKUP($A80,'[1]Raw Data'!$A$3:$FB$285,49,FALSE)</f>
        <v>5673</v>
      </c>
      <c r="AM80" s="27">
        <f>VLOOKUP($A80,'[1]Raw Data'!$A$3:$FB$285,50,FALSE)</f>
        <v>4723</v>
      </c>
      <c r="AN80" s="27">
        <f>VLOOKUP($A80,'[1]Raw Data'!$A$3:$FB$285,51,FALSE)</f>
        <v>4325</v>
      </c>
      <c r="AO80" s="27">
        <f>VLOOKUP($A80,'[1]Raw Data'!$A$3:$FB$285,52,FALSE)</f>
        <v>2327</v>
      </c>
      <c r="AP80" s="27">
        <f>VLOOKUP($A80,'[1]Raw Data'!$A$3:$FB$285,53,FALSE)</f>
        <v>402</v>
      </c>
      <c r="AQ80" s="27">
        <f>VLOOKUP($A80,'[1]Raw Data'!$A$3:$FB$285,54,FALSE)</f>
        <v>426</v>
      </c>
      <c r="AR80" s="27">
        <f>VLOOKUP($A80,'[1]Raw Data'!$A$3:$FB$285,55,FALSE)</f>
        <v>8</v>
      </c>
      <c r="AS80" s="27" t="str">
        <f>VLOOKUP($A80,'[1]Raw Data'!$A$3:$FB$285,56,FALSE)</f>
        <v/>
      </c>
      <c r="AT80" s="27">
        <f>VLOOKUP($A80,'[1]Raw Data'!$A$3:$FB$285,57,FALSE)</f>
        <v>0</v>
      </c>
      <c r="AU80" s="27">
        <f>VLOOKUP($A80,'[1]Raw Data'!$A$3:$FB$285,58,FALSE)</f>
        <v>1182</v>
      </c>
      <c r="AV80" s="27" t="str">
        <f>VLOOKUP($A80,'[1]Raw Data'!$A$3:$FB$285,59,FALSE)</f>
        <v/>
      </c>
      <c r="AW80" s="27" t="str">
        <f>VLOOKUP($A80,'[1]Raw Data'!$A$3:$FB$285,60,FALSE)</f>
        <v/>
      </c>
      <c r="AX80" s="27" t="str">
        <f>VLOOKUP(A80,'[1]PO''s List'!A78:E360,4,FALSE)</f>
        <v>NSET(Shelter)</v>
      </c>
      <c r="AZ80" s="27" t="str">
        <f>VLOOKUP(A80,'[1]PO''s List'!$A$3:$E$285,5,FALSE)</f>
        <v>AA(Shelter),CW(Education,Shelter),GON - DUDBC(Shelter),MC(Shelter),NRCS(Shelter),PLAN(Energy,GESI,Shelter,Health)</v>
      </c>
      <c r="BB80" s="27">
        <f>VLOOKUP($A80,'[1]Raw Data'!$A$3:$FB$285,63,FALSE)</f>
        <v>173273</v>
      </c>
      <c r="BC80" s="27" t="str">
        <f>VLOOKUP($A80,'[1]Raw Data'!$A$3:$FB$285,64,FALSE)</f>
        <v>Y</v>
      </c>
      <c r="BD80" s="27" t="str">
        <f t="shared" si="9"/>
        <v>छ</v>
      </c>
      <c r="BE80" s="27">
        <f>VLOOKUP($A80,'[1]Raw Data'!$A$3:$FB$285,65,FALSE)</f>
        <v>3500</v>
      </c>
      <c r="BF80" s="27">
        <f>VLOOKUP($A80,'[1]Raw Data'!$A$3:$FB$285,66,FALSE)</f>
        <v>179078</v>
      </c>
      <c r="BG80" s="27" t="str">
        <f>VLOOKUP($A80,'[1]Raw Data'!$A$3:$FB$285,67,FALSE)</f>
        <v>Y</v>
      </c>
      <c r="BH80" s="27" t="str">
        <f t="shared" si="10"/>
        <v>छ</v>
      </c>
      <c r="BI80" s="27">
        <f>VLOOKUP($A80,'[1]Raw Data'!$A$3:$FB$285,68,FALSE)</f>
        <v>5000</v>
      </c>
      <c r="BJ80" s="27">
        <f>VLOOKUP($A80,'[1]Raw Data'!$A$3:$FB$285,69,FALSE)</f>
        <v>18515</v>
      </c>
      <c r="BK80" s="27" t="str">
        <f>VLOOKUP($A80,'[1]Raw Data'!$A$3:$FB$285,70,FALSE)</f>
        <v>Y</v>
      </c>
      <c r="BL80" s="27" t="str">
        <f t="shared" si="11"/>
        <v>छ</v>
      </c>
      <c r="BM80" s="27">
        <f>VLOOKUP($A80,'[1]Raw Data'!$A$3:$FB$285,71,FALSE)</f>
        <v>5200</v>
      </c>
      <c r="BN80" s="27">
        <f>VLOOKUP($A80,'[1]Raw Data'!$A$3:$FB$285,72,FALSE)</f>
        <v>21416</v>
      </c>
      <c r="BO80" s="27" t="str">
        <f>VLOOKUP($A80,'[1]Raw Data'!$A$3:$FB$285,73,FALSE)</f>
        <v/>
      </c>
      <c r="BP80" s="27" t="str">
        <f t="shared" si="12"/>
        <v/>
      </c>
      <c r="BQ80" s="27" t="str">
        <f>VLOOKUP($A80,'[1]Raw Data'!$A$3:$FB$285,74,FALSE)</f>
        <v>500</v>
      </c>
      <c r="BR80" s="27" t="str">
        <f>VLOOKUP($A80,'[1]Raw Data'!$A$3:$FB$285,75,FALSE)</f>
        <v/>
      </c>
      <c r="BS80" s="27" t="str">
        <f>VLOOKUP($A80,'[1]Raw Data'!$A$3:$FB$285,76,FALSE)</f>
        <v>Y</v>
      </c>
      <c r="BT80" s="27" t="str">
        <f t="shared" si="13"/>
        <v>छ</v>
      </c>
      <c r="BU80" s="27">
        <f>VLOOKUP($A80,'[1]Raw Data'!$A$3:$FB$285,77,FALSE)</f>
        <v>900</v>
      </c>
      <c r="BV80" s="27">
        <f>VLOOKUP($A80,'[1]Raw Data'!$A$3:$FB$285,78,FALSE)</f>
        <v>594016</v>
      </c>
      <c r="BW80" s="27" t="str">
        <f>VLOOKUP($A80,'[1]Raw Data'!$A$3:$FB$285,79,FALSE)</f>
        <v>Y</v>
      </c>
      <c r="BX80" s="27" t="str">
        <f t="shared" si="14"/>
        <v>छ</v>
      </c>
      <c r="BY80" s="27">
        <f>VLOOKUP($A80,'[1]Raw Data'!$A$3:$FB$285,80,FALSE)</f>
        <v>1100</v>
      </c>
      <c r="BZ80" s="27">
        <f>VLOOKUP($A80,'[1]Raw Data'!$A$3:$FB$285,81,FALSE)</f>
        <v>1877463</v>
      </c>
      <c r="CA80" s="27" t="str">
        <f>VLOOKUP($A80,'[1]Raw Data'!$A$3:$FB$285,82,FALSE)</f>
        <v>Y</v>
      </c>
      <c r="CB80" s="27" t="str">
        <f t="shared" si="15"/>
        <v>छ</v>
      </c>
      <c r="CC80" s="27">
        <f>VLOOKUP($A80,'[1]Raw Data'!$A$3:$FB$285,83,FALSE)</f>
        <v>98</v>
      </c>
      <c r="CD80" s="27">
        <f>VLOOKUP($A80,'[1]Raw Data'!$A$3:$FB$285,84,FALSE)</f>
        <v>24284</v>
      </c>
      <c r="CE80" s="27" t="str">
        <f>VLOOKUP($A80,'[1]Raw Data'!$A$3:$FB$285,85,FALSE)</f>
        <v>Y</v>
      </c>
      <c r="CF80" s="27" t="str">
        <f t="shared" si="16"/>
        <v>छ</v>
      </c>
      <c r="CG80" s="27" t="str">
        <f>VLOOKUP($A80,'[1]Raw Data'!$A$3:$FB$285,86,FALSE)</f>
        <v>72</v>
      </c>
      <c r="CH80" s="27">
        <f>VLOOKUP($A80,'[1]Raw Data'!$A$3:$FB$285,87,FALSE)</f>
        <v>1747810</v>
      </c>
      <c r="CI80" s="27" t="str">
        <f>VLOOKUP($A80,'[1]Raw Data'!$A$3:$FB$285,88,FALSE)</f>
        <v>Y</v>
      </c>
      <c r="CJ80" s="27" t="str">
        <f t="shared" si="17"/>
        <v>छ</v>
      </c>
      <c r="CK80" s="27">
        <f>VLOOKUP($A80,'[1]Raw Data'!$A$3:$FB$285,89,FALSE)</f>
        <v>23</v>
      </c>
      <c r="CL80" s="27">
        <f>VLOOKUP($A80,'[1]Raw Data'!$A$3:$FB$285,91,FALSE)</f>
        <v>1500</v>
      </c>
      <c r="CM80" s="27">
        <f>VLOOKUP($A80,'[1]Raw Data'!$A$3:$FB$285,93,FALSE)</f>
        <v>800</v>
      </c>
      <c r="CN80" s="27" t="str">
        <f>VLOOKUP($A80,'[1]Raw Data'!$A$3:$FB$285,94,FALSE)</f>
        <v/>
      </c>
      <c r="CO80" s="27" t="str">
        <f>VLOOKUP($A80,'[1]Raw Data'!$A$3:$FB$285,95,FALSE)</f>
        <v/>
      </c>
      <c r="CP80" s="27" t="str">
        <f>VLOOKUP($A80,'[1]Raw Data'!$A$3:$FB$285,96,FALSE)</f>
        <v/>
      </c>
      <c r="CQ80" s="27" t="str">
        <f>VLOOKUP($A80,'[1]Raw Data'!$A$3:$FB$285,97,FALSE)</f>
        <v/>
      </c>
      <c r="CR80" s="27" t="str">
        <f>VLOOKUP($A80,'[1]Raw Data'!$A$3:$FB$285,98,FALSE)</f>
        <v/>
      </c>
      <c r="CS80" s="27" t="str">
        <f>VLOOKUP($A80,'[1]Raw Data'!$A$3:$FB$285,99,FALSE)</f>
        <v/>
      </c>
      <c r="CT80" s="27" t="str">
        <f>VLOOKUP($A80,'[1]Raw Data'!$A$3:$FB$285,101,FALSE)</f>
        <v>Nar Bahadur Shrestha</v>
      </c>
      <c r="CU80" s="27" t="s">
        <v>1013</v>
      </c>
      <c r="CV80" s="27" t="str">
        <f>VLOOKUP($A80,'[1]Raw Data'!$A$3:$FB$285,102,FALSE)</f>
        <v>Chairman</v>
      </c>
      <c r="CW80" s="27" t="s">
        <v>878</v>
      </c>
      <c r="CX80" s="27">
        <f>VLOOKUP($A80,'[1]Raw Data'!$A$3:$FB$285,103,FALSE)</f>
        <v>9851192357</v>
      </c>
      <c r="CY80" s="27" t="str">
        <f>VLOOKUP($A80,'[1]Raw Data'!$A$3:$FB$285,105,FALSE)</f>
        <v>Kalpana Bhandari</v>
      </c>
      <c r="CZ80" s="27" t="s">
        <v>1014</v>
      </c>
      <c r="DA80" s="27" t="str">
        <f>VLOOKUP($A80,'[1]Raw Data'!$A$3:$FB$285,106,FALSE)</f>
        <v>Deputy Chairman</v>
      </c>
      <c r="DB80" s="27" t="s">
        <v>879</v>
      </c>
      <c r="DC80" s="27">
        <f>VLOOKUP($A80,'[1]Raw Data'!$A$3:$FB$285,107,FALSE)</f>
        <v>9860027700</v>
      </c>
      <c r="DD80" s="27" t="str">
        <f>VLOOKUP($A80,'[1]Raw Data'!$A$3:$FB$285,109,FALSE)</f>
        <v>Bhim Bahadur Gharti</v>
      </c>
      <c r="DE80" s="27" t="s">
        <v>1015</v>
      </c>
      <c r="DF80" s="27" t="str">
        <f>VLOOKUP($A80,'[1]Raw Data'!$A$3:$FB$285,110,FALSE)</f>
        <v>Chief Adminstration Officer</v>
      </c>
      <c r="DG80" s="27" t="s">
        <v>880</v>
      </c>
      <c r="DH80" s="27">
        <f>VLOOKUP($A80,'[1]Raw Data'!$A$3:$FB$285,111,FALSE)</f>
        <v>9751017778</v>
      </c>
      <c r="DI80" s="27" t="str">
        <f>VLOOKUP($A80,'[1]Raw Data'!$A$3:$FB$285,121,FALSE)</f>
        <v>Suresh Sah</v>
      </c>
      <c r="DJ80" s="27" t="s">
        <v>1016</v>
      </c>
      <c r="DK80" s="27" t="str">
        <f>VLOOKUP($A80,'[1]Raw Data'!$A$3:$FB$285,122,FALSE)</f>
        <v>Focal Person</v>
      </c>
      <c r="DL80" s="27" t="s">
        <v>881</v>
      </c>
      <c r="DM80" s="27">
        <f>VLOOKUP($A80,'[1]Raw Data'!$A$3:$FB$285,123,FALSE)</f>
        <v>9806632423</v>
      </c>
      <c r="DN80" s="27" t="str">
        <f>VLOOKUP($A80,'[1]Raw Data'!$A$3:$FB$285,113,FALSE)</f>
        <v>Nirmal Darshan Acharya</v>
      </c>
      <c r="DO80" s="27" t="s">
        <v>988</v>
      </c>
      <c r="DP80" s="27" t="str">
        <f>VLOOKUP($A80,'[1]Raw Data'!$A$3:$FB$285,114,FALSE)</f>
        <v>NRA Chief-District</v>
      </c>
      <c r="DQ80" s="27" t="s">
        <v>882</v>
      </c>
      <c r="DR80" s="27">
        <f>VLOOKUP($A80,'[1]Raw Data'!$A$3:$FB$285,115,FALSE)</f>
        <v>9854045832</v>
      </c>
      <c r="DS80" s="27" t="str">
        <f>VLOOKUP($A80,'[1]Raw Data'!$A$3:$FB$285,117,FALSE)</f>
        <v>Arjun Tamang</v>
      </c>
      <c r="DT80" s="27" t="s">
        <v>989</v>
      </c>
      <c r="DU80" s="27" t="str">
        <f>VLOOKUP($A80,'[1]Raw Data'!$A$3:$FB$285,118,FALSE)</f>
        <v>DUDBC.DLPIU Chief</v>
      </c>
      <c r="DV80" s="27" t="s">
        <v>883</v>
      </c>
      <c r="DW80" s="27">
        <f>VLOOKUP($A80,'[1]Raw Data'!$A$3:$FB$285,119,FALSE)</f>
        <v>9849246296</v>
      </c>
      <c r="DX80" s="27" t="s">
        <v>339</v>
      </c>
      <c r="DY80" s="27" t="str">
        <f>VLOOKUP($A80,'[1]Raw Data'!$A$3:$FB$285,124,FALSE)</f>
        <v/>
      </c>
      <c r="DZ80" s="27" t="s">
        <v>884</v>
      </c>
      <c r="EA80" s="27" t="str">
        <f>VLOOKUP($A80,'[1]Raw Data'!$A$3:$FB$285,125,FALSE)</f>
        <v/>
      </c>
      <c r="EB80" s="27" t="s">
        <v>341</v>
      </c>
      <c r="EC80" s="27" t="str">
        <f>VLOOKUP($A80,'[1]Raw Data'!$A$3:$FB$285,126,FALSE)</f>
        <v/>
      </c>
      <c r="ED80" t="s">
        <v>478</v>
      </c>
      <c r="EE80" s="27" t="str">
        <f>VLOOKUP($A80,'[1]Raw Data'!$A$3:$FB$285,127,FALSE)</f>
        <v/>
      </c>
      <c r="EF80" s="27" t="s">
        <v>343</v>
      </c>
      <c r="EG80" s="27" t="str">
        <f>VLOOKUP($A80,'[1]Raw Data'!$A$3:$FB$285,128,FALSE)</f>
        <v/>
      </c>
      <c r="EH80" t="s">
        <v>344</v>
      </c>
      <c r="EI80" s="27" t="str">
        <f>VLOOKUP($A80,'[1]Raw Data'!$A$3:$FB$285,129,FALSE)</f>
        <v/>
      </c>
      <c r="EM80" s="27" t="str">
        <f>VLOOKUP($A80,'[1]Raw Data'!$A$3:$FB$285,130,FALSE)</f>
        <v/>
      </c>
      <c r="EN80" s="27" t="str">
        <f>VLOOKUP($A80,'[1]Raw Data'!$A$3:$FB$285,131,FALSE)</f>
        <v/>
      </c>
      <c r="EO80" s="27" t="str">
        <f>VLOOKUP($A80,'[1]Raw Data'!$A$3:$FB$285,132,FALSE)</f>
        <v/>
      </c>
      <c r="EP80" s="27" t="str">
        <f>VLOOKUP($A80,'[1]Raw Data'!$A$3:$FB$285,133,FALSE)</f>
        <v/>
      </c>
      <c r="EQ80" s="27" t="str">
        <f>VLOOKUP($A80,'[1]Raw Data'!$A$3:$FB$285,134,FALSE)</f>
        <v/>
      </c>
      <c r="ER80" s="27" t="str">
        <f>VLOOKUP($A80,'[1]Raw Data'!$A$3:$FB$285,135,FALSE)</f>
        <v/>
      </c>
      <c r="ES80" s="27" t="str">
        <f>VLOOKUP($A80,'[1]Raw Data'!$A$3:$FB$285,136,FALSE)</f>
        <v/>
      </c>
      <c r="ET80" s="27" t="str">
        <f>VLOOKUP($A80,'[1]Raw Data'!$A$3:$FB$285,137,FALSE)</f>
        <v/>
      </c>
      <c r="EU80" s="27" t="str">
        <f>VLOOKUP($A80,'[1]Raw Data'!$A$3:$FB$285,138,FALSE)</f>
        <v/>
      </c>
      <c r="EV80" s="27" t="str">
        <f>VLOOKUP($A80,'[1]Raw Data'!$A$3:$FB$285,139,FALSE)</f>
        <v/>
      </c>
      <c r="EW80" s="38">
        <f>VLOOKUP($A80,[1]Training!$A$2:$I$284,5,FALSE)</f>
        <v>574.92307692307691</v>
      </c>
      <c r="EX80" s="31">
        <f>VLOOKUP($A80,[1]Training!$A$2:$I$284,6,FALSE)</f>
        <v>495</v>
      </c>
      <c r="EY80" s="38">
        <f>VLOOKUP($A80,[1]Training!$A$2:$I$284,8,FALSE)</f>
        <v>623.78634024203643</v>
      </c>
      <c r="EZ80" s="31">
        <f>VLOOKUP($A80,[1]Training!$A$2:$I$284,9,FALSE)</f>
        <v>0</v>
      </c>
      <c r="FA80" s="27">
        <v>1</v>
      </c>
      <c r="FB80" s="27">
        <v>2</v>
      </c>
      <c r="FC80" s="27" t="str">
        <f>VLOOKUP($A80,'[1]Raw Data'!$A$3:$FB$285,148,FALSE)</f>
        <v>Kamal Bahadur Mahat</v>
      </c>
      <c r="FD80" s="27" t="s">
        <v>990</v>
      </c>
      <c r="FE80" s="27" t="str">
        <f>VLOOKUP($A80,'[1]Raw Data'!$A$3:$FB$285,149,FALSE)</f>
        <v>District Coordinator</v>
      </c>
      <c r="FF80" s="27" t="s">
        <v>885</v>
      </c>
      <c r="FG80" s="27">
        <f>VLOOKUP($A80,'[1]Raw Data'!$A$3:$FB$285,150,FALSE)</f>
        <v>9841712677</v>
      </c>
      <c r="FH80" s="27" t="str">
        <f>VLOOKUP($A80,'[1]Raw Data'!$A$3:$FB$285,156,FALSE)</f>
        <v>Binod Kumar Kalauni</v>
      </c>
      <c r="FI80" s="27" t="s">
        <v>991</v>
      </c>
      <c r="FJ80" s="27" t="str">
        <f>VLOOKUP($A80,'[1]Raw Data'!$A$3:$FB$285,157,FALSE)</f>
        <v>District Technical Officer</v>
      </c>
      <c r="FK80" s="27" t="s">
        <v>886</v>
      </c>
      <c r="FL80" s="27">
        <f>VLOOKUP($A80,'[1]Raw Data'!$A$3:$FB$285,158,FALSE)</f>
        <v>9864291323</v>
      </c>
      <c r="FM80" s="27" t="str">
        <f>VLOOKUP($A80,'[1]Raw Data'!$A$3:$FB$285,152,FALSE)</f>
        <v>Ravi Pajiyar</v>
      </c>
      <c r="FN80" s="27" t="s">
        <v>992</v>
      </c>
      <c r="FO80" s="27" t="str">
        <f>VLOOKUP($A80,'[1]Raw Data'!$A$3:$FB$285,153,FALSE)</f>
        <v>DIstrict Information Management Officer</v>
      </c>
      <c r="FP80" s="27" t="s">
        <v>887</v>
      </c>
      <c r="FQ80" s="27">
        <f>VLOOKUP($A80,'[1]Raw Data'!$A$3:$FB$285,154,FALSE)</f>
        <v>9849829112</v>
      </c>
    </row>
    <row r="81" spans="1:173" ht="24" x14ac:dyDescent="0.45">
      <c r="A81" s="27">
        <v>22008</v>
      </c>
      <c r="B81" s="36" t="str">
        <f ca="1">IFERROR(__xludf.DUMMYFUNCTION("""COMPUTED_VALUE"""),"Sailung Gaunpalika")</f>
        <v>Sailung Gaunpalika</v>
      </c>
      <c r="C81" s="37" t="str">
        <f>VLOOKUP(A81,'[1]Palika and District in Nepali '!$D$1:$F$283,3,FALSE)</f>
        <v>शैलुंग गाउँपालिका</v>
      </c>
      <c r="D81" s="36" t="str">
        <f ca="1">IFERROR(__xludf.DUMMYFUNCTION("""COMPUTED_VALUE"""),"Dolakha")</f>
        <v>Dolakha</v>
      </c>
      <c r="E81" s="36"/>
      <c r="F81" s="27">
        <f>VLOOKUP(A81,'[1]Raw Data'!$A$3:$FB$285,4,FALSE)</f>
        <v>954</v>
      </c>
      <c r="G81" s="27">
        <f>VLOOKUP(A81,'[1]Raw Data'!$A$3:$FB$285,5,FALSE)</f>
        <v>5846</v>
      </c>
      <c r="H81" s="27">
        <f>VLOOKUP(A81,'[1]Raw Data'!$A$3:$FB$285,6,FALSE)</f>
        <v>6800</v>
      </c>
      <c r="I81" s="27">
        <f>VLOOKUP($A81,'[1]Raw Data'!$A$3:$FB$285,8,FALSE)</f>
        <v>0.25</v>
      </c>
      <c r="J81" s="27">
        <f>VLOOKUP($A81,'[1]Raw Data'!$A$3:$FB$285,9,FALSE)</f>
        <v>0.54</v>
      </c>
      <c r="K81" s="27">
        <f>VLOOKUP($A81,'[1]Raw Data'!$A$3:$FB$285,11,FALSE)</f>
        <v>98.38</v>
      </c>
      <c r="L81" s="27">
        <f>VLOOKUP($A81,'[1]Raw Data'!$A$3:$FB$285,12,FALSE)</f>
        <v>94.39</v>
      </c>
      <c r="M81" s="27">
        <f>VLOOKUP($A81,'[1]Raw Data'!$A$3:$FB$285,14,FALSE)</f>
        <v>0.25</v>
      </c>
      <c r="N81" s="27">
        <f>VLOOKUP($A81,'[1]Raw Data'!$A$3:$FB$285,15,FALSE)</f>
        <v>1.54</v>
      </c>
      <c r="O81" s="27">
        <f>VLOOKUP($A81,'[1]Raw Data'!$A$3:$FB$285,17,FALSE)</f>
        <v>0.01</v>
      </c>
      <c r="P81" s="27">
        <f>VLOOKUP($A81,'[1]Raw Data'!$A$3:$FB$285,18,FALSE)</f>
        <v>0.04</v>
      </c>
      <c r="Q81" s="27">
        <f>VLOOKUP($A81,'[1]Raw Data'!$A$3:$FB$285,20,FALSE)</f>
        <v>0.1</v>
      </c>
      <c r="R81" s="27">
        <f>VLOOKUP($A81,'[1]Raw Data'!$A$3:$FB$285,21,FALSE)</f>
        <v>0.67</v>
      </c>
      <c r="S81" s="27">
        <f>VLOOKUP($A81,'[1]Raw Data'!$A$3:$FB$285,23,FALSE)</f>
        <v>0</v>
      </c>
      <c r="T81" s="27">
        <f>VLOOKUP($A81,'[1]Raw Data'!$A$3:$FB$285,24,FALSE)</f>
        <v>0</v>
      </c>
      <c r="U81" s="27">
        <f>VLOOKUP($A81,'[1]Raw Data'!$A$3:$FB$285,26,FALSE)</f>
        <v>0.79</v>
      </c>
      <c r="V81" s="27">
        <f>VLOOKUP($A81,'[1]Raw Data'!$A$3:$FB$285,27,FALSE)</f>
        <v>0.64</v>
      </c>
      <c r="W81" s="27">
        <f>VLOOKUP($A81,'[1]Raw Data'!$A$3:$FB$285,29,FALSE)</f>
        <v>0</v>
      </c>
      <c r="X81" s="27">
        <f>VLOOKUP($A81,'[1]Raw Data'!$A$3:$FB$285,30,FALSE)</f>
        <v>0</v>
      </c>
      <c r="Y81" s="27">
        <f>VLOOKUP($A81,'[1]Raw Data'!$A$3:$FB$285,32,FALSE)</f>
        <v>0.09</v>
      </c>
      <c r="Z81" s="27">
        <f>VLOOKUP($A81,'[1]Raw Data'!$A$3:$FB$285,33,FALSE)</f>
        <v>0.35</v>
      </c>
      <c r="AA81" s="27">
        <f>VLOOKUP($A81,'[1]Raw Data'!$A$3:$FB$285,35,FALSE)</f>
        <v>0.06</v>
      </c>
      <c r="AB81" s="27">
        <f>VLOOKUP($A81,'[1]Raw Data'!$A$3:$FB$285,36,FALSE)</f>
        <v>1.71</v>
      </c>
      <c r="AC81" s="27">
        <f>VLOOKUP($A81,'[1]Raw Data'!$A$3:$FB$285,38,FALSE)</f>
        <v>0.06</v>
      </c>
      <c r="AD81" s="27">
        <f>VLOOKUP($A81,'[1]Raw Data'!$A$3:$FB$285,39,FALSE)</f>
        <v>0.13</v>
      </c>
      <c r="AE81" s="27">
        <f>VLOOKUP($A81,'[1]Raw Data'!$A$3:$FB$285,41,FALSE)</f>
        <v>0</v>
      </c>
      <c r="AF81" s="27">
        <f>VLOOKUP($A81,'[1]Raw Data'!$A$3:$FB$285,42,FALSE)</f>
        <v>0</v>
      </c>
      <c r="AG81" s="27">
        <f>VLOOKUP($A81,'[1]Raw Data'!$A$3:$FB$285,44,FALSE)</f>
        <v>0</v>
      </c>
      <c r="AH81" s="27">
        <f>VLOOKUP($A81,'[1]Raw Data'!$A$3:$FB$285,45,FALSE)</f>
        <v>0</v>
      </c>
      <c r="AI81" s="27">
        <f>VLOOKUP($A81,'[1]Raw Data'!$A$3:$FB$285,46,FALSE)</f>
        <v>8119</v>
      </c>
      <c r="AJ81" s="27">
        <f>VLOOKUP($A81,'[1]Raw Data'!$A$3:$FB$285,47,FALSE)</f>
        <v>6979</v>
      </c>
      <c r="AK81" s="27">
        <f>VLOOKUP($A81,'[1]Raw Data'!$A$3:$FB$285,48,FALSE)</f>
        <v>6831</v>
      </c>
      <c r="AL81" s="27">
        <f>VLOOKUP($A81,'[1]Raw Data'!$A$3:$FB$285,49,FALSE)</f>
        <v>5303</v>
      </c>
      <c r="AM81" s="27">
        <f>VLOOKUP($A81,'[1]Raw Data'!$A$3:$FB$285,50,FALSE)</f>
        <v>4070</v>
      </c>
      <c r="AN81" s="27">
        <f>VLOOKUP($A81,'[1]Raw Data'!$A$3:$FB$285,51,FALSE)</f>
        <v>3714</v>
      </c>
      <c r="AO81" s="27">
        <f>VLOOKUP($A81,'[1]Raw Data'!$A$3:$FB$285,52,FALSE)</f>
        <v>3727</v>
      </c>
      <c r="AP81" s="27">
        <f>VLOOKUP($A81,'[1]Raw Data'!$A$3:$FB$285,53,FALSE)</f>
        <v>746</v>
      </c>
      <c r="AQ81" s="27">
        <f>VLOOKUP($A81,'[1]Raw Data'!$A$3:$FB$285,54,FALSE)</f>
        <v>747</v>
      </c>
      <c r="AR81" s="27">
        <f>VLOOKUP($A81,'[1]Raw Data'!$A$3:$FB$285,55,FALSE)</f>
        <v>20</v>
      </c>
      <c r="AS81" s="27" t="str">
        <f>VLOOKUP($A81,'[1]Raw Data'!$A$3:$FB$285,56,FALSE)</f>
        <v/>
      </c>
      <c r="AT81" s="27">
        <f>VLOOKUP($A81,'[1]Raw Data'!$A$3:$FB$285,57,FALSE)</f>
        <v>0</v>
      </c>
      <c r="AU81" s="27">
        <f>VLOOKUP($A81,'[1]Raw Data'!$A$3:$FB$285,58,FALSE)</f>
        <v>1358</v>
      </c>
      <c r="AV81" s="27" t="str">
        <f>VLOOKUP($A81,'[1]Raw Data'!$A$3:$FB$285,59,FALSE)</f>
        <v/>
      </c>
      <c r="AW81" s="27" t="str">
        <f>VLOOKUP($A81,'[1]Raw Data'!$A$3:$FB$285,60,FALSE)</f>
        <v/>
      </c>
      <c r="AX81" s="27" t="str">
        <f>VLOOKUP(A81,'[1]PO''s List'!A79:E361,4,FALSE)</f>
        <v>NSET(Shelter),Pourakhi(Shelter)</v>
      </c>
      <c r="AZ81" s="27" t="str">
        <f>VLOOKUP(A81,'[1]PO''s List'!$A$3:$E$285,5,FALSE)</f>
        <v>CARITAS-L(Shelter),NRA(Shelter),PLAN(DRR,Education,Energy,Employment ,GESI,Shelter,Health)</v>
      </c>
      <c r="BB81" s="27">
        <f>VLOOKUP($A81,'[1]Raw Data'!$A$3:$FB$285,63,FALSE)</f>
        <v>163885</v>
      </c>
      <c r="BC81" s="27" t="str">
        <f>VLOOKUP($A81,'[1]Raw Data'!$A$3:$FB$285,64,FALSE)</f>
        <v>Y</v>
      </c>
      <c r="BD81" s="27" t="str">
        <f t="shared" si="9"/>
        <v>छ</v>
      </c>
      <c r="BE81" s="27">
        <f>VLOOKUP($A81,'[1]Raw Data'!$A$3:$FB$285,65,FALSE)</f>
        <v>3500</v>
      </c>
      <c r="BF81" s="27">
        <f>VLOOKUP($A81,'[1]Raw Data'!$A$3:$FB$285,66,FALSE)</f>
        <v>168699</v>
      </c>
      <c r="BG81" s="27" t="str">
        <f>VLOOKUP($A81,'[1]Raw Data'!$A$3:$FB$285,67,FALSE)</f>
        <v>Y</v>
      </c>
      <c r="BH81" s="27" t="str">
        <f t="shared" si="10"/>
        <v>छ</v>
      </c>
      <c r="BI81" s="27">
        <f>VLOOKUP($A81,'[1]Raw Data'!$A$3:$FB$285,68,FALSE)</f>
        <v>5200</v>
      </c>
      <c r="BJ81" s="27">
        <f>VLOOKUP($A81,'[1]Raw Data'!$A$3:$FB$285,69,FALSE)</f>
        <v>17507</v>
      </c>
      <c r="BK81" s="27" t="str">
        <f>VLOOKUP($A81,'[1]Raw Data'!$A$3:$FB$285,70,FALSE)</f>
        <v>Y</v>
      </c>
      <c r="BL81" s="27" t="str">
        <f t="shared" si="11"/>
        <v>छ</v>
      </c>
      <c r="BM81" s="27">
        <f>VLOOKUP($A81,'[1]Raw Data'!$A$3:$FB$285,71,FALSE)</f>
        <v>5200</v>
      </c>
      <c r="BN81" s="27">
        <f>VLOOKUP($A81,'[1]Raw Data'!$A$3:$FB$285,72,FALSE)</f>
        <v>20228</v>
      </c>
      <c r="BO81" s="27" t="str">
        <f>VLOOKUP($A81,'[1]Raw Data'!$A$3:$FB$285,73,FALSE)</f>
        <v/>
      </c>
      <c r="BP81" s="27" t="str">
        <f t="shared" si="12"/>
        <v/>
      </c>
      <c r="BQ81" s="27" t="str">
        <f>VLOOKUP($A81,'[1]Raw Data'!$A$3:$FB$285,74,FALSE)</f>
        <v>500</v>
      </c>
      <c r="BR81" s="27" t="str">
        <f>VLOOKUP($A81,'[1]Raw Data'!$A$3:$FB$285,75,FALSE)</f>
        <v/>
      </c>
      <c r="BS81" s="27" t="str">
        <f>VLOOKUP($A81,'[1]Raw Data'!$A$3:$FB$285,76,FALSE)</f>
        <v>Y</v>
      </c>
      <c r="BT81" s="27" t="str">
        <f t="shared" si="13"/>
        <v>छ</v>
      </c>
      <c r="BU81" s="27">
        <f>VLOOKUP($A81,'[1]Raw Data'!$A$3:$FB$285,77,FALSE)</f>
        <v>900</v>
      </c>
      <c r="BV81" s="27">
        <f>VLOOKUP($A81,'[1]Raw Data'!$A$3:$FB$285,78,FALSE)</f>
        <v>560144</v>
      </c>
      <c r="BW81" s="27" t="str">
        <f>VLOOKUP($A81,'[1]Raw Data'!$A$3:$FB$285,79,FALSE)</f>
        <v>Y</v>
      </c>
      <c r="BX81" s="27" t="str">
        <f t="shared" si="14"/>
        <v>छ</v>
      </c>
      <c r="BY81" s="27">
        <f>VLOOKUP($A81,'[1]Raw Data'!$A$3:$FB$285,80,FALSE)</f>
        <v>1100</v>
      </c>
      <c r="BZ81" s="27">
        <f>VLOOKUP($A81,'[1]Raw Data'!$A$3:$FB$285,81,FALSE)</f>
        <v>1777362</v>
      </c>
      <c r="CA81" s="27" t="str">
        <f>VLOOKUP($A81,'[1]Raw Data'!$A$3:$FB$285,82,FALSE)</f>
        <v>Y</v>
      </c>
      <c r="CB81" s="27" t="str">
        <f t="shared" si="15"/>
        <v>छ</v>
      </c>
      <c r="CC81" s="27">
        <f>VLOOKUP($A81,'[1]Raw Data'!$A$3:$FB$285,83,FALSE)</f>
        <v>98</v>
      </c>
      <c r="CD81" s="27">
        <f>VLOOKUP($A81,'[1]Raw Data'!$A$3:$FB$285,84,FALSE)</f>
        <v>22901</v>
      </c>
      <c r="CE81" s="27" t="str">
        <f>VLOOKUP($A81,'[1]Raw Data'!$A$3:$FB$285,85,FALSE)</f>
        <v>Y</v>
      </c>
      <c r="CF81" s="27" t="str">
        <f t="shared" si="16"/>
        <v>छ</v>
      </c>
      <c r="CG81" s="27" t="str">
        <f>VLOOKUP($A81,'[1]Raw Data'!$A$3:$FB$285,86,FALSE)</f>
        <v>72</v>
      </c>
      <c r="CH81" s="27">
        <f>VLOOKUP($A81,'[1]Raw Data'!$A$3:$FB$285,87,FALSE)</f>
        <v>1770621</v>
      </c>
      <c r="CI81" s="27" t="str">
        <f>VLOOKUP($A81,'[1]Raw Data'!$A$3:$FB$285,88,FALSE)</f>
        <v>Y</v>
      </c>
      <c r="CJ81" s="27" t="str">
        <f t="shared" si="17"/>
        <v>छ</v>
      </c>
      <c r="CK81" s="27">
        <f>VLOOKUP($A81,'[1]Raw Data'!$A$3:$FB$285,89,FALSE)</f>
        <v>25</v>
      </c>
      <c r="CL81" s="27">
        <f>VLOOKUP($A81,'[1]Raw Data'!$A$3:$FB$285,91,FALSE)</f>
        <v>1500</v>
      </c>
      <c r="CM81" s="27">
        <f>VLOOKUP($A81,'[1]Raw Data'!$A$3:$FB$285,93,FALSE)</f>
        <v>800</v>
      </c>
      <c r="CN81" s="27" t="str">
        <f>VLOOKUP($A81,'[1]Raw Data'!$A$3:$FB$285,94,FALSE)</f>
        <v/>
      </c>
      <c r="CO81" s="27" t="str">
        <f>VLOOKUP($A81,'[1]Raw Data'!$A$3:$FB$285,95,FALSE)</f>
        <v/>
      </c>
      <c r="CP81" s="27" t="str">
        <f>VLOOKUP($A81,'[1]Raw Data'!$A$3:$FB$285,96,FALSE)</f>
        <v/>
      </c>
      <c r="CQ81" s="27" t="str">
        <f>VLOOKUP($A81,'[1]Raw Data'!$A$3:$FB$285,97,FALSE)</f>
        <v/>
      </c>
      <c r="CR81" s="27" t="str">
        <f>VLOOKUP($A81,'[1]Raw Data'!$A$3:$FB$285,98,FALSE)</f>
        <v/>
      </c>
      <c r="CS81" s="27" t="str">
        <f>VLOOKUP($A81,'[1]Raw Data'!$A$3:$FB$285,99,FALSE)</f>
        <v/>
      </c>
      <c r="CT81" s="27" t="str">
        <f>VLOOKUP($A81,'[1]Raw Data'!$A$3:$FB$285,101,FALSE)</f>
        <v>Bharat Dulal</v>
      </c>
      <c r="CU81" s="27" t="s">
        <v>1017</v>
      </c>
      <c r="CV81" s="27" t="str">
        <f>VLOOKUP($A81,'[1]Raw Data'!$A$3:$FB$285,102,FALSE)</f>
        <v>Chairman</v>
      </c>
      <c r="CW81" s="27" t="s">
        <v>878</v>
      </c>
      <c r="CX81" s="27">
        <f>VLOOKUP($A81,'[1]Raw Data'!$A$3:$FB$285,103,FALSE)</f>
        <v>9851172429</v>
      </c>
      <c r="CY81" s="27" t="str">
        <f>VLOOKUP($A81,'[1]Raw Data'!$A$3:$FB$285,105,FALSE)</f>
        <v>Lal Maya Yonjan</v>
      </c>
      <c r="CZ81" s="27" t="s">
        <v>1018</v>
      </c>
      <c r="DA81" s="27" t="str">
        <f>VLOOKUP($A81,'[1]Raw Data'!$A$3:$FB$285,106,FALSE)</f>
        <v>Deputy Chairman</v>
      </c>
      <c r="DB81" s="27" t="s">
        <v>879</v>
      </c>
      <c r="DC81" s="27">
        <f>VLOOKUP($A81,'[1]Raw Data'!$A$3:$FB$285,107,FALSE)</f>
        <v>9818290228</v>
      </c>
      <c r="DD81" s="27" t="str">
        <f>VLOOKUP($A81,'[1]Raw Data'!$A$3:$FB$285,109,FALSE)</f>
        <v>Ramesh B.K. (Sunar)</v>
      </c>
      <c r="DE81" s="27" t="s">
        <v>1019</v>
      </c>
      <c r="DF81" s="27" t="str">
        <f>VLOOKUP($A81,'[1]Raw Data'!$A$3:$FB$285,110,FALSE)</f>
        <v>Chief Adminstration Officer</v>
      </c>
      <c r="DG81" s="27" t="s">
        <v>880</v>
      </c>
      <c r="DH81" s="27">
        <f>VLOOKUP($A81,'[1]Raw Data'!$A$3:$FB$285,111,FALSE)</f>
        <v>9849849483</v>
      </c>
      <c r="DI81" s="27" t="str">
        <f>VLOOKUP($A81,'[1]Raw Data'!$A$3:$FB$285,121,FALSE)</f>
        <v>Ananta Paudel</v>
      </c>
      <c r="DJ81" s="27" t="s">
        <v>1020</v>
      </c>
      <c r="DK81" s="27" t="str">
        <f>VLOOKUP($A81,'[1]Raw Data'!$A$3:$FB$285,122,FALSE)</f>
        <v>Focal Person</v>
      </c>
      <c r="DL81" s="27" t="s">
        <v>881</v>
      </c>
      <c r="DM81" s="27">
        <f>VLOOKUP($A81,'[1]Raw Data'!$A$3:$FB$285,123,FALSE)</f>
        <v>9813292976</v>
      </c>
      <c r="DN81" s="27" t="str">
        <f>VLOOKUP($A81,'[1]Raw Data'!$A$3:$FB$285,113,FALSE)</f>
        <v>Nirmal Darshan Acharya</v>
      </c>
      <c r="DO81" s="27" t="s">
        <v>988</v>
      </c>
      <c r="DP81" s="27" t="str">
        <f>VLOOKUP($A81,'[1]Raw Data'!$A$3:$FB$285,114,FALSE)</f>
        <v>NRA Chief-District</v>
      </c>
      <c r="DQ81" s="27" t="s">
        <v>882</v>
      </c>
      <c r="DR81" s="27">
        <f>VLOOKUP($A81,'[1]Raw Data'!$A$3:$FB$285,115,FALSE)</f>
        <v>9854045832</v>
      </c>
      <c r="DS81" s="27" t="str">
        <f>VLOOKUP($A81,'[1]Raw Data'!$A$3:$FB$285,117,FALSE)</f>
        <v>Arjun Tamang</v>
      </c>
      <c r="DT81" s="27" t="s">
        <v>989</v>
      </c>
      <c r="DU81" s="27" t="str">
        <f>VLOOKUP($A81,'[1]Raw Data'!$A$3:$FB$285,118,FALSE)</f>
        <v>DUDBC.DLPIU Chief</v>
      </c>
      <c r="DV81" s="27" t="s">
        <v>883</v>
      </c>
      <c r="DW81" s="27">
        <f>VLOOKUP($A81,'[1]Raw Data'!$A$3:$FB$285,119,FALSE)</f>
        <v>9849246296</v>
      </c>
      <c r="DX81" s="27" t="s">
        <v>339</v>
      </c>
      <c r="DY81" s="27" t="str">
        <f>VLOOKUP($A81,'[1]Raw Data'!$A$3:$FB$285,124,FALSE)</f>
        <v/>
      </c>
      <c r="DZ81" s="27" t="s">
        <v>884</v>
      </c>
      <c r="EA81" s="27" t="str">
        <f>VLOOKUP($A81,'[1]Raw Data'!$A$3:$FB$285,125,FALSE)</f>
        <v/>
      </c>
      <c r="EB81" s="27" t="s">
        <v>341</v>
      </c>
      <c r="EC81" s="27" t="str">
        <f>VLOOKUP($A81,'[1]Raw Data'!$A$3:$FB$285,126,FALSE)</f>
        <v/>
      </c>
      <c r="ED81" t="s">
        <v>478</v>
      </c>
      <c r="EE81" s="27" t="str">
        <f>VLOOKUP($A81,'[1]Raw Data'!$A$3:$FB$285,127,FALSE)</f>
        <v/>
      </c>
      <c r="EF81" s="27" t="s">
        <v>343</v>
      </c>
      <c r="EG81" s="27" t="str">
        <f>VLOOKUP($A81,'[1]Raw Data'!$A$3:$FB$285,128,FALSE)</f>
        <v/>
      </c>
      <c r="EH81" t="s">
        <v>344</v>
      </c>
      <c r="EI81" s="27" t="str">
        <f>VLOOKUP($A81,'[1]Raw Data'!$A$3:$FB$285,129,FALSE)</f>
        <v/>
      </c>
      <c r="EM81" s="27" t="str">
        <f>VLOOKUP($A81,'[1]Raw Data'!$A$3:$FB$285,130,FALSE)</f>
        <v/>
      </c>
      <c r="EN81" s="27" t="str">
        <f>VLOOKUP($A81,'[1]Raw Data'!$A$3:$FB$285,131,FALSE)</f>
        <v/>
      </c>
      <c r="EO81" s="27" t="str">
        <f>VLOOKUP($A81,'[1]Raw Data'!$A$3:$FB$285,132,FALSE)</f>
        <v/>
      </c>
      <c r="EP81" s="27" t="str">
        <f>VLOOKUP($A81,'[1]Raw Data'!$A$3:$FB$285,133,FALSE)</f>
        <v/>
      </c>
      <c r="EQ81" s="27" t="str">
        <f>VLOOKUP($A81,'[1]Raw Data'!$A$3:$FB$285,134,FALSE)</f>
        <v/>
      </c>
      <c r="ER81" s="27" t="str">
        <f>VLOOKUP($A81,'[1]Raw Data'!$A$3:$FB$285,135,FALSE)</f>
        <v/>
      </c>
      <c r="ES81" s="27" t="str">
        <f>VLOOKUP($A81,'[1]Raw Data'!$A$3:$FB$285,136,FALSE)</f>
        <v/>
      </c>
      <c r="ET81" s="27" t="str">
        <f>VLOOKUP($A81,'[1]Raw Data'!$A$3:$FB$285,137,FALSE)</f>
        <v/>
      </c>
      <c r="EU81" s="27" t="str">
        <f>VLOOKUP($A81,'[1]Raw Data'!$A$3:$FB$285,138,FALSE)</f>
        <v/>
      </c>
      <c r="EV81" s="27" t="str">
        <f>VLOOKUP($A81,'[1]Raw Data'!$A$3:$FB$285,139,FALSE)</f>
        <v/>
      </c>
      <c r="EW81" s="38">
        <f>VLOOKUP($A81,[1]Training!$A$2:$I$284,5,FALSE)</f>
        <v>623.92307692307691</v>
      </c>
      <c r="EX81" s="31">
        <f>VLOOKUP($A81,[1]Training!$A$2:$I$284,6,FALSE)</f>
        <v>579</v>
      </c>
      <c r="EY81" s="38">
        <f>VLOOKUP($A81,[1]Training!$A$2:$I$284,8,FALSE)</f>
        <v>676.95089720406168</v>
      </c>
      <c r="EZ81" s="31">
        <f>VLOOKUP($A81,[1]Training!$A$2:$I$284,9,FALSE)</f>
        <v>0</v>
      </c>
      <c r="FA81" s="27">
        <v>1</v>
      </c>
      <c r="FB81" s="27">
        <v>2</v>
      </c>
      <c r="FC81" s="27" t="str">
        <f>VLOOKUP($A81,'[1]Raw Data'!$A$3:$FB$285,148,FALSE)</f>
        <v>Kamal Bahadur Mahat</v>
      </c>
      <c r="FD81" s="27" t="s">
        <v>990</v>
      </c>
      <c r="FE81" s="27" t="str">
        <f>VLOOKUP($A81,'[1]Raw Data'!$A$3:$FB$285,149,FALSE)</f>
        <v>District Coordinator</v>
      </c>
      <c r="FF81" s="27" t="s">
        <v>885</v>
      </c>
      <c r="FG81" s="27">
        <f>VLOOKUP($A81,'[1]Raw Data'!$A$3:$FB$285,150,FALSE)</f>
        <v>9841712677</v>
      </c>
      <c r="FH81" s="27" t="str">
        <f>VLOOKUP($A81,'[1]Raw Data'!$A$3:$FB$285,156,FALSE)</f>
        <v>Binod Kumar Kalauni</v>
      </c>
      <c r="FI81" s="27" t="s">
        <v>991</v>
      </c>
      <c r="FJ81" s="27" t="str">
        <f>VLOOKUP($A81,'[1]Raw Data'!$A$3:$FB$285,157,FALSE)</f>
        <v>District Technical Officer</v>
      </c>
      <c r="FK81" s="27" t="s">
        <v>886</v>
      </c>
      <c r="FL81" s="27">
        <f>VLOOKUP($A81,'[1]Raw Data'!$A$3:$FB$285,158,FALSE)</f>
        <v>9864291323</v>
      </c>
      <c r="FM81" s="27" t="str">
        <f>VLOOKUP($A81,'[1]Raw Data'!$A$3:$FB$285,152,FALSE)</f>
        <v>Ravi Pajiyar</v>
      </c>
      <c r="FN81" s="27" t="s">
        <v>992</v>
      </c>
      <c r="FO81" s="27" t="str">
        <f>VLOOKUP($A81,'[1]Raw Data'!$A$3:$FB$285,153,FALSE)</f>
        <v>DIstrict Information Management Officer</v>
      </c>
      <c r="FP81" s="27" t="s">
        <v>887</v>
      </c>
      <c r="FQ81" s="27">
        <f>VLOOKUP($A81,'[1]Raw Data'!$A$3:$FB$285,154,FALSE)</f>
        <v>9849829112</v>
      </c>
    </row>
    <row r="82" spans="1:173" ht="24" x14ac:dyDescent="0.45">
      <c r="A82" s="27">
        <v>22009</v>
      </c>
      <c r="B82" s="36" t="str">
        <f ca="1">IFERROR(__xludf.DUMMYFUNCTION("""COMPUTED_VALUE"""),"Tamakoshi Gaunpalika")</f>
        <v>Tamakoshi Gaunpalika</v>
      </c>
      <c r="C82" s="37" t="str">
        <f>VLOOKUP(A82,'[1]Palika and District in Nepali '!$D$1:$F$283,3,FALSE)</f>
        <v>तामाकोशी गाउँपालिका</v>
      </c>
      <c r="D82" s="36" t="str">
        <f ca="1">IFERROR(__xludf.DUMMYFUNCTION("""COMPUTED_VALUE"""),"Dolakha")</f>
        <v>Dolakha</v>
      </c>
      <c r="E82" s="36"/>
      <c r="F82" s="27">
        <f>VLOOKUP(A82,'[1]Raw Data'!$A$3:$FB$285,4,FALSE)</f>
        <v>146</v>
      </c>
      <c r="G82" s="27">
        <f>VLOOKUP(A82,'[1]Raw Data'!$A$3:$FB$285,5,FALSE)</f>
        <v>6045</v>
      </c>
      <c r="H82" s="27">
        <f>VLOOKUP(A82,'[1]Raw Data'!$A$3:$FB$285,6,FALSE)</f>
        <v>6191</v>
      </c>
      <c r="I82" s="27">
        <f>VLOOKUP($A82,'[1]Raw Data'!$A$3:$FB$285,8,FALSE)</f>
        <v>0.66</v>
      </c>
      <c r="J82" s="27">
        <f>VLOOKUP($A82,'[1]Raw Data'!$A$3:$FB$285,9,FALSE)</f>
        <v>0.54</v>
      </c>
      <c r="K82" s="27">
        <f>VLOOKUP($A82,'[1]Raw Data'!$A$3:$FB$285,11,FALSE)</f>
        <v>90.44</v>
      </c>
      <c r="L82" s="27">
        <f>VLOOKUP($A82,'[1]Raw Data'!$A$3:$FB$285,12,FALSE)</f>
        <v>94.39</v>
      </c>
      <c r="M82" s="27">
        <f>VLOOKUP($A82,'[1]Raw Data'!$A$3:$FB$285,14,FALSE)</f>
        <v>0.34</v>
      </c>
      <c r="N82" s="27">
        <f>VLOOKUP($A82,'[1]Raw Data'!$A$3:$FB$285,15,FALSE)</f>
        <v>1.54</v>
      </c>
      <c r="O82" s="27">
        <f>VLOOKUP($A82,'[1]Raw Data'!$A$3:$FB$285,17,FALSE)</f>
        <v>0.02</v>
      </c>
      <c r="P82" s="27">
        <f>VLOOKUP($A82,'[1]Raw Data'!$A$3:$FB$285,18,FALSE)</f>
        <v>0.04</v>
      </c>
      <c r="Q82" s="27">
        <f>VLOOKUP($A82,'[1]Raw Data'!$A$3:$FB$285,20,FALSE)</f>
        <v>0.21</v>
      </c>
      <c r="R82" s="27">
        <f>VLOOKUP($A82,'[1]Raw Data'!$A$3:$FB$285,21,FALSE)</f>
        <v>0.67</v>
      </c>
      <c r="S82" s="27">
        <f>VLOOKUP($A82,'[1]Raw Data'!$A$3:$FB$285,23,FALSE)</f>
        <v>0</v>
      </c>
      <c r="T82" s="27">
        <f>VLOOKUP($A82,'[1]Raw Data'!$A$3:$FB$285,24,FALSE)</f>
        <v>0</v>
      </c>
      <c r="U82" s="27">
        <f>VLOOKUP($A82,'[1]Raw Data'!$A$3:$FB$285,26,FALSE)</f>
        <v>0.19</v>
      </c>
      <c r="V82" s="27">
        <f>VLOOKUP($A82,'[1]Raw Data'!$A$3:$FB$285,27,FALSE)</f>
        <v>0.64</v>
      </c>
      <c r="W82" s="27">
        <f>VLOOKUP($A82,'[1]Raw Data'!$A$3:$FB$285,29,FALSE)</f>
        <v>0</v>
      </c>
      <c r="X82" s="27">
        <f>VLOOKUP($A82,'[1]Raw Data'!$A$3:$FB$285,30,FALSE)</f>
        <v>0</v>
      </c>
      <c r="Y82" s="27">
        <f>VLOOKUP($A82,'[1]Raw Data'!$A$3:$FB$285,32,FALSE)</f>
        <v>0.1</v>
      </c>
      <c r="Z82" s="27">
        <f>VLOOKUP($A82,'[1]Raw Data'!$A$3:$FB$285,33,FALSE)</f>
        <v>0.35</v>
      </c>
      <c r="AA82" s="27">
        <f>VLOOKUP($A82,'[1]Raw Data'!$A$3:$FB$285,35,FALSE)</f>
        <v>7.86</v>
      </c>
      <c r="AB82" s="27">
        <f>VLOOKUP($A82,'[1]Raw Data'!$A$3:$FB$285,36,FALSE)</f>
        <v>1.71</v>
      </c>
      <c r="AC82" s="27">
        <f>VLOOKUP($A82,'[1]Raw Data'!$A$3:$FB$285,38,FALSE)</f>
        <v>0.18</v>
      </c>
      <c r="AD82" s="27">
        <f>VLOOKUP($A82,'[1]Raw Data'!$A$3:$FB$285,39,FALSE)</f>
        <v>0.13</v>
      </c>
      <c r="AE82" s="27">
        <f>VLOOKUP($A82,'[1]Raw Data'!$A$3:$FB$285,41,FALSE)</f>
        <v>0</v>
      </c>
      <c r="AF82" s="27">
        <f>VLOOKUP($A82,'[1]Raw Data'!$A$3:$FB$285,42,FALSE)</f>
        <v>0</v>
      </c>
      <c r="AG82" s="27">
        <f>VLOOKUP($A82,'[1]Raw Data'!$A$3:$FB$285,44,FALSE)</f>
        <v>0</v>
      </c>
      <c r="AH82" s="27">
        <f>VLOOKUP($A82,'[1]Raw Data'!$A$3:$FB$285,45,FALSE)</f>
        <v>0</v>
      </c>
      <c r="AI82" s="27">
        <f>VLOOKUP($A82,'[1]Raw Data'!$A$3:$FB$285,46,FALSE)</f>
        <v>7433</v>
      </c>
      <c r="AJ82" s="27">
        <f>VLOOKUP($A82,'[1]Raw Data'!$A$3:$FB$285,47,FALSE)</f>
        <v>6827</v>
      </c>
      <c r="AK82" s="27">
        <f>VLOOKUP($A82,'[1]Raw Data'!$A$3:$FB$285,48,FALSE)</f>
        <v>6819</v>
      </c>
      <c r="AL82" s="27">
        <f>VLOOKUP($A82,'[1]Raw Data'!$A$3:$FB$285,49,FALSE)</f>
        <v>5859</v>
      </c>
      <c r="AM82" s="27">
        <f>VLOOKUP($A82,'[1]Raw Data'!$A$3:$FB$285,50,FALSE)</f>
        <v>5173</v>
      </c>
      <c r="AN82" s="27">
        <f>VLOOKUP($A82,'[1]Raw Data'!$A$3:$FB$285,51,FALSE)</f>
        <v>4886</v>
      </c>
      <c r="AO82" s="27">
        <f>VLOOKUP($A82,'[1]Raw Data'!$A$3:$FB$285,52,FALSE)</f>
        <v>489</v>
      </c>
      <c r="AP82" s="27">
        <f>VLOOKUP($A82,'[1]Raw Data'!$A$3:$FB$285,53,FALSE)</f>
        <v>110</v>
      </c>
      <c r="AQ82" s="27">
        <f>VLOOKUP($A82,'[1]Raw Data'!$A$3:$FB$285,54,FALSE)</f>
        <v>110</v>
      </c>
      <c r="AR82" s="27">
        <f>VLOOKUP($A82,'[1]Raw Data'!$A$3:$FB$285,55,FALSE)</f>
        <v>9</v>
      </c>
      <c r="AS82" s="27" t="str">
        <f>VLOOKUP($A82,'[1]Raw Data'!$A$3:$FB$285,56,FALSE)</f>
        <v/>
      </c>
      <c r="AT82" s="27">
        <f>VLOOKUP($A82,'[1]Raw Data'!$A$3:$FB$285,57,FALSE)</f>
        <v>0</v>
      </c>
      <c r="AU82" s="27">
        <f>VLOOKUP($A82,'[1]Raw Data'!$A$3:$FB$285,58,FALSE)</f>
        <v>828</v>
      </c>
      <c r="AV82" s="27" t="str">
        <f>VLOOKUP($A82,'[1]Raw Data'!$A$3:$FB$285,59,FALSE)</f>
        <v/>
      </c>
      <c r="AW82" s="27" t="str">
        <f>VLOOKUP($A82,'[1]Raw Data'!$A$3:$FB$285,60,FALSE)</f>
        <v/>
      </c>
      <c r="AX82" s="27" t="str">
        <f>VLOOKUP(A82,'[1]PO''s List'!A80:E362,4,FALSE)</f>
        <v>NSET(Shelter)</v>
      </c>
      <c r="AZ82" s="27" t="str">
        <f>VLOOKUP(A82,'[1]PO''s List'!$A$3:$E$285,5,FALSE)</f>
        <v>AA(DRR,Education,Employment ,GESI),CW(Education,Shelter),GON-PAF(Shelter),MC(Shelter),NRCS(Shelter),PLAN(Health)</v>
      </c>
      <c r="BB82" s="27">
        <f>VLOOKUP($A82,'[1]Raw Data'!$A$3:$FB$285,63,FALSE)</f>
        <v>143059</v>
      </c>
      <c r="BC82" s="27" t="str">
        <f>VLOOKUP($A82,'[1]Raw Data'!$A$3:$FB$285,64,FALSE)</f>
        <v>Y</v>
      </c>
      <c r="BD82" s="27" t="str">
        <f t="shared" si="9"/>
        <v>छ</v>
      </c>
      <c r="BE82" s="27" t="str">
        <f>VLOOKUP($A82,'[1]Raw Data'!$A$3:$FB$285,65,FALSE)</f>
        <v/>
      </c>
      <c r="BF82" s="27">
        <f>VLOOKUP($A82,'[1]Raw Data'!$A$3:$FB$285,66,FALSE)</f>
        <v>143518</v>
      </c>
      <c r="BG82" s="27" t="str">
        <f>VLOOKUP($A82,'[1]Raw Data'!$A$3:$FB$285,67,FALSE)</f>
        <v>Y</v>
      </c>
      <c r="BH82" s="27" t="str">
        <f t="shared" si="10"/>
        <v>छ</v>
      </c>
      <c r="BI82" s="27" t="str">
        <f>VLOOKUP($A82,'[1]Raw Data'!$A$3:$FB$285,68,FALSE)</f>
        <v/>
      </c>
      <c r="BJ82" s="27">
        <f>VLOOKUP($A82,'[1]Raw Data'!$A$3:$FB$285,69,FALSE)</f>
        <v>15249</v>
      </c>
      <c r="BK82" s="27" t="str">
        <f>VLOOKUP($A82,'[1]Raw Data'!$A$3:$FB$285,70,FALSE)</f>
        <v>Y</v>
      </c>
      <c r="BL82" s="27" t="str">
        <f t="shared" si="11"/>
        <v>छ</v>
      </c>
      <c r="BM82" s="27" t="str">
        <f>VLOOKUP($A82,'[1]Raw Data'!$A$3:$FB$285,71,FALSE)</f>
        <v/>
      </c>
      <c r="BN82" s="27">
        <f>VLOOKUP($A82,'[1]Raw Data'!$A$3:$FB$285,72,FALSE)</f>
        <v>17499</v>
      </c>
      <c r="BO82" s="27" t="str">
        <f>VLOOKUP($A82,'[1]Raw Data'!$A$3:$FB$285,73,FALSE)</f>
        <v/>
      </c>
      <c r="BP82" s="27" t="str">
        <f t="shared" si="12"/>
        <v/>
      </c>
      <c r="BQ82" s="27" t="str">
        <f>VLOOKUP($A82,'[1]Raw Data'!$A$3:$FB$285,74,FALSE)</f>
        <v/>
      </c>
      <c r="BR82" s="27" t="str">
        <f>VLOOKUP($A82,'[1]Raw Data'!$A$3:$FB$285,75,FALSE)</f>
        <v/>
      </c>
      <c r="BS82" s="27" t="str">
        <f>VLOOKUP($A82,'[1]Raw Data'!$A$3:$FB$285,76,FALSE)</f>
        <v/>
      </c>
      <c r="BT82" s="27" t="str">
        <f t="shared" si="13"/>
        <v/>
      </c>
      <c r="BU82" s="27" t="str">
        <f>VLOOKUP($A82,'[1]Raw Data'!$A$3:$FB$285,77,FALSE)</f>
        <v/>
      </c>
      <c r="BV82" s="27">
        <f>VLOOKUP($A82,'[1]Raw Data'!$A$3:$FB$285,78,FALSE)</f>
        <v>478634</v>
      </c>
      <c r="BW82" s="27" t="str">
        <f>VLOOKUP($A82,'[1]Raw Data'!$A$3:$FB$285,79,FALSE)</f>
        <v/>
      </c>
      <c r="BX82" s="27" t="str">
        <f t="shared" si="14"/>
        <v/>
      </c>
      <c r="BY82" s="27" t="str">
        <f>VLOOKUP($A82,'[1]Raw Data'!$A$3:$FB$285,80,FALSE)</f>
        <v/>
      </c>
      <c r="BZ82" s="27">
        <f>VLOOKUP($A82,'[1]Raw Data'!$A$3:$FB$285,81,FALSE)</f>
        <v>1559098</v>
      </c>
      <c r="CA82" s="27" t="str">
        <f>VLOOKUP($A82,'[1]Raw Data'!$A$3:$FB$285,82,FALSE)</f>
        <v/>
      </c>
      <c r="CB82" s="27" t="str">
        <f t="shared" si="15"/>
        <v/>
      </c>
      <c r="CC82" s="27" t="str">
        <f>VLOOKUP($A82,'[1]Raw Data'!$A$3:$FB$285,83,FALSE)</f>
        <v/>
      </c>
      <c r="CD82" s="27">
        <f>VLOOKUP($A82,'[1]Raw Data'!$A$3:$FB$285,84,FALSE)</f>
        <v>19572</v>
      </c>
      <c r="CE82" s="27" t="str">
        <f>VLOOKUP($A82,'[1]Raw Data'!$A$3:$FB$285,85,FALSE)</f>
        <v/>
      </c>
      <c r="CF82" s="27" t="str">
        <f t="shared" si="16"/>
        <v/>
      </c>
      <c r="CG82" s="27" t="str">
        <f>VLOOKUP($A82,'[1]Raw Data'!$A$3:$FB$285,86,FALSE)</f>
        <v/>
      </c>
      <c r="CH82" s="27">
        <f>VLOOKUP($A82,'[1]Raw Data'!$A$3:$FB$285,87,FALSE)</f>
        <v>2044674</v>
      </c>
      <c r="CI82" s="27" t="str">
        <f>VLOOKUP($A82,'[1]Raw Data'!$A$3:$FB$285,88,FALSE)</f>
        <v/>
      </c>
      <c r="CJ82" s="27" t="str">
        <f t="shared" si="17"/>
        <v/>
      </c>
      <c r="CK82" s="27" t="str">
        <f>VLOOKUP($A82,'[1]Raw Data'!$A$3:$FB$285,89,FALSE)</f>
        <v/>
      </c>
      <c r="CL82" s="27" t="str">
        <f>VLOOKUP($A82,'[1]Raw Data'!$A$3:$FB$285,91,FALSE)</f>
        <v/>
      </c>
      <c r="CM82" s="27" t="str">
        <f>VLOOKUP($A82,'[1]Raw Data'!$A$3:$FB$285,93,FALSE)</f>
        <v/>
      </c>
      <c r="CN82" s="27" t="str">
        <f>VLOOKUP($A82,'[1]Raw Data'!$A$3:$FB$285,94,FALSE)</f>
        <v/>
      </c>
      <c r="CO82" s="27" t="str">
        <f>VLOOKUP($A82,'[1]Raw Data'!$A$3:$FB$285,95,FALSE)</f>
        <v/>
      </c>
      <c r="CP82" s="27" t="str">
        <f>VLOOKUP($A82,'[1]Raw Data'!$A$3:$FB$285,96,FALSE)</f>
        <v/>
      </c>
      <c r="CQ82" s="27" t="str">
        <f>VLOOKUP($A82,'[1]Raw Data'!$A$3:$FB$285,97,FALSE)</f>
        <v/>
      </c>
      <c r="CR82" s="27" t="str">
        <f>VLOOKUP($A82,'[1]Raw Data'!$A$3:$FB$285,98,FALSE)</f>
        <v/>
      </c>
      <c r="CS82" s="27" t="str">
        <f>VLOOKUP($A82,'[1]Raw Data'!$A$3:$FB$285,99,FALSE)</f>
        <v/>
      </c>
      <c r="CT82" s="27" t="str">
        <f>VLOOKUP($A82,'[1]Raw Data'!$A$3:$FB$285,101,FALSE)</f>
        <v>Ishwore Chandra Pokhrel</v>
      </c>
      <c r="CU82" s="27" t="s">
        <v>1021</v>
      </c>
      <c r="CV82" s="27" t="str">
        <f>VLOOKUP($A82,'[1]Raw Data'!$A$3:$FB$285,102,FALSE)</f>
        <v>Chairman</v>
      </c>
      <c r="CW82" s="27" t="s">
        <v>878</v>
      </c>
      <c r="CX82" s="27">
        <f>VLOOKUP($A82,'[1]Raw Data'!$A$3:$FB$285,103,FALSE)</f>
        <v>9851076128</v>
      </c>
      <c r="CY82" s="27" t="str">
        <f>VLOOKUP($A82,'[1]Raw Data'!$A$3:$FB$285,105,FALSE)</f>
        <v>Urmila Khadka</v>
      </c>
      <c r="CZ82" s="27" t="s">
        <v>1022</v>
      </c>
      <c r="DA82" s="27" t="str">
        <f>VLOOKUP($A82,'[1]Raw Data'!$A$3:$FB$285,106,FALSE)</f>
        <v>Deputy Chairman</v>
      </c>
      <c r="DB82" s="27" t="s">
        <v>879</v>
      </c>
      <c r="DC82" s="27">
        <f>VLOOKUP($A82,'[1]Raw Data'!$A$3:$FB$285,107,FALSE)</f>
        <v>9860643489</v>
      </c>
      <c r="DD82" s="27" t="str">
        <f>VLOOKUP($A82,'[1]Raw Data'!$A$3:$FB$285,109,FALSE)</f>
        <v>Dipesh Kattel</v>
      </c>
      <c r="DE82" s="27" t="s">
        <v>1023</v>
      </c>
      <c r="DF82" s="27" t="str">
        <f>VLOOKUP($A82,'[1]Raw Data'!$A$3:$FB$285,110,FALSE)</f>
        <v>Chief Adminstration Officer</v>
      </c>
      <c r="DG82" s="27" t="s">
        <v>880</v>
      </c>
      <c r="DH82" s="27" t="str">
        <f>VLOOKUP($A82,'[1]Raw Data'!$A$3:$FB$285,111,FALSE)</f>
        <v/>
      </c>
      <c r="DI82" s="27" t="str">
        <f>VLOOKUP($A82,'[1]Raw Data'!$A$3:$FB$285,121,FALSE)</f>
        <v>Sudhir Shrestha</v>
      </c>
      <c r="DJ82" s="27" t="s">
        <v>1024</v>
      </c>
      <c r="DK82" s="27" t="str">
        <f>VLOOKUP($A82,'[1]Raw Data'!$A$3:$FB$285,122,FALSE)</f>
        <v>Focal Person</v>
      </c>
      <c r="DL82" s="27" t="s">
        <v>881</v>
      </c>
      <c r="DM82" s="27">
        <f>VLOOKUP($A82,'[1]Raw Data'!$A$3:$FB$285,123,FALSE)</f>
        <v>9849664663</v>
      </c>
      <c r="DN82" s="27" t="str">
        <f>VLOOKUP($A82,'[1]Raw Data'!$A$3:$FB$285,113,FALSE)</f>
        <v>Nirmal Darshan Acharya</v>
      </c>
      <c r="DO82" s="27" t="s">
        <v>988</v>
      </c>
      <c r="DP82" s="27" t="str">
        <f>VLOOKUP($A82,'[1]Raw Data'!$A$3:$FB$285,114,FALSE)</f>
        <v>NRA Chief-District</v>
      </c>
      <c r="DQ82" s="27" t="s">
        <v>882</v>
      </c>
      <c r="DR82" s="27">
        <f>VLOOKUP($A82,'[1]Raw Data'!$A$3:$FB$285,115,FALSE)</f>
        <v>9854045832</v>
      </c>
      <c r="DS82" s="27" t="str">
        <f>VLOOKUP($A82,'[1]Raw Data'!$A$3:$FB$285,117,FALSE)</f>
        <v>Arjun Tamang</v>
      </c>
      <c r="DT82" s="27" t="s">
        <v>989</v>
      </c>
      <c r="DU82" s="27" t="str">
        <f>VLOOKUP($A82,'[1]Raw Data'!$A$3:$FB$285,118,FALSE)</f>
        <v>DUDBC.DLPIU Chief</v>
      </c>
      <c r="DV82" s="27" t="s">
        <v>883</v>
      </c>
      <c r="DW82" s="27">
        <f>VLOOKUP($A82,'[1]Raw Data'!$A$3:$FB$285,119,FALSE)</f>
        <v>9849246296</v>
      </c>
      <c r="DX82" s="27" t="s">
        <v>339</v>
      </c>
      <c r="DY82" s="27" t="str">
        <f>VLOOKUP($A82,'[1]Raw Data'!$A$3:$FB$285,124,FALSE)</f>
        <v/>
      </c>
      <c r="DZ82" s="27" t="s">
        <v>884</v>
      </c>
      <c r="EA82" s="27" t="str">
        <f>VLOOKUP($A82,'[1]Raw Data'!$A$3:$FB$285,125,FALSE)</f>
        <v/>
      </c>
      <c r="EB82" s="27" t="s">
        <v>341</v>
      </c>
      <c r="EC82" s="27" t="str">
        <f>VLOOKUP($A82,'[1]Raw Data'!$A$3:$FB$285,126,FALSE)</f>
        <v/>
      </c>
      <c r="ED82" t="s">
        <v>478</v>
      </c>
      <c r="EE82" s="27" t="str">
        <f>VLOOKUP($A82,'[1]Raw Data'!$A$3:$FB$285,127,FALSE)</f>
        <v/>
      </c>
      <c r="EF82" s="27" t="s">
        <v>343</v>
      </c>
      <c r="EG82" s="27" t="str">
        <f>VLOOKUP($A82,'[1]Raw Data'!$A$3:$FB$285,128,FALSE)</f>
        <v/>
      </c>
      <c r="EH82" t="s">
        <v>344</v>
      </c>
      <c r="EI82" s="27" t="str">
        <f>VLOOKUP($A82,'[1]Raw Data'!$A$3:$FB$285,129,FALSE)</f>
        <v/>
      </c>
      <c r="EM82" s="27" t="str">
        <f>VLOOKUP($A82,'[1]Raw Data'!$A$3:$FB$285,130,FALSE)</f>
        <v/>
      </c>
      <c r="EN82" s="27" t="str">
        <f>VLOOKUP($A82,'[1]Raw Data'!$A$3:$FB$285,131,FALSE)</f>
        <v/>
      </c>
      <c r="EO82" s="27" t="str">
        <f>VLOOKUP($A82,'[1]Raw Data'!$A$3:$FB$285,132,FALSE)</f>
        <v/>
      </c>
      <c r="EP82" s="27" t="str">
        <f>VLOOKUP($A82,'[1]Raw Data'!$A$3:$FB$285,133,FALSE)</f>
        <v/>
      </c>
      <c r="EQ82" s="27" t="str">
        <f>VLOOKUP($A82,'[1]Raw Data'!$A$3:$FB$285,134,FALSE)</f>
        <v/>
      </c>
      <c r="ER82" s="27" t="str">
        <f>VLOOKUP($A82,'[1]Raw Data'!$A$3:$FB$285,135,FALSE)</f>
        <v/>
      </c>
      <c r="ES82" s="27" t="str">
        <f>VLOOKUP($A82,'[1]Raw Data'!$A$3:$FB$285,136,FALSE)</f>
        <v/>
      </c>
      <c r="ET82" s="27" t="str">
        <f>VLOOKUP($A82,'[1]Raw Data'!$A$3:$FB$285,137,FALSE)</f>
        <v/>
      </c>
      <c r="EU82" s="27" t="str">
        <f>VLOOKUP($A82,'[1]Raw Data'!$A$3:$FB$285,138,FALSE)</f>
        <v/>
      </c>
      <c r="EV82" s="27" t="str">
        <f>VLOOKUP($A82,'[1]Raw Data'!$A$3:$FB$285,139,FALSE)</f>
        <v/>
      </c>
      <c r="EW82" s="38">
        <f>VLOOKUP($A82,[1]Training!$A$2:$I$284,5,FALSE)</f>
        <v>571.61538461538464</v>
      </c>
      <c r="EX82" s="31">
        <f>VLOOKUP($A82,[1]Training!$A$2:$I$284,6,FALSE)</f>
        <v>619</v>
      </c>
      <c r="EY82" s="38">
        <f>VLOOKUP($A82,[1]Training!$A$2:$I$284,8,FALSE)</f>
        <v>620.19752399499237</v>
      </c>
      <c r="EZ82" s="31">
        <f>VLOOKUP($A82,[1]Training!$A$2:$I$284,9,FALSE)</f>
        <v>0</v>
      </c>
      <c r="FA82" s="27">
        <v>1</v>
      </c>
      <c r="FB82" s="27">
        <v>2</v>
      </c>
      <c r="FC82" s="27" t="str">
        <f>VLOOKUP($A82,'[1]Raw Data'!$A$3:$FB$285,148,FALSE)</f>
        <v>Kamal Bahadur Mahat</v>
      </c>
      <c r="FD82" s="27" t="s">
        <v>990</v>
      </c>
      <c r="FE82" s="27" t="str">
        <f>VLOOKUP($A82,'[1]Raw Data'!$A$3:$FB$285,149,FALSE)</f>
        <v>District Coordinator</v>
      </c>
      <c r="FF82" s="27" t="s">
        <v>885</v>
      </c>
      <c r="FG82" s="27">
        <f>VLOOKUP($A82,'[1]Raw Data'!$A$3:$FB$285,150,FALSE)</f>
        <v>9841712677</v>
      </c>
      <c r="FH82" s="27" t="str">
        <f>VLOOKUP($A82,'[1]Raw Data'!$A$3:$FB$285,156,FALSE)</f>
        <v>Binod Kumar Kalauni</v>
      </c>
      <c r="FI82" s="27" t="s">
        <v>991</v>
      </c>
      <c r="FJ82" s="27" t="str">
        <f>VLOOKUP($A82,'[1]Raw Data'!$A$3:$FB$285,157,FALSE)</f>
        <v>District Technical Officer</v>
      </c>
      <c r="FK82" s="27" t="s">
        <v>886</v>
      </c>
      <c r="FL82" s="27">
        <f>VLOOKUP($A82,'[1]Raw Data'!$A$3:$FB$285,158,FALSE)</f>
        <v>9864291323</v>
      </c>
      <c r="FM82" s="27" t="str">
        <f>VLOOKUP($A82,'[1]Raw Data'!$A$3:$FB$285,152,FALSE)</f>
        <v>Ravi Pajiyar</v>
      </c>
      <c r="FN82" s="27" t="s">
        <v>992</v>
      </c>
      <c r="FO82" s="27" t="str">
        <f>VLOOKUP($A82,'[1]Raw Data'!$A$3:$FB$285,153,FALSE)</f>
        <v>DIstrict Information Management Officer</v>
      </c>
      <c r="FP82" s="27" t="s">
        <v>887</v>
      </c>
      <c r="FQ82" s="27">
        <f>VLOOKUP($A82,'[1]Raw Data'!$A$3:$FB$285,154,FALSE)</f>
        <v>9849829112</v>
      </c>
    </row>
    <row r="83" spans="1:173" ht="24" x14ac:dyDescent="0.45">
      <c r="A83" s="27">
        <v>23001</v>
      </c>
      <c r="B83" s="36" t="str">
        <f ca="1">IFERROR(__xludf.DUMMYFUNCTION("""COMPUTED_VALUE"""),"Balefi Gaunpalika")</f>
        <v>Balefi Gaunpalika</v>
      </c>
      <c r="C83" s="37" t="str">
        <f>VLOOKUP(A83,'[1]Palika and District in Nepali '!$D$1:$F$283,3,FALSE)</f>
        <v>बलेफि  गाउँपालिका</v>
      </c>
      <c r="D83" s="36" t="str">
        <f ca="1">IFERROR(__xludf.DUMMYFUNCTION("""COMPUTED_VALUE"""),"Sindhupalchowk")</f>
        <v>Sindhupalchowk</v>
      </c>
      <c r="E83" s="36"/>
      <c r="F83" s="27">
        <f>VLOOKUP(A83,'[1]Raw Data'!$A$3:$FB$285,4,FALSE)</f>
        <v>191</v>
      </c>
      <c r="G83" s="27">
        <f>VLOOKUP(A83,'[1]Raw Data'!$A$3:$FB$285,5,FALSE)</f>
        <v>6050</v>
      </c>
      <c r="H83" s="27">
        <f>VLOOKUP(A83,'[1]Raw Data'!$A$3:$FB$285,6,FALSE)</f>
        <v>6241</v>
      </c>
      <c r="I83" s="27">
        <f>VLOOKUP($A83,'[1]Raw Data'!$A$3:$FB$285,8,FALSE)</f>
        <v>1.84</v>
      </c>
      <c r="J83" s="27">
        <f>VLOOKUP($A83,'[1]Raw Data'!$A$3:$FB$285,9,FALSE)</f>
        <v>1.23</v>
      </c>
      <c r="K83" s="27">
        <f>VLOOKUP($A83,'[1]Raw Data'!$A$3:$FB$285,11,FALSE)</f>
        <v>90.82</v>
      </c>
      <c r="L83" s="27">
        <f>VLOOKUP($A83,'[1]Raw Data'!$A$3:$FB$285,12,FALSE)</f>
        <v>90.24</v>
      </c>
      <c r="M83" s="27">
        <f>VLOOKUP($A83,'[1]Raw Data'!$A$3:$FB$285,14,FALSE)</f>
        <v>2.76</v>
      </c>
      <c r="N83" s="27">
        <f>VLOOKUP($A83,'[1]Raw Data'!$A$3:$FB$285,15,FALSE)</f>
        <v>2.5499999999999998</v>
      </c>
      <c r="O83" s="27">
        <f>VLOOKUP($A83,'[1]Raw Data'!$A$3:$FB$285,17,FALSE)</f>
        <v>0.21</v>
      </c>
      <c r="P83" s="27">
        <f>VLOOKUP($A83,'[1]Raw Data'!$A$3:$FB$285,18,FALSE)</f>
        <v>0.16</v>
      </c>
      <c r="Q83" s="27">
        <f>VLOOKUP($A83,'[1]Raw Data'!$A$3:$FB$285,20,FALSE)</f>
        <v>3.78</v>
      </c>
      <c r="R83" s="27">
        <f>VLOOKUP($A83,'[1]Raw Data'!$A$3:$FB$285,21,FALSE)</f>
        <v>1.57</v>
      </c>
      <c r="S83" s="27">
        <f>VLOOKUP($A83,'[1]Raw Data'!$A$3:$FB$285,23,FALSE)</f>
        <v>0</v>
      </c>
      <c r="T83" s="27">
        <f>VLOOKUP($A83,'[1]Raw Data'!$A$3:$FB$285,24,FALSE)</f>
        <v>0</v>
      </c>
      <c r="U83" s="27">
        <f>VLOOKUP($A83,'[1]Raw Data'!$A$3:$FB$285,26,FALSE)</f>
        <v>0</v>
      </c>
      <c r="V83" s="27">
        <f>VLOOKUP($A83,'[1]Raw Data'!$A$3:$FB$285,27,FALSE)</f>
        <v>0.3</v>
      </c>
      <c r="W83" s="27">
        <f>VLOOKUP($A83,'[1]Raw Data'!$A$3:$FB$285,29,FALSE)</f>
        <v>0</v>
      </c>
      <c r="X83" s="27">
        <f>VLOOKUP($A83,'[1]Raw Data'!$A$3:$FB$285,30,FALSE)</f>
        <v>0</v>
      </c>
      <c r="Y83" s="27">
        <f>VLOOKUP($A83,'[1]Raw Data'!$A$3:$FB$285,32,FALSE)</f>
        <v>0.38</v>
      </c>
      <c r="Z83" s="27">
        <f>VLOOKUP($A83,'[1]Raw Data'!$A$3:$FB$285,33,FALSE)</f>
        <v>1.08</v>
      </c>
      <c r="AA83" s="27">
        <f>VLOOKUP($A83,'[1]Raw Data'!$A$3:$FB$285,35,FALSE)</f>
        <v>0.21</v>
      </c>
      <c r="AB83" s="27">
        <f>VLOOKUP($A83,'[1]Raw Data'!$A$3:$FB$285,36,FALSE)</f>
        <v>2.85</v>
      </c>
      <c r="AC83" s="27">
        <f>VLOOKUP($A83,'[1]Raw Data'!$A$3:$FB$285,38,FALSE)</f>
        <v>0</v>
      </c>
      <c r="AD83" s="27">
        <f>VLOOKUP($A83,'[1]Raw Data'!$A$3:$FB$285,39,FALSE)</f>
        <v>0.02</v>
      </c>
      <c r="AE83" s="27">
        <f>VLOOKUP($A83,'[1]Raw Data'!$A$3:$FB$285,41,FALSE)</f>
        <v>0</v>
      </c>
      <c r="AF83" s="27">
        <f>VLOOKUP($A83,'[1]Raw Data'!$A$3:$FB$285,42,FALSE)</f>
        <v>0</v>
      </c>
      <c r="AG83" s="27">
        <f>VLOOKUP($A83,'[1]Raw Data'!$A$3:$FB$285,44,FALSE)</f>
        <v>0</v>
      </c>
      <c r="AH83" s="27">
        <f>VLOOKUP($A83,'[1]Raw Data'!$A$3:$FB$285,45,FALSE)</f>
        <v>0</v>
      </c>
      <c r="AI83" s="27">
        <f>VLOOKUP($A83,'[1]Raw Data'!$A$3:$FB$285,46,FALSE)</f>
        <v>6043</v>
      </c>
      <c r="AJ83" s="27">
        <f>VLOOKUP($A83,'[1]Raw Data'!$A$3:$FB$285,47,FALSE)</f>
        <v>5958</v>
      </c>
      <c r="AK83" s="27">
        <f>VLOOKUP($A83,'[1]Raw Data'!$A$3:$FB$285,48,FALSE)</f>
        <v>5958</v>
      </c>
      <c r="AL83" s="27">
        <f>VLOOKUP($A83,'[1]Raw Data'!$A$3:$FB$285,49,FALSE)</f>
        <v>5593</v>
      </c>
      <c r="AM83" s="27">
        <f>VLOOKUP($A83,'[1]Raw Data'!$A$3:$FB$285,50,FALSE)</f>
        <v>4836</v>
      </c>
      <c r="AN83" s="27">
        <f>VLOOKUP($A83,'[1]Raw Data'!$A$3:$FB$285,51,FALSE)</f>
        <v>0</v>
      </c>
      <c r="AO83" s="27" t="str">
        <f>VLOOKUP($A83,'[1]Raw Data'!$A$3:$FB$285,52,FALSE)</f>
        <v/>
      </c>
      <c r="AP83" s="27">
        <f>VLOOKUP($A83,'[1]Raw Data'!$A$3:$FB$285,53,FALSE)</f>
        <v>24</v>
      </c>
      <c r="AQ83" s="27">
        <f>VLOOKUP($A83,'[1]Raw Data'!$A$3:$FB$285,54,FALSE)</f>
        <v>5</v>
      </c>
      <c r="AR83" s="27">
        <f>VLOOKUP($A83,'[1]Raw Data'!$A$3:$FB$285,55,FALSE)</f>
        <v>5</v>
      </c>
      <c r="AS83" s="27">
        <f>VLOOKUP($A83,'[1]Raw Data'!$A$3:$FB$285,56,FALSE)</f>
        <v>0</v>
      </c>
      <c r="AT83" s="27">
        <f>VLOOKUP($A83,'[1]Raw Data'!$A$3:$FB$285,57,FALSE)</f>
        <v>1240</v>
      </c>
      <c r="AU83" s="27">
        <f>VLOOKUP($A83,'[1]Raw Data'!$A$3:$FB$285,58,FALSE)</f>
        <v>464</v>
      </c>
      <c r="AV83" s="27" t="str">
        <f>VLOOKUP($A83,'[1]Raw Data'!$A$3:$FB$285,59,FALSE)</f>
        <v/>
      </c>
      <c r="AW83" s="27" t="str">
        <f>VLOOKUP($A83,'[1]Raw Data'!$A$3:$FB$285,60,FALSE)</f>
        <v/>
      </c>
      <c r="AX83" s="27" t="str">
        <f>VLOOKUP(A83,'[1]PO''s List'!A81:E363,4,FALSE)</f>
        <v>JICA(Shelter),PIN(Shelter)</v>
      </c>
      <c r="AZ83" s="27" t="str">
        <f>VLOOKUP(A83,'[1]PO''s List'!$A$3:$E$285,5,FALSE)</f>
        <v>AATWIN(Social Protection),GON(Shelter),IOM(Shelter),LN(Education),MI(Health),OXFAM-GB(Shelter),PLAN(Health),PWJ(Shelter),SABAL(Shelter),SCI(Education,Employment ,Nutrition,Shelter,Social Protection,Health),SSS(Education),WVIN(Livelihood,Health)</v>
      </c>
      <c r="BB83" s="27">
        <f>VLOOKUP($A83,'[1]Raw Data'!$A$3:$FB$285,63,FALSE)</f>
        <v>234873</v>
      </c>
      <c r="BC83" s="27" t="str">
        <f>VLOOKUP($A83,'[1]Raw Data'!$A$3:$FB$285,64,FALSE)</f>
        <v>Y</v>
      </c>
      <c r="BD83" s="27" t="str">
        <f t="shared" si="9"/>
        <v>छ</v>
      </c>
      <c r="BE83" s="27">
        <f>VLOOKUP($A83,'[1]Raw Data'!$A$3:$FB$285,65,FALSE)</f>
        <v>1600</v>
      </c>
      <c r="BF83" s="27">
        <f>VLOOKUP($A83,'[1]Raw Data'!$A$3:$FB$285,66,FALSE)</f>
        <v>166799</v>
      </c>
      <c r="BG83" s="27" t="str">
        <f>VLOOKUP($A83,'[1]Raw Data'!$A$3:$FB$285,67,FALSE)</f>
        <v>Y</v>
      </c>
      <c r="BH83" s="27" t="str">
        <f t="shared" si="10"/>
        <v>छ</v>
      </c>
      <c r="BI83" s="27">
        <f>VLOOKUP($A83,'[1]Raw Data'!$A$3:$FB$285,68,FALSE)</f>
        <v>3000</v>
      </c>
      <c r="BJ83" s="27">
        <f>VLOOKUP($A83,'[1]Raw Data'!$A$3:$FB$285,69,FALSE)</f>
        <v>24384</v>
      </c>
      <c r="BK83" s="27" t="str">
        <f>VLOOKUP($A83,'[1]Raw Data'!$A$3:$FB$285,70,FALSE)</f>
        <v>Y</v>
      </c>
      <c r="BL83" s="27" t="str">
        <f t="shared" si="11"/>
        <v>छ</v>
      </c>
      <c r="BM83" s="27">
        <f>VLOOKUP($A83,'[1]Raw Data'!$A$3:$FB$285,71,FALSE)</f>
        <v>3000</v>
      </c>
      <c r="BN83" s="27">
        <f>VLOOKUP($A83,'[1]Raw Data'!$A$3:$FB$285,72,FALSE)</f>
        <v>25591</v>
      </c>
      <c r="BO83" s="27" t="str">
        <f>VLOOKUP($A83,'[1]Raw Data'!$A$3:$FB$285,73,FALSE)</f>
        <v/>
      </c>
      <c r="BP83" s="27" t="str">
        <f t="shared" si="12"/>
        <v/>
      </c>
      <c r="BQ83" s="27" t="str">
        <f>VLOOKUP($A83,'[1]Raw Data'!$A$3:$FB$285,74,FALSE)</f>
        <v/>
      </c>
      <c r="BR83" s="27" t="str">
        <f>VLOOKUP($A83,'[1]Raw Data'!$A$3:$FB$285,75,FALSE)</f>
        <v/>
      </c>
      <c r="BS83" s="27" t="str">
        <f>VLOOKUP($A83,'[1]Raw Data'!$A$3:$FB$285,76,FALSE)</f>
        <v>Y</v>
      </c>
      <c r="BT83" s="27" t="str">
        <f t="shared" si="13"/>
        <v>छ</v>
      </c>
      <c r="BU83" s="27">
        <f>VLOOKUP($A83,'[1]Raw Data'!$A$3:$FB$285,77,FALSE)</f>
        <v>850</v>
      </c>
      <c r="BV83" s="27">
        <f>VLOOKUP($A83,'[1]Raw Data'!$A$3:$FB$285,78,FALSE)</f>
        <v>562365</v>
      </c>
      <c r="BW83" s="27" t="str">
        <f>VLOOKUP($A83,'[1]Raw Data'!$A$3:$FB$285,79,FALSE)</f>
        <v>Y</v>
      </c>
      <c r="BX83" s="27" t="str">
        <f t="shared" si="14"/>
        <v>छ</v>
      </c>
      <c r="BY83" s="27">
        <f>VLOOKUP($A83,'[1]Raw Data'!$A$3:$FB$285,80,FALSE)</f>
        <v>960</v>
      </c>
      <c r="BZ83" s="27">
        <f>VLOOKUP($A83,'[1]Raw Data'!$A$3:$FB$285,81,FALSE)</f>
        <v>2654414</v>
      </c>
      <c r="CA83" s="27" t="str">
        <f>VLOOKUP($A83,'[1]Raw Data'!$A$3:$FB$285,82,FALSE)</f>
        <v>Y</v>
      </c>
      <c r="CB83" s="27" t="str">
        <f t="shared" si="15"/>
        <v>छ</v>
      </c>
      <c r="CC83" s="27">
        <f>VLOOKUP($A83,'[1]Raw Data'!$A$3:$FB$285,83,FALSE)</f>
        <v>94</v>
      </c>
      <c r="CD83" s="27">
        <f>VLOOKUP($A83,'[1]Raw Data'!$A$3:$FB$285,84,FALSE)</f>
        <v>22857</v>
      </c>
      <c r="CE83" s="27" t="str">
        <f>VLOOKUP($A83,'[1]Raw Data'!$A$3:$FB$285,85,FALSE)</f>
        <v/>
      </c>
      <c r="CF83" s="27" t="str">
        <f t="shared" si="16"/>
        <v/>
      </c>
      <c r="CG83" s="27" t="str">
        <f>VLOOKUP($A83,'[1]Raw Data'!$A$3:$FB$285,86,FALSE)</f>
        <v/>
      </c>
      <c r="CH83" s="27">
        <f>VLOOKUP($A83,'[1]Raw Data'!$A$3:$FB$285,87,FALSE)</f>
        <v>7392627</v>
      </c>
      <c r="CI83" s="27" t="str">
        <f>VLOOKUP($A83,'[1]Raw Data'!$A$3:$FB$285,88,FALSE)</f>
        <v>Y</v>
      </c>
      <c r="CJ83" s="27" t="str">
        <f t="shared" si="17"/>
        <v>छ</v>
      </c>
      <c r="CK83" s="27">
        <f>VLOOKUP($A83,'[1]Raw Data'!$A$3:$FB$285,89,FALSE)</f>
        <v>16</v>
      </c>
      <c r="CL83" s="27">
        <f>VLOOKUP($A83,'[1]Raw Data'!$A$3:$FB$285,91,FALSE)</f>
        <v>1500</v>
      </c>
      <c r="CM83" s="27">
        <f>VLOOKUP($A83,'[1]Raw Data'!$A$3:$FB$285,93,FALSE)</f>
        <v>1000</v>
      </c>
      <c r="CN83" s="27" t="str">
        <f>VLOOKUP($A83,'[1]Raw Data'!$A$3:$FB$285,94,FALSE)</f>
        <v/>
      </c>
      <c r="CO83" s="27" t="str">
        <f>VLOOKUP($A83,'[1]Raw Data'!$A$3:$FB$285,95,FALSE)</f>
        <v/>
      </c>
      <c r="CP83" s="27" t="str">
        <f>VLOOKUP($A83,'[1]Raw Data'!$A$3:$FB$285,96,FALSE)</f>
        <v/>
      </c>
      <c r="CQ83" s="27" t="str">
        <f>VLOOKUP($A83,'[1]Raw Data'!$A$3:$FB$285,97,FALSE)</f>
        <v/>
      </c>
      <c r="CR83" s="27" t="str">
        <f>VLOOKUP($A83,'[1]Raw Data'!$A$3:$FB$285,98,FALSE)</f>
        <v/>
      </c>
      <c r="CS83" s="27" t="str">
        <f>VLOOKUP($A83,'[1]Raw Data'!$A$3:$FB$285,99,FALSE)</f>
        <v/>
      </c>
      <c r="CT83" s="27" t="str">
        <f>VLOOKUP($A83,'[1]Raw Data'!$A$3:$FB$285,101,FALSE)</f>
        <v>Kedar Chhetri</v>
      </c>
      <c r="CU83" s="27" t="s">
        <v>1025</v>
      </c>
      <c r="CV83" s="27" t="str">
        <f>VLOOKUP($A83,'[1]Raw Data'!$A$3:$FB$285,102,FALSE)</f>
        <v>Chairman</v>
      </c>
      <c r="CW83" s="27" t="s">
        <v>878</v>
      </c>
      <c r="CX83" s="27">
        <f>VLOOKUP($A83,'[1]Raw Data'!$A$3:$FB$285,103,FALSE)</f>
        <v>9851100694</v>
      </c>
      <c r="CY83" s="27" t="str">
        <f>VLOOKUP($A83,'[1]Raw Data'!$A$3:$FB$285,105,FALSE)</f>
        <v>Kamala Kayastha</v>
      </c>
      <c r="CZ83" s="27" t="s">
        <v>1026</v>
      </c>
      <c r="DA83" s="27" t="str">
        <f>VLOOKUP($A83,'[1]Raw Data'!$A$3:$FB$285,106,FALSE)</f>
        <v>Deputy Chairman</v>
      </c>
      <c r="DB83" s="27" t="s">
        <v>879</v>
      </c>
      <c r="DC83" s="27">
        <f>VLOOKUP($A83,'[1]Raw Data'!$A$3:$FB$285,107,FALSE)</f>
        <v>9849211638</v>
      </c>
      <c r="DD83" s="27" t="str">
        <f>VLOOKUP($A83,'[1]Raw Data'!$A$3:$FB$285,109,FALSE)</f>
        <v>Ganesh Nepali</v>
      </c>
      <c r="DE83" s="27" t="s">
        <v>1027</v>
      </c>
      <c r="DF83" s="27" t="str">
        <f>VLOOKUP($A83,'[1]Raw Data'!$A$3:$FB$285,110,FALSE)</f>
        <v>Chief Adminstration Officer</v>
      </c>
      <c r="DG83" s="27" t="s">
        <v>880</v>
      </c>
      <c r="DH83" s="27">
        <f>VLOOKUP($A83,'[1]Raw Data'!$A$3:$FB$285,111,FALSE)</f>
        <v>9851243637</v>
      </c>
      <c r="DI83" s="27" t="str">
        <f>VLOOKUP($A83,'[1]Raw Data'!$A$3:$FB$285,121,FALSE)</f>
        <v>Pradeep Kakshyapati</v>
      </c>
      <c r="DJ83" s="27" t="s">
        <v>1028</v>
      </c>
      <c r="DK83" s="27" t="str">
        <f>VLOOKUP($A83,'[1]Raw Data'!$A$3:$FB$285,122,FALSE)</f>
        <v>Focal Person</v>
      </c>
      <c r="DL83" s="27" t="s">
        <v>881</v>
      </c>
      <c r="DM83" s="27">
        <f>VLOOKUP($A83,'[1]Raw Data'!$A$3:$FB$285,123,FALSE)</f>
        <v>9849620343</v>
      </c>
      <c r="DN83" s="27" t="str">
        <f>VLOOKUP($A83,'[1]Raw Data'!$A$3:$FB$285,113,FALSE)</f>
        <v>Jay Prakash Gupta</v>
      </c>
      <c r="DO83" s="27" t="s">
        <v>1029</v>
      </c>
      <c r="DP83" s="27" t="str">
        <f>VLOOKUP($A83,'[1]Raw Data'!$A$3:$FB$285,114,FALSE)</f>
        <v>NRA Chief-District</v>
      </c>
      <c r="DQ83" s="27" t="s">
        <v>882</v>
      </c>
      <c r="DR83" s="27">
        <f>VLOOKUP($A83,'[1]Raw Data'!$A$3:$FB$285,115,FALSE)</f>
        <v>9858320531</v>
      </c>
      <c r="DS83" s="27" t="str">
        <f>VLOOKUP($A83,'[1]Raw Data'!$A$3:$FB$285,117,FALSE)</f>
        <v>Santosh Kumar Niraula</v>
      </c>
      <c r="DT83" s="27" t="s">
        <v>1030</v>
      </c>
      <c r="DU83" s="27" t="str">
        <f>VLOOKUP($A83,'[1]Raw Data'!$A$3:$FB$285,118,FALSE)</f>
        <v>DUDBC.DLPIU Chief</v>
      </c>
      <c r="DV83" s="27" t="s">
        <v>883</v>
      </c>
      <c r="DW83" s="27">
        <f>VLOOKUP($A83,'[1]Raw Data'!$A$3:$FB$285,119,FALSE)</f>
        <v>9851136372</v>
      </c>
      <c r="DX83" s="27" t="s">
        <v>339</v>
      </c>
      <c r="DY83" s="27" t="str">
        <f>VLOOKUP($A83,'[1]Raw Data'!$A$3:$FB$285,124,FALSE)</f>
        <v>N/A</v>
      </c>
      <c r="DZ83" s="27" t="s">
        <v>884</v>
      </c>
      <c r="EA83" s="27" t="str">
        <f>VLOOKUP($A83,'[1]Raw Data'!$A$3:$FB$285,125,FALSE)</f>
        <v>N/A</v>
      </c>
      <c r="EB83" s="27" t="s">
        <v>341</v>
      </c>
      <c r="EC83" s="27" t="str">
        <f>VLOOKUP($A83,'[1]Raw Data'!$A$3:$FB$285,126,FALSE)</f>
        <v>N/A</v>
      </c>
      <c r="ED83" t="s">
        <v>478</v>
      </c>
      <c r="EE83" s="27" t="str">
        <f>VLOOKUP($A83,'[1]Raw Data'!$A$3:$FB$285,127,FALSE)</f>
        <v>N/A</v>
      </c>
      <c r="EF83" s="27" t="s">
        <v>343</v>
      </c>
      <c r="EG83" s="27" t="str">
        <f>VLOOKUP($A83,'[1]Raw Data'!$A$3:$FB$285,128,FALSE)</f>
        <v>N/A</v>
      </c>
      <c r="EH83" t="s">
        <v>344</v>
      </c>
      <c r="EI83" s="27" t="str">
        <f>VLOOKUP($A83,'[1]Raw Data'!$A$3:$FB$285,129,FALSE)</f>
        <v>N/A</v>
      </c>
      <c r="EM83" s="27" t="str">
        <f>VLOOKUP($A83,'[1]Raw Data'!$A$3:$FB$285,130,FALSE)</f>
        <v/>
      </c>
      <c r="EN83" s="27" t="str">
        <f>VLOOKUP($A83,'[1]Raw Data'!$A$3:$FB$285,131,FALSE)</f>
        <v/>
      </c>
      <c r="EO83" s="27" t="str">
        <f>VLOOKUP($A83,'[1]Raw Data'!$A$3:$FB$285,132,FALSE)</f>
        <v/>
      </c>
      <c r="EP83" s="27" t="str">
        <f>VLOOKUP($A83,'[1]Raw Data'!$A$3:$FB$285,133,FALSE)</f>
        <v/>
      </c>
      <c r="EQ83" s="27" t="str">
        <f>VLOOKUP($A83,'[1]Raw Data'!$A$3:$FB$285,134,FALSE)</f>
        <v/>
      </c>
      <c r="ER83" s="27" t="str">
        <f>VLOOKUP($A83,'[1]Raw Data'!$A$3:$FB$285,135,FALSE)</f>
        <v/>
      </c>
      <c r="ES83" s="27" t="str">
        <f>VLOOKUP($A83,'[1]Raw Data'!$A$3:$FB$285,136,FALSE)</f>
        <v/>
      </c>
      <c r="ET83" s="27" t="str">
        <f>VLOOKUP($A83,'[1]Raw Data'!$A$3:$FB$285,137,FALSE)</f>
        <v/>
      </c>
      <c r="EU83" s="27" t="str">
        <f>VLOOKUP($A83,'[1]Raw Data'!$A$3:$FB$285,138,FALSE)</f>
        <v/>
      </c>
      <c r="EV83" s="27" t="str">
        <f>VLOOKUP($A83,'[1]Raw Data'!$A$3:$FB$285,139,FALSE)</f>
        <v/>
      </c>
      <c r="EW83" s="38">
        <f>VLOOKUP($A83,[1]Training!$A$2:$I$284,5,FALSE)</f>
        <v>464.84615384615387</v>
      </c>
      <c r="EX83" s="31">
        <f>VLOOKUP($A83,[1]Training!$A$2:$I$284,6,FALSE)</f>
        <v>415</v>
      </c>
      <c r="EY83" s="38">
        <f>VLOOKUP($A83,[1]Training!$A$2:$I$284,8,FALSE)</f>
        <v>625.13074562361351</v>
      </c>
      <c r="EZ83" s="31">
        <f>VLOOKUP($A83,[1]Training!$A$2:$I$284,9,FALSE)</f>
        <v>0</v>
      </c>
      <c r="FA83" s="27">
        <v>1</v>
      </c>
      <c r="FB83" s="27">
        <v>2</v>
      </c>
      <c r="FC83" s="27" t="str">
        <f>VLOOKUP($A83,'[1]Raw Data'!$A$3:$FB$285,148,FALSE)</f>
        <v/>
      </c>
      <c r="FD83" s="27" t="s">
        <v>1031</v>
      </c>
      <c r="FE83" s="27" t="str">
        <f>VLOOKUP($A83,'[1]Raw Data'!$A$3:$FB$285,149,FALSE)</f>
        <v>District Coordinator</v>
      </c>
      <c r="FF83" s="27" t="s">
        <v>885</v>
      </c>
      <c r="FG83" s="27">
        <f>VLOOKUP($A83,'[1]Raw Data'!$A$3:$FB$285,150,FALSE)</f>
        <v>9654028388</v>
      </c>
      <c r="FH83" s="27" t="str">
        <f>VLOOKUP($A83,'[1]Raw Data'!$A$3:$FB$285,156,FALSE)</f>
        <v xml:space="preserve">Pradip Sharma </v>
      </c>
      <c r="FI83" s="27" t="s">
        <v>1032</v>
      </c>
      <c r="FJ83" s="27" t="str">
        <f>VLOOKUP($A83,'[1]Raw Data'!$A$3:$FB$285,157,FALSE)</f>
        <v>District Technical Officer</v>
      </c>
      <c r="FK83" s="27" t="s">
        <v>886</v>
      </c>
      <c r="FL83" s="27">
        <f>VLOOKUP($A83,'[1]Raw Data'!$A$3:$FB$285,158,FALSE)</f>
        <v>9851073208</v>
      </c>
      <c r="FM83" s="27" t="str">
        <f>VLOOKUP($A83,'[1]Raw Data'!$A$3:$FB$285,152,FALSE)</f>
        <v>Pranjal Bhandari</v>
      </c>
      <c r="FN83" s="27" t="s">
        <v>1033</v>
      </c>
      <c r="FO83" s="27" t="str">
        <f>VLOOKUP($A83,'[1]Raw Data'!$A$3:$FB$285,153,FALSE)</f>
        <v>DIstrict Information Management Officer</v>
      </c>
      <c r="FP83" s="27" t="s">
        <v>887</v>
      </c>
      <c r="FQ83" s="27">
        <f>VLOOKUP($A83,'[1]Raw Data'!$A$3:$FB$285,154,FALSE)</f>
        <v>9840057752</v>
      </c>
    </row>
    <row r="84" spans="1:173" ht="24" x14ac:dyDescent="0.45">
      <c r="A84" s="27">
        <v>23002</v>
      </c>
      <c r="B84" s="36" t="str">
        <f ca="1">IFERROR(__xludf.DUMMYFUNCTION("""COMPUTED_VALUE"""),"Barhabise Nagarpalika")</f>
        <v>Barhabise Nagarpalika</v>
      </c>
      <c r="C84" s="37" t="str">
        <f>VLOOKUP(A84,'[1]Palika and District in Nepali '!$D$1:$F$283,3,FALSE)</f>
        <v>बाह्रबिसे नगरपालिका</v>
      </c>
      <c r="D84" s="36" t="str">
        <f ca="1">IFERROR(__xludf.DUMMYFUNCTION("""COMPUTED_VALUE"""),"Sindhupalchowk")</f>
        <v>Sindhupalchowk</v>
      </c>
      <c r="E84" s="36"/>
      <c r="F84" s="27">
        <f>VLOOKUP(A84,'[1]Raw Data'!$A$3:$FB$285,4,FALSE)</f>
        <v>369</v>
      </c>
      <c r="G84" s="27">
        <f>VLOOKUP(A84,'[1]Raw Data'!$A$3:$FB$285,5,FALSE)</f>
        <v>7619</v>
      </c>
      <c r="H84" s="27">
        <f>VLOOKUP(A84,'[1]Raw Data'!$A$3:$FB$285,6,FALSE)</f>
        <v>7988</v>
      </c>
      <c r="I84" s="27">
        <f>VLOOKUP($A84,'[1]Raw Data'!$A$3:$FB$285,8,FALSE)</f>
        <v>3.86</v>
      </c>
      <c r="J84" s="27">
        <f>VLOOKUP($A84,'[1]Raw Data'!$A$3:$FB$285,9,FALSE)</f>
        <v>1.23</v>
      </c>
      <c r="K84" s="27">
        <f>VLOOKUP($A84,'[1]Raw Data'!$A$3:$FB$285,11,FALSE)</f>
        <v>80.010000000000005</v>
      </c>
      <c r="L84" s="27">
        <f>VLOOKUP($A84,'[1]Raw Data'!$A$3:$FB$285,12,FALSE)</f>
        <v>90.24</v>
      </c>
      <c r="M84" s="27">
        <f>VLOOKUP($A84,'[1]Raw Data'!$A$3:$FB$285,14,FALSE)</f>
        <v>5.0599999999999996</v>
      </c>
      <c r="N84" s="27">
        <f>VLOOKUP($A84,'[1]Raw Data'!$A$3:$FB$285,15,FALSE)</f>
        <v>2.5499999999999998</v>
      </c>
      <c r="O84" s="27">
        <f>VLOOKUP($A84,'[1]Raw Data'!$A$3:$FB$285,17,FALSE)</f>
        <v>0.14000000000000001</v>
      </c>
      <c r="P84" s="27">
        <f>VLOOKUP($A84,'[1]Raw Data'!$A$3:$FB$285,18,FALSE)</f>
        <v>0.16</v>
      </c>
      <c r="Q84" s="27">
        <f>VLOOKUP($A84,'[1]Raw Data'!$A$3:$FB$285,20,FALSE)</f>
        <v>1.85</v>
      </c>
      <c r="R84" s="27">
        <f>VLOOKUP($A84,'[1]Raw Data'!$A$3:$FB$285,21,FALSE)</f>
        <v>1.57</v>
      </c>
      <c r="S84" s="27">
        <f>VLOOKUP($A84,'[1]Raw Data'!$A$3:$FB$285,23,FALSE)</f>
        <v>0</v>
      </c>
      <c r="T84" s="27">
        <f>VLOOKUP($A84,'[1]Raw Data'!$A$3:$FB$285,24,FALSE)</f>
        <v>0</v>
      </c>
      <c r="U84" s="27">
        <f>VLOOKUP($A84,'[1]Raw Data'!$A$3:$FB$285,26,FALSE)</f>
        <v>0.93</v>
      </c>
      <c r="V84" s="27">
        <f>VLOOKUP($A84,'[1]Raw Data'!$A$3:$FB$285,27,FALSE)</f>
        <v>0.3</v>
      </c>
      <c r="W84" s="27">
        <f>VLOOKUP($A84,'[1]Raw Data'!$A$3:$FB$285,29,FALSE)</f>
        <v>0</v>
      </c>
      <c r="X84" s="27">
        <f>VLOOKUP($A84,'[1]Raw Data'!$A$3:$FB$285,30,FALSE)</f>
        <v>0</v>
      </c>
      <c r="Y84" s="27">
        <f>VLOOKUP($A84,'[1]Raw Data'!$A$3:$FB$285,32,FALSE)</f>
        <v>0.83</v>
      </c>
      <c r="Z84" s="27">
        <f>VLOOKUP($A84,'[1]Raw Data'!$A$3:$FB$285,33,FALSE)</f>
        <v>1.08</v>
      </c>
      <c r="AA84" s="27">
        <f>VLOOKUP($A84,'[1]Raw Data'!$A$3:$FB$285,35,FALSE)</f>
        <v>7.26</v>
      </c>
      <c r="AB84" s="27">
        <f>VLOOKUP($A84,'[1]Raw Data'!$A$3:$FB$285,36,FALSE)</f>
        <v>2.85</v>
      </c>
      <c r="AC84" s="27">
        <f>VLOOKUP($A84,'[1]Raw Data'!$A$3:$FB$285,38,FALSE)</f>
        <v>0.06</v>
      </c>
      <c r="AD84" s="27">
        <f>VLOOKUP($A84,'[1]Raw Data'!$A$3:$FB$285,39,FALSE)</f>
        <v>0.02</v>
      </c>
      <c r="AE84" s="27">
        <f>VLOOKUP($A84,'[1]Raw Data'!$A$3:$FB$285,41,FALSE)</f>
        <v>0</v>
      </c>
      <c r="AF84" s="27">
        <f>VLOOKUP($A84,'[1]Raw Data'!$A$3:$FB$285,42,FALSE)</f>
        <v>0</v>
      </c>
      <c r="AG84" s="27">
        <f>VLOOKUP($A84,'[1]Raw Data'!$A$3:$FB$285,44,FALSE)</f>
        <v>0</v>
      </c>
      <c r="AH84" s="27">
        <f>VLOOKUP($A84,'[1]Raw Data'!$A$3:$FB$285,45,FALSE)</f>
        <v>0</v>
      </c>
      <c r="AI84" s="27">
        <f>VLOOKUP($A84,'[1]Raw Data'!$A$3:$FB$285,46,FALSE)</f>
        <v>7811</v>
      </c>
      <c r="AJ84" s="27">
        <f>VLOOKUP($A84,'[1]Raw Data'!$A$3:$FB$285,47,FALSE)</f>
        <v>7702</v>
      </c>
      <c r="AK84" s="27">
        <f>VLOOKUP($A84,'[1]Raw Data'!$A$3:$FB$285,48,FALSE)</f>
        <v>7700</v>
      </c>
      <c r="AL84" s="27">
        <f>VLOOKUP($A84,'[1]Raw Data'!$A$3:$FB$285,49,FALSE)</f>
        <v>6934</v>
      </c>
      <c r="AM84" s="27">
        <f>VLOOKUP($A84,'[1]Raw Data'!$A$3:$FB$285,50,FALSE)</f>
        <v>4809</v>
      </c>
      <c r="AN84" s="27">
        <f>VLOOKUP($A84,'[1]Raw Data'!$A$3:$FB$285,51,FALSE)</f>
        <v>0</v>
      </c>
      <c r="AO84" s="27" t="str">
        <f>VLOOKUP($A84,'[1]Raw Data'!$A$3:$FB$285,52,FALSE)</f>
        <v/>
      </c>
      <c r="AP84" s="27">
        <f>VLOOKUP($A84,'[1]Raw Data'!$A$3:$FB$285,53,FALSE)</f>
        <v>72</v>
      </c>
      <c r="AQ84" s="27">
        <f>VLOOKUP($A84,'[1]Raw Data'!$A$3:$FB$285,54,FALSE)</f>
        <v>18</v>
      </c>
      <c r="AR84" s="27">
        <f>VLOOKUP($A84,'[1]Raw Data'!$A$3:$FB$285,55,FALSE)</f>
        <v>18</v>
      </c>
      <c r="AS84" s="27">
        <f>VLOOKUP($A84,'[1]Raw Data'!$A$3:$FB$285,56,FALSE)</f>
        <v>0</v>
      </c>
      <c r="AT84" s="27">
        <f>VLOOKUP($A84,'[1]Raw Data'!$A$3:$FB$285,57,FALSE)</f>
        <v>2490</v>
      </c>
      <c r="AU84" s="27">
        <f>VLOOKUP($A84,'[1]Raw Data'!$A$3:$FB$285,58,FALSE)</f>
        <v>683</v>
      </c>
      <c r="AV84" s="27" t="str">
        <f>VLOOKUP($A84,'[1]Raw Data'!$A$3:$FB$285,59,FALSE)</f>
        <v/>
      </c>
      <c r="AW84" s="27" t="str">
        <f>VLOOKUP($A84,'[1]Raw Data'!$A$3:$FB$285,60,FALSE)</f>
        <v/>
      </c>
      <c r="AX84" s="27" t="str">
        <f>VLOOKUP(A84,'[1]PO''s List'!A82:E364,4,FALSE)</f>
        <v>BC(Shelter),CECI(Livelihood,DRR,Employment ,Governance),JICA(Shelter)</v>
      </c>
      <c r="AZ84" s="27" t="str">
        <f>VLOOKUP(A84,'[1]PO''s List'!$A$3:$E$285,5,FALSE)</f>
        <v>AATWIN(Social Protection),GON-PAF(Shelter),ICCO(Livelihood,Education,Employment ,Shelter),IOM(Shelter),MC(Other),Shelter),NN(Education),NR(Education),OXFAM-GB(Shelter),PLAN(Health),SABAL(Shelter),SCI(Nutrition,Shelter),SSS(Education)</v>
      </c>
      <c r="BB84" s="27">
        <f>VLOOKUP($A84,'[1]Raw Data'!$A$3:$FB$285,63,FALSE)</f>
        <v>191858</v>
      </c>
      <c r="BC84" s="27" t="str">
        <f>VLOOKUP($A84,'[1]Raw Data'!$A$3:$FB$285,64,FALSE)</f>
        <v/>
      </c>
      <c r="BD84" s="27" t="str">
        <f t="shared" si="9"/>
        <v/>
      </c>
      <c r="BE84" s="27" t="str">
        <f>VLOOKUP($A84,'[1]Raw Data'!$A$3:$FB$285,65,FALSE)</f>
        <v/>
      </c>
      <c r="BF84" s="27">
        <f>VLOOKUP($A84,'[1]Raw Data'!$A$3:$FB$285,66,FALSE)</f>
        <v>137004</v>
      </c>
      <c r="BG84" s="27" t="str">
        <f>VLOOKUP($A84,'[1]Raw Data'!$A$3:$FB$285,67,FALSE)</f>
        <v/>
      </c>
      <c r="BH84" s="27" t="str">
        <f t="shared" si="10"/>
        <v/>
      </c>
      <c r="BI84" s="27" t="str">
        <f>VLOOKUP($A84,'[1]Raw Data'!$A$3:$FB$285,68,FALSE)</f>
        <v/>
      </c>
      <c r="BJ84" s="27">
        <f>VLOOKUP($A84,'[1]Raw Data'!$A$3:$FB$285,69,FALSE)</f>
        <v>19919</v>
      </c>
      <c r="BK84" s="27" t="str">
        <f>VLOOKUP($A84,'[1]Raw Data'!$A$3:$FB$285,70,FALSE)</f>
        <v/>
      </c>
      <c r="BL84" s="27" t="str">
        <f t="shared" si="11"/>
        <v/>
      </c>
      <c r="BM84" s="27" t="str">
        <f>VLOOKUP($A84,'[1]Raw Data'!$A$3:$FB$285,71,FALSE)</f>
        <v/>
      </c>
      <c r="BN84" s="27">
        <f>VLOOKUP($A84,'[1]Raw Data'!$A$3:$FB$285,72,FALSE)</f>
        <v>20910</v>
      </c>
      <c r="BO84" s="27" t="str">
        <f>VLOOKUP($A84,'[1]Raw Data'!$A$3:$FB$285,73,FALSE)</f>
        <v/>
      </c>
      <c r="BP84" s="27" t="str">
        <f t="shared" si="12"/>
        <v/>
      </c>
      <c r="BQ84" s="27" t="str">
        <f>VLOOKUP($A84,'[1]Raw Data'!$A$3:$FB$285,74,FALSE)</f>
        <v/>
      </c>
      <c r="BR84" s="27" t="str">
        <f>VLOOKUP($A84,'[1]Raw Data'!$A$3:$FB$285,75,FALSE)</f>
        <v/>
      </c>
      <c r="BS84" s="27" t="str">
        <f>VLOOKUP($A84,'[1]Raw Data'!$A$3:$FB$285,76,FALSE)</f>
        <v/>
      </c>
      <c r="BT84" s="27" t="str">
        <f t="shared" si="13"/>
        <v/>
      </c>
      <c r="BU84" s="27" t="str">
        <f>VLOOKUP($A84,'[1]Raw Data'!$A$3:$FB$285,77,FALSE)</f>
        <v/>
      </c>
      <c r="BV84" s="27">
        <f>VLOOKUP($A84,'[1]Raw Data'!$A$3:$FB$285,78,FALSE)</f>
        <v>457262</v>
      </c>
      <c r="BW84" s="27" t="str">
        <f>VLOOKUP($A84,'[1]Raw Data'!$A$3:$FB$285,79,FALSE)</f>
        <v/>
      </c>
      <c r="BX84" s="27" t="str">
        <f t="shared" si="14"/>
        <v/>
      </c>
      <c r="BY84" s="27" t="str">
        <f>VLOOKUP($A84,'[1]Raw Data'!$A$3:$FB$285,80,FALSE)</f>
        <v/>
      </c>
      <c r="BZ84" s="27">
        <f>VLOOKUP($A84,'[1]Raw Data'!$A$3:$FB$285,81,FALSE)</f>
        <v>2161144</v>
      </c>
      <c r="CA84" s="27" t="str">
        <f>VLOOKUP($A84,'[1]Raw Data'!$A$3:$FB$285,82,FALSE)</f>
        <v/>
      </c>
      <c r="CB84" s="27" t="str">
        <f t="shared" si="15"/>
        <v/>
      </c>
      <c r="CC84" s="27" t="str">
        <f>VLOOKUP($A84,'[1]Raw Data'!$A$3:$FB$285,83,FALSE)</f>
        <v/>
      </c>
      <c r="CD84" s="27">
        <f>VLOOKUP($A84,'[1]Raw Data'!$A$3:$FB$285,84,FALSE)</f>
        <v>18559</v>
      </c>
      <c r="CE84" s="27" t="str">
        <f>VLOOKUP($A84,'[1]Raw Data'!$A$3:$FB$285,85,FALSE)</f>
        <v/>
      </c>
      <c r="CF84" s="27" t="str">
        <f t="shared" si="16"/>
        <v/>
      </c>
      <c r="CG84" s="27" t="str">
        <f>VLOOKUP($A84,'[1]Raw Data'!$A$3:$FB$285,86,FALSE)</f>
        <v/>
      </c>
      <c r="CH84" s="27">
        <f>VLOOKUP($A84,'[1]Raw Data'!$A$3:$FB$285,87,FALSE)</f>
        <v>5297365</v>
      </c>
      <c r="CI84" s="27" t="str">
        <f>VLOOKUP($A84,'[1]Raw Data'!$A$3:$FB$285,88,FALSE)</f>
        <v/>
      </c>
      <c r="CJ84" s="27" t="str">
        <f t="shared" si="17"/>
        <v/>
      </c>
      <c r="CK84" s="27" t="str">
        <f>VLOOKUP($A84,'[1]Raw Data'!$A$3:$FB$285,89,FALSE)</f>
        <v/>
      </c>
      <c r="CL84" s="27" t="str">
        <f>VLOOKUP($A84,'[1]Raw Data'!$A$3:$FB$285,91,FALSE)</f>
        <v/>
      </c>
      <c r="CM84" s="27" t="str">
        <f>VLOOKUP($A84,'[1]Raw Data'!$A$3:$FB$285,93,FALSE)</f>
        <v/>
      </c>
      <c r="CN84" s="27" t="str">
        <f>VLOOKUP($A84,'[1]Raw Data'!$A$3:$FB$285,94,FALSE)</f>
        <v/>
      </c>
      <c r="CO84" s="27" t="str">
        <f>VLOOKUP($A84,'[1]Raw Data'!$A$3:$FB$285,95,FALSE)</f>
        <v/>
      </c>
      <c r="CP84" s="27" t="str">
        <f>VLOOKUP($A84,'[1]Raw Data'!$A$3:$FB$285,96,FALSE)</f>
        <v/>
      </c>
      <c r="CQ84" s="27" t="str">
        <f>VLOOKUP($A84,'[1]Raw Data'!$A$3:$FB$285,97,FALSE)</f>
        <v/>
      </c>
      <c r="CR84" s="27" t="str">
        <f>VLOOKUP($A84,'[1]Raw Data'!$A$3:$FB$285,98,FALSE)</f>
        <v/>
      </c>
      <c r="CS84" s="27" t="str">
        <f>VLOOKUP($A84,'[1]Raw Data'!$A$3:$FB$285,99,FALSE)</f>
        <v/>
      </c>
      <c r="CT84" s="27" t="str">
        <f>VLOOKUP($A84,'[1]Raw Data'!$A$3:$FB$285,101,FALSE)</f>
        <v>Nimafunjo Sherpa</v>
      </c>
      <c r="CU84" s="27" t="s">
        <v>1034</v>
      </c>
      <c r="CV84" s="27" t="str">
        <f>VLOOKUP($A84,'[1]Raw Data'!$A$3:$FB$285,102,FALSE)</f>
        <v>Mayor</v>
      </c>
      <c r="CW84" s="27" t="s">
        <v>834</v>
      </c>
      <c r="CX84" s="27">
        <f>VLOOKUP($A84,'[1]Raw Data'!$A$3:$FB$285,103,FALSE)</f>
        <v>9851077128</v>
      </c>
      <c r="CY84" s="27" t="str">
        <f>VLOOKUP($A84,'[1]Raw Data'!$A$3:$FB$285,105,FALSE)</f>
        <v>Sushila Pakhrin</v>
      </c>
      <c r="CZ84" s="27" t="s">
        <v>1035</v>
      </c>
      <c r="DA84" s="27" t="str">
        <f>VLOOKUP($A84,'[1]Raw Data'!$A$3:$FB$285,106,FALSE)</f>
        <v>Deputy Mayor</v>
      </c>
      <c r="DB84" s="27" t="s">
        <v>888</v>
      </c>
      <c r="DC84" s="27">
        <f>VLOOKUP($A84,'[1]Raw Data'!$A$3:$FB$285,107,FALSE)</f>
        <v>9841590646</v>
      </c>
      <c r="DD84" s="27" t="str">
        <f>VLOOKUP($A84,'[1]Raw Data'!$A$3:$FB$285,109,FALSE)</f>
        <v>Fadindra Prasad Poudel</v>
      </c>
      <c r="DE84" s="27" t="s">
        <v>1036</v>
      </c>
      <c r="DF84" s="27" t="str">
        <f>VLOOKUP($A84,'[1]Raw Data'!$A$3:$FB$285,110,FALSE)</f>
        <v>Chief Adminstration Officer</v>
      </c>
      <c r="DG84" s="27" t="s">
        <v>880</v>
      </c>
      <c r="DH84" s="27">
        <f>VLOOKUP($A84,'[1]Raw Data'!$A$3:$FB$285,111,FALSE)</f>
        <v>9841403866</v>
      </c>
      <c r="DI84" s="27" t="str">
        <f>VLOOKUP($A84,'[1]Raw Data'!$A$3:$FB$285,121,FALSE)</f>
        <v>Surendra Nepal</v>
      </c>
      <c r="DJ84" s="27" t="s">
        <v>1037</v>
      </c>
      <c r="DK84" s="27" t="str">
        <f>VLOOKUP($A84,'[1]Raw Data'!$A$3:$FB$285,122,FALSE)</f>
        <v>Focal Person</v>
      </c>
      <c r="DL84" s="27" t="s">
        <v>881</v>
      </c>
      <c r="DM84" s="27">
        <f>VLOOKUP($A84,'[1]Raw Data'!$A$3:$FB$285,123,FALSE)</f>
        <v>9861345052</v>
      </c>
      <c r="DN84" s="27" t="str">
        <f>VLOOKUP($A84,'[1]Raw Data'!$A$3:$FB$285,113,FALSE)</f>
        <v>Jay Prakash Gupta</v>
      </c>
      <c r="DO84" s="27" t="s">
        <v>1029</v>
      </c>
      <c r="DP84" s="27" t="str">
        <f>VLOOKUP($A84,'[1]Raw Data'!$A$3:$FB$285,114,FALSE)</f>
        <v>NRA Chief-District</v>
      </c>
      <c r="DQ84" s="27" t="s">
        <v>882</v>
      </c>
      <c r="DR84" s="27">
        <f>VLOOKUP($A84,'[1]Raw Data'!$A$3:$FB$285,115,FALSE)</f>
        <v>9858320531</v>
      </c>
      <c r="DS84" s="27" t="str">
        <f>VLOOKUP($A84,'[1]Raw Data'!$A$3:$FB$285,117,FALSE)</f>
        <v>Santosh Kumar Niraula</v>
      </c>
      <c r="DT84" s="27" t="s">
        <v>1030</v>
      </c>
      <c r="DU84" s="27" t="str">
        <f>VLOOKUP($A84,'[1]Raw Data'!$A$3:$FB$285,118,FALSE)</f>
        <v>DUDBC.DLPIU Chief</v>
      </c>
      <c r="DV84" s="27" t="s">
        <v>883</v>
      </c>
      <c r="DW84" s="27">
        <f>VLOOKUP($A84,'[1]Raw Data'!$A$3:$FB$285,119,FALSE)</f>
        <v>9851136372</v>
      </c>
      <c r="DX84" s="27" t="s">
        <v>339</v>
      </c>
      <c r="DY84" s="27" t="str">
        <f>VLOOKUP($A84,'[1]Raw Data'!$A$3:$FB$285,124,FALSE)</f>
        <v/>
      </c>
      <c r="DZ84" s="27" t="s">
        <v>884</v>
      </c>
      <c r="EA84" s="27" t="str">
        <f>VLOOKUP($A84,'[1]Raw Data'!$A$3:$FB$285,125,FALSE)</f>
        <v/>
      </c>
      <c r="EB84" s="27" t="s">
        <v>341</v>
      </c>
      <c r="EC84" s="27" t="str">
        <f>VLOOKUP($A84,'[1]Raw Data'!$A$3:$FB$285,126,FALSE)</f>
        <v/>
      </c>
      <c r="ED84" t="s">
        <v>478</v>
      </c>
      <c r="EE84" s="27" t="str">
        <f>VLOOKUP($A84,'[1]Raw Data'!$A$3:$FB$285,127,FALSE)</f>
        <v/>
      </c>
      <c r="EF84" s="27" t="s">
        <v>343</v>
      </c>
      <c r="EG84" s="27" t="str">
        <f>VLOOKUP($A84,'[1]Raw Data'!$A$3:$FB$285,128,FALSE)</f>
        <v/>
      </c>
      <c r="EH84" t="s">
        <v>344</v>
      </c>
      <c r="EI84" s="27" t="str">
        <f>VLOOKUP($A84,'[1]Raw Data'!$A$3:$FB$285,129,FALSE)</f>
        <v/>
      </c>
      <c r="EM84" s="27" t="str">
        <f>VLOOKUP($A84,'[1]Raw Data'!$A$3:$FB$285,130,FALSE)</f>
        <v/>
      </c>
      <c r="EN84" s="27" t="str">
        <f>VLOOKUP($A84,'[1]Raw Data'!$A$3:$FB$285,131,FALSE)</f>
        <v/>
      </c>
      <c r="EO84" s="27" t="str">
        <f>VLOOKUP($A84,'[1]Raw Data'!$A$3:$FB$285,132,FALSE)</f>
        <v/>
      </c>
      <c r="EP84" s="27" t="str">
        <f>VLOOKUP($A84,'[1]Raw Data'!$A$3:$FB$285,133,FALSE)</f>
        <v/>
      </c>
      <c r="EQ84" s="27" t="str">
        <f>VLOOKUP($A84,'[1]Raw Data'!$A$3:$FB$285,134,FALSE)</f>
        <v/>
      </c>
      <c r="ER84" s="27" t="str">
        <f>VLOOKUP($A84,'[1]Raw Data'!$A$3:$FB$285,135,FALSE)</f>
        <v/>
      </c>
      <c r="ES84" s="27" t="str">
        <f>VLOOKUP($A84,'[1]Raw Data'!$A$3:$FB$285,136,FALSE)</f>
        <v/>
      </c>
      <c r="ET84" s="27" t="str">
        <f>VLOOKUP($A84,'[1]Raw Data'!$A$3:$FB$285,137,FALSE)</f>
        <v/>
      </c>
      <c r="EU84" s="27" t="str">
        <f>VLOOKUP($A84,'[1]Raw Data'!$A$3:$FB$285,138,FALSE)</f>
        <v/>
      </c>
      <c r="EV84" s="27" t="str">
        <f>VLOOKUP($A84,'[1]Raw Data'!$A$3:$FB$285,139,FALSE)</f>
        <v/>
      </c>
      <c r="EW84" s="38">
        <f>VLOOKUP($A84,[1]Training!$A$2:$I$284,5,FALSE)</f>
        <v>600.84615384615381</v>
      </c>
      <c r="EX84" s="31">
        <f>VLOOKUP($A84,[1]Training!$A$2:$I$284,6,FALSE)</f>
        <v>548</v>
      </c>
      <c r="EY84" s="38">
        <f>VLOOKUP($A84,[1]Training!$A$2:$I$284,8,FALSE)</f>
        <v>808.02519511269986</v>
      </c>
      <c r="EZ84" s="31">
        <f>VLOOKUP($A84,[1]Training!$A$2:$I$284,9,FALSE)</f>
        <v>0</v>
      </c>
      <c r="FA84" s="27">
        <v>1</v>
      </c>
      <c r="FB84" s="27">
        <v>2</v>
      </c>
      <c r="FC84" s="27" t="str">
        <f>VLOOKUP($A84,'[1]Raw Data'!$A$3:$FB$285,148,FALSE)</f>
        <v/>
      </c>
      <c r="FD84" s="27" t="s">
        <v>1031</v>
      </c>
      <c r="FE84" s="27" t="str">
        <f>VLOOKUP($A84,'[1]Raw Data'!$A$3:$FB$285,149,FALSE)</f>
        <v>District Coordinator</v>
      </c>
      <c r="FF84" s="27" t="s">
        <v>885</v>
      </c>
      <c r="FG84" s="27">
        <f>VLOOKUP($A84,'[1]Raw Data'!$A$3:$FB$285,150,FALSE)</f>
        <v>9654028388</v>
      </c>
      <c r="FH84" s="27" t="str">
        <f>VLOOKUP($A84,'[1]Raw Data'!$A$3:$FB$285,156,FALSE)</f>
        <v xml:space="preserve">Pradip Sharma </v>
      </c>
      <c r="FI84" s="27" t="s">
        <v>1032</v>
      </c>
      <c r="FJ84" s="27" t="str">
        <f>VLOOKUP($A84,'[1]Raw Data'!$A$3:$FB$285,157,FALSE)</f>
        <v>District Technical Officer</v>
      </c>
      <c r="FK84" s="27" t="s">
        <v>886</v>
      </c>
      <c r="FL84" s="27">
        <f>VLOOKUP($A84,'[1]Raw Data'!$A$3:$FB$285,158,FALSE)</f>
        <v>9851073208</v>
      </c>
      <c r="FM84" s="27" t="str">
        <f>VLOOKUP($A84,'[1]Raw Data'!$A$3:$FB$285,152,FALSE)</f>
        <v>Pranjal Bhandari</v>
      </c>
      <c r="FN84" s="27" t="s">
        <v>1033</v>
      </c>
      <c r="FO84" s="27" t="str">
        <f>VLOOKUP($A84,'[1]Raw Data'!$A$3:$FB$285,153,FALSE)</f>
        <v>DIstrict Information Management Officer</v>
      </c>
      <c r="FP84" s="27" t="s">
        <v>887</v>
      </c>
      <c r="FQ84" s="27">
        <f>VLOOKUP($A84,'[1]Raw Data'!$A$3:$FB$285,154,FALSE)</f>
        <v>9840057752</v>
      </c>
    </row>
    <row r="85" spans="1:173" ht="24" x14ac:dyDescent="0.45">
      <c r="A85" s="27">
        <v>23003</v>
      </c>
      <c r="B85" s="36" t="str">
        <f ca="1">IFERROR(__xludf.DUMMYFUNCTION("""COMPUTED_VALUE"""),"Bhotekoshi Gaunpalika")</f>
        <v>Bhotekoshi Gaunpalika</v>
      </c>
      <c r="C85" s="37" t="str">
        <f>VLOOKUP(A85,'[1]Palika and District in Nepali '!$D$1:$F$283,3,FALSE)</f>
        <v>भोटेकोशी गाउँपालिका</v>
      </c>
      <c r="D85" s="36" t="str">
        <f ca="1">IFERROR(__xludf.DUMMYFUNCTION("""COMPUTED_VALUE"""),"Sindhupalchowk")</f>
        <v>Sindhupalchowk</v>
      </c>
      <c r="E85" s="36"/>
      <c r="F85" s="27">
        <f>VLOOKUP(A85,'[1]Raw Data'!$A$3:$FB$285,4,FALSE)</f>
        <v>392</v>
      </c>
      <c r="G85" s="27">
        <f>VLOOKUP(A85,'[1]Raw Data'!$A$3:$FB$285,5,FALSE)</f>
        <v>4046</v>
      </c>
      <c r="H85" s="27">
        <f>VLOOKUP(A85,'[1]Raw Data'!$A$3:$FB$285,6,FALSE)</f>
        <v>4438</v>
      </c>
      <c r="I85" s="27">
        <f>VLOOKUP($A85,'[1]Raw Data'!$A$3:$FB$285,8,FALSE)</f>
        <v>3.78</v>
      </c>
      <c r="J85" s="27">
        <f>VLOOKUP($A85,'[1]Raw Data'!$A$3:$FB$285,9,FALSE)</f>
        <v>1.23</v>
      </c>
      <c r="K85" s="27">
        <f>VLOOKUP($A85,'[1]Raw Data'!$A$3:$FB$285,11,FALSE)</f>
        <v>75.38</v>
      </c>
      <c r="L85" s="27">
        <f>VLOOKUP($A85,'[1]Raw Data'!$A$3:$FB$285,12,FALSE)</f>
        <v>90.24</v>
      </c>
      <c r="M85" s="27">
        <f>VLOOKUP($A85,'[1]Raw Data'!$A$3:$FB$285,14,FALSE)</f>
        <v>12.13</v>
      </c>
      <c r="N85" s="27">
        <f>VLOOKUP($A85,'[1]Raw Data'!$A$3:$FB$285,15,FALSE)</f>
        <v>2.5499999999999998</v>
      </c>
      <c r="O85" s="27">
        <f>VLOOKUP($A85,'[1]Raw Data'!$A$3:$FB$285,17,FALSE)</f>
        <v>0.18</v>
      </c>
      <c r="P85" s="27">
        <f>VLOOKUP($A85,'[1]Raw Data'!$A$3:$FB$285,18,FALSE)</f>
        <v>0.16</v>
      </c>
      <c r="Q85" s="27">
        <f>VLOOKUP($A85,'[1]Raw Data'!$A$3:$FB$285,20,FALSE)</f>
        <v>0.88</v>
      </c>
      <c r="R85" s="27">
        <f>VLOOKUP($A85,'[1]Raw Data'!$A$3:$FB$285,21,FALSE)</f>
        <v>1.57</v>
      </c>
      <c r="S85" s="27">
        <f>VLOOKUP($A85,'[1]Raw Data'!$A$3:$FB$285,23,FALSE)</f>
        <v>0</v>
      </c>
      <c r="T85" s="27">
        <f>VLOOKUP($A85,'[1]Raw Data'!$A$3:$FB$285,24,FALSE)</f>
        <v>0</v>
      </c>
      <c r="U85" s="27">
        <f>VLOOKUP($A85,'[1]Raw Data'!$A$3:$FB$285,26,FALSE)</f>
        <v>2.2200000000000002</v>
      </c>
      <c r="V85" s="27">
        <f>VLOOKUP($A85,'[1]Raw Data'!$A$3:$FB$285,27,FALSE)</f>
        <v>0.3</v>
      </c>
      <c r="W85" s="27">
        <f>VLOOKUP($A85,'[1]Raw Data'!$A$3:$FB$285,29,FALSE)</f>
        <v>0</v>
      </c>
      <c r="X85" s="27">
        <f>VLOOKUP($A85,'[1]Raw Data'!$A$3:$FB$285,30,FALSE)</f>
        <v>0</v>
      </c>
      <c r="Y85" s="27">
        <f>VLOOKUP($A85,'[1]Raw Data'!$A$3:$FB$285,32,FALSE)</f>
        <v>5.36</v>
      </c>
      <c r="Z85" s="27">
        <f>VLOOKUP($A85,'[1]Raw Data'!$A$3:$FB$285,33,FALSE)</f>
        <v>1.08</v>
      </c>
      <c r="AA85" s="27">
        <f>VLOOKUP($A85,'[1]Raw Data'!$A$3:$FB$285,35,FALSE)</f>
        <v>0.05</v>
      </c>
      <c r="AB85" s="27">
        <f>VLOOKUP($A85,'[1]Raw Data'!$A$3:$FB$285,36,FALSE)</f>
        <v>2.85</v>
      </c>
      <c r="AC85" s="27">
        <f>VLOOKUP($A85,'[1]Raw Data'!$A$3:$FB$285,38,FALSE)</f>
        <v>0.02</v>
      </c>
      <c r="AD85" s="27">
        <f>VLOOKUP($A85,'[1]Raw Data'!$A$3:$FB$285,39,FALSE)</f>
        <v>0.02</v>
      </c>
      <c r="AE85" s="27">
        <f>VLOOKUP($A85,'[1]Raw Data'!$A$3:$FB$285,41,FALSE)</f>
        <v>0</v>
      </c>
      <c r="AF85" s="27">
        <f>VLOOKUP($A85,'[1]Raw Data'!$A$3:$FB$285,42,FALSE)</f>
        <v>0</v>
      </c>
      <c r="AG85" s="27">
        <f>VLOOKUP($A85,'[1]Raw Data'!$A$3:$FB$285,44,FALSE)</f>
        <v>0</v>
      </c>
      <c r="AH85" s="27">
        <f>VLOOKUP($A85,'[1]Raw Data'!$A$3:$FB$285,45,FALSE)</f>
        <v>0</v>
      </c>
      <c r="AI85" s="27">
        <f>VLOOKUP($A85,'[1]Raw Data'!$A$3:$FB$285,46,FALSE)</f>
        <v>4214</v>
      </c>
      <c r="AJ85" s="27">
        <f>VLOOKUP($A85,'[1]Raw Data'!$A$3:$FB$285,47,FALSE)</f>
        <v>4050</v>
      </c>
      <c r="AK85" s="27">
        <f>VLOOKUP($A85,'[1]Raw Data'!$A$3:$FB$285,48,FALSE)</f>
        <v>4033</v>
      </c>
      <c r="AL85" s="27">
        <f>VLOOKUP($A85,'[1]Raw Data'!$A$3:$FB$285,49,FALSE)</f>
        <v>3198</v>
      </c>
      <c r="AM85" s="27">
        <f>VLOOKUP($A85,'[1]Raw Data'!$A$3:$FB$285,50,FALSE)</f>
        <v>1418</v>
      </c>
      <c r="AN85" s="27">
        <f>VLOOKUP($A85,'[1]Raw Data'!$A$3:$FB$285,51,FALSE)</f>
        <v>0</v>
      </c>
      <c r="AO85" s="27" t="str">
        <f>VLOOKUP($A85,'[1]Raw Data'!$A$3:$FB$285,52,FALSE)</f>
        <v/>
      </c>
      <c r="AP85" s="27">
        <f>VLOOKUP($A85,'[1]Raw Data'!$A$3:$FB$285,53,FALSE)</f>
        <v>68</v>
      </c>
      <c r="AQ85" s="27">
        <f>VLOOKUP($A85,'[1]Raw Data'!$A$3:$FB$285,54,FALSE)</f>
        <v>8</v>
      </c>
      <c r="AR85" s="27">
        <f>VLOOKUP($A85,'[1]Raw Data'!$A$3:$FB$285,55,FALSE)</f>
        <v>8</v>
      </c>
      <c r="AS85" s="27">
        <f>VLOOKUP($A85,'[1]Raw Data'!$A$3:$FB$285,56,FALSE)</f>
        <v>0</v>
      </c>
      <c r="AT85" s="27">
        <f>VLOOKUP($A85,'[1]Raw Data'!$A$3:$FB$285,57,FALSE)</f>
        <v>1150</v>
      </c>
      <c r="AU85" s="27">
        <f>VLOOKUP($A85,'[1]Raw Data'!$A$3:$FB$285,58,FALSE)</f>
        <v>439</v>
      </c>
      <c r="AV85" s="27">
        <f>VLOOKUP($A85,'[1]Raw Data'!$A$3:$FB$285,59,FALSE)</f>
        <v>80</v>
      </c>
      <c r="AW85" s="27">
        <f>VLOOKUP($A85,'[1]Raw Data'!$A$3:$FB$285,60,FALSE)</f>
        <v>20</v>
      </c>
      <c r="AX85" s="27" t="str">
        <f>VLOOKUP(A85,'[1]PO''s List'!A83:E365,4,FALSE)</f>
        <v/>
      </c>
      <c r="AZ85" s="27" t="str">
        <f>VLOOKUP(A85,'[1]PO''s List'!$A$3:$E$285,5,FALSE)</f>
        <v>OXFAM-GB(Shelter),SABAL(Shelter)</v>
      </c>
      <c r="BB85" s="27">
        <f>VLOOKUP($A85,'[1]Raw Data'!$A$3:$FB$285,63,FALSE)</f>
        <v>116142</v>
      </c>
      <c r="BC85" s="27" t="str">
        <f>VLOOKUP($A85,'[1]Raw Data'!$A$3:$FB$285,64,FALSE)</f>
        <v>Y</v>
      </c>
      <c r="BD85" s="27" t="str">
        <f t="shared" si="9"/>
        <v>छ</v>
      </c>
      <c r="BE85" s="27">
        <f>VLOOKUP($A85,'[1]Raw Data'!$A$3:$FB$285,65,FALSE)</f>
        <v>6500</v>
      </c>
      <c r="BF85" s="27">
        <f>VLOOKUP($A85,'[1]Raw Data'!$A$3:$FB$285,66,FALSE)</f>
        <v>79602</v>
      </c>
      <c r="BG85" s="27" t="str">
        <f>VLOOKUP($A85,'[1]Raw Data'!$A$3:$FB$285,67,FALSE)</f>
        <v>Y</v>
      </c>
      <c r="BH85" s="27" t="str">
        <f t="shared" si="10"/>
        <v>छ</v>
      </c>
      <c r="BI85" s="27">
        <f>VLOOKUP($A85,'[1]Raw Data'!$A$3:$FB$285,68,FALSE)</f>
        <v>8500</v>
      </c>
      <c r="BJ85" s="27">
        <f>VLOOKUP($A85,'[1]Raw Data'!$A$3:$FB$285,69,FALSE)</f>
        <v>12047</v>
      </c>
      <c r="BK85" s="27" t="str">
        <f>VLOOKUP($A85,'[1]Raw Data'!$A$3:$FB$285,70,FALSE)</f>
        <v>Y</v>
      </c>
      <c r="BL85" s="27" t="str">
        <f t="shared" si="11"/>
        <v>छ</v>
      </c>
      <c r="BM85" s="27">
        <f>VLOOKUP($A85,'[1]Raw Data'!$A$3:$FB$285,71,FALSE)</f>
        <v>8500</v>
      </c>
      <c r="BN85" s="27">
        <f>VLOOKUP($A85,'[1]Raw Data'!$A$3:$FB$285,72,FALSE)</f>
        <v>12601</v>
      </c>
      <c r="BO85" s="27" t="str">
        <f>VLOOKUP($A85,'[1]Raw Data'!$A$3:$FB$285,73,FALSE)</f>
        <v/>
      </c>
      <c r="BP85" s="27" t="str">
        <f t="shared" si="12"/>
        <v/>
      </c>
      <c r="BQ85" s="27" t="str">
        <f>VLOOKUP($A85,'[1]Raw Data'!$A$3:$FB$285,74,FALSE)</f>
        <v/>
      </c>
      <c r="BR85" s="27" t="str">
        <f>VLOOKUP($A85,'[1]Raw Data'!$A$3:$FB$285,75,FALSE)</f>
        <v/>
      </c>
      <c r="BS85" s="27" t="str">
        <f>VLOOKUP($A85,'[1]Raw Data'!$A$3:$FB$285,76,FALSE)</f>
        <v/>
      </c>
      <c r="BT85" s="27" t="str">
        <f t="shared" si="13"/>
        <v/>
      </c>
      <c r="BU85" s="27" t="str">
        <f>VLOOKUP($A85,'[1]Raw Data'!$A$3:$FB$285,77,FALSE)</f>
        <v/>
      </c>
      <c r="BV85" s="27">
        <f>VLOOKUP($A85,'[1]Raw Data'!$A$3:$FB$285,78,FALSE)</f>
        <v>280861</v>
      </c>
      <c r="BW85" s="27" t="str">
        <f>VLOOKUP($A85,'[1]Raw Data'!$A$3:$FB$285,79,FALSE)</f>
        <v>Y</v>
      </c>
      <c r="BX85" s="27" t="str">
        <f t="shared" si="14"/>
        <v>छ</v>
      </c>
      <c r="BY85" s="27">
        <f>VLOOKUP($A85,'[1]Raw Data'!$A$3:$FB$285,80,FALSE)</f>
        <v>840</v>
      </c>
      <c r="BZ85" s="27">
        <f>VLOOKUP($A85,'[1]Raw Data'!$A$3:$FB$285,81,FALSE)</f>
        <v>1332792</v>
      </c>
      <c r="CA85" s="27" t="str">
        <f>VLOOKUP($A85,'[1]Raw Data'!$A$3:$FB$285,82,FALSE)</f>
        <v>Y</v>
      </c>
      <c r="CB85" s="27" t="str">
        <f t="shared" si="15"/>
        <v>छ</v>
      </c>
      <c r="CC85" s="27">
        <f>VLOOKUP($A85,'[1]Raw Data'!$A$3:$FB$285,83,FALSE)</f>
        <v>85</v>
      </c>
      <c r="CD85" s="27">
        <f>VLOOKUP($A85,'[1]Raw Data'!$A$3:$FB$285,84,FALSE)</f>
        <v>11482</v>
      </c>
      <c r="CE85" s="27" t="str">
        <f>VLOOKUP($A85,'[1]Raw Data'!$A$3:$FB$285,85,FALSE)</f>
        <v>Y</v>
      </c>
      <c r="CF85" s="27" t="str">
        <f t="shared" si="16"/>
        <v>छ</v>
      </c>
      <c r="CG85" s="27" t="str">
        <f>VLOOKUP($A85,'[1]Raw Data'!$A$3:$FB$285,86,FALSE)</f>
        <v>8740</v>
      </c>
      <c r="CH85" s="27">
        <f>VLOOKUP($A85,'[1]Raw Data'!$A$3:$FB$285,87,FALSE)</f>
        <v>5681132</v>
      </c>
      <c r="CI85" s="27" t="str">
        <f>VLOOKUP($A85,'[1]Raw Data'!$A$3:$FB$285,88,FALSE)</f>
        <v>Y</v>
      </c>
      <c r="CJ85" s="27" t="str">
        <f t="shared" si="17"/>
        <v>छ</v>
      </c>
      <c r="CK85" s="27">
        <f>VLOOKUP($A85,'[1]Raw Data'!$A$3:$FB$285,89,FALSE)</f>
        <v>17.5</v>
      </c>
      <c r="CL85" s="27">
        <f>VLOOKUP($A85,'[1]Raw Data'!$A$3:$FB$285,91,FALSE)</f>
        <v>1000</v>
      </c>
      <c r="CM85" s="27">
        <f>VLOOKUP($A85,'[1]Raw Data'!$A$3:$FB$285,93,FALSE)</f>
        <v>700</v>
      </c>
      <c r="CN85" s="27" t="str">
        <f>VLOOKUP($A85,'[1]Raw Data'!$A$3:$FB$285,94,FALSE)</f>
        <v/>
      </c>
      <c r="CO85" s="27" t="str">
        <f>VLOOKUP($A85,'[1]Raw Data'!$A$3:$FB$285,95,FALSE)</f>
        <v/>
      </c>
      <c r="CP85" s="27" t="str">
        <f>VLOOKUP($A85,'[1]Raw Data'!$A$3:$FB$285,96,FALSE)</f>
        <v/>
      </c>
      <c r="CQ85" s="27" t="str">
        <f>VLOOKUP($A85,'[1]Raw Data'!$A$3:$FB$285,97,FALSE)</f>
        <v/>
      </c>
      <c r="CR85" s="27" t="str">
        <f>VLOOKUP($A85,'[1]Raw Data'!$A$3:$FB$285,98,FALSE)</f>
        <v/>
      </c>
      <c r="CS85" s="27" t="str">
        <f>VLOOKUP($A85,'[1]Raw Data'!$A$3:$FB$285,99,FALSE)</f>
        <v/>
      </c>
      <c r="CT85" s="27" t="str">
        <f>VLOOKUP($A85,'[1]Raw Data'!$A$3:$FB$285,101,FALSE)</f>
        <v>Rajkumar Poudel</v>
      </c>
      <c r="CU85" s="27" t="s">
        <v>1038</v>
      </c>
      <c r="CV85" s="27" t="str">
        <f>VLOOKUP($A85,'[1]Raw Data'!$A$3:$FB$285,102,FALSE)</f>
        <v>Chairman</v>
      </c>
      <c r="CW85" s="27" t="s">
        <v>878</v>
      </c>
      <c r="CX85" s="27">
        <f>VLOOKUP($A85,'[1]Raw Data'!$A$3:$FB$285,103,FALSE)</f>
        <v>9851021832</v>
      </c>
      <c r="CY85" s="27" t="str">
        <f>VLOOKUP($A85,'[1]Raw Data'!$A$3:$FB$285,105,FALSE)</f>
        <v>Dabuti Sherpa</v>
      </c>
      <c r="CZ85" s="27" t="s">
        <v>1039</v>
      </c>
      <c r="DA85" s="27" t="str">
        <f>VLOOKUP($A85,'[1]Raw Data'!$A$3:$FB$285,106,FALSE)</f>
        <v>Deputy Chairman</v>
      </c>
      <c r="DB85" s="27" t="s">
        <v>879</v>
      </c>
      <c r="DC85" s="27">
        <f>VLOOKUP($A85,'[1]Raw Data'!$A$3:$FB$285,107,FALSE)</f>
        <v>9843043563</v>
      </c>
      <c r="DD85" s="27" t="str">
        <f>VLOOKUP($A85,'[1]Raw Data'!$A$3:$FB$285,109,FALSE)</f>
        <v>Deependra Regmi</v>
      </c>
      <c r="DE85" s="27" t="s">
        <v>1040</v>
      </c>
      <c r="DF85" s="27" t="str">
        <f>VLOOKUP($A85,'[1]Raw Data'!$A$3:$FB$285,110,FALSE)</f>
        <v>Chief Adminstration Officer</v>
      </c>
      <c r="DG85" s="27" t="s">
        <v>880</v>
      </c>
      <c r="DH85" s="27">
        <f>VLOOKUP($A85,'[1]Raw Data'!$A$3:$FB$285,111,FALSE)</f>
        <v>9851147221</v>
      </c>
      <c r="DI85" s="27" t="str">
        <f>VLOOKUP($A85,'[1]Raw Data'!$A$3:$FB$285,121,FALSE)</f>
        <v>Bijaya B.K</v>
      </c>
      <c r="DJ85" s="27" t="s">
        <v>1041</v>
      </c>
      <c r="DK85" s="27" t="str">
        <f>VLOOKUP($A85,'[1]Raw Data'!$A$3:$FB$285,122,FALSE)</f>
        <v>Focal Person</v>
      </c>
      <c r="DL85" s="27" t="s">
        <v>881</v>
      </c>
      <c r="DM85" s="27">
        <f>VLOOKUP($A85,'[1]Raw Data'!$A$3:$FB$285,123,FALSE)</f>
        <v>9849637657</v>
      </c>
      <c r="DN85" s="27" t="str">
        <f>VLOOKUP($A85,'[1]Raw Data'!$A$3:$FB$285,113,FALSE)</f>
        <v>Jay Prakash Gupta</v>
      </c>
      <c r="DO85" s="27" t="s">
        <v>1029</v>
      </c>
      <c r="DP85" s="27" t="str">
        <f>VLOOKUP($A85,'[1]Raw Data'!$A$3:$FB$285,114,FALSE)</f>
        <v>NRA Chief-District</v>
      </c>
      <c r="DQ85" s="27" t="s">
        <v>882</v>
      </c>
      <c r="DR85" s="27">
        <f>VLOOKUP($A85,'[1]Raw Data'!$A$3:$FB$285,115,FALSE)</f>
        <v>9858320531</v>
      </c>
      <c r="DS85" s="27" t="str">
        <f>VLOOKUP($A85,'[1]Raw Data'!$A$3:$FB$285,117,FALSE)</f>
        <v>Santosh Kumar Niraula</v>
      </c>
      <c r="DT85" s="27" t="s">
        <v>1030</v>
      </c>
      <c r="DU85" s="27" t="str">
        <f>VLOOKUP($A85,'[1]Raw Data'!$A$3:$FB$285,118,FALSE)</f>
        <v>DUDBC.DLPIU Chief</v>
      </c>
      <c r="DV85" s="27" t="s">
        <v>883</v>
      </c>
      <c r="DW85" s="27">
        <f>VLOOKUP($A85,'[1]Raw Data'!$A$3:$FB$285,119,FALSE)</f>
        <v>9851136372</v>
      </c>
      <c r="DX85" s="27" t="s">
        <v>339</v>
      </c>
      <c r="DY85" s="27" t="str">
        <f>VLOOKUP($A85,'[1]Raw Data'!$A$3:$FB$285,124,FALSE)</f>
        <v>20</v>
      </c>
      <c r="DZ85" s="27" t="s">
        <v>884</v>
      </c>
      <c r="EA85" s="27" t="str">
        <f>VLOOKUP($A85,'[1]Raw Data'!$A$3:$FB$285,125,FALSE)</f>
        <v>10</v>
      </c>
      <c r="EB85" s="27" t="s">
        <v>341</v>
      </c>
      <c r="EC85" s="27" t="str">
        <f>VLOOKUP($A85,'[1]Raw Data'!$A$3:$FB$285,126,FALSE)</f>
        <v>100</v>
      </c>
      <c r="ED85" t="s">
        <v>478</v>
      </c>
      <c r="EE85" s="27" t="str">
        <f>VLOOKUP($A85,'[1]Raw Data'!$A$3:$FB$285,127,FALSE)</f>
        <v>30</v>
      </c>
      <c r="EF85" s="27" t="s">
        <v>343</v>
      </c>
      <c r="EG85" s="27" t="str">
        <f>VLOOKUP($A85,'[1]Raw Data'!$A$3:$FB$285,128,FALSE)</f>
        <v>30</v>
      </c>
      <c r="EH85" t="s">
        <v>344</v>
      </c>
      <c r="EI85" s="27" t="str">
        <f>VLOOKUP($A85,'[1]Raw Data'!$A$3:$FB$285,129,FALSE)</f>
        <v>10</v>
      </c>
      <c r="EM85" s="27">
        <f>VLOOKUP($A85,'[1]Raw Data'!$A$3:$FB$285,130,FALSE)</f>
        <v>6</v>
      </c>
      <c r="EN85" s="27" t="str">
        <f>VLOOKUP($A85,'[1]Raw Data'!$A$3:$FB$285,131,FALSE)</f>
        <v>0</v>
      </c>
      <c r="EO85" s="27">
        <f>VLOOKUP($A85,'[1]Raw Data'!$A$3:$FB$285,132,FALSE)</f>
        <v>5</v>
      </c>
      <c r="EP85" s="27" t="str">
        <f>VLOOKUP($A85,'[1]Raw Data'!$A$3:$FB$285,133,FALSE)</f>
        <v>0</v>
      </c>
      <c r="EQ85" s="27" t="str">
        <f>VLOOKUP($A85,'[1]Raw Data'!$A$3:$FB$285,134,FALSE)</f>
        <v/>
      </c>
      <c r="ER85" s="27" t="str">
        <f>VLOOKUP($A85,'[1]Raw Data'!$A$3:$FB$285,135,FALSE)</f>
        <v/>
      </c>
      <c r="ES85" s="27" t="str">
        <f>VLOOKUP($A85,'[1]Raw Data'!$A$3:$FB$285,136,FALSE)</f>
        <v>200</v>
      </c>
      <c r="ET85" s="27" t="str">
        <f>VLOOKUP($A85,'[1]Raw Data'!$A$3:$FB$285,137,FALSE)</f>
        <v>0</v>
      </c>
      <c r="EU85" s="27" t="str">
        <f>VLOOKUP($A85,'[1]Raw Data'!$A$3:$FB$285,138,FALSE)</f>
        <v/>
      </c>
      <c r="EV85" s="27" t="str">
        <f>VLOOKUP($A85,'[1]Raw Data'!$A$3:$FB$285,139,FALSE)</f>
        <v/>
      </c>
      <c r="EW85" s="38">
        <f>VLOOKUP($A85,[1]Training!$A$2:$I$284,5,FALSE)</f>
        <v>324.15384615384613</v>
      </c>
      <c r="EX85" s="31">
        <f>VLOOKUP($A85,[1]Training!$A$2:$I$284,6,FALSE)</f>
        <v>222</v>
      </c>
      <c r="EY85" s="38">
        <f>VLOOKUP($A85,[1]Training!$A$2:$I$284,8,FALSE)</f>
        <v>435.92602383880643</v>
      </c>
      <c r="EZ85" s="31">
        <f>VLOOKUP($A85,[1]Training!$A$2:$I$284,9,FALSE)</f>
        <v>0</v>
      </c>
      <c r="FA85" s="27">
        <v>1</v>
      </c>
      <c r="FB85" s="27">
        <v>2</v>
      </c>
      <c r="FC85" s="27" t="str">
        <f>VLOOKUP($A85,'[1]Raw Data'!$A$3:$FB$285,148,FALSE)</f>
        <v/>
      </c>
      <c r="FD85" s="27" t="s">
        <v>1031</v>
      </c>
      <c r="FE85" s="27" t="str">
        <f>VLOOKUP($A85,'[1]Raw Data'!$A$3:$FB$285,149,FALSE)</f>
        <v>District Coordinator</v>
      </c>
      <c r="FF85" s="27" t="s">
        <v>885</v>
      </c>
      <c r="FG85" s="27">
        <f>VLOOKUP($A85,'[1]Raw Data'!$A$3:$FB$285,150,FALSE)</f>
        <v>9654028388</v>
      </c>
      <c r="FH85" s="27" t="str">
        <f>VLOOKUP($A85,'[1]Raw Data'!$A$3:$FB$285,156,FALSE)</f>
        <v xml:space="preserve">Pradip Sharma </v>
      </c>
      <c r="FI85" s="27" t="s">
        <v>1032</v>
      </c>
      <c r="FJ85" s="27" t="str">
        <f>VLOOKUP($A85,'[1]Raw Data'!$A$3:$FB$285,157,FALSE)</f>
        <v>District Technical Officer</v>
      </c>
      <c r="FK85" s="27" t="s">
        <v>886</v>
      </c>
      <c r="FL85" s="27">
        <f>VLOOKUP($A85,'[1]Raw Data'!$A$3:$FB$285,158,FALSE)</f>
        <v>9851073208</v>
      </c>
      <c r="FM85" s="27" t="str">
        <f>VLOOKUP($A85,'[1]Raw Data'!$A$3:$FB$285,152,FALSE)</f>
        <v>Pranjal Bhandari</v>
      </c>
      <c r="FN85" s="27" t="s">
        <v>1033</v>
      </c>
      <c r="FO85" s="27" t="str">
        <f>VLOOKUP($A85,'[1]Raw Data'!$A$3:$FB$285,153,FALSE)</f>
        <v>DIstrict Information Management Officer</v>
      </c>
      <c r="FP85" s="27" t="s">
        <v>887</v>
      </c>
      <c r="FQ85" s="27">
        <f>VLOOKUP($A85,'[1]Raw Data'!$A$3:$FB$285,154,FALSE)</f>
        <v>9840057752</v>
      </c>
    </row>
    <row r="86" spans="1:173" ht="24" x14ac:dyDescent="0.45">
      <c r="A86" s="27">
        <v>23004</v>
      </c>
      <c r="B86" s="36" t="str">
        <f ca="1">IFERROR(__xludf.DUMMYFUNCTION("""COMPUTED_VALUE"""),"Chautara SangachokGadhi Nagarpalika")</f>
        <v>Chautara SangachokGadhi Nagarpalika</v>
      </c>
      <c r="C86" s="37" t="str">
        <f>VLOOKUP(A86,'[1]Palika and District in Nepali '!$D$1:$F$283,3,FALSE)</f>
        <v>चौतारा सांगाचोकगढी नगरपालिका</v>
      </c>
      <c r="D86" s="36" t="str">
        <f ca="1">IFERROR(__xludf.DUMMYFUNCTION("""COMPUTED_VALUE"""),"Sindhupalchowk")</f>
        <v>Sindhupalchowk</v>
      </c>
      <c r="E86" s="36"/>
      <c r="F86" s="27">
        <f>VLOOKUP(A86,'[1]Raw Data'!$A$3:$FB$285,4,FALSE)</f>
        <v>804</v>
      </c>
      <c r="G86" s="27">
        <f>VLOOKUP(A86,'[1]Raw Data'!$A$3:$FB$285,5,FALSE)</f>
        <v>13776</v>
      </c>
      <c r="H86" s="27">
        <f>VLOOKUP(A86,'[1]Raw Data'!$A$3:$FB$285,6,FALSE)</f>
        <v>14580</v>
      </c>
      <c r="I86" s="27">
        <f>VLOOKUP($A86,'[1]Raw Data'!$A$3:$FB$285,8,FALSE)</f>
        <v>0.73</v>
      </c>
      <c r="J86" s="27">
        <f>VLOOKUP($A86,'[1]Raw Data'!$A$3:$FB$285,9,FALSE)</f>
        <v>1.23</v>
      </c>
      <c r="K86" s="27">
        <f>VLOOKUP($A86,'[1]Raw Data'!$A$3:$FB$285,11,FALSE)</f>
        <v>89.86</v>
      </c>
      <c r="L86" s="27">
        <f>VLOOKUP($A86,'[1]Raw Data'!$A$3:$FB$285,12,FALSE)</f>
        <v>90.24</v>
      </c>
      <c r="M86" s="27">
        <f>VLOOKUP($A86,'[1]Raw Data'!$A$3:$FB$285,14,FALSE)</f>
        <v>3.97</v>
      </c>
      <c r="N86" s="27">
        <f>VLOOKUP($A86,'[1]Raw Data'!$A$3:$FB$285,15,FALSE)</f>
        <v>2.5499999999999998</v>
      </c>
      <c r="O86" s="27">
        <f>VLOOKUP($A86,'[1]Raw Data'!$A$3:$FB$285,17,FALSE)</f>
        <v>0.22</v>
      </c>
      <c r="P86" s="27">
        <f>VLOOKUP($A86,'[1]Raw Data'!$A$3:$FB$285,18,FALSE)</f>
        <v>0.16</v>
      </c>
      <c r="Q86" s="27">
        <f>VLOOKUP($A86,'[1]Raw Data'!$A$3:$FB$285,20,FALSE)</f>
        <v>2.65</v>
      </c>
      <c r="R86" s="27">
        <f>VLOOKUP($A86,'[1]Raw Data'!$A$3:$FB$285,21,FALSE)</f>
        <v>1.57</v>
      </c>
      <c r="S86" s="27">
        <f>VLOOKUP($A86,'[1]Raw Data'!$A$3:$FB$285,23,FALSE)</f>
        <v>0</v>
      </c>
      <c r="T86" s="27">
        <f>VLOOKUP($A86,'[1]Raw Data'!$A$3:$FB$285,24,FALSE)</f>
        <v>0</v>
      </c>
      <c r="U86" s="27">
        <f>VLOOKUP($A86,'[1]Raw Data'!$A$3:$FB$285,26,FALSE)</f>
        <v>0.1</v>
      </c>
      <c r="V86" s="27">
        <f>VLOOKUP($A86,'[1]Raw Data'!$A$3:$FB$285,27,FALSE)</f>
        <v>0.3</v>
      </c>
      <c r="W86" s="27">
        <f>VLOOKUP($A86,'[1]Raw Data'!$A$3:$FB$285,29,FALSE)</f>
        <v>0</v>
      </c>
      <c r="X86" s="27">
        <f>VLOOKUP($A86,'[1]Raw Data'!$A$3:$FB$285,30,FALSE)</f>
        <v>0</v>
      </c>
      <c r="Y86" s="27">
        <f>VLOOKUP($A86,'[1]Raw Data'!$A$3:$FB$285,32,FALSE)</f>
        <v>0.78</v>
      </c>
      <c r="Z86" s="27">
        <f>VLOOKUP($A86,'[1]Raw Data'!$A$3:$FB$285,33,FALSE)</f>
        <v>1.08</v>
      </c>
      <c r="AA86" s="27">
        <f>VLOOKUP($A86,'[1]Raw Data'!$A$3:$FB$285,35,FALSE)</f>
        <v>1.7</v>
      </c>
      <c r="AB86" s="27">
        <f>VLOOKUP($A86,'[1]Raw Data'!$A$3:$FB$285,36,FALSE)</f>
        <v>2.85</v>
      </c>
      <c r="AC86" s="27">
        <f>VLOOKUP($A86,'[1]Raw Data'!$A$3:$FB$285,38,FALSE)</f>
        <v>0.01</v>
      </c>
      <c r="AD86" s="27">
        <f>VLOOKUP($A86,'[1]Raw Data'!$A$3:$FB$285,39,FALSE)</f>
        <v>0.02</v>
      </c>
      <c r="AE86" s="27">
        <f>VLOOKUP($A86,'[1]Raw Data'!$A$3:$FB$285,41,FALSE)</f>
        <v>0</v>
      </c>
      <c r="AF86" s="27">
        <f>VLOOKUP($A86,'[1]Raw Data'!$A$3:$FB$285,42,FALSE)</f>
        <v>0</v>
      </c>
      <c r="AG86" s="27">
        <f>VLOOKUP($A86,'[1]Raw Data'!$A$3:$FB$285,44,FALSE)</f>
        <v>0</v>
      </c>
      <c r="AH86" s="27">
        <f>VLOOKUP($A86,'[1]Raw Data'!$A$3:$FB$285,45,FALSE)</f>
        <v>0</v>
      </c>
      <c r="AI86" s="27">
        <f>VLOOKUP($A86,'[1]Raw Data'!$A$3:$FB$285,46,FALSE)</f>
        <v>13961</v>
      </c>
      <c r="AJ86" s="27">
        <f>VLOOKUP($A86,'[1]Raw Data'!$A$3:$FB$285,47,FALSE)</f>
        <v>13763</v>
      </c>
      <c r="AK86" s="27">
        <f>VLOOKUP($A86,'[1]Raw Data'!$A$3:$FB$285,48,FALSE)</f>
        <v>13755</v>
      </c>
      <c r="AL86" s="27">
        <f>VLOOKUP($A86,'[1]Raw Data'!$A$3:$FB$285,49,FALSE)</f>
        <v>12811</v>
      </c>
      <c r="AM86" s="27">
        <f>VLOOKUP($A86,'[1]Raw Data'!$A$3:$FB$285,50,FALSE)</f>
        <v>11023</v>
      </c>
      <c r="AN86" s="27">
        <f>VLOOKUP($A86,'[1]Raw Data'!$A$3:$FB$285,51,FALSE)</f>
        <v>0</v>
      </c>
      <c r="AO86" s="27" t="str">
        <f>VLOOKUP($A86,'[1]Raw Data'!$A$3:$FB$285,52,FALSE)</f>
        <v/>
      </c>
      <c r="AP86" s="27">
        <f>VLOOKUP($A86,'[1]Raw Data'!$A$3:$FB$285,53,FALSE)</f>
        <v>95</v>
      </c>
      <c r="AQ86" s="27">
        <f>VLOOKUP($A86,'[1]Raw Data'!$A$3:$FB$285,54,FALSE)</f>
        <v>33</v>
      </c>
      <c r="AR86" s="27">
        <f>VLOOKUP($A86,'[1]Raw Data'!$A$3:$FB$285,55,FALSE)</f>
        <v>33</v>
      </c>
      <c r="AS86" s="27">
        <f>VLOOKUP($A86,'[1]Raw Data'!$A$3:$FB$285,56,FALSE)</f>
        <v>0</v>
      </c>
      <c r="AT86" s="27">
        <f>VLOOKUP($A86,'[1]Raw Data'!$A$3:$FB$285,57,FALSE)</f>
        <v>3513</v>
      </c>
      <c r="AU86" s="27">
        <f>VLOOKUP($A86,'[1]Raw Data'!$A$3:$FB$285,58,FALSE)</f>
        <v>1512</v>
      </c>
      <c r="AV86" s="27" t="str">
        <f>VLOOKUP($A86,'[1]Raw Data'!$A$3:$FB$285,59,FALSE)</f>
        <v/>
      </c>
      <c r="AW86" s="27" t="str">
        <f>VLOOKUP($A86,'[1]Raw Data'!$A$3:$FB$285,60,FALSE)</f>
        <v/>
      </c>
      <c r="AX86" s="27" t="str">
        <f>VLOOKUP(A86,'[1]PO''s List'!A84:E366,4,FALSE)</f>
        <v>BC(Education,Shelter),GSS(Education),JICA(Other),Shelter),NRCS(Health),PIN(Shelter)</v>
      </c>
      <c r="AZ86" s="27" t="str">
        <f>VLOOKUP(A86,'[1]PO''s List'!$A$3:$E$285,5,FALSE)</f>
        <v>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v>
      </c>
      <c r="BB86" s="27">
        <f>VLOOKUP($A86,'[1]Raw Data'!$A$3:$FB$285,63,FALSE)</f>
        <v>366837</v>
      </c>
      <c r="BC86" s="27" t="str">
        <f>VLOOKUP($A86,'[1]Raw Data'!$A$3:$FB$285,64,FALSE)</f>
        <v/>
      </c>
      <c r="BD86" s="27" t="str">
        <f t="shared" si="9"/>
        <v/>
      </c>
      <c r="BE86" s="27" t="str">
        <f>VLOOKUP($A86,'[1]Raw Data'!$A$3:$FB$285,65,FALSE)</f>
        <v/>
      </c>
      <c r="BF86" s="27">
        <f>VLOOKUP($A86,'[1]Raw Data'!$A$3:$FB$285,66,FALSE)</f>
        <v>321584</v>
      </c>
      <c r="BG86" s="27" t="str">
        <f>VLOOKUP($A86,'[1]Raw Data'!$A$3:$FB$285,67,FALSE)</f>
        <v/>
      </c>
      <c r="BH86" s="27" t="str">
        <f t="shared" si="10"/>
        <v/>
      </c>
      <c r="BI86" s="27" t="str">
        <f>VLOOKUP($A86,'[1]Raw Data'!$A$3:$FB$285,68,FALSE)</f>
        <v/>
      </c>
      <c r="BJ86" s="27">
        <f>VLOOKUP($A86,'[1]Raw Data'!$A$3:$FB$285,69,FALSE)</f>
        <v>38652</v>
      </c>
      <c r="BK86" s="27" t="str">
        <f>VLOOKUP($A86,'[1]Raw Data'!$A$3:$FB$285,70,FALSE)</f>
        <v/>
      </c>
      <c r="BL86" s="27" t="str">
        <f t="shared" si="11"/>
        <v/>
      </c>
      <c r="BM86" s="27" t="str">
        <f>VLOOKUP($A86,'[1]Raw Data'!$A$3:$FB$285,71,FALSE)</f>
        <v/>
      </c>
      <c r="BN86" s="27">
        <f>VLOOKUP($A86,'[1]Raw Data'!$A$3:$FB$285,72,FALSE)</f>
        <v>42710</v>
      </c>
      <c r="BO86" s="27" t="str">
        <f>VLOOKUP($A86,'[1]Raw Data'!$A$3:$FB$285,73,FALSE)</f>
        <v/>
      </c>
      <c r="BP86" s="27" t="str">
        <f t="shared" si="12"/>
        <v/>
      </c>
      <c r="BQ86" s="27" t="str">
        <f>VLOOKUP($A86,'[1]Raw Data'!$A$3:$FB$285,74,FALSE)</f>
        <v/>
      </c>
      <c r="BR86" s="27" t="str">
        <f>VLOOKUP($A86,'[1]Raw Data'!$A$3:$FB$285,75,FALSE)</f>
        <v/>
      </c>
      <c r="BS86" s="27" t="str">
        <f>VLOOKUP($A86,'[1]Raw Data'!$A$3:$FB$285,76,FALSE)</f>
        <v/>
      </c>
      <c r="BT86" s="27" t="str">
        <f t="shared" si="13"/>
        <v/>
      </c>
      <c r="BU86" s="27" t="str">
        <f>VLOOKUP($A86,'[1]Raw Data'!$A$3:$FB$285,77,FALSE)</f>
        <v/>
      </c>
      <c r="BV86" s="27">
        <f>VLOOKUP($A86,'[1]Raw Data'!$A$3:$FB$285,78,FALSE)</f>
        <v>1069700</v>
      </c>
      <c r="BW86" s="27" t="str">
        <f>VLOOKUP($A86,'[1]Raw Data'!$A$3:$FB$285,79,FALSE)</f>
        <v/>
      </c>
      <c r="BX86" s="27" t="str">
        <f t="shared" si="14"/>
        <v/>
      </c>
      <c r="BY86" s="27" t="str">
        <f>VLOOKUP($A86,'[1]Raw Data'!$A$3:$FB$285,80,FALSE)</f>
        <v/>
      </c>
      <c r="BZ86" s="27">
        <f>VLOOKUP($A86,'[1]Raw Data'!$A$3:$FB$285,81,FALSE)</f>
        <v>4052525</v>
      </c>
      <c r="CA86" s="27" t="str">
        <f>VLOOKUP($A86,'[1]Raw Data'!$A$3:$FB$285,82,FALSE)</f>
        <v/>
      </c>
      <c r="CB86" s="27" t="str">
        <f t="shared" si="15"/>
        <v/>
      </c>
      <c r="CC86" s="27" t="str">
        <f>VLOOKUP($A86,'[1]Raw Data'!$A$3:$FB$285,83,FALSE)</f>
        <v/>
      </c>
      <c r="CD86" s="27">
        <f>VLOOKUP($A86,'[1]Raw Data'!$A$3:$FB$285,84,FALSE)</f>
        <v>43607</v>
      </c>
      <c r="CE86" s="27" t="str">
        <f>VLOOKUP($A86,'[1]Raw Data'!$A$3:$FB$285,85,FALSE)</f>
        <v/>
      </c>
      <c r="CF86" s="27" t="str">
        <f t="shared" si="16"/>
        <v/>
      </c>
      <c r="CG86" s="27" t="str">
        <f>VLOOKUP($A86,'[1]Raw Data'!$A$3:$FB$285,86,FALSE)</f>
        <v/>
      </c>
      <c r="CH86" s="27">
        <f>VLOOKUP($A86,'[1]Raw Data'!$A$3:$FB$285,87,FALSE)</f>
        <v>6909671</v>
      </c>
      <c r="CI86" s="27" t="str">
        <f>VLOOKUP($A86,'[1]Raw Data'!$A$3:$FB$285,88,FALSE)</f>
        <v/>
      </c>
      <c r="CJ86" s="27" t="str">
        <f t="shared" si="17"/>
        <v/>
      </c>
      <c r="CK86" s="27" t="str">
        <f>VLOOKUP($A86,'[1]Raw Data'!$A$3:$FB$285,89,FALSE)</f>
        <v/>
      </c>
      <c r="CL86" s="27" t="str">
        <f>VLOOKUP($A86,'[1]Raw Data'!$A$3:$FB$285,91,FALSE)</f>
        <v/>
      </c>
      <c r="CM86" s="27" t="str">
        <f>VLOOKUP($A86,'[1]Raw Data'!$A$3:$FB$285,93,FALSE)</f>
        <v/>
      </c>
      <c r="CN86" s="27" t="str">
        <f>VLOOKUP($A86,'[1]Raw Data'!$A$3:$FB$285,94,FALSE)</f>
        <v/>
      </c>
      <c r="CO86" s="27" t="str">
        <f>VLOOKUP($A86,'[1]Raw Data'!$A$3:$FB$285,95,FALSE)</f>
        <v/>
      </c>
      <c r="CP86" s="27" t="str">
        <f>VLOOKUP($A86,'[1]Raw Data'!$A$3:$FB$285,96,FALSE)</f>
        <v/>
      </c>
      <c r="CQ86" s="27" t="str">
        <f>VLOOKUP($A86,'[1]Raw Data'!$A$3:$FB$285,97,FALSE)</f>
        <v/>
      </c>
      <c r="CR86" s="27" t="str">
        <f>VLOOKUP($A86,'[1]Raw Data'!$A$3:$FB$285,98,FALSE)</f>
        <v/>
      </c>
      <c r="CS86" s="27" t="str">
        <f>VLOOKUP($A86,'[1]Raw Data'!$A$3:$FB$285,99,FALSE)</f>
        <v/>
      </c>
      <c r="CT86" s="27" t="str">
        <f>VLOOKUP($A86,'[1]Raw Data'!$A$3:$FB$285,101,FALSE)</f>
        <v>Aman Singh Tamang</v>
      </c>
      <c r="CU86" s="27" t="s">
        <v>1042</v>
      </c>
      <c r="CV86" s="27" t="str">
        <f>VLOOKUP($A86,'[1]Raw Data'!$A$3:$FB$285,102,FALSE)</f>
        <v>Mayor</v>
      </c>
      <c r="CW86" s="27" t="s">
        <v>834</v>
      </c>
      <c r="CX86" s="27">
        <f>VLOOKUP($A86,'[1]Raw Data'!$A$3:$FB$285,103,FALSE)</f>
        <v>9865707737</v>
      </c>
      <c r="CY86" s="27" t="str">
        <f>VLOOKUP($A86,'[1]Raw Data'!$A$3:$FB$285,105,FALSE)</f>
        <v>Januka Parajuli</v>
      </c>
      <c r="CZ86" s="27" t="s">
        <v>1043</v>
      </c>
      <c r="DA86" s="27" t="str">
        <f>VLOOKUP($A86,'[1]Raw Data'!$A$3:$FB$285,106,FALSE)</f>
        <v>Deputy Mayor</v>
      </c>
      <c r="DB86" s="27" t="s">
        <v>888</v>
      </c>
      <c r="DC86" s="27">
        <f>VLOOKUP($A86,'[1]Raw Data'!$A$3:$FB$285,107,FALSE)</f>
        <v>9863697523</v>
      </c>
      <c r="DD86" s="27" t="str">
        <f>VLOOKUP($A86,'[1]Raw Data'!$A$3:$FB$285,109,FALSE)</f>
        <v>Indra Basyal</v>
      </c>
      <c r="DE86" s="27" t="s">
        <v>1044</v>
      </c>
      <c r="DF86" s="27" t="str">
        <f>VLOOKUP($A86,'[1]Raw Data'!$A$3:$FB$285,110,FALSE)</f>
        <v>Chief Adminstration Officer</v>
      </c>
      <c r="DG86" s="27" t="s">
        <v>880</v>
      </c>
      <c r="DH86" s="27">
        <f>VLOOKUP($A86,'[1]Raw Data'!$A$3:$FB$285,111,FALSE)</f>
        <v>9851164875</v>
      </c>
      <c r="DI86" s="27" t="str">
        <f>VLOOKUP($A86,'[1]Raw Data'!$A$3:$FB$285,121,FALSE)</f>
        <v/>
      </c>
      <c r="DK86" s="27" t="str">
        <f>VLOOKUP($A86,'[1]Raw Data'!$A$3:$FB$285,122,FALSE)</f>
        <v>Focal Person</v>
      </c>
      <c r="DL86" s="27" t="s">
        <v>881</v>
      </c>
      <c r="DM86" s="27" t="str">
        <f>VLOOKUP($A86,'[1]Raw Data'!$A$3:$FB$285,123,FALSE)</f>
        <v/>
      </c>
      <c r="DN86" s="27" t="str">
        <f>VLOOKUP($A86,'[1]Raw Data'!$A$3:$FB$285,113,FALSE)</f>
        <v>Jay Prakash Gupta</v>
      </c>
      <c r="DO86" s="27" t="s">
        <v>1029</v>
      </c>
      <c r="DP86" s="27" t="str">
        <f>VLOOKUP($A86,'[1]Raw Data'!$A$3:$FB$285,114,FALSE)</f>
        <v>NRA Chief-District</v>
      </c>
      <c r="DQ86" s="27" t="s">
        <v>882</v>
      </c>
      <c r="DR86" s="27">
        <f>VLOOKUP($A86,'[1]Raw Data'!$A$3:$FB$285,115,FALSE)</f>
        <v>9858320531</v>
      </c>
      <c r="DS86" s="27" t="str">
        <f>VLOOKUP($A86,'[1]Raw Data'!$A$3:$FB$285,117,FALSE)</f>
        <v>Santosh Kumar Niraula</v>
      </c>
      <c r="DT86" s="27" t="s">
        <v>1030</v>
      </c>
      <c r="DU86" s="27" t="str">
        <f>VLOOKUP($A86,'[1]Raw Data'!$A$3:$FB$285,118,FALSE)</f>
        <v>DUDBC.DLPIU Chief</v>
      </c>
      <c r="DV86" s="27" t="s">
        <v>883</v>
      </c>
      <c r="DW86" s="27">
        <f>VLOOKUP($A86,'[1]Raw Data'!$A$3:$FB$285,119,FALSE)</f>
        <v>9851136372</v>
      </c>
      <c r="DX86" s="27" t="s">
        <v>339</v>
      </c>
      <c r="DY86" s="27" t="str">
        <f>VLOOKUP($A86,'[1]Raw Data'!$A$3:$FB$285,124,FALSE)</f>
        <v/>
      </c>
      <c r="DZ86" s="27" t="s">
        <v>884</v>
      </c>
      <c r="EA86" s="27" t="str">
        <f>VLOOKUP($A86,'[1]Raw Data'!$A$3:$FB$285,125,FALSE)</f>
        <v/>
      </c>
      <c r="EB86" s="27" t="s">
        <v>341</v>
      </c>
      <c r="EC86" s="27" t="str">
        <f>VLOOKUP($A86,'[1]Raw Data'!$A$3:$FB$285,126,FALSE)</f>
        <v/>
      </c>
      <c r="ED86" t="s">
        <v>478</v>
      </c>
      <c r="EE86" s="27" t="str">
        <f>VLOOKUP($A86,'[1]Raw Data'!$A$3:$FB$285,127,FALSE)</f>
        <v/>
      </c>
      <c r="EF86" s="27" t="s">
        <v>343</v>
      </c>
      <c r="EG86" s="27" t="str">
        <f>VLOOKUP($A86,'[1]Raw Data'!$A$3:$FB$285,128,FALSE)</f>
        <v/>
      </c>
      <c r="EH86" t="s">
        <v>344</v>
      </c>
      <c r="EI86" s="27" t="str">
        <f>VLOOKUP($A86,'[1]Raw Data'!$A$3:$FB$285,129,FALSE)</f>
        <v/>
      </c>
      <c r="EM86" s="27" t="str">
        <f>VLOOKUP($A86,'[1]Raw Data'!$A$3:$FB$285,130,FALSE)</f>
        <v/>
      </c>
      <c r="EN86" s="27" t="str">
        <f>VLOOKUP($A86,'[1]Raw Data'!$A$3:$FB$285,131,FALSE)</f>
        <v/>
      </c>
      <c r="EO86" s="27" t="str">
        <f>VLOOKUP($A86,'[1]Raw Data'!$A$3:$FB$285,132,FALSE)</f>
        <v/>
      </c>
      <c r="EP86" s="27" t="str">
        <f>VLOOKUP($A86,'[1]Raw Data'!$A$3:$FB$285,133,FALSE)</f>
        <v/>
      </c>
      <c r="EQ86" s="27" t="str">
        <f>VLOOKUP($A86,'[1]Raw Data'!$A$3:$FB$285,134,FALSE)</f>
        <v/>
      </c>
      <c r="ER86" s="27" t="str">
        <f>VLOOKUP($A86,'[1]Raw Data'!$A$3:$FB$285,135,FALSE)</f>
        <v/>
      </c>
      <c r="ES86" s="27" t="str">
        <f>VLOOKUP($A86,'[1]Raw Data'!$A$3:$FB$285,136,FALSE)</f>
        <v/>
      </c>
      <c r="ET86" s="27" t="str">
        <f>VLOOKUP($A86,'[1]Raw Data'!$A$3:$FB$285,137,FALSE)</f>
        <v/>
      </c>
      <c r="EU86" s="27" t="str">
        <f>VLOOKUP($A86,'[1]Raw Data'!$A$3:$FB$285,138,FALSE)</f>
        <v/>
      </c>
      <c r="EV86" s="27" t="str">
        <f>VLOOKUP($A86,'[1]Raw Data'!$A$3:$FB$285,139,FALSE)</f>
        <v/>
      </c>
      <c r="EW86" s="38">
        <f>VLOOKUP($A86,[1]Training!$A$2:$I$284,5,FALSE)</f>
        <v>1073.9230769230769</v>
      </c>
      <c r="EX86" s="31">
        <f>VLOOKUP($A86,[1]Training!$A$2:$I$284,6,FALSE)</f>
        <v>1005</v>
      </c>
      <c r="EY86" s="38">
        <f>VLOOKUP($A86,[1]Training!$A$2:$I$284,8,FALSE)</f>
        <v>1444.2247790255285</v>
      </c>
      <c r="EZ86" s="31">
        <f>VLOOKUP($A86,[1]Training!$A$2:$I$284,9,FALSE)</f>
        <v>0</v>
      </c>
      <c r="FA86" s="27">
        <v>1</v>
      </c>
      <c r="FB86" s="27">
        <v>2</v>
      </c>
      <c r="FC86" s="27" t="str">
        <f>VLOOKUP($A86,'[1]Raw Data'!$A$3:$FB$285,148,FALSE)</f>
        <v/>
      </c>
      <c r="FD86" s="27" t="s">
        <v>1031</v>
      </c>
      <c r="FE86" s="27" t="str">
        <f>VLOOKUP($A86,'[1]Raw Data'!$A$3:$FB$285,149,FALSE)</f>
        <v>District Coordinator</v>
      </c>
      <c r="FF86" s="27" t="s">
        <v>885</v>
      </c>
      <c r="FG86" s="27">
        <f>VLOOKUP($A86,'[1]Raw Data'!$A$3:$FB$285,150,FALSE)</f>
        <v>9654028388</v>
      </c>
      <c r="FH86" s="27" t="str">
        <f>VLOOKUP($A86,'[1]Raw Data'!$A$3:$FB$285,156,FALSE)</f>
        <v xml:space="preserve">Pradip Sharma </v>
      </c>
      <c r="FI86" s="27" t="s">
        <v>1032</v>
      </c>
      <c r="FJ86" s="27" t="str">
        <f>VLOOKUP($A86,'[1]Raw Data'!$A$3:$FB$285,157,FALSE)</f>
        <v>District Technical Officer</v>
      </c>
      <c r="FK86" s="27" t="s">
        <v>886</v>
      </c>
      <c r="FL86" s="27">
        <f>VLOOKUP($A86,'[1]Raw Data'!$A$3:$FB$285,158,FALSE)</f>
        <v>9851073208</v>
      </c>
      <c r="FM86" s="27" t="str">
        <f>VLOOKUP($A86,'[1]Raw Data'!$A$3:$FB$285,152,FALSE)</f>
        <v>Pranjal Bhandari</v>
      </c>
      <c r="FN86" s="27" t="s">
        <v>1033</v>
      </c>
      <c r="FO86" s="27" t="str">
        <f>VLOOKUP($A86,'[1]Raw Data'!$A$3:$FB$285,153,FALSE)</f>
        <v>DIstrict Information Management Officer</v>
      </c>
      <c r="FP86" s="27" t="s">
        <v>887</v>
      </c>
      <c r="FQ86" s="27">
        <f>VLOOKUP($A86,'[1]Raw Data'!$A$3:$FB$285,154,FALSE)</f>
        <v>9840057752</v>
      </c>
    </row>
    <row r="87" spans="1:173" ht="24" x14ac:dyDescent="0.45">
      <c r="A87" s="27">
        <v>23005</v>
      </c>
      <c r="B87" s="36" t="str">
        <f ca="1">IFERROR(__xludf.DUMMYFUNCTION("""COMPUTED_VALUE"""),"Helambu Gaunpalika")</f>
        <v>Helambu Gaunpalika</v>
      </c>
      <c r="C87" s="37" t="str">
        <f>VLOOKUP(A87,'[1]Palika and District in Nepali '!$D$1:$F$283,3,FALSE)</f>
        <v>हेलम्बु गाउँपालिका</v>
      </c>
      <c r="D87" s="36" t="str">
        <f ca="1">IFERROR(__xludf.DUMMYFUNCTION("""COMPUTED_VALUE"""),"Sindhupalchowk")</f>
        <v>Sindhupalchowk</v>
      </c>
      <c r="E87" s="36"/>
      <c r="F87" s="27">
        <f>VLOOKUP(A87,'[1]Raw Data'!$A$3:$FB$285,4,FALSE)</f>
        <v>143</v>
      </c>
      <c r="G87" s="27">
        <f>VLOOKUP(A87,'[1]Raw Data'!$A$3:$FB$285,5,FALSE)</f>
        <v>5589</v>
      </c>
      <c r="H87" s="27">
        <f>VLOOKUP(A87,'[1]Raw Data'!$A$3:$FB$285,6,FALSE)</f>
        <v>5732</v>
      </c>
      <c r="I87" s="27">
        <f>VLOOKUP($A87,'[1]Raw Data'!$A$3:$FB$285,8,FALSE)</f>
        <v>1.06</v>
      </c>
      <c r="J87" s="27">
        <f>VLOOKUP($A87,'[1]Raw Data'!$A$3:$FB$285,9,FALSE)</f>
        <v>1.23</v>
      </c>
      <c r="K87" s="27">
        <f>VLOOKUP($A87,'[1]Raw Data'!$A$3:$FB$285,11,FALSE)</f>
        <v>88.64</v>
      </c>
      <c r="L87" s="27">
        <f>VLOOKUP($A87,'[1]Raw Data'!$A$3:$FB$285,12,FALSE)</f>
        <v>90.24</v>
      </c>
      <c r="M87" s="27">
        <f>VLOOKUP($A87,'[1]Raw Data'!$A$3:$FB$285,14,FALSE)</f>
        <v>0.65</v>
      </c>
      <c r="N87" s="27">
        <f>VLOOKUP($A87,'[1]Raw Data'!$A$3:$FB$285,15,FALSE)</f>
        <v>2.5499999999999998</v>
      </c>
      <c r="O87" s="27">
        <f>VLOOKUP($A87,'[1]Raw Data'!$A$3:$FB$285,17,FALSE)</f>
        <v>0.3</v>
      </c>
      <c r="P87" s="27">
        <f>VLOOKUP($A87,'[1]Raw Data'!$A$3:$FB$285,18,FALSE)</f>
        <v>0.16</v>
      </c>
      <c r="Q87" s="27">
        <f>VLOOKUP($A87,'[1]Raw Data'!$A$3:$FB$285,20,FALSE)</f>
        <v>1.26</v>
      </c>
      <c r="R87" s="27">
        <f>VLOOKUP($A87,'[1]Raw Data'!$A$3:$FB$285,21,FALSE)</f>
        <v>1.57</v>
      </c>
      <c r="S87" s="27">
        <f>VLOOKUP($A87,'[1]Raw Data'!$A$3:$FB$285,23,FALSE)</f>
        <v>0</v>
      </c>
      <c r="T87" s="27">
        <f>VLOOKUP($A87,'[1]Raw Data'!$A$3:$FB$285,24,FALSE)</f>
        <v>0</v>
      </c>
      <c r="U87" s="27">
        <f>VLOOKUP($A87,'[1]Raw Data'!$A$3:$FB$285,26,FALSE)</f>
        <v>0.1</v>
      </c>
      <c r="V87" s="27">
        <f>VLOOKUP($A87,'[1]Raw Data'!$A$3:$FB$285,27,FALSE)</f>
        <v>0.3</v>
      </c>
      <c r="W87" s="27">
        <f>VLOOKUP($A87,'[1]Raw Data'!$A$3:$FB$285,29,FALSE)</f>
        <v>0</v>
      </c>
      <c r="X87" s="27">
        <f>VLOOKUP($A87,'[1]Raw Data'!$A$3:$FB$285,30,FALSE)</f>
        <v>0</v>
      </c>
      <c r="Y87" s="27">
        <f>VLOOKUP($A87,'[1]Raw Data'!$A$3:$FB$285,32,FALSE)</f>
        <v>0.16</v>
      </c>
      <c r="Z87" s="27">
        <f>VLOOKUP($A87,'[1]Raw Data'!$A$3:$FB$285,33,FALSE)</f>
        <v>1.08</v>
      </c>
      <c r="AA87" s="27">
        <f>VLOOKUP($A87,'[1]Raw Data'!$A$3:$FB$285,35,FALSE)</f>
        <v>7.83</v>
      </c>
      <c r="AB87" s="27">
        <f>VLOOKUP($A87,'[1]Raw Data'!$A$3:$FB$285,36,FALSE)</f>
        <v>2.85</v>
      </c>
      <c r="AC87" s="27">
        <f>VLOOKUP($A87,'[1]Raw Data'!$A$3:$FB$285,38,FALSE)</f>
        <v>0</v>
      </c>
      <c r="AD87" s="27">
        <f>VLOOKUP($A87,'[1]Raw Data'!$A$3:$FB$285,39,FALSE)</f>
        <v>0.02</v>
      </c>
      <c r="AE87" s="27">
        <f>VLOOKUP($A87,'[1]Raw Data'!$A$3:$FB$285,41,FALSE)</f>
        <v>0</v>
      </c>
      <c r="AF87" s="27">
        <f>VLOOKUP($A87,'[1]Raw Data'!$A$3:$FB$285,42,FALSE)</f>
        <v>0</v>
      </c>
      <c r="AG87" s="27">
        <f>VLOOKUP($A87,'[1]Raw Data'!$A$3:$FB$285,44,FALSE)</f>
        <v>0</v>
      </c>
      <c r="AH87" s="27">
        <f>VLOOKUP($A87,'[1]Raw Data'!$A$3:$FB$285,45,FALSE)</f>
        <v>0</v>
      </c>
      <c r="AI87" s="27">
        <f>VLOOKUP($A87,'[1]Raw Data'!$A$3:$FB$285,46,FALSE)</f>
        <v>5348</v>
      </c>
      <c r="AJ87" s="27">
        <f>VLOOKUP($A87,'[1]Raw Data'!$A$3:$FB$285,47,FALSE)</f>
        <v>5158</v>
      </c>
      <c r="AK87" s="27">
        <f>VLOOKUP($A87,'[1]Raw Data'!$A$3:$FB$285,48,FALSE)</f>
        <v>5148</v>
      </c>
      <c r="AL87" s="27">
        <f>VLOOKUP($A87,'[1]Raw Data'!$A$3:$FB$285,49,FALSE)</f>
        <v>4392</v>
      </c>
      <c r="AM87" s="27">
        <f>VLOOKUP($A87,'[1]Raw Data'!$A$3:$FB$285,50,FALSE)</f>
        <v>3420</v>
      </c>
      <c r="AN87" s="27">
        <f>VLOOKUP($A87,'[1]Raw Data'!$A$3:$FB$285,51,FALSE)</f>
        <v>0</v>
      </c>
      <c r="AO87" s="27" t="str">
        <f>VLOOKUP($A87,'[1]Raw Data'!$A$3:$FB$285,52,FALSE)</f>
        <v/>
      </c>
      <c r="AP87" s="27">
        <f>VLOOKUP($A87,'[1]Raw Data'!$A$3:$FB$285,53,FALSE)</f>
        <v>45</v>
      </c>
      <c r="AQ87" s="27">
        <f>VLOOKUP($A87,'[1]Raw Data'!$A$3:$FB$285,54,FALSE)</f>
        <v>6</v>
      </c>
      <c r="AR87" s="27">
        <f>VLOOKUP($A87,'[1]Raw Data'!$A$3:$FB$285,55,FALSE)</f>
        <v>6</v>
      </c>
      <c r="AS87" s="27">
        <f>VLOOKUP($A87,'[1]Raw Data'!$A$3:$FB$285,56,FALSE)</f>
        <v>0</v>
      </c>
      <c r="AT87" s="27">
        <f>VLOOKUP($A87,'[1]Raw Data'!$A$3:$FB$285,57,FALSE)</f>
        <v>1333</v>
      </c>
      <c r="AU87" s="27">
        <f>VLOOKUP($A87,'[1]Raw Data'!$A$3:$FB$285,58,FALSE)</f>
        <v>306</v>
      </c>
      <c r="AV87" s="27" t="str">
        <f>VLOOKUP($A87,'[1]Raw Data'!$A$3:$FB$285,59,FALSE)</f>
        <v/>
      </c>
      <c r="AW87" s="27" t="str">
        <f>VLOOKUP($A87,'[1]Raw Data'!$A$3:$FB$285,60,FALSE)</f>
        <v/>
      </c>
      <c r="AX87" s="27" t="str">
        <f>VLOOKUP(A87,'[1]PO''s List'!A85:E367,4,FALSE)</f>
        <v/>
      </c>
      <c r="AZ87" s="27" t="str">
        <f>VLOOKUP(A87,'[1]PO''s List'!$A$3:$E$285,5,FALSE)</f>
        <v>OXFAM-GB(Shelter),SABAL(Shelter)</v>
      </c>
      <c r="BB87" s="27">
        <f>VLOOKUP($A87,'[1]Raw Data'!$A$3:$FB$285,63,FALSE)</f>
        <v>97655</v>
      </c>
      <c r="BC87" s="27" t="str">
        <f>VLOOKUP($A87,'[1]Raw Data'!$A$3:$FB$285,64,FALSE)</f>
        <v>Y</v>
      </c>
      <c r="BD87" s="27" t="str">
        <f t="shared" si="9"/>
        <v>छ</v>
      </c>
      <c r="BE87" s="27" t="str">
        <f>VLOOKUP($A87,'[1]Raw Data'!$A$3:$FB$285,65,FALSE)</f>
        <v/>
      </c>
      <c r="BF87" s="27">
        <f>VLOOKUP($A87,'[1]Raw Data'!$A$3:$FB$285,66,FALSE)</f>
        <v>92157</v>
      </c>
      <c r="BG87" s="27" t="str">
        <f>VLOOKUP($A87,'[1]Raw Data'!$A$3:$FB$285,67,FALSE)</f>
        <v>Y</v>
      </c>
      <c r="BH87" s="27" t="str">
        <f t="shared" si="10"/>
        <v>छ</v>
      </c>
      <c r="BI87" s="27" t="str">
        <f>VLOOKUP($A87,'[1]Raw Data'!$A$3:$FB$285,68,FALSE)</f>
        <v/>
      </c>
      <c r="BJ87" s="27">
        <f>VLOOKUP($A87,'[1]Raw Data'!$A$3:$FB$285,69,FALSE)</f>
        <v>10352</v>
      </c>
      <c r="BK87" s="27" t="str">
        <f>VLOOKUP($A87,'[1]Raw Data'!$A$3:$FB$285,70,FALSE)</f>
        <v>Y</v>
      </c>
      <c r="BL87" s="27" t="str">
        <f t="shared" si="11"/>
        <v>छ</v>
      </c>
      <c r="BM87" s="27">
        <f>VLOOKUP($A87,'[1]Raw Data'!$A$3:$FB$285,71,FALSE)</f>
        <v>15000</v>
      </c>
      <c r="BN87" s="27">
        <f>VLOOKUP($A87,'[1]Raw Data'!$A$3:$FB$285,72,FALSE)</f>
        <v>11672</v>
      </c>
      <c r="BO87" s="27" t="str">
        <f>VLOOKUP($A87,'[1]Raw Data'!$A$3:$FB$285,73,FALSE)</f>
        <v/>
      </c>
      <c r="BP87" s="27" t="str">
        <f t="shared" si="12"/>
        <v/>
      </c>
      <c r="BQ87" s="27" t="str">
        <f>VLOOKUP($A87,'[1]Raw Data'!$A$3:$FB$285,74,FALSE)</f>
        <v/>
      </c>
      <c r="BR87" s="27" t="str">
        <f>VLOOKUP($A87,'[1]Raw Data'!$A$3:$FB$285,75,FALSE)</f>
        <v/>
      </c>
      <c r="BS87" s="27" t="str">
        <f>VLOOKUP($A87,'[1]Raw Data'!$A$3:$FB$285,76,FALSE)</f>
        <v>Y</v>
      </c>
      <c r="BT87" s="27" t="str">
        <f t="shared" si="13"/>
        <v>छ</v>
      </c>
      <c r="BU87" s="27">
        <f>VLOOKUP($A87,'[1]Raw Data'!$A$3:$FB$285,77,FALSE)</f>
        <v>930</v>
      </c>
      <c r="BV87" s="27">
        <f>VLOOKUP($A87,'[1]Raw Data'!$A$3:$FB$285,78,FALSE)</f>
        <v>306597</v>
      </c>
      <c r="BW87" s="27" t="str">
        <f>VLOOKUP($A87,'[1]Raw Data'!$A$3:$FB$285,79,FALSE)</f>
        <v>Y</v>
      </c>
      <c r="BX87" s="27" t="str">
        <f t="shared" si="14"/>
        <v>छ</v>
      </c>
      <c r="BY87" s="27">
        <f>VLOOKUP($A87,'[1]Raw Data'!$A$3:$FB$285,80,FALSE)</f>
        <v>1000</v>
      </c>
      <c r="BZ87" s="27">
        <f>VLOOKUP($A87,'[1]Raw Data'!$A$3:$FB$285,81,FALSE)</f>
        <v>1070578</v>
      </c>
      <c r="CA87" s="27" t="str">
        <f>VLOOKUP($A87,'[1]Raw Data'!$A$3:$FB$285,82,FALSE)</f>
        <v>Y</v>
      </c>
      <c r="CB87" s="27" t="str">
        <f t="shared" si="15"/>
        <v>छ</v>
      </c>
      <c r="CC87" s="27">
        <f>VLOOKUP($A87,'[1]Raw Data'!$A$3:$FB$285,83,FALSE)</f>
        <v>108</v>
      </c>
      <c r="CD87" s="27">
        <f>VLOOKUP($A87,'[1]Raw Data'!$A$3:$FB$285,84,FALSE)</f>
        <v>12518</v>
      </c>
      <c r="CE87" s="27" t="str">
        <f>VLOOKUP($A87,'[1]Raw Data'!$A$3:$FB$285,85,FALSE)</f>
        <v/>
      </c>
      <c r="CF87" s="27" t="str">
        <f t="shared" si="16"/>
        <v/>
      </c>
      <c r="CG87" s="27" t="str">
        <f>VLOOKUP($A87,'[1]Raw Data'!$A$3:$FB$285,86,FALSE)</f>
        <v/>
      </c>
      <c r="CH87" s="27">
        <f>VLOOKUP($A87,'[1]Raw Data'!$A$3:$FB$285,87,FALSE)</f>
        <v>1543334</v>
      </c>
      <c r="CI87" s="27" t="str">
        <f>VLOOKUP($A87,'[1]Raw Data'!$A$3:$FB$285,88,FALSE)</f>
        <v>Y</v>
      </c>
      <c r="CJ87" s="27" t="str">
        <f t="shared" si="17"/>
        <v>छ</v>
      </c>
      <c r="CK87" s="27">
        <f>VLOOKUP($A87,'[1]Raw Data'!$A$3:$FB$285,89,FALSE)</f>
        <v>22</v>
      </c>
      <c r="CL87" s="27">
        <f>VLOOKUP($A87,'[1]Raw Data'!$A$3:$FB$285,91,FALSE)</f>
        <v>1200</v>
      </c>
      <c r="CM87" s="27">
        <f>VLOOKUP($A87,'[1]Raw Data'!$A$3:$FB$285,93,FALSE)</f>
        <v>700</v>
      </c>
      <c r="CN87" s="27" t="str">
        <f>VLOOKUP($A87,'[1]Raw Data'!$A$3:$FB$285,94,FALSE)</f>
        <v/>
      </c>
      <c r="CO87" s="27" t="str">
        <f>VLOOKUP($A87,'[1]Raw Data'!$A$3:$FB$285,95,FALSE)</f>
        <v/>
      </c>
      <c r="CP87" s="27" t="str">
        <f>VLOOKUP($A87,'[1]Raw Data'!$A$3:$FB$285,96,FALSE)</f>
        <v/>
      </c>
      <c r="CQ87" s="27" t="str">
        <f>VLOOKUP($A87,'[1]Raw Data'!$A$3:$FB$285,97,FALSE)</f>
        <v/>
      </c>
      <c r="CR87" s="27" t="str">
        <f>VLOOKUP($A87,'[1]Raw Data'!$A$3:$FB$285,98,FALSE)</f>
        <v/>
      </c>
      <c r="CS87" s="27" t="str">
        <f>VLOOKUP($A87,'[1]Raw Data'!$A$3:$FB$285,99,FALSE)</f>
        <v/>
      </c>
      <c r="CT87" s="27" t="str">
        <f>VLOOKUP($A87,'[1]Raw Data'!$A$3:$FB$285,101,FALSE)</f>
        <v>Nima Gyaljen Sherpa</v>
      </c>
      <c r="CU87" s="27" t="s">
        <v>1045</v>
      </c>
      <c r="CV87" s="27" t="str">
        <f>VLOOKUP($A87,'[1]Raw Data'!$A$3:$FB$285,102,FALSE)</f>
        <v>Chairman</v>
      </c>
      <c r="CW87" s="27" t="s">
        <v>878</v>
      </c>
      <c r="CX87" s="27">
        <f>VLOOKUP($A87,'[1]Raw Data'!$A$3:$FB$285,103,FALSE)</f>
        <v>9851048846</v>
      </c>
      <c r="CY87" s="27" t="str">
        <f>VLOOKUP($A87,'[1]Raw Data'!$A$3:$FB$285,105,FALSE)</f>
        <v>Kopila Pandit</v>
      </c>
      <c r="CZ87" s="27" t="s">
        <v>1046</v>
      </c>
      <c r="DA87" s="27" t="str">
        <f>VLOOKUP($A87,'[1]Raw Data'!$A$3:$FB$285,106,FALSE)</f>
        <v>Deputy Chairman</v>
      </c>
      <c r="DB87" s="27" t="s">
        <v>879</v>
      </c>
      <c r="DC87" s="27">
        <f>VLOOKUP($A87,'[1]Raw Data'!$A$3:$FB$285,107,FALSE)</f>
        <v>9860281422</v>
      </c>
      <c r="DD87" s="27" t="str">
        <f>VLOOKUP($A87,'[1]Raw Data'!$A$3:$FB$285,109,FALSE)</f>
        <v xml:space="preserve">Bhim Raj Koirala </v>
      </c>
      <c r="DE87" s="27" t="s">
        <v>1047</v>
      </c>
      <c r="DF87" s="27" t="str">
        <f>VLOOKUP($A87,'[1]Raw Data'!$A$3:$FB$285,110,FALSE)</f>
        <v>Chief Adminstration Officer</v>
      </c>
      <c r="DG87" s="27" t="s">
        <v>880</v>
      </c>
      <c r="DH87" s="27">
        <f>VLOOKUP($A87,'[1]Raw Data'!$A$3:$FB$285,111,FALSE)</f>
        <v>9801017857</v>
      </c>
      <c r="DI87" s="27" t="str">
        <f>VLOOKUP($A87,'[1]Raw Data'!$A$3:$FB$285,121,FALSE)</f>
        <v>Narayan Adhikari</v>
      </c>
      <c r="DJ87" s="27" t="s">
        <v>1048</v>
      </c>
      <c r="DK87" s="27" t="str">
        <f>VLOOKUP($A87,'[1]Raw Data'!$A$3:$FB$285,122,FALSE)</f>
        <v>Focal Person</v>
      </c>
      <c r="DL87" s="27" t="s">
        <v>881</v>
      </c>
      <c r="DM87" s="27">
        <f>VLOOKUP($A87,'[1]Raw Data'!$A$3:$FB$285,123,FALSE)</f>
        <v>9861147660</v>
      </c>
      <c r="DN87" s="27" t="str">
        <f>VLOOKUP($A87,'[1]Raw Data'!$A$3:$FB$285,113,FALSE)</f>
        <v>Jay Prakash Gupta</v>
      </c>
      <c r="DO87" s="27" t="s">
        <v>1029</v>
      </c>
      <c r="DP87" s="27" t="str">
        <f>VLOOKUP($A87,'[1]Raw Data'!$A$3:$FB$285,114,FALSE)</f>
        <v>NRA Chief-District</v>
      </c>
      <c r="DQ87" s="27" t="s">
        <v>882</v>
      </c>
      <c r="DR87" s="27">
        <f>VLOOKUP($A87,'[1]Raw Data'!$A$3:$FB$285,115,FALSE)</f>
        <v>9858320531</v>
      </c>
      <c r="DS87" s="27" t="str">
        <f>VLOOKUP($A87,'[1]Raw Data'!$A$3:$FB$285,117,FALSE)</f>
        <v>Santosh Kumar Niraula</v>
      </c>
      <c r="DT87" s="27" t="s">
        <v>1030</v>
      </c>
      <c r="DU87" s="27" t="str">
        <f>VLOOKUP($A87,'[1]Raw Data'!$A$3:$FB$285,118,FALSE)</f>
        <v>DUDBC.DLPIU Chief</v>
      </c>
      <c r="DV87" s="27" t="s">
        <v>883</v>
      </c>
      <c r="DW87" s="27">
        <f>VLOOKUP($A87,'[1]Raw Data'!$A$3:$FB$285,119,FALSE)</f>
        <v>9851136372</v>
      </c>
      <c r="DX87" s="27" t="s">
        <v>339</v>
      </c>
      <c r="DY87" s="27" t="str">
        <f>VLOOKUP($A87,'[1]Raw Data'!$A$3:$FB$285,124,FALSE)</f>
        <v/>
      </c>
      <c r="DZ87" s="27" t="s">
        <v>884</v>
      </c>
      <c r="EA87" s="27" t="str">
        <f>VLOOKUP($A87,'[1]Raw Data'!$A$3:$FB$285,125,FALSE)</f>
        <v/>
      </c>
      <c r="EB87" s="27" t="s">
        <v>341</v>
      </c>
      <c r="EC87" s="27" t="str">
        <f>VLOOKUP($A87,'[1]Raw Data'!$A$3:$FB$285,126,FALSE)</f>
        <v/>
      </c>
      <c r="ED87" t="s">
        <v>478</v>
      </c>
      <c r="EE87" s="27" t="str">
        <f>VLOOKUP($A87,'[1]Raw Data'!$A$3:$FB$285,127,FALSE)</f>
        <v/>
      </c>
      <c r="EF87" s="27" t="s">
        <v>343</v>
      </c>
      <c r="EG87" s="27" t="str">
        <f>VLOOKUP($A87,'[1]Raw Data'!$A$3:$FB$285,128,FALSE)</f>
        <v/>
      </c>
      <c r="EH87" t="s">
        <v>344</v>
      </c>
      <c r="EI87" s="27" t="str">
        <f>VLOOKUP($A87,'[1]Raw Data'!$A$3:$FB$285,129,FALSE)</f>
        <v/>
      </c>
      <c r="EM87" s="27">
        <f>VLOOKUP($A87,'[1]Raw Data'!$A$3:$FB$285,130,FALSE)</f>
        <v>7</v>
      </c>
      <c r="EN87" s="27" t="str">
        <f>VLOOKUP($A87,'[1]Raw Data'!$A$3:$FB$285,131,FALSE)</f>
        <v>3</v>
      </c>
      <c r="EO87" s="27">
        <f>VLOOKUP($A87,'[1]Raw Data'!$A$3:$FB$285,132,FALSE)</f>
        <v>4</v>
      </c>
      <c r="EP87" s="27" t="str">
        <f>VLOOKUP($A87,'[1]Raw Data'!$A$3:$FB$285,133,FALSE)</f>
        <v>5</v>
      </c>
      <c r="EQ87" s="27">
        <f>VLOOKUP($A87,'[1]Raw Data'!$A$3:$FB$285,134,FALSE)</f>
        <v>5</v>
      </c>
      <c r="ER87" s="27" t="str">
        <f>VLOOKUP($A87,'[1]Raw Data'!$A$3:$FB$285,135,FALSE)</f>
        <v>2</v>
      </c>
      <c r="ES87" s="27" t="str">
        <f>VLOOKUP($A87,'[1]Raw Data'!$A$3:$FB$285,136,FALSE)</f>
        <v/>
      </c>
      <c r="ET87" s="27" t="str">
        <f>VLOOKUP($A87,'[1]Raw Data'!$A$3:$FB$285,137,FALSE)</f>
        <v/>
      </c>
      <c r="EU87" s="27" t="str">
        <f>VLOOKUP($A87,'[1]Raw Data'!$A$3:$FB$285,138,FALSE)</f>
        <v/>
      </c>
      <c r="EV87" s="27" t="str">
        <f>VLOOKUP($A87,'[1]Raw Data'!$A$3:$FB$285,139,FALSE)</f>
        <v/>
      </c>
      <c r="EW87" s="38">
        <f>VLOOKUP($A87,[1]Training!$A$2:$I$284,5,FALSE)</f>
        <v>411.38461538461536</v>
      </c>
      <c r="EX87" s="31">
        <f>VLOOKUP($A87,[1]Training!$A$2:$I$284,6,FALSE)</f>
        <v>96</v>
      </c>
      <c r="EY87" s="38">
        <f>VLOOKUP($A87,[1]Training!$A$2:$I$284,8,FALSE)</f>
        <v>553.23502028712312</v>
      </c>
      <c r="EZ87" s="31">
        <f>VLOOKUP($A87,[1]Training!$A$2:$I$284,9,FALSE)</f>
        <v>0</v>
      </c>
      <c r="FA87" s="27">
        <v>1</v>
      </c>
      <c r="FB87" s="27">
        <v>2</v>
      </c>
      <c r="FC87" s="27" t="str">
        <f>VLOOKUP($A87,'[1]Raw Data'!$A$3:$FB$285,148,FALSE)</f>
        <v/>
      </c>
      <c r="FD87" s="27" t="s">
        <v>1031</v>
      </c>
      <c r="FE87" s="27" t="str">
        <f>VLOOKUP($A87,'[1]Raw Data'!$A$3:$FB$285,149,FALSE)</f>
        <v>District Coordinator</v>
      </c>
      <c r="FF87" s="27" t="s">
        <v>885</v>
      </c>
      <c r="FG87" s="27">
        <f>VLOOKUP($A87,'[1]Raw Data'!$A$3:$FB$285,150,FALSE)</f>
        <v>9654028388</v>
      </c>
      <c r="FH87" s="27" t="str">
        <f>VLOOKUP($A87,'[1]Raw Data'!$A$3:$FB$285,156,FALSE)</f>
        <v xml:space="preserve">Pradip Sharma </v>
      </c>
      <c r="FI87" s="27" t="s">
        <v>1032</v>
      </c>
      <c r="FJ87" s="27" t="str">
        <f>VLOOKUP($A87,'[1]Raw Data'!$A$3:$FB$285,157,FALSE)</f>
        <v>District Technical Officer</v>
      </c>
      <c r="FK87" s="27" t="s">
        <v>886</v>
      </c>
      <c r="FL87" s="27">
        <f>VLOOKUP($A87,'[1]Raw Data'!$A$3:$FB$285,158,FALSE)</f>
        <v>9851073208</v>
      </c>
      <c r="FM87" s="27" t="str">
        <f>VLOOKUP($A87,'[1]Raw Data'!$A$3:$FB$285,152,FALSE)</f>
        <v>Pranjal Bhandari</v>
      </c>
      <c r="FN87" s="27" t="s">
        <v>1033</v>
      </c>
      <c r="FO87" s="27" t="str">
        <f>VLOOKUP($A87,'[1]Raw Data'!$A$3:$FB$285,153,FALSE)</f>
        <v>DIstrict Information Management Officer</v>
      </c>
      <c r="FP87" s="27" t="s">
        <v>887</v>
      </c>
      <c r="FQ87" s="27">
        <f>VLOOKUP($A87,'[1]Raw Data'!$A$3:$FB$285,154,FALSE)</f>
        <v>9840057752</v>
      </c>
    </row>
    <row r="88" spans="1:173" ht="24" x14ac:dyDescent="0.45">
      <c r="A88" s="27">
        <v>23006</v>
      </c>
      <c r="B88" s="36" t="str">
        <f ca="1">IFERROR(__xludf.DUMMYFUNCTION("""COMPUTED_VALUE"""),"Indrawati Gaunpalika")</f>
        <v>Indrawati Gaunpalika</v>
      </c>
      <c r="C88" s="37" t="str">
        <f>VLOOKUP(A88,'[1]Palika and District in Nepali '!$D$1:$F$283,3,FALSE)</f>
        <v>ईन्द्रावती गाउँपालिका</v>
      </c>
      <c r="D88" s="36" t="str">
        <f ca="1">IFERROR(__xludf.DUMMYFUNCTION("""COMPUTED_VALUE"""),"Sindhupalchowk")</f>
        <v>Sindhupalchowk</v>
      </c>
      <c r="E88" s="36"/>
      <c r="F88" s="27">
        <f>VLOOKUP(A88,'[1]Raw Data'!$A$3:$FB$285,4,FALSE)</f>
        <v>122</v>
      </c>
      <c r="G88" s="27">
        <f>VLOOKUP(A88,'[1]Raw Data'!$A$3:$FB$285,5,FALSE)</f>
        <v>8447</v>
      </c>
      <c r="H88" s="27">
        <f>VLOOKUP(A88,'[1]Raw Data'!$A$3:$FB$285,6,FALSE)</f>
        <v>8569</v>
      </c>
      <c r="I88" s="27">
        <f>VLOOKUP($A88,'[1]Raw Data'!$A$3:$FB$285,8,FALSE)</f>
        <v>0.34</v>
      </c>
      <c r="J88" s="27">
        <f>VLOOKUP($A88,'[1]Raw Data'!$A$3:$FB$285,9,FALSE)</f>
        <v>1.23</v>
      </c>
      <c r="K88" s="27">
        <f>VLOOKUP($A88,'[1]Raw Data'!$A$3:$FB$285,11,FALSE)</f>
        <v>86.88</v>
      </c>
      <c r="L88" s="27">
        <f>VLOOKUP($A88,'[1]Raw Data'!$A$3:$FB$285,12,FALSE)</f>
        <v>90.24</v>
      </c>
      <c r="M88" s="27">
        <f>VLOOKUP($A88,'[1]Raw Data'!$A$3:$FB$285,14,FALSE)</f>
        <v>0.79</v>
      </c>
      <c r="N88" s="27">
        <f>VLOOKUP($A88,'[1]Raw Data'!$A$3:$FB$285,15,FALSE)</f>
        <v>2.5499999999999998</v>
      </c>
      <c r="O88" s="27">
        <f>VLOOKUP($A88,'[1]Raw Data'!$A$3:$FB$285,17,FALSE)</f>
        <v>0.41</v>
      </c>
      <c r="P88" s="27">
        <f>VLOOKUP($A88,'[1]Raw Data'!$A$3:$FB$285,18,FALSE)</f>
        <v>0.16</v>
      </c>
      <c r="Q88" s="27">
        <f>VLOOKUP($A88,'[1]Raw Data'!$A$3:$FB$285,20,FALSE)</f>
        <v>0.83</v>
      </c>
      <c r="R88" s="27">
        <f>VLOOKUP($A88,'[1]Raw Data'!$A$3:$FB$285,21,FALSE)</f>
        <v>1.57</v>
      </c>
      <c r="S88" s="27">
        <f>VLOOKUP($A88,'[1]Raw Data'!$A$3:$FB$285,23,FALSE)</f>
        <v>0</v>
      </c>
      <c r="T88" s="27">
        <f>VLOOKUP($A88,'[1]Raw Data'!$A$3:$FB$285,24,FALSE)</f>
        <v>0</v>
      </c>
      <c r="U88" s="27">
        <f>VLOOKUP($A88,'[1]Raw Data'!$A$3:$FB$285,26,FALSE)</f>
        <v>0.01</v>
      </c>
      <c r="V88" s="27">
        <f>VLOOKUP($A88,'[1]Raw Data'!$A$3:$FB$285,27,FALSE)</f>
        <v>0.3</v>
      </c>
      <c r="W88" s="27">
        <f>VLOOKUP($A88,'[1]Raw Data'!$A$3:$FB$285,29,FALSE)</f>
        <v>0</v>
      </c>
      <c r="X88" s="27">
        <f>VLOOKUP($A88,'[1]Raw Data'!$A$3:$FB$285,30,FALSE)</f>
        <v>0</v>
      </c>
      <c r="Y88" s="27">
        <f>VLOOKUP($A88,'[1]Raw Data'!$A$3:$FB$285,32,FALSE)</f>
        <v>0.09</v>
      </c>
      <c r="Z88" s="27">
        <f>VLOOKUP($A88,'[1]Raw Data'!$A$3:$FB$285,33,FALSE)</f>
        <v>1.08</v>
      </c>
      <c r="AA88" s="27">
        <f>VLOOKUP($A88,'[1]Raw Data'!$A$3:$FB$285,35,FALSE)</f>
        <v>10.65</v>
      </c>
      <c r="AB88" s="27">
        <f>VLOOKUP($A88,'[1]Raw Data'!$A$3:$FB$285,36,FALSE)</f>
        <v>2.85</v>
      </c>
      <c r="AC88" s="27">
        <f>VLOOKUP($A88,'[1]Raw Data'!$A$3:$FB$285,38,FALSE)</f>
        <v>0</v>
      </c>
      <c r="AD88" s="27">
        <f>VLOOKUP($A88,'[1]Raw Data'!$A$3:$FB$285,39,FALSE)</f>
        <v>0.02</v>
      </c>
      <c r="AE88" s="27">
        <f>VLOOKUP($A88,'[1]Raw Data'!$A$3:$FB$285,41,FALSE)</f>
        <v>0</v>
      </c>
      <c r="AF88" s="27">
        <f>VLOOKUP($A88,'[1]Raw Data'!$A$3:$FB$285,42,FALSE)</f>
        <v>0</v>
      </c>
      <c r="AG88" s="27">
        <f>VLOOKUP($A88,'[1]Raw Data'!$A$3:$FB$285,44,FALSE)</f>
        <v>0</v>
      </c>
      <c r="AH88" s="27">
        <f>VLOOKUP($A88,'[1]Raw Data'!$A$3:$FB$285,45,FALSE)</f>
        <v>0</v>
      </c>
      <c r="AI88" s="27">
        <f>VLOOKUP($A88,'[1]Raw Data'!$A$3:$FB$285,46,FALSE)</f>
        <v>8301</v>
      </c>
      <c r="AJ88" s="27">
        <f>VLOOKUP($A88,'[1]Raw Data'!$A$3:$FB$285,47,FALSE)</f>
        <v>8087</v>
      </c>
      <c r="AK88" s="27">
        <f>VLOOKUP($A88,'[1]Raw Data'!$A$3:$FB$285,48,FALSE)</f>
        <v>8055</v>
      </c>
      <c r="AL88" s="27">
        <f>VLOOKUP($A88,'[1]Raw Data'!$A$3:$FB$285,49,FALSE)</f>
        <v>7328</v>
      </c>
      <c r="AM88" s="27">
        <f>VLOOKUP($A88,'[1]Raw Data'!$A$3:$FB$285,50,FALSE)</f>
        <v>5147</v>
      </c>
      <c r="AN88" s="27">
        <f>VLOOKUP($A88,'[1]Raw Data'!$A$3:$FB$285,51,FALSE)</f>
        <v>0</v>
      </c>
      <c r="AO88" s="27" t="str">
        <f>VLOOKUP($A88,'[1]Raw Data'!$A$3:$FB$285,52,FALSE)</f>
        <v/>
      </c>
      <c r="AP88" s="27">
        <f>VLOOKUP($A88,'[1]Raw Data'!$A$3:$FB$285,53,FALSE)</f>
        <v>37</v>
      </c>
      <c r="AQ88" s="27">
        <f>VLOOKUP($A88,'[1]Raw Data'!$A$3:$FB$285,54,FALSE)</f>
        <v>7</v>
      </c>
      <c r="AR88" s="27">
        <f>VLOOKUP($A88,'[1]Raw Data'!$A$3:$FB$285,55,FALSE)</f>
        <v>7</v>
      </c>
      <c r="AS88" s="27">
        <f>VLOOKUP($A88,'[1]Raw Data'!$A$3:$FB$285,56,FALSE)</f>
        <v>0</v>
      </c>
      <c r="AT88" s="27">
        <f>VLOOKUP($A88,'[1]Raw Data'!$A$3:$FB$285,57,FALSE)</f>
        <v>2421</v>
      </c>
      <c r="AU88" s="27">
        <f>VLOOKUP($A88,'[1]Raw Data'!$A$3:$FB$285,58,FALSE)</f>
        <v>638</v>
      </c>
      <c r="AV88" s="27" t="str">
        <f>VLOOKUP($A88,'[1]Raw Data'!$A$3:$FB$285,59,FALSE)</f>
        <v/>
      </c>
      <c r="AW88" s="27" t="str">
        <f>VLOOKUP($A88,'[1]Raw Data'!$A$3:$FB$285,60,FALSE)</f>
        <v/>
      </c>
      <c r="AX88" s="27" t="str">
        <f>VLOOKUP(A88,'[1]PO''s List'!A86:E368,4,FALSE)</f>
        <v>NRCS(Livelihood,Education,Employment ,Health,Shelter,Health),PIN(Shelter),WOREC(Shelter)</v>
      </c>
      <c r="AZ88" s="27" t="str">
        <f>VLOOKUP(A88,'[1]PO''s List'!$A$3:$E$285,5,FALSE)</f>
        <v>GON-PAF(Shelter),JICA(Shelter),NNDSWO(Education),NYF(Education),OXFAM-GB(Shelter),PLAN(Education,GESI,Shelter,Health),SABAL(Shelter),SCI(Nutrition),UNDP(Shelter)</v>
      </c>
      <c r="BB88" s="27">
        <f>VLOOKUP($A88,'[1]Raw Data'!$A$3:$FB$285,63,FALSE)</f>
        <v>180192</v>
      </c>
      <c r="BC88" s="27" t="str">
        <f>VLOOKUP($A88,'[1]Raw Data'!$A$3:$FB$285,64,FALSE)</f>
        <v>N</v>
      </c>
      <c r="BD88" s="27" t="str">
        <f t="shared" si="9"/>
        <v>छैन</v>
      </c>
      <c r="BE88" s="27">
        <f>VLOOKUP($A88,'[1]Raw Data'!$A$3:$FB$285,65,FALSE)</f>
        <v>9174.4</v>
      </c>
      <c r="BF88" s="27">
        <f>VLOOKUP($A88,'[1]Raw Data'!$A$3:$FB$285,66,FALSE)</f>
        <v>179297</v>
      </c>
      <c r="BG88" s="27" t="str">
        <f>VLOOKUP($A88,'[1]Raw Data'!$A$3:$FB$285,67,FALSE)</f>
        <v>N</v>
      </c>
      <c r="BH88" s="27" t="str">
        <f t="shared" si="10"/>
        <v>छैन</v>
      </c>
      <c r="BI88" s="27">
        <f>VLOOKUP($A88,'[1]Raw Data'!$A$3:$FB$285,68,FALSE)</f>
        <v>9174.7000000000007</v>
      </c>
      <c r="BJ88" s="27">
        <f>VLOOKUP($A88,'[1]Raw Data'!$A$3:$FB$285,69,FALSE)</f>
        <v>19182</v>
      </c>
      <c r="BK88" s="27" t="str">
        <f>VLOOKUP($A88,'[1]Raw Data'!$A$3:$FB$285,70,FALSE)</f>
        <v>N</v>
      </c>
      <c r="BL88" s="27" t="str">
        <f t="shared" si="11"/>
        <v>छैन</v>
      </c>
      <c r="BM88" s="27">
        <f>VLOOKUP($A88,'[1]Raw Data'!$A$3:$FB$285,71,FALSE)</f>
        <v>11997.7</v>
      </c>
      <c r="BN88" s="27">
        <f>VLOOKUP($A88,'[1]Raw Data'!$A$3:$FB$285,72,FALSE)</f>
        <v>21924</v>
      </c>
      <c r="BO88" s="27" t="str">
        <f>VLOOKUP($A88,'[1]Raw Data'!$A$3:$FB$285,73,FALSE)</f>
        <v/>
      </c>
      <c r="BP88" s="27" t="str">
        <f t="shared" si="12"/>
        <v/>
      </c>
      <c r="BQ88" s="27" t="str">
        <f>VLOOKUP($A88,'[1]Raw Data'!$A$3:$FB$285,74,FALSE)</f>
        <v/>
      </c>
      <c r="BR88" s="27" t="str">
        <f>VLOOKUP($A88,'[1]Raw Data'!$A$3:$FB$285,75,FALSE)</f>
        <v/>
      </c>
      <c r="BS88" s="27" t="str">
        <f>VLOOKUP($A88,'[1]Raw Data'!$A$3:$FB$285,76,FALSE)</f>
        <v>N</v>
      </c>
      <c r="BT88" s="27" t="str">
        <f t="shared" si="13"/>
        <v>छैन</v>
      </c>
      <c r="BU88" s="27">
        <f>VLOOKUP($A88,'[1]Raw Data'!$A$3:$FB$285,77,FALSE)</f>
        <v>800</v>
      </c>
      <c r="BV88" s="27">
        <f>VLOOKUP($A88,'[1]Raw Data'!$A$3:$FB$285,78,FALSE)</f>
        <v>590291</v>
      </c>
      <c r="BW88" s="27" t="str">
        <f>VLOOKUP($A88,'[1]Raw Data'!$A$3:$FB$285,79,FALSE)</f>
        <v>N</v>
      </c>
      <c r="BX88" s="27" t="str">
        <f t="shared" si="14"/>
        <v>छैन</v>
      </c>
      <c r="BY88" s="27">
        <f>VLOOKUP($A88,'[1]Raw Data'!$A$3:$FB$285,80,FALSE)</f>
        <v>850</v>
      </c>
      <c r="BZ88" s="27">
        <f>VLOOKUP($A88,'[1]Raw Data'!$A$3:$FB$285,81,FALSE)</f>
        <v>1955348</v>
      </c>
      <c r="CA88" s="27" t="str">
        <f>VLOOKUP($A88,'[1]Raw Data'!$A$3:$FB$285,82,FALSE)</f>
        <v>N</v>
      </c>
      <c r="CB88" s="27" t="str">
        <f t="shared" si="15"/>
        <v>छैन</v>
      </c>
      <c r="CC88" s="27">
        <f>VLOOKUP($A88,'[1]Raw Data'!$A$3:$FB$285,83,FALSE)</f>
        <v>85</v>
      </c>
      <c r="CD88" s="27">
        <f>VLOOKUP($A88,'[1]Raw Data'!$A$3:$FB$285,84,FALSE)</f>
        <v>24088</v>
      </c>
      <c r="CE88" s="27" t="str">
        <f>VLOOKUP($A88,'[1]Raw Data'!$A$3:$FB$285,85,FALSE)</f>
        <v/>
      </c>
      <c r="CF88" s="27" t="str">
        <f t="shared" si="16"/>
        <v/>
      </c>
      <c r="CG88" s="27" t="str">
        <f>VLOOKUP($A88,'[1]Raw Data'!$A$3:$FB$285,86,FALSE)</f>
        <v/>
      </c>
      <c r="CH88" s="27">
        <f>VLOOKUP($A88,'[1]Raw Data'!$A$3:$FB$285,87,FALSE)</f>
        <v>1467471</v>
      </c>
      <c r="CI88" s="27" t="str">
        <f>VLOOKUP($A88,'[1]Raw Data'!$A$3:$FB$285,88,FALSE)</f>
        <v>N</v>
      </c>
      <c r="CJ88" s="27" t="str">
        <f t="shared" si="17"/>
        <v>छैन</v>
      </c>
      <c r="CK88" s="27">
        <f>VLOOKUP($A88,'[1]Raw Data'!$A$3:$FB$285,89,FALSE)</f>
        <v>15</v>
      </c>
      <c r="CL88" s="27">
        <f>VLOOKUP($A88,'[1]Raw Data'!$A$3:$FB$285,91,FALSE)</f>
        <v>1200</v>
      </c>
      <c r="CM88" s="27">
        <f>VLOOKUP($A88,'[1]Raw Data'!$A$3:$FB$285,93,FALSE)</f>
        <v>1000</v>
      </c>
      <c r="CN88" s="27" t="str">
        <f>VLOOKUP($A88,'[1]Raw Data'!$A$3:$FB$285,94,FALSE)</f>
        <v/>
      </c>
      <c r="CO88" s="27" t="str">
        <f>VLOOKUP($A88,'[1]Raw Data'!$A$3:$FB$285,95,FALSE)</f>
        <v/>
      </c>
      <c r="CP88" s="27" t="str">
        <f>VLOOKUP($A88,'[1]Raw Data'!$A$3:$FB$285,96,FALSE)</f>
        <v/>
      </c>
      <c r="CQ88" s="27" t="str">
        <f>VLOOKUP($A88,'[1]Raw Data'!$A$3:$FB$285,97,FALSE)</f>
        <v/>
      </c>
      <c r="CR88" s="27" t="str">
        <f>VLOOKUP($A88,'[1]Raw Data'!$A$3:$FB$285,98,FALSE)</f>
        <v/>
      </c>
      <c r="CS88" s="27" t="str">
        <f>VLOOKUP($A88,'[1]Raw Data'!$A$3:$FB$285,99,FALSE)</f>
        <v/>
      </c>
      <c r="CT88" s="27" t="str">
        <f>VLOOKUP($A88,'[1]Raw Data'!$A$3:$FB$285,101,FALSE)</f>
        <v>Bangsa Lal Tamang</v>
      </c>
      <c r="CU88" s="27" t="s">
        <v>1049</v>
      </c>
      <c r="CV88" s="27" t="str">
        <f>VLOOKUP($A88,'[1]Raw Data'!$A$3:$FB$285,102,FALSE)</f>
        <v>Chairman</v>
      </c>
      <c r="CW88" s="27" t="s">
        <v>878</v>
      </c>
      <c r="CX88" s="27">
        <f>VLOOKUP($A88,'[1]Raw Data'!$A$3:$FB$285,103,FALSE)</f>
        <v>9860674432</v>
      </c>
      <c r="CY88" s="27" t="str">
        <f>VLOOKUP($A88,'[1]Raw Data'!$A$3:$FB$285,105,FALSE)</f>
        <v>Mira Adhikari Lama</v>
      </c>
      <c r="CZ88" s="27" t="s">
        <v>1050</v>
      </c>
      <c r="DA88" s="27" t="str">
        <f>VLOOKUP($A88,'[1]Raw Data'!$A$3:$FB$285,106,FALSE)</f>
        <v>Deputy Chairman</v>
      </c>
      <c r="DB88" s="27" t="s">
        <v>879</v>
      </c>
      <c r="DC88" s="27">
        <f>VLOOKUP($A88,'[1]Raw Data'!$A$3:$FB$285,107,FALSE)</f>
        <v>9808070820</v>
      </c>
      <c r="DD88" s="27" t="str">
        <f>VLOOKUP($A88,'[1]Raw Data'!$A$3:$FB$285,109,FALSE)</f>
        <v>Binod Rokka</v>
      </c>
      <c r="DE88" s="27" t="s">
        <v>1051</v>
      </c>
      <c r="DF88" s="27" t="str">
        <f>VLOOKUP($A88,'[1]Raw Data'!$A$3:$FB$285,110,FALSE)</f>
        <v>Chief Adminstration Officer</v>
      </c>
      <c r="DG88" s="27" t="s">
        <v>880</v>
      </c>
      <c r="DH88" s="27">
        <f>VLOOKUP($A88,'[1]Raw Data'!$A$3:$FB$285,111,FALSE)</f>
        <v>9851210013</v>
      </c>
      <c r="DI88" s="27" t="str">
        <f>VLOOKUP($A88,'[1]Raw Data'!$A$3:$FB$285,121,FALSE)</f>
        <v>Manoj Dangal</v>
      </c>
      <c r="DJ88" s="27" t="s">
        <v>1052</v>
      </c>
      <c r="DK88" s="27" t="str">
        <f>VLOOKUP($A88,'[1]Raw Data'!$A$3:$FB$285,122,FALSE)</f>
        <v>Focal Person</v>
      </c>
      <c r="DL88" s="27" t="s">
        <v>881</v>
      </c>
      <c r="DM88" s="27">
        <f>VLOOKUP($A88,'[1]Raw Data'!$A$3:$FB$285,123,FALSE)</f>
        <v>9849261653</v>
      </c>
      <c r="DN88" s="27" t="str">
        <f>VLOOKUP($A88,'[1]Raw Data'!$A$3:$FB$285,113,FALSE)</f>
        <v>Jay Prakash Gupta</v>
      </c>
      <c r="DO88" s="27" t="s">
        <v>1029</v>
      </c>
      <c r="DP88" s="27" t="str">
        <f>VLOOKUP($A88,'[1]Raw Data'!$A$3:$FB$285,114,FALSE)</f>
        <v>NRA Chief-District</v>
      </c>
      <c r="DQ88" s="27" t="s">
        <v>882</v>
      </c>
      <c r="DR88" s="27">
        <f>VLOOKUP($A88,'[1]Raw Data'!$A$3:$FB$285,115,FALSE)</f>
        <v>9858320531</v>
      </c>
      <c r="DS88" s="27" t="str">
        <f>VLOOKUP($A88,'[1]Raw Data'!$A$3:$FB$285,117,FALSE)</f>
        <v>Santosh Kumar Niraula</v>
      </c>
      <c r="DT88" s="27" t="s">
        <v>1030</v>
      </c>
      <c r="DU88" s="27" t="str">
        <f>VLOOKUP($A88,'[1]Raw Data'!$A$3:$FB$285,118,FALSE)</f>
        <v>DUDBC.DLPIU Chief</v>
      </c>
      <c r="DV88" s="27" t="s">
        <v>883</v>
      </c>
      <c r="DW88" s="27">
        <f>VLOOKUP($A88,'[1]Raw Data'!$A$3:$FB$285,119,FALSE)</f>
        <v>9851136372</v>
      </c>
      <c r="DX88" s="27" t="s">
        <v>339</v>
      </c>
      <c r="DY88" s="27" t="str">
        <f>VLOOKUP($A88,'[1]Raw Data'!$A$3:$FB$285,124,FALSE)</f>
        <v>118</v>
      </c>
      <c r="DZ88" s="27" t="s">
        <v>884</v>
      </c>
      <c r="EA88" s="27" t="str">
        <f>VLOOKUP($A88,'[1]Raw Data'!$A$3:$FB$285,125,FALSE)</f>
        <v>0</v>
      </c>
      <c r="EB88" s="27" t="s">
        <v>341</v>
      </c>
      <c r="EC88" s="27" t="str">
        <f>VLOOKUP($A88,'[1]Raw Data'!$A$3:$FB$285,126,FALSE)</f>
        <v>200</v>
      </c>
      <c r="ED88" t="s">
        <v>478</v>
      </c>
      <c r="EE88" s="27" t="str">
        <f>VLOOKUP($A88,'[1]Raw Data'!$A$3:$FB$285,127,FALSE)</f>
        <v/>
      </c>
      <c r="EF88" s="27" t="s">
        <v>343</v>
      </c>
      <c r="EG88" s="27" t="str">
        <f>VLOOKUP($A88,'[1]Raw Data'!$A$3:$FB$285,128,FALSE)</f>
        <v>0</v>
      </c>
      <c r="EH88" t="s">
        <v>344</v>
      </c>
      <c r="EI88" s="27" t="str">
        <f>VLOOKUP($A88,'[1]Raw Data'!$A$3:$FB$285,129,FALSE)</f>
        <v>2200</v>
      </c>
      <c r="EM88" s="27">
        <f>VLOOKUP($A88,'[1]Raw Data'!$A$3:$FB$285,130,FALSE)</f>
        <v>11</v>
      </c>
      <c r="EN88" s="27" t="str">
        <f>VLOOKUP($A88,'[1]Raw Data'!$A$3:$FB$285,131,FALSE)</f>
        <v>5</v>
      </c>
      <c r="EO88" s="27">
        <f>VLOOKUP($A88,'[1]Raw Data'!$A$3:$FB$285,132,FALSE)</f>
        <v>12</v>
      </c>
      <c r="EP88" s="27" t="str">
        <f>VLOOKUP($A88,'[1]Raw Data'!$A$3:$FB$285,133,FALSE)</f>
        <v>10</v>
      </c>
      <c r="EQ88" s="27" t="str">
        <f>VLOOKUP($A88,'[1]Raw Data'!$A$3:$FB$285,134,FALSE)</f>
        <v/>
      </c>
      <c r="ER88" s="27" t="str">
        <f>VLOOKUP($A88,'[1]Raw Data'!$A$3:$FB$285,135,FALSE)</f>
        <v/>
      </c>
      <c r="ES88" s="27" t="str">
        <f>VLOOKUP($A88,'[1]Raw Data'!$A$3:$FB$285,136,FALSE)</f>
        <v>1300</v>
      </c>
      <c r="ET88" s="27" t="str">
        <f>VLOOKUP($A88,'[1]Raw Data'!$A$3:$FB$285,137,FALSE)</f>
        <v>1100</v>
      </c>
      <c r="EU88" s="27" t="str">
        <f>VLOOKUP($A88,'[1]Raw Data'!$A$3:$FB$285,138,FALSE)</f>
        <v/>
      </c>
      <c r="EV88" s="27" t="str">
        <f>VLOOKUP($A88,'[1]Raw Data'!$A$3:$FB$285,139,FALSE)</f>
        <v/>
      </c>
      <c r="EW88" s="38">
        <f>VLOOKUP($A88,[1]Training!$A$2:$I$284,5,FALSE)</f>
        <v>638.53846153846155</v>
      </c>
      <c r="EX88" s="31">
        <f>VLOOKUP($A88,[1]Training!$A$2:$I$284,6,FALSE)</f>
        <v>1255</v>
      </c>
      <c r="EY88" s="38">
        <f>VLOOKUP($A88,[1]Training!$A$2:$I$284,8,FALSE)</f>
        <v>858.71426765209594</v>
      </c>
      <c r="EZ88" s="31">
        <f>VLOOKUP($A88,[1]Training!$A$2:$I$284,9,FALSE)</f>
        <v>0</v>
      </c>
      <c r="FA88" s="27">
        <v>1</v>
      </c>
      <c r="FB88" s="27">
        <v>2</v>
      </c>
      <c r="FC88" s="27" t="str">
        <f>VLOOKUP($A88,'[1]Raw Data'!$A$3:$FB$285,148,FALSE)</f>
        <v/>
      </c>
      <c r="FD88" s="27" t="s">
        <v>1031</v>
      </c>
      <c r="FE88" s="27" t="str">
        <f>VLOOKUP($A88,'[1]Raw Data'!$A$3:$FB$285,149,FALSE)</f>
        <v>District Coordinator</v>
      </c>
      <c r="FF88" s="27" t="s">
        <v>885</v>
      </c>
      <c r="FG88" s="27">
        <f>VLOOKUP($A88,'[1]Raw Data'!$A$3:$FB$285,150,FALSE)</f>
        <v>9654028388</v>
      </c>
      <c r="FH88" s="27" t="str">
        <f>VLOOKUP($A88,'[1]Raw Data'!$A$3:$FB$285,156,FALSE)</f>
        <v xml:space="preserve">Pradip Sharma </v>
      </c>
      <c r="FI88" s="27" t="s">
        <v>1032</v>
      </c>
      <c r="FJ88" s="27" t="str">
        <f>VLOOKUP($A88,'[1]Raw Data'!$A$3:$FB$285,157,FALSE)</f>
        <v>District Technical Officer</v>
      </c>
      <c r="FK88" s="27" t="s">
        <v>886</v>
      </c>
      <c r="FL88" s="27">
        <f>VLOOKUP($A88,'[1]Raw Data'!$A$3:$FB$285,158,FALSE)</f>
        <v>9851073208</v>
      </c>
      <c r="FM88" s="27" t="str">
        <f>VLOOKUP($A88,'[1]Raw Data'!$A$3:$FB$285,152,FALSE)</f>
        <v>Pranjal Bhandari</v>
      </c>
      <c r="FN88" s="27" t="s">
        <v>1033</v>
      </c>
      <c r="FO88" s="27" t="str">
        <f>VLOOKUP($A88,'[1]Raw Data'!$A$3:$FB$285,153,FALSE)</f>
        <v>DIstrict Information Management Officer</v>
      </c>
      <c r="FP88" s="27" t="s">
        <v>887</v>
      </c>
      <c r="FQ88" s="27">
        <f>VLOOKUP($A88,'[1]Raw Data'!$A$3:$FB$285,154,FALSE)</f>
        <v>9840057752</v>
      </c>
    </row>
    <row r="89" spans="1:173" ht="24" x14ac:dyDescent="0.45">
      <c r="A89" s="27">
        <v>23007</v>
      </c>
      <c r="B89" s="36" t="str">
        <f ca="1">IFERROR(__xludf.DUMMYFUNCTION("""COMPUTED_VALUE"""),"Jugal Gaunpalika")</f>
        <v>Jugal Gaunpalika</v>
      </c>
      <c r="C89" s="37" t="str">
        <f>VLOOKUP(A89,'[1]Palika and District in Nepali '!$D$1:$F$283,3,FALSE)</f>
        <v>जुगल गाउँपालिका</v>
      </c>
      <c r="D89" s="36" t="str">
        <f ca="1">IFERROR(__xludf.DUMMYFUNCTION("""COMPUTED_VALUE"""),"Sindhupalchowk")</f>
        <v>Sindhupalchowk</v>
      </c>
      <c r="E89" s="36"/>
      <c r="F89" s="27">
        <f>VLOOKUP(A89,'[1]Raw Data'!$A$3:$FB$285,4,FALSE)</f>
        <v>104</v>
      </c>
      <c r="G89" s="27">
        <f>VLOOKUP(A89,'[1]Raw Data'!$A$3:$FB$285,5,FALSE)</f>
        <v>5556</v>
      </c>
      <c r="H89" s="27">
        <f>VLOOKUP(A89,'[1]Raw Data'!$A$3:$FB$285,6,FALSE)</f>
        <v>5660</v>
      </c>
      <c r="I89" s="27">
        <f>VLOOKUP($A89,'[1]Raw Data'!$A$3:$FB$285,8,FALSE)</f>
        <v>0.67</v>
      </c>
      <c r="J89" s="27">
        <f>VLOOKUP($A89,'[1]Raw Data'!$A$3:$FB$285,9,FALSE)</f>
        <v>1.23</v>
      </c>
      <c r="K89" s="27">
        <f>VLOOKUP($A89,'[1]Raw Data'!$A$3:$FB$285,11,FALSE)</f>
        <v>98.48</v>
      </c>
      <c r="L89" s="27">
        <f>VLOOKUP($A89,'[1]Raw Data'!$A$3:$FB$285,12,FALSE)</f>
        <v>90.24</v>
      </c>
      <c r="M89" s="27">
        <f>VLOOKUP($A89,'[1]Raw Data'!$A$3:$FB$285,14,FALSE)</f>
        <v>0.37</v>
      </c>
      <c r="N89" s="27">
        <f>VLOOKUP($A89,'[1]Raw Data'!$A$3:$FB$285,15,FALSE)</f>
        <v>2.5499999999999998</v>
      </c>
      <c r="O89" s="27">
        <f>VLOOKUP($A89,'[1]Raw Data'!$A$3:$FB$285,17,FALSE)</f>
        <v>0.04</v>
      </c>
      <c r="P89" s="27">
        <f>VLOOKUP($A89,'[1]Raw Data'!$A$3:$FB$285,18,FALSE)</f>
        <v>0.16</v>
      </c>
      <c r="Q89" s="27">
        <f>VLOOKUP($A89,'[1]Raw Data'!$A$3:$FB$285,20,FALSE)</f>
        <v>0.19</v>
      </c>
      <c r="R89" s="27">
        <f>VLOOKUP($A89,'[1]Raw Data'!$A$3:$FB$285,21,FALSE)</f>
        <v>1.57</v>
      </c>
      <c r="S89" s="27">
        <f>VLOOKUP($A89,'[1]Raw Data'!$A$3:$FB$285,23,FALSE)</f>
        <v>0</v>
      </c>
      <c r="T89" s="27">
        <f>VLOOKUP($A89,'[1]Raw Data'!$A$3:$FB$285,24,FALSE)</f>
        <v>0</v>
      </c>
      <c r="U89" s="27">
        <f>VLOOKUP($A89,'[1]Raw Data'!$A$3:$FB$285,26,FALSE)</f>
        <v>0.12</v>
      </c>
      <c r="V89" s="27">
        <f>VLOOKUP($A89,'[1]Raw Data'!$A$3:$FB$285,27,FALSE)</f>
        <v>0.3</v>
      </c>
      <c r="W89" s="27">
        <f>VLOOKUP($A89,'[1]Raw Data'!$A$3:$FB$285,29,FALSE)</f>
        <v>0</v>
      </c>
      <c r="X89" s="27">
        <f>VLOOKUP($A89,'[1]Raw Data'!$A$3:$FB$285,30,FALSE)</f>
        <v>0</v>
      </c>
      <c r="Y89" s="27">
        <f>VLOOKUP($A89,'[1]Raw Data'!$A$3:$FB$285,32,FALSE)</f>
        <v>0.04</v>
      </c>
      <c r="Z89" s="27">
        <f>VLOOKUP($A89,'[1]Raw Data'!$A$3:$FB$285,33,FALSE)</f>
        <v>1.08</v>
      </c>
      <c r="AA89" s="27">
        <f>VLOOKUP($A89,'[1]Raw Data'!$A$3:$FB$285,35,FALSE)</f>
        <v>0.05</v>
      </c>
      <c r="AB89" s="27">
        <f>VLOOKUP($A89,'[1]Raw Data'!$A$3:$FB$285,36,FALSE)</f>
        <v>2.85</v>
      </c>
      <c r="AC89" s="27">
        <f>VLOOKUP($A89,'[1]Raw Data'!$A$3:$FB$285,38,FALSE)</f>
        <v>0.04</v>
      </c>
      <c r="AD89" s="27">
        <f>VLOOKUP($A89,'[1]Raw Data'!$A$3:$FB$285,39,FALSE)</f>
        <v>0.02</v>
      </c>
      <c r="AE89" s="27">
        <f>VLOOKUP($A89,'[1]Raw Data'!$A$3:$FB$285,41,FALSE)</f>
        <v>0</v>
      </c>
      <c r="AF89" s="27">
        <f>VLOOKUP($A89,'[1]Raw Data'!$A$3:$FB$285,42,FALSE)</f>
        <v>0</v>
      </c>
      <c r="AG89" s="27">
        <f>VLOOKUP($A89,'[1]Raw Data'!$A$3:$FB$285,44,FALSE)</f>
        <v>0</v>
      </c>
      <c r="AH89" s="27">
        <f>VLOOKUP($A89,'[1]Raw Data'!$A$3:$FB$285,45,FALSE)</f>
        <v>0</v>
      </c>
      <c r="AI89" s="27">
        <f>VLOOKUP($A89,'[1]Raw Data'!$A$3:$FB$285,46,FALSE)</f>
        <v>5585</v>
      </c>
      <c r="AJ89" s="27">
        <f>VLOOKUP($A89,'[1]Raw Data'!$A$3:$FB$285,47,FALSE)</f>
        <v>5556</v>
      </c>
      <c r="AK89" s="27">
        <f>VLOOKUP($A89,'[1]Raw Data'!$A$3:$FB$285,48,FALSE)</f>
        <v>5555</v>
      </c>
      <c r="AL89" s="27">
        <f>VLOOKUP($A89,'[1]Raw Data'!$A$3:$FB$285,49,FALSE)</f>
        <v>5235</v>
      </c>
      <c r="AM89" s="27">
        <f>VLOOKUP($A89,'[1]Raw Data'!$A$3:$FB$285,50,FALSE)</f>
        <v>3439</v>
      </c>
      <c r="AN89" s="27">
        <f>VLOOKUP($A89,'[1]Raw Data'!$A$3:$FB$285,51,FALSE)</f>
        <v>0</v>
      </c>
      <c r="AO89" s="27" t="str">
        <f>VLOOKUP($A89,'[1]Raw Data'!$A$3:$FB$285,52,FALSE)</f>
        <v/>
      </c>
      <c r="AP89" s="27">
        <f>VLOOKUP($A89,'[1]Raw Data'!$A$3:$FB$285,53,FALSE)</f>
        <v>14</v>
      </c>
      <c r="AQ89" s="27">
        <f>VLOOKUP($A89,'[1]Raw Data'!$A$3:$FB$285,54,FALSE)</f>
        <v>5</v>
      </c>
      <c r="AR89" s="27">
        <f>VLOOKUP($A89,'[1]Raw Data'!$A$3:$FB$285,55,FALSE)</f>
        <v>5</v>
      </c>
      <c r="AS89" s="27">
        <f>VLOOKUP($A89,'[1]Raw Data'!$A$3:$FB$285,56,FALSE)</f>
        <v>0</v>
      </c>
      <c r="AT89" s="27">
        <f>VLOOKUP($A89,'[1]Raw Data'!$A$3:$FB$285,57,FALSE)</f>
        <v>1260</v>
      </c>
      <c r="AU89" s="27">
        <f>VLOOKUP($A89,'[1]Raw Data'!$A$3:$FB$285,58,FALSE)</f>
        <v>285</v>
      </c>
      <c r="AV89" s="27" t="str">
        <f>VLOOKUP($A89,'[1]Raw Data'!$A$3:$FB$285,59,FALSE)</f>
        <v/>
      </c>
      <c r="AW89" s="27" t="str">
        <f>VLOOKUP($A89,'[1]Raw Data'!$A$3:$FB$285,60,FALSE)</f>
        <v/>
      </c>
      <c r="AX89" s="27" t="str">
        <f>VLOOKUP(A89,'[1]PO''s List'!A87:E369,4,FALSE)</f>
        <v>PIN(Livelihood,Shelter)</v>
      </c>
      <c r="AZ89" s="27" t="str">
        <f>VLOOKUP(A89,'[1]PO''s List'!$A$3:$E$285,5,FALSE)</f>
        <v>GON-PAF(Shelter),LWF(Shelter),MC(Shelter),OXFAM-GB(Shelter),SCI(Education,Employment ,Shelter,Social Protection,Health)</v>
      </c>
      <c r="BB89" s="27">
        <f>VLOOKUP($A89,'[1]Raw Data'!$A$3:$FB$285,63,FALSE)</f>
        <v>134435</v>
      </c>
      <c r="BC89" s="27" t="str">
        <f>VLOOKUP($A89,'[1]Raw Data'!$A$3:$FB$285,64,FALSE)</f>
        <v/>
      </c>
      <c r="BD89" s="27" t="str">
        <f t="shared" si="9"/>
        <v/>
      </c>
      <c r="BE89" s="27" t="str">
        <f>VLOOKUP($A89,'[1]Raw Data'!$A$3:$FB$285,65,FALSE)</f>
        <v/>
      </c>
      <c r="BF89" s="27">
        <f>VLOOKUP($A89,'[1]Raw Data'!$A$3:$FB$285,66,FALSE)</f>
        <v>135611</v>
      </c>
      <c r="BG89" s="27" t="str">
        <f>VLOOKUP($A89,'[1]Raw Data'!$A$3:$FB$285,67,FALSE)</f>
        <v/>
      </c>
      <c r="BH89" s="27" t="str">
        <f t="shared" si="10"/>
        <v/>
      </c>
      <c r="BI89" s="27" t="str">
        <f>VLOOKUP($A89,'[1]Raw Data'!$A$3:$FB$285,68,FALSE)</f>
        <v/>
      </c>
      <c r="BJ89" s="27">
        <f>VLOOKUP($A89,'[1]Raw Data'!$A$3:$FB$285,69,FALSE)</f>
        <v>14333</v>
      </c>
      <c r="BK89" s="27" t="str">
        <f>VLOOKUP($A89,'[1]Raw Data'!$A$3:$FB$285,70,FALSE)</f>
        <v/>
      </c>
      <c r="BL89" s="27" t="str">
        <f t="shared" si="11"/>
        <v/>
      </c>
      <c r="BM89" s="27" t="str">
        <f>VLOOKUP($A89,'[1]Raw Data'!$A$3:$FB$285,71,FALSE)</f>
        <v/>
      </c>
      <c r="BN89" s="27">
        <f>VLOOKUP($A89,'[1]Raw Data'!$A$3:$FB$285,72,FALSE)</f>
        <v>16461</v>
      </c>
      <c r="BO89" s="27" t="str">
        <f>VLOOKUP($A89,'[1]Raw Data'!$A$3:$FB$285,73,FALSE)</f>
        <v/>
      </c>
      <c r="BP89" s="27" t="str">
        <f t="shared" si="12"/>
        <v/>
      </c>
      <c r="BQ89" s="27" t="str">
        <f>VLOOKUP($A89,'[1]Raw Data'!$A$3:$FB$285,74,FALSE)</f>
        <v/>
      </c>
      <c r="BR89" s="27" t="str">
        <f>VLOOKUP($A89,'[1]Raw Data'!$A$3:$FB$285,75,FALSE)</f>
        <v/>
      </c>
      <c r="BS89" s="27" t="str">
        <f>VLOOKUP($A89,'[1]Raw Data'!$A$3:$FB$285,76,FALSE)</f>
        <v/>
      </c>
      <c r="BT89" s="27" t="str">
        <f t="shared" si="13"/>
        <v/>
      </c>
      <c r="BU89" s="27" t="str">
        <f>VLOOKUP($A89,'[1]Raw Data'!$A$3:$FB$285,77,FALSE)</f>
        <v/>
      </c>
      <c r="BV89" s="27">
        <f>VLOOKUP($A89,'[1]Raw Data'!$A$3:$FB$285,78,FALSE)</f>
        <v>449494</v>
      </c>
      <c r="BW89" s="27" t="str">
        <f>VLOOKUP($A89,'[1]Raw Data'!$A$3:$FB$285,79,FALSE)</f>
        <v/>
      </c>
      <c r="BX89" s="27" t="str">
        <f t="shared" si="14"/>
        <v/>
      </c>
      <c r="BY89" s="27" t="str">
        <f>VLOOKUP($A89,'[1]Raw Data'!$A$3:$FB$285,80,FALSE)</f>
        <v/>
      </c>
      <c r="BZ89" s="27">
        <f>VLOOKUP($A89,'[1]Raw Data'!$A$3:$FB$285,81,FALSE)</f>
        <v>1460451</v>
      </c>
      <c r="CA89" s="27" t="str">
        <f>VLOOKUP($A89,'[1]Raw Data'!$A$3:$FB$285,82,FALSE)</f>
        <v/>
      </c>
      <c r="CB89" s="27" t="str">
        <f t="shared" si="15"/>
        <v/>
      </c>
      <c r="CC89" s="27" t="str">
        <f>VLOOKUP($A89,'[1]Raw Data'!$A$3:$FB$285,83,FALSE)</f>
        <v/>
      </c>
      <c r="CD89" s="27">
        <f>VLOOKUP($A89,'[1]Raw Data'!$A$3:$FB$285,84,FALSE)</f>
        <v>18366</v>
      </c>
      <c r="CE89" s="27" t="str">
        <f>VLOOKUP($A89,'[1]Raw Data'!$A$3:$FB$285,85,FALSE)</f>
        <v/>
      </c>
      <c r="CF89" s="27" t="str">
        <f t="shared" si="16"/>
        <v/>
      </c>
      <c r="CG89" s="27" t="str">
        <f>VLOOKUP($A89,'[1]Raw Data'!$A$3:$FB$285,86,FALSE)</f>
        <v/>
      </c>
      <c r="CH89" s="27">
        <f>VLOOKUP($A89,'[1]Raw Data'!$A$3:$FB$285,87,FALSE)</f>
        <v>1463453</v>
      </c>
      <c r="CI89" s="27" t="str">
        <f>VLOOKUP($A89,'[1]Raw Data'!$A$3:$FB$285,88,FALSE)</f>
        <v/>
      </c>
      <c r="CJ89" s="27" t="str">
        <f t="shared" si="17"/>
        <v/>
      </c>
      <c r="CK89" s="27" t="str">
        <f>VLOOKUP($A89,'[1]Raw Data'!$A$3:$FB$285,89,FALSE)</f>
        <v/>
      </c>
      <c r="CL89" s="27" t="str">
        <f>VLOOKUP($A89,'[1]Raw Data'!$A$3:$FB$285,91,FALSE)</f>
        <v/>
      </c>
      <c r="CM89" s="27" t="str">
        <f>VLOOKUP($A89,'[1]Raw Data'!$A$3:$FB$285,93,FALSE)</f>
        <v/>
      </c>
      <c r="CN89" s="27" t="str">
        <f>VLOOKUP($A89,'[1]Raw Data'!$A$3:$FB$285,94,FALSE)</f>
        <v/>
      </c>
      <c r="CO89" s="27" t="str">
        <f>VLOOKUP($A89,'[1]Raw Data'!$A$3:$FB$285,95,FALSE)</f>
        <v/>
      </c>
      <c r="CP89" s="27" t="str">
        <f>VLOOKUP($A89,'[1]Raw Data'!$A$3:$FB$285,96,FALSE)</f>
        <v/>
      </c>
      <c r="CQ89" s="27" t="str">
        <f>VLOOKUP($A89,'[1]Raw Data'!$A$3:$FB$285,97,FALSE)</f>
        <v/>
      </c>
      <c r="CR89" s="27" t="str">
        <f>VLOOKUP($A89,'[1]Raw Data'!$A$3:$FB$285,98,FALSE)</f>
        <v/>
      </c>
      <c r="CS89" s="27" t="str">
        <f>VLOOKUP($A89,'[1]Raw Data'!$A$3:$FB$285,99,FALSE)</f>
        <v/>
      </c>
      <c r="CT89" s="27" t="str">
        <f>VLOOKUP($A89,'[1]Raw Data'!$A$3:$FB$285,101,FALSE)</f>
        <v>Hom Narayan Shrestha</v>
      </c>
      <c r="CU89" s="27" t="s">
        <v>1053</v>
      </c>
      <c r="CV89" s="27" t="str">
        <f>VLOOKUP($A89,'[1]Raw Data'!$A$3:$FB$285,102,FALSE)</f>
        <v>Chairman</v>
      </c>
      <c r="CW89" s="27" t="s">
        <v>878</v>
      </c>
      <c r="CX89" s="27">
        <f>VLOOKUP($A89,'[1]Raw Data'!$A$3:$FB$285,103,FALSE)</f>
        <v>9843572999</v>
      </c>
      <c r="CY89" s="27" t="str">
        <f>VLOOKUP($A89,'[1]Raw Data'!$A$3:$FB$285,105,FALSE)</f>
        <v>Shrijana Tamang</v>
      </c>
      <c r="CZ89" s="27" t="s">
        <v>1054</v>
      </c>
      <c r="DA89" s="27" t="str">
        <f>VLOOKUP($A89,'[1]Raw Data'!$A$3:$FB$285,106,FALSE)</f>
        <v>Deputy Chairman</v>
      </c>
      <c r="DB89" s="27" t="s">
        <v>879</v>
      </c>
      <c r="DC89" s="27">
        <f>VLOOKUP($A89,'[1]Raw Data'!$A$3:$FB$285,107,FALSE)</f>
        <v>9741473238</v>
      </c>
      <c r="DD89" s="27" t="str">
        <f>VLOOKUP($A89,'[1]Raw Data'!$A$3:$FB$285,109,FALSE)</f>
        <v>Dhakaram Aryal</v>
      </c>
      <c r="DE89" s="27" t="s">
        <v>1055</v>
      </c>
      <c r="DF89" s="27" t="str">
        <f>VLOOKUP($A89,'[1]Raw Data'!$A$3:$FB$285,110,FALSE)</f>
        <v>Chief Adminstration Officer</v>
      </c>
      <c r="DG89" s="27" t="s">
        <v>880</v>
      </c>
      <c r="DH89" s="27">
        <f>VLOOKUP($A89,'[1]Raw Data'!$A$3:$FB$285,111,FALSE)</f>
        <v>9851199087</v>
      </c>
      <c r="DI89" s="27" t="str">
        <f>VLOOKUP($A89,'[1]Raw Data'!$A$3:$FB$285,121,FALSE)</f>
        <v>Suresh Poudel</v>
      </c>
      <c r="DJ89" s="27" t="s">
        <v>1056</v>
      </c>
      <c r="DK89" s="27" t="str">
        <f>VLOOKUP($A89,'[1]Raw Data'!$A$3:$FB$285,122,FALSE)</f>
        <v>Focal Person</v>
      </c>
      <c r="DL89" s="27" t="s">
        <v>881</v>
      </c>
      <c r="DM89" s="27">
        <f>VLOOKUP($A89,'[1]Raw Data'!$A$3:$FB$285,123,FALSE)</f>
        <v>9841120213</v>
      </c>
      <c r="DN89" s="27" t="str">
        <f>VLOOKUP($A89,'[1]Raw Data'!$A$3:$FB$285,113,FALSE)</f>
        <v>Jay Prakash Gupta</v>
      </c>
      <c r="DO89" s="27" t="s">
        <v>1029</v>
      </c>
      <c r="DP89" s="27" t="str">
        <f>VLOOKUP($A89,'[1]Raw Data'!$A$3:$FB$285,114,FALSE)</f>
        <v>NRA Chief-District</v>
      </c>
      <c r="DQ89" s="27" t="s">
        <v>882</v>
      </c>
      <c r="DR89" s="27">
        <f>VLOOKUP($A89,'[1]Raw Data'!$A$3:$FB$285,115,FALSE)</f>
        <v>9858320531</v>
      </c>
      <c r="DS89" s="27" t="str">
        <f>VLOOKUP($A89,'[1]Raw Data'!$A$3:$FB$285,117,FALSE)</f>
        <v>Santosh Kumar Niraula</v>
      </c>
      <c r="DT89" s="27" t="s">
        <v>1030</v>
      </c>
      <c r="DU89" s="27" t="str">
        <f>VLOOKUP($A89,'[1]Raw Data'!$A$3:$FB$285,118,FALSE)</f>
        <v>DUDBC.DLPIU Chief</v>
      </c>
      <c r="DV89" s="27" t="s">
        <v>883</v>
      </c>
      <c r="DW89" s="27">
        <f>VLOOKUP($A89,'[1]Raw Data'!$A$3:$FB$285,119,FALSE)</f>
        <v>9851136372</v>
      </c>
      <c r="DX89" s="27" t="s">
        <v>339</v>
      </c>
      <c r="DY89" s="27" t="str">
        <f>VLOOKUP($A89,'[1]Raw Data'!$A$3:$FB$285,124,FALSE)</f>
        <v/>
      </c>
      <c r="DZ89" s="27" t="s">
        <v>884</v>
      </c>
      <c r="EA89" s="27" t="str">
        <f>VLOOKUP($A89,'[1]Raw Data'!$A$3:$FB$285,125,FALSE)</f>
        <v/>
      </c>
      <c r="EB89" s="27" t="s">
        <v>341</v>
      </c>
      <c r="EC89" s="27" t="str">
        <f>VLOOKUP($A89,'[1]Raw Data'!$A$3:$FB$285,126,FALSE)</f>
        <v/>
      </c>
      <c r="ED89" t="s">
        <v>478</v>
      </c>
      <c r="EE89" s="27" t="str">
        <f>VLOOKUP($A89,'[1]Raw Data'!$A$3:$FB$285,127,FALSE)</f>
        <v/>
      </c>
      <c r="EF89" s="27" t="s">
        <v>343</v>
      </c>
      <c r="EG89" s="27" t="str">
        <f>VLOOKUP($A89,'[1]Raw Data'!$A$3:$FB$285,128,FALSE)</f>
        <v/>
      </c>
      <c r="EH89" t="s">
        <v>344</v>
      </c>
      <c r="EI89" s="27" t="str">
        <f>VLOOKUP($A89,'[1]Raw Data'!$A$3:$FB$285,129,FALSE)</f>
        <v/>
      </c>
      <c r="EM89" s="27" t="str">
        <f>VLOOKUP($A89,'[1]Raw Data'!$A$3:$FB$285,130,FALSE)</f>
        <v/>
      </c>
      <c r="EN89" s="27" t="str">
        <f>VLOOKUP($A89,'[1]Raw Data'!$A$3:$FB$285,131,FALSE)</f>
        <v/>
      </c>
      <c r="EO89" s="27" t="str">
        <f>VLOOKUP($A89,'[1]Raw Data'!$A$3:$FB$285,132,FALSE)</f>
        <v/>
      </c>
      <c r="EP89" s="27" t="str">
        <f>VLOOKUP($A89,'[1]Raw Data'!$A$3:$FB$285,133,FALSE)</f>
        <v/>
      </c>
      <c r="EQ89" s="27" t="str">
        <f>VLOOKUP($A89,'[1]Raw Data'!$A$3:$FB$285,134,FALSE)</f>
        <v/>
      </c>
      <c r="ER89" s="27" t="str">
        <f>VLOOKUP($A89,'[1]Raw Data'!$A$3:$FB$285,135,FALSE)</f>
        <v/>
      </c>
      <c r="ES89" s="27" t="str">
        <f>VLOOKUP($A89,'[1]Raw Data'!$A$3:$FB$285,136,FALSE)</f>
        <v/>
      </c>
      <c r="ET89" s="27" t="str">
        <f>VLOOKUP($A89,'[1]Raw Data'!$A$3:$FB$285,137,FALSE)</f>
        <v/>
      </c>
      <c r="EU89" s="27" t="str">
        <f>VLOOKUP($A89,'[1]Raw Data'!$A$3:$FB$285,138,FALSE)</f>
        <v/>
      </c>
      <c r="EV89" s="27" t="str">
        <f>VLOOKUP($A89,'[1]Raw Data'!$A$3:$FB$285,139,FALSE)</f>
        <v/>
      </c>
      <c r="EW89" s="38">
        <f>VLOOKUP($A89,[1]Training!$A$2:$I$284,5,FALSE)</f>
        <v>429.61538461538464</v>
      </c>
      <c r="EX89" s="31">
        <f>VLOOKUP($A89,[1]Training!$A$2:$I$284,6,FALSE)</f>
        <v>465</v>
      </c>
      <c r="EY89" s="38">
        <f>VLOOKUP($A89,[1]Training!$A$2:$I$284,8,FALSE)</f>
        <v>577.75197986230046</v>
      </c>
      <c r="EZ89" s="31">
        <f>VLOOKUP($A89,[1]Training!$A$2:$I$284,9,FALSE)</f>
        <v>0</v>
      </c>
      <c r="FA89" s="27">
        <v>1</v>
      </c>
      <c r="FB89" s="27">
        <v>2</v>
      </c>
      <c r="FC89" s="27" t="str">
        <f>VLOOKUP($A89,'[1]Raw Data'!$A$3:$FB$285,148,FALSE)</f>
        <v/>
      </c>
      <c r="FD89" s="27" t="s">
        <v>1031</v>
      </c>
      <c r="FE89" s="27" t="str">
        <f>VLOOKUP($A89,'[1]Raw Data'!$A$3:$FB$285,149,FALSE)</f>
        <v>District Coordinator</v>
      </c>
      <c r="FF89" s="27" t="s">
        <v>885</v>
      </c>
      <c r="FG89" s="27">
        <f>VLOOKUP($A89,'[1]Raw Data'!$A$3:$FB$285,150,FALSE)</f>
        <v>9654028388</v>
      </c>
      <c r="FH89" s="27" t="str">
        <f>VLOOKUP($A89,'[1]Raw Data'!$A$3:$FB$285,156,FALSE)</f>
        <v xml:space="preserve">Pradip Sharma </v>
      </c>
      <c r="FI89" s="27" t="s">
        <v>1032</v>
      </c>
      <c r="FJ89" s="27" t="str">
        <f>VLOOKUP($A89,'[1]Raw Data'!$A$3:$FB$285,157,FALSE)</f>
        <v>District Technical Officer</v>
      </c>
      <c r="FK89" s="27" t="s">
        <v>886</v>
      </c>
      <c r="FL89" s="27">
        <f>VLOOKUP($A89,'[1]Raw Data'!$A$3:$FB$285,158,FALSE)</f>
        <v>9851073208</v>
      </c>
      <c r="FM89" s="27" t="str">
        <f>VLOOKUP($A89,'[1]Raw Data'!$A$3:$FB$285,152,FALSE)</f>
        <v>Pranjal Bhandari</v>
      </c>
      <c r="FN89" s="27" t="s">
        <v>1033</v>
      </c>
      <c r="FO89" s="27" t="str">
        <f>VLOOKUP($A89,'[1]Raw Data'!$A$3:$FB$285,153,FALSE)</f>
        <v>DIstrict Information Management Officer</v>
      </c>
      <c r="FP89" s="27" t="s">
        <v>887</v>
      </c>
      <c r="FQ89" s="27">
        <f>VLOOKUP($A89,'[1]Raw Data'!$A$3:$FB$285,154,FALSE)</f>
        <v>9840057752</v>
      </c>
    </row>
    <row r="90" spans="1:173" ht="24" x14ac:dyDescent="0.45">
      <c r="A90" s="27">
        <v>23008</v>
      </c>
      <c r="B90" s="36" t="str">
        <f ca="1">IFERROR(__xludf.DUMMYFUNCTION("""COMPUTED_VALUE"""),"Lisangkhu Pakhar Gaunpalika")</f>
        <v>Lisangkhu Pakhar Gaunpalika</v>
      </c>
      <c r="C90" s="37" t="str">
        <f>VLOOKUP(A90,'[1]Palika and District in Nepali '!$D$1:$F$283,3,FALSE)</f>
        <v>लिसांखु पाखर गाउँपालिका</v>
      </c>
      <c r="D90" s="36" t="str">
        <f ca="1">IFERROR(__xludf.DUMMYFUNCTION("""COMPUTED_VALUE"""),"Sindhupalchowk")</f>
        <v>Sindhupalchowk</v>
      </c>
      <c r="E90" s="36"/>
      <c r="F90" s="27">
        <f>VLOOKUP(A90,'[1]Raw Data'!$A$3:$FB$285,4,FALSE)</f>
        <v>337</v>
      </c>
      <c r="G90" s="27">
        <f>VLOOKUP(A90,'[1]Raw Data'!$A$3:$FB$285,5,FALSE)</f>
        <v>4536</v>
      </c>
      <c r="H90" s="27">
        <f>VLOOKUP(A90,'[1]Raw Data'!$A$3:$FB$285,6,FALSE)</f>
        <v>4873</v>
      </c>
      <c r="I90" s="27">
        <f>VLOOKUP($A90,'[1]Raw Data'!$A$3:$FB$285,8,FALSE)</f>
        <v>0.47</v>
      </c>
      <c r="J90" s="27">
        <f>VLOOKUP($A90,'[1]Raw Data'!$A$3:$FB$285,9,FALSE)</f>
        <v>1.23</v>
      </c>
      <c r="K90" s="27">
        <f>VLOOKUP($A90,'[1]Raw Data'!$A$3:$FB$285,11,FALSE)</f>
        <v>93.72</v>
      </c>
      <c r="L90" s="27">
        <f>VLOOKUP($A90,'[1]Raw Data'!$A$3:$FB$285,12,FALSE)</f>
        <v>90.24</v>
      </c>
      <c r="M90" s="27">
        <f>VLOOKUP($A90,'[1]Raw Data'!$A$3:$FB$285,14,FALSE)</f>
        <v>1.5</v>
      </c>
      <c r="N90" s="27">
        <f>VLOOKUP($A90,'[1]Raw Data'!$A$3:$FB$285,15,FALSE)</f>
        <v>2.5499999999999998</v>
      </c>
      <c r="O90" s="27">
        <f>VLOOKUP($A90,'[1]Raw Data'!$A$3:$FB$285,17,FALSE)</f>
        <v>0</v>
      </c>
      <c r="P90" s="27">
        <f>VLOOKUP($A90,'[1]Raw Data'!$A$3:$FB$285,18,FALSE)</f>
        <v>0.16</v>
      </c>
      <c r="Q90" s="27">
        <f>VLOOKUP($A90,'[1]Raw Data'!$A$3:$FB$285,20,FALSE)</f>
        <v>2.91</v>
      </c>
      <c r="R90" s="27">
        <f>VLOOKUP($A90,'[1]Raw Data'!$A$3:$FB$285,21,FALSE)</f>
        <v>1.57</v>
      </c>
      <c r="S90" s="27">
        <f>VLOOKUP($A90,'[1]Raw Data'!$A$3:$FB$285,23,FALSE)</f>
        <v>0</v>
      </c>
      <c r="T90" s="27">
        <f>VLOOKUP($A90,'[1]Raw Data'!$A$3:$FB$285,24,FALSE)</f>
        <v>0</v>
      </c>
      <c r="U90" s="27">
        <f>VLOOKUP($A90,'[1]Raw Data'!$A$3:$FB$285,26,FALSE)</f>
        <v>0.47</v>
      </c>
      <c r="V90" s="27">
        <f>VLOOKUP($A90,'[1]Raw Data'!$A$3:$FB$285,27,FALSE)</f>
        <v>0.3</v>
      </c>
      <c r="W90" s="27">
        <f>VLOOKUP($A90,'[1]Raw Data'!$A$3:$FB$285,29,FALSE)</f>
        <v>0</v>
      </c>
      <c r="X90" s="27">
        <f>VLOOKUP($A90,'[1]Raw Data'!$A$3:$FB$285,30,FALSE)</f>
        <v>0</v>
      </c>
      <c r="Y90" s="27">
        <f>VLOOKUP($A90,'[1]Raw Data'!$A$3:$FB$285,32,FALSE)</f>
        <v>0.41</v>
      </c>
      <c r="Z90" s="27">
        <f>VLOOKUP($A90,'[1]Raw Data'!$A$3:$FB$285,33,FALSE)</f>
        <v>1.08</v>
      </c>
      <c r="AA90" s="27">
        <f>VLOOKUP($A90,'[1]Raw Data'!$A$3:$FB$285,35,FALSE)</f>
        <v>0.51</v>
      </c>
      <c r="AB90" s="27">
        <f>VLOOKUP($A90,'[1]Raw Data'!$A$3:$FB$285,36,FALSE)</f>
        <v>2.85</v>
      </c>
      <c r="AC90" s="27">
        <f>VLOOKUP($A90,'[1]Raw Data'!$A$3:$FB$285,38,FALSE)</f>
        <v>0</v>
      </c>
      <c r="AD90" s="27">
        <f>VLOOKUP($A90,'[1]Raw Data'!$A$3:$FB$285,39,FALSE)</f>
        <v>0.02</v>
      </c>
      <c r="AE90" s="27">
        <f>VLOOKUP($A90,'[1]Raw Data'!$A$3:$FB$285,41,FALSE)</f>
        <v>0</v>
      </c>
      <c r="AF90" s="27">
        <f>VLOOKUP($A90,'[1]Raw Data'!$A$3:$FB$285,42,FALSE)</f>
        <v>0</v>
      </c>
      <c r="AG90" s="27">
        <f>VLOOKUP($A90,'[1]Raw Data'!$A$3:$FB$285,44,FALSE)</f>
        <v>0</v>
      </c>
      <c r="AH90" s="27">
        <f>VLOOKUP($A90,'[1]Raw Data'!$A$3:$FB$285,45,FALSE)</f>
        <v>0</v>
      </c>
      <c r="AI90" s="27">
        <f>VLOOKUP($A90,'[1]Raw Data'!$A$3:$FB$285,46,FALSE)</f>
        <v>5213</v>
      </c>
      <c r="AJ90" s="27">
        <f>VLOOKUP($A90,'[1]Raw Data'!$A$3:$FB$285,47,FALSE)</f>
        <v>4756</v>
      </c>
      <c r="AK90" s="27">
        <f>VLOOKUP($A90,'[1]Raw Data'!$A$3:$FB$285,48,FALSE)</f>
        <v>4751</v>
      </c>
      <c r="AL90" s="27">
        <f>VLOOKUP($A90,'[1]Raw Data'!$A$3:$FB$285,49,FALSE)</f>
        <v>3811</v>
      </c>
      <c r="AM90" s="27">
        <f>VLOOKUP($A90,'[1]Raw Data'!$A$3:$FB$285,50,FALSE)</f>
        <v>2521</v>
      </c>
      <c r="AN90" s="27">
        <f>VLOOKUP($A90,'[1]Raw Data'!$A$3:$FB$285,51,FALSE)</f>
        <v>0</v>
      </c>
      <c r="AO90" s="27" t="str">
        <f>VLOOKUP($A90,'[1]Raw Data'!$A$3:$FB$285,52,FALSE)</f>
        <v/>
      </c>
      <c r="AP90" s="27">
        <f>VLOOKUP($A90,'[1]Raw Data'!$A$3:$FB$285,53,FALSE)</f>
        <v>39</v>
      </c>
      <c r="AQ90" s="27">
        <f>VLOOKUP($A90,'[1]Raw Data'!$A$3:$FB$285,54,FALSE)</f>
        <v>4</v>
      </c>
      <c r="AR90" s="27">
        <f>VLOOKUP($A90,'[1]Raw Data'!$A$3:$FB$285,55,FALSE)</f>
        <v>4</v>
      </c>
      <c r="AS90" s="27">
        <f>VLOOKUP($A90,'[1]Raw Data'!$A$3:$FB$285,56,FALSE)</f>
        <v>0</v>
      </c>
      <c r="AT90" s="27">
        <f>VLOOKUP($A90,'[1]Raw Data'!$A$3:$FB$285,57,FALSE)</f>
        <v>2269</v>
      </c>
      <c r="AU90" s="27">
        <f>VLOOKUP($A90,'[1]Raw Data'!$A$3:$FB$285,58,FALSE)</f>
        <v>973</v>
      </c>
      <c r="AV90" s="27" t="str">
        <f>VLOOKUP($A90,'[1]Raw Data'!$A$3:$FB$285,59,FALSE)</f>
        <v/>
      </c>
      <c r="AW90" s="27" t="str">
        <f>VLOOKUP($A90,'[1]Raw Data'!$A$3:$FB$285,60,FALSE)</f>
        <v/>
      </c>
      <c r="AX90" s="27" t="str">
        <f>VLOOKUP(A90,'[1]PO''s List'!A88:E370,4,FALSE)</f>
        <v/>
      </c>
      <c r="AZ90" s="27" t="str">
        <f>VLOOKUP(A90,'[1]PO''s List'!$A$3:$E$285,5,FALSE)</f>
        <v>AATWIN(Social Protection),CFJ(Education),GON(Shelter),IOM(Shelter),Islamic-R(Other)),MI(Health),NDBS(Education),NR(Education),NRA(Shelter),PWJ(Shelter),SABAL(Shelter),SCI(Education,Nutrition,Shelter,Social Protection,Health)</v>
      </c>
      <c r="BB90" s="27">
        <f>VLOOKUP($A90,'[1]Raw Data'!$A$3:$FB$285,63,FALSE)</f>
        <v>92465</v>
      </c>
      <c r="BC90" s="27" t="str">
        <f>VLOOKUP($A90,'[1]Raw Data'!$A$3:$FB$285,64,FALSE)</f>
        <v>Y</v>
      </c>
      <c r="BD90" s="27" t="str">
        <f t="shared" si="9"/>
        <v>छ</v>
      </c>
      <c r="BE90" s="27" t="str">
        <f>VLOOKUP($A90,'[1]Raw Data'!$A$3:$FB$285,65,FALSE)</f>
        <v/>
      </c>
      <c r="BF90" s="27">
        <f>VLOOKUP($A90,'[1]Raw Data'!$A$3:$FB$285,66,FALSE)</f>
        <v>90746</v>
      </c>
      <c r="BG90" s="27" t="str">
        <f>VLOOKUP($A90,'[1]Raw Data'!$A$3:$FB$285,67,FALSE)</f>
        <v>Y</v>
      </c>
      <c r="BH90" s="27" t="str">
        <f t="shared" si="10"/>
        <v>छ</v>
      </c>
      <c r="BI90" s="27" t="str">
        <f>VLOOKUP($A90,'[1]Raw Data'!$A$3:$FB$285,68,FALSE)</f>
        <v/>
      </c>
      <c r="BJ90" s="27">
        <f>VLOOKUP($A90,'[1]Raw Data'!$A$3:$FB$285,69,FALSE)</f>
        <v>9837</v>
      </c>
      <c r="BK90" s="27" t="str">
        <f>VLOOKUP($A90,'[1]Raw Data'!$A$3:$FB$285,70,FALSE)</f>
        <v>Y</v>
      </c>
      <c r="BL90" s="27" t="str">
        <f t="shared" si="11"/>
        <v>छ</v>
      </c>
      <c r="BM90" s="27" t="str">
        <f>VLOOKUP($A90,'[1]Raw Data'!$A$3:$FB$285,71,FALSE)</f>
        <v/>
      </c>
      <c r="BN90" s="27">
        <f>VLOOKUP($A90,'[1]Raw Data'!$A$3:$FB$285,72,FALSE)</f>
        <v>11217</v>
      </c>
      <c r="BO90" s="27" t="str">
        <f>VLOOKUP($A90,'[1]Raw Data'!$A$3:$FB$285,73,FALSE)</f>
        <v>Y</v>
      </c>
      <c r="BP90" s="27" t="str">
        <f t="shared" si="12"/>
        <v>छ</v>
      </c>
      <c r="BQ90" s="27" t="str">
        <f>VLOOKUP($A90,'[1]Raw Data'!$A$3:$FB$285,74,FALSE)</f>
        <v/>
      </c>
      <c r="BR90" s="27" t="str">
        <f>VLOOKUP($A90,'[1]Raw Data'!$A$3:$FB$285,75,FALSE)</f>
        <v/>
      </c>
      <c r="BS90" s="27" t="str">
        <f>VLOOKUP($A90,'[1]Raw Data'!$A$3:$FB$285,76,FALSE)</f>
        <v>Y</v>
      </c>
      <c r="BT90" s="27" t="str">
        <f t="shared" si="13"/>
        <v>छ</v>
      </c>
      <c r="BU90" s="27" t="str">
        <f>VLOOKUP($A90,'[1]Raw Data'!$A$3:$FB$285,77,FALSE)</f>
        <v/>
      </c>
      <c r="BV90" s="27">
        <f>VLOOKUP($A90,'[1]Raw Data'!$A$3:$FB$285,78,FALSE)</f>
        <v>302572</v>
      </c>
      <c r="BW90" s="27" t="str">
        <f>VLOOKUP($A90,'[1]Raw Data'!$A$3:$FB$285,79,FALSE)</f>
        <v>Y</v>
      </c>
      <c r="BX90" s="27" t="str">
        <f t="shared" si="14"/>
        <v>छ</v>
      </c>
      <c r="BY90" s="27" t="str">
        <f>VLOOKUP($A90,'[1]Raw Data'!$A$3:$FB$285,80,FALSE)</f>
        <v/>
      </c>
      <c r="BZ90" s="27">
        <f>VLOOKUP($A90,'[1]Raw Data'!$A$3:$FB$285,81,FALSE)</f>
        <v>1010147</v>
      </c>
      <c r="CA90" s="27" t="str">
        <f>VLOOKUP($A90,'[1]Raw Data'!$A$3:$FB$285,82,FALSE)</f>
        <v>Y</v>
      </c>
      <c r="CB90" s="27" t="str">
        <f t="shared" si="15"/>
        <v>छ</v>
      </c>
      <c r="CC90" s="27" t="str">
        <f>VLOOKUP($A90,'[1]Raw Data'!$A$3:$FB$285,83,FALSE)</f>
        <v/>
      </c>
      <c r="CD90" s="27">
        <f>VLOOKUP($A90,'[1]Raw Data'!$A$3:$FB$285,84,FALSE)</f>
        <v>12367</v>
      </c>
      <c r="CE90" s="27" t="str">
        <f>VLOOKUP($A90,'[1]Raw Data'!$A$3:$FB$285,85,FALSE)</f>
        <v>Y</v>
      </c>
      <c r="CF90" s="27" t="str">
        <f t="shared" si="16"/>
        <v>छ</v>
      </c>
      <c r="CG90" s="27" t="str">
        <f>VLOOKUP($A90,'[1]Raw Data'!$A$3:$FB$285,86,FALSE)</f>
        <v/>
      </c>
      <c r="CH90" s="27">
        <f>VLOOKUP($A90,'[1]Raw Data'!$A$3:$FB$285,87,FALSE)</f>
        <v>1401742</v>
      </c>
      <c r="CI90" s="27" t="str">
        <f>VLOOKUP($A90,'[1]Raw Data'!$A$3:$FB$285,88,FALSE)</f>
        <v>Y</v>
      </c>
      <c r="CJ90" s="27" t="str">
        <f t="shared" si="17"/>
        <v>छ</v>
      </c>
      <c r="CK90" s="27" t="str">
        <f>VLOOKUP($A90,'[1]Raw Data'!$A$3:$FB$285,89,FALSE)</f>
        <v/>
      </c>
      <c r="CL90" s="27" t="str">
        <f>VLOOKUP($A90,'[1]Raw Data'!$A$3:$FB$285,91,FALSE)</f>
        <v/>
      </c>
      <c r="CM90" s="27" t="str">
        <f>VLOOKUP($A90,'[1]Raw Data'!$A$3:$FB$285,93,FALSE)</f>
        <v/>
      </c>
      <c r="CN90" s="27" t="str">
        <f>VLOOKUP($A90,'[1]Raw Data'!$A$3:$FB$285,94,FALSE)</f>
        <v/>
      </c>
      <c r="CO90" s="27" t="str">
        <f>VLOOKUP($A90,'[1]Raw Data'!$A$3:$FB$285,95,FALSE)</f>
        <v/>
      </c>
      <c r="CP90" s="27" t="str">
        <f>VLOOKUP($A90,'[1]Raw Data'!$A$3:$FB$285,96,FALSE)</f>
        <v/>
      </c>
      <c r="CQ90" s="27" t="str">
        <f>VLOOKUP($A90,'[1]Raw Data'!$A$3:$FB$285,97,FALSE)</f>
        <v/>
      </c>
      <c r="CR90" s="27" t="str">
        <f>VLOOKUP($A90,'[1]Raw Data'!$A$3:$FB$285,98,FALSE)</f>
        <v/>
      </c>
      <c r="CS90" s="27" t="str">
        <f>VLOOKUP($A90,'[1]Raw Data'!$A$3:$FB$285,99,FALSE)</f>
        <v/>
      </c>
      <c r="CT90" s="27" t="str">
        <f>VLOOKUP($A90,'[1]Raw Data'!$A$3:$FB$285,101,FALSE)</f>
        <v>Kamal Nepal</v>
      </c>
      <c r="CU90" s="27" t="s">
        <v>1057</v>
      </c>
      <c r="CV90" s="27" t="str">
        <f>VLOOKUP($A90,'[1]Raw Data'!$A$3:$FB$285,102,FALSE)</f>
        <v>Chairman</v>
      </c>
      <c r="CW90" s="27" t="s">
        <v>878</v>
      </c>
      <c r="CX90" s="27">
        <f>VLOOKUP($A90,'[1]Raw Data'!$A$3:$FB$285,103,FALSE)</f>
        <v>9851177012</v>
      </c>
      <c r="CY90" s="27" t="str">
        <f>VLOOKUP($A90,'[1]Raw Data'!$A$3:$FB$285,105,FALSE)</f>
        <v>Hemganga Moktan</v>
      </c>
      <c r="CZ90" s="27" t="s">
        <v>1058</v>
      </c>
      <c r="DA90" s="27" t="str">
        <f>VLOOKUP($A90,'[1]Raw Data'!$A$3:$FB$285,106,FALSE)</f>
        <v>Deputy Chairman</v>
      </c>
      <c r="DB90" s="27" t="s">
        <v>879</v>
      </c>
      <c r="DC90" s="27">
        <f>VLOOKUP($A90,'[1]Raw Data'!$A$3:$FB$285,107,FALSE)</f>
        <v>9741208062</v>
      </c>
      <c r="DD90" s="27" t="str">
        <f>VLOOKUP($A90,'[1]Raw Data'!$A$3:$FB$285,109,FALSE)</f>
        <v>Purna Prasad Dulal</v>
      </c>
      <c r="DE90" s="27" t="s">
        <v>1059</v>
      </c>
      <c r="DF90" s="27" t="str">
        <f>VLOOKUP($A90,'[1]Raw Data'!$A$3:$FB$285,110,FALSE)</f>
        <v>Chief Adminstration Officer</v>
      </c>
      <c r="DG90" s="27" t="s">
        <v>880</v>
      </c>
      <c r="DH90" s="27">
        <f>VLOOKUP($A90,'[1]Raw Data'!$A$3:$FB$285,111,FALSE)</f>
        <v>9851090662</v>
      </c>
      <c r="DI90" s="27" t="str">
        <f>VLOOKUP($A90,'[1]Raw Data'!$A$3:$FB$285,121,FALSE)</f>
        <v>Dirban Singh Lama</v>
      </c>
      <c r="DJ90" s="27" t="s">
        <v>1060</v>
      </c>
      <c r="DK90" s="27" t="str">
        <f>VLOOKUP($A90,'[1]Raw Data'!$A$3:$FB$285,122,FALSE)</f>
        <v>Focal Person</v>
      </c>
      <c r="DL90" s="27" t="s">
        <v>881</v>
      </c>
      <c r="DM90" s="27">
        <f>VLOOKUP($A90,'[1]Raw Data'!$A$3:$FB$285,123,FALSE)</f>
        <v>9849327784</v>
      </c>
      <c r="DN90" s="27" t="str">
        <f>VLOOKUP($A90,'[1]Raw Data'!$A$3:$FB$285,113,FALSE)</f>
        <v>Jay Prakash Gupta</v>
      </c>
      <c r="DO90" s="27" t="s">
        <v>1029</v>
      </c>
      <c r="DP90" s="27" t="str">
        <f>VLOOKUP($A90,'[1]Raw Data'!$A$3:$FB$285,114,FALSE)</f>
        <v>NRA Chief-District</v>
      </c>
      <c r="DQ90" s="27" t="s">
        <v>882</v>
      </c>
      <c r="DR90" s="27">
        <f>VLOOKUP($A90,'[1]Raw Data'!$A$3:$FB$285,115,FALSE)</f>
        <v>9858320531</v>
      </c>
      <c r="DS90" s="27" t="str">
        <f>VLOOKUP($A90,'[1]Raw Data'!$A$3:$FB$285,117,FALSE)</f>
        <v>Santosh Kumar Niraula</v>
      </c>
      <c r="DT90" s="27" t="s">
        <v>1030</v>
      </c>
      <c r="DU90" s="27" t="str">
        <f>VLOOKUP($A90,'[1]Raw Data'!$A$3:$FB$285,118,FALSE)</f>
        <v>DUDBC.DLPIU Chief</v>
      </c>
      <c r="DV90" s="27" t="s">
        <v>883</v>
      </c>
      <c r="DW90" s="27">
        <f>VLOOKUP($A90,'[1]Raw Data'!$A$3:$FB$285,119,FALSE)</f>
        <v>9851136372</v>
      </c>
      <c r="DX90" s="27" t="s">
        <v>339</v>
      </c>
      <c r="DY90" s="27" t="str">
        <f>VLOOKUP($A90,'[1]Raw Data'!$A$3:$FB$285,124,FALSE)</f>
        <v/>
      </c>
      <c r="DZ90" s="27" t="s">
        <v>884</v>
      </c>
      <c r="EA90" s="27" t="str">
        <f>VLOOKUP($A90,'[1]Raw Data'!$A$3:$FB$285,125,FALSE)</f>
        <v/>
      </c>
      <c r="EB90" s="27" t="s">
        <v>341</v>
      </c>
      <c r="EC90" s="27" t="str">
        <f>VLOOKUP($A90,'[1]Raw Data'!$A$3:$FB$285,126,FALSE)</f>
        <v/>
      </c>
      <c r="ED90" t="s">
        <v>478</v>
      </c>
      <c r="EE90" s="27" t="str">
        <f>VLOOKUP($A90,'[1]Raw Data'!$A$3:$FB$285,127,FALSE)</f>
        <v/>
      </c>
      <c r="EF90" s="27" t="s">
        <v>343</v>
      </c>
      <c r="EG90" s="27" t="str">
        <f>VLOOKUP($A90,'[1]Raw Data'!$A$3:$FB$285,128,FALSE)</f>
        <v/>
      </c>
      <c r="EH90" t="s">
        <v>344</v>
      </c>
      <c r="EI90" s="27" t="str">
        <f>VLOOKUP($A90,'[1]Raw Data'!$A$3:$FB$285,129,FALSE)</f>
        <v/>
      </c>
      <c r="EM90" s="27">
        <f>VLOOKUP($A90,'[1]Raw Data'!$A$3:$FB$285,130,FALSE)</f>
        <v>8</v>
      </c>
      <c r="EN90" s="27" t="str">
        <f>VLOOKUP($A90,'[1]Raw Data'!$A$3:$FB$285,131,FALSE)</f>
        <v>8</v>
      </c>
      <c r="EO90" s="27">
        <f>VLOOKUP($A90,'[1]Raw Data'!$A$3:$FB$285,132,FALSE)</f>
        <v>5</v>
      </c>
      <c r="EP90" s="27" t="str">
        <f>VLOOKUP($A90,'[1]Raw Data'!$A$3:$FB$285,133,FALSE)</f>
        <v>7</v>
      </c>
      <c r="EQ90" s="27">
        <f>VLOOKUP($A90,'[1]Raw Data'!$A$3:$FB$285,134,FALSE)</f>
        <v>2</v>
      </c>
      <c r="ER90" s="27" t="str">
        <f>VLOOKUP($A90,'[1]Raw Data'!$A$3:$FB$285,135,FALSE)</f>
        <v>7</v>
      </c>
      <c r="ES90" s="27" t="str">
        <f>VLOOKUP($A90,'[1]Raw Data'!$A$3:$FB$285,136,FALSE)</f>
        <v>100</v>
      </c>
      <c r="ET90" s="27" t="str">
        <f>VLOOKUP($A90,'[1]Raw Data'!$A$3:$FB$285,137,FALSE)</f>
        <v/>
      </c>
      <c r="EU90" s="27" t="str">
        <f>VLOOKUP($A90,'[1]Raw Data'!$A$3:$FB$285,138,FALSE)</f>
        <v/>
      </c>
      <c r="EV90" s="27" t="str">
        <f>VLOOKUP($A90,'[1]Raw Data'!$A$3:$FB$285,139,FALSE)</f>
        <v>50</v>
      </c>
      <c r="EW90" s="38">
        <f>VLOOKUP($A90,[1]Training!$A$2:$I$284,5,FALSE)</f>
        <v>401</v>
      </c>
      <c r="EX90" s="31">
        <f>VLOOKUP($A90,[1]Training!$A$2:$I$284,6,FALSE)</f>
        <v>252</v>
      </c>
      <c r="EY90" s="38">
        <f>VLOOKUP($A90,[1]Training!$A$2:$I$284,8,FALSE)</f>
        <v>539.26966356708544</v>
      </c>
      <c r="EZ90" s="31">
        <f>VLOOKUP($A90,[1]Training!$A$2:$I$284,9,FALSE)</f>
        <v>0</v>
      </c>
      <c r="FA90" s="27">
        <v>1</v>
      </c>
      <c r="FB90" s="27">
        <v>2</v>
      </c>
      <c r="FC90" s="27" t="str">
        <f>VLOOKUP($A90,'[1]Raw Data'!$A$3:$FB$285,148,FALSE)</f>
        <v/>
      </c>
      <c r="FD90" s="27" t="s">
        <v>1031</v>
      </c>
      <c r="FE90" s="27" t="str">
        <f>VLOOKUP($A90,'[1]Raw Data'!$A$3:$FB$285,149,FALSE)</f>
        <v>District Coordinator</v>
      </c>
      <c r="FF90" s="27" t="s">
        <v>885</v>
      </c>
      <c r="FG90" s="27">
        <f>VLOOKUP($A90,'[1]Raw Data'!$A$3:$FB$285,150,FALSE)</f>
        <v>9654028388</v>
      </c>
      <c r="FH90" s="27" t="str">
        <f>VLOOKUP($A90,'[1]Raw Data'!$A$3:$FB$285,156,FALSE)</f>
        <v xml:space="preserve">Pradip Sharma </v>
      </c>
      <c r="FI90" s="27" t="s">
        <v>1032</v>
      </c>
      <c r="FJ90" s="27" t="str">
        <f>VLOOKUP($A90,'[1]Raw Data'!$A$3:$FB$285,157,FALSE)</f>
        <v>District Technical Officer</v>
      </c>
      <c r="FK90" s="27" t="s">
        <v>886</v>
      </c>
      <c r="FL90" s="27">
        <f>VLOOKUP($A90,'[1]Raw Data'!$A$3:$FB$285,158,FALSE)</f>
        <v>9851073208</v>
      </c>
      <c r="FM90" s="27" t="str">
        <f>VLOOKUP($A90,'[1]Raw Data'!$A$3:$FB$285,152,FALSE)</f>
        <v>Pranjal Bhandari</v>
      </c>
      <c r="FN90" s="27" t="s">
        <v>1033</v>
      </c>
      <c r="FO90" s="27" t="str">
        <f>VLOOKUP($A90,'[1]Raw Data'!$A$3:$FB$285,153,FALSE)</f>
        <v>DIstrict Information Management Officer</v>
      </c>
      <c r="FP90" s="27" t="s">
        <v>887</v>
      </c>
      <c r="FQ90" s="27">
        <f>VLOOKUP($A90,'[1]Raw Data'!$A$3:$FB$285,154,FALSE)</f>
        <v>9840057752</v>
      </c>
    </row>
    <row r="91" spans="1:173" ht="24" x14ac:dyDescent="0.45">
      <c r="A91" s="27">
        <v>23009</v>
      </c>
      <c r="B91" s="36" t="str">
        <f ca="1">IFERROR(__xludf.DUMMYFUNCTION("""COMPUTED_VALUE"""),"Melamchi Nagarpalika")</f>
        <v>Melamchi Nagarpalika</v>
      </c>
      <c r="C91" s="37" t="str">
        <f>VLOOKUP(A91,'[1]Palika and District in Nepali '!$D$1:$F$283,3,FALSE)</f>
        <v>मेलम्चि नगरपालिका</v>
      </c>
      <c r="D91" s="36" t="str">
        <f ca="1">IFERROR(__xludf.DUMMYFUNCTION("""COMPUTED_VALUE"""),"Sindhupalchowk")</f>
        <v>Sindhupalchowk</v>
      </c>
      <c r="E91" s="36"/>
      <c r="F91" s="27">
        <f>VLOOKUP(A91,'[1]Raw Data'!$A$3:$FB$285,4,FALSE)</f>
        <v>410</v>
      </c>
      <c r="G91" s="27">
        <f>VLOOKUP(A91,'[1]Raw Data'!$A$3:$FB$285,5,FALSE)</f>
        <v>13536</v>
      </c>
      <c r="H91" s="27">
        <f>VLOOKUP(A91,'[1]Raw Data'!$A$3:$FB$285,6,FALSE)</f>
        <v>13946</v>
      </c>
      <c r="I91" s="27">
        <f>VLOOKUP($A91,'[1]Raw Data'!$A$3:$FB$285,8,FALSE)</f>
        <v>0.48</v>
      </c>
      <c r="J91" s="27">
        <f>VLOOKUP($A91,'[1]Raw Data'!$A$3:$FB$285,9,FALSE)</f>
        <v>1.23</v>
      </c>
      <c r="K91" s="27">
        <f>VLOOKUP($A91,'[1]Raw Data'!$A$3:$FB$285,11,FALSE)</f>
        <v>94.91</v>
      </c>
      <c r="L91" s="27">
        <f>VLOOKUP($A91,'[1]Raw Data'!$A$3:$FB$285,12,FALSE)</f>
        <v>90.24</v>
      </c>
      <c r="M91" s="27">
        <f>VLOOKUP($A91,'[1]Raw Data'!$A$3:$FB$285,14,FALSE)</f>
        <v>1.56</v>
      </c>
      <c r="N91" s="27">
        <f>VLOOKUP($A91,'[1]Raw Data'!$A$3:$FB$285,15,FALSE)</f>
        <v>2.5499999999999998</v>
      </c>
      <c r="O91" s="27">
        <f>VLOOKUP($A91,'[1]Raw Data'!$A$3:$FB$285,17,FALSE)</f>
        <v>0.1</v>
      </c>
      <c r="P91" s="27">
        <f>VLOOKUP($A91,'[1]Raw Data'!$A$3:$FB$285,18,FALSE)</f>
        <v>0.16</v>
      </c>
      <c r="Q91" s="27">
        <f>VLOOKUP($A91,'[1]Raw Data'!$A$3:$FB$285,20,FALSE)</f>
        <v>0.77</v>
      </c>
      <c r="R91" s="27">
        <f>VLOOKUP($A91,'[1]Raw Data'!$A$3:$FB$285,21,FALSE)</f>
        <v>1.57</v>
      </c>
      <c r="S91" s="27">
        <f>VLOOKUP($A91,'[1]Raw Data'!$A$3:$FB$285,23,FALSE)</f>
        <v>0</v>
      </c>
      <c r="T91" s="27">
        <f>VLOOKUP($A91,'[1]Raw Data'!$A$3:$FB$285,24,FALSE)</f>
        <v>0</v>
      </c>
      <c r="U91" s="27">
        <f>VLOOKUP($A91,'[1]Raw Data'!$A$3:$FB$285,26,FALSE)</f>
        <v>0.14000000000000001</v>
      </c>
      <c r="V91" s="27">
        <f>VLOOKUP($A91,'[1]Raw Data'!$A$3:$FB$285,27,FALSE)</f>
        <v>0.3</v>
      </c>
      <c r="W91" s="27">
        <f>VLOOKUP($A91,'[1]Raw Data'!$A$3:$FB$285,29,FALSE)</f>
        <v>0</v>
      </c>
      <c r="X91" s="27">
        <f>VLOOKUP($A91,'[1]Raw Data'!$A$3:$FB$285,30,FALSE)</f>
        <v>0</v>
      </c>
      <c r="Y91" s="27">
        <f>VLOOKUP($A91,'[1]Raw Data'!$A$3:$FB$285,32,FALSE)</f>
        <v>0.16</v>
      </c>
      <c r="Z91" s="27">
        <f>VLOOKUP($A91,'[1]Raw Data'!$A$3:$FB$285,33,FALSE)</f>
        <v>1.08</v>
      </c>
      <c r="AA91" s="27">
        <f>VLOOKUP($A91,'[1]Raw Data'!$A$3:$FB$285,35,FALSE)</f>
        <v>1.88</v>
      </c>
      <c r="AB91" s="27">
        <f>VLOOKUP($A91,'[1]Raw Data'!$A$3:$FB$285,36,FALSE)</f>
        <v>2.85</v>
      </c>
      <c r="AC91" s="27">
        <f>VLOOKUP($A91,'[1]Raw Data'!$A$3:$FB$285,38,FALSE)</f>
        <v>0.01</v>
      </c>
      <c r="AD91" s="27">
        <f>VLOOKUP($A91,'[1]Raw Data'!$A$3:$FB$285,39,FALSE)</f>
        <v>0.02</v>
      </c>
      <c r="AE91" s="27">
        <f>VLOOKUP($A91,'[1]Raw Data'!$A$3:$FB$285,41,FALSE)</f>
        <v>0</v>
      </c>
      <c r="AF91" s="27">
        <f>VLOOKUP($A91,'[1]Raw Data'!$A$3:$FB$285,42,FALSE)</f>
        <v>0</v>
      </c>
      <c r="AG91" s="27">
        <f>VLOOKUP($A91,'[1]Raw Data'!$A$3:$FB$285,44,FALSE)</f>
        <v>0</v>
      </c>
      <c r="AH91" s="27">
        <f>VLOOKUP($A91,'[1]Raw Data'!$A$3:$FB$285,45,FALSE)</f>
        <v>0</v>
      </c>
      <c r="AI91" s="27">
        <f>VLOOKUP($A91,'[1]Raw Data'!$A$3:$FB$285,46,FALSE)</f>
        <v>13325</v>
      </c>
      <c r="AJ91" s="27">
        <f>VLOOKUP($A91,'[1]Raw Data'!$A$3:$FB$285,47,FALSE)</f>
        <v>13112</v>
      </c>
      <c r="AK91" s="27">
        <f>VLOOKUP($A91,'[1]Raw Data'!$A$3:$FB$285,48,FALSE)</f>
        <v>13106</v>
      </c>
      <c r="AL91" s="27">
        <f>VLOOKUP($A91,'[1]Raw Data'!$A$3:$FB$285,49,FALSE)</f>
        <v>11403</v>
      </c>
      <c r="AM91" s="27">
        <f>VLOOKUP($A91,'[1]Raw Data'!$A$3:$FB$285,50,FALSE)</f>
        <v>7341</v>
      </c>
      <c r="AN91" s="27">
        <f>VLOOKUP($A91,'[1]Raw Data'!$A$3:$FB$285,51,FALSE)</f>
        <v>0</v>
      </c>
      <c r="AO91" s="27" t="str">
        <f>VLOOKUP($A91,'[1]Raw Data'!$A$3:$FB$285,52,FALSE)</f>
        <v/>
      </c>
      <c r="AP91" s="27">
        <f>VLOOKUP($A91,'[1]Raw Data'!$A$3:$FB$285,53,FALSE)</f>
        <v>105</v>
      </c>
      <c r="AQ91" s="27">
        <f>VLOOKUP($A91,'[1]Raw Data'!$A$3:$FB$285,54,FALSE)</f>
        <v>5</v>
      </c>
      <c r="AR91" s="27">
        <f>VLOOKUP($A91,'[1]Raw Data'!$A$3:$FB$285,55,FALSE)</f>
        <v>5</v>
      </c>
      <c r="AS91" s="27">
        <f>VLOOKUP($A91,'[1]Raw Data'!$A$3:$FB$285,56,FALSE)</f>
        <v>0</v>
      </c>
      <c r="AT91" s="27">
        <f>VLOOKUP($A91,'[1]Raw Data'!$A$3:$FB$285,57,FALSE)</f>
        <v>2557</v>
      </c>
      <c r="AU91" s="27">
        <f>VLOOKUP($A91,'[1]Raw Data'!$A$3:$FB$285,58,FALSE)</f>
        <v>761</v>
      </c>
      <c r="AV91" s="27" t="str">
        <f>VLOOKUP($A91,'[1]Raw Data'!$A$3:$FB$285,59,FALSE)</f>
        <v/>
      </c>
      <c r="AW91" s="27" t="str">
        <f>VLOOKUP($A91,'[1]Raw Data'!$A$3:$FB$285,60,FALSE)</f>
        <v/>
      </c>
      <c r="AX91" s="27" t="str">
        <f>VLOOKUP(A91,'[1]PO''s List'!A89:E371,4,FALSE)</f>
        <v>BC(Shelter),CARE-N(Livelihood,DRR,GESI,Shelter,Health),CARITAS-S(DRR,Education,Health),JICA(Shelter),NRCS(Livelihood,Education,Employment ,Health,Shelter,Health)</v>
      </c>
      <c r="AZ91" s="27" t="str">
        <f>VLOOKUP(A91,'[1]PO''s List'!$A$3:$E$285,5,FALSE)</f>
        <v>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v>
      </c>
      <c r="BB91" s="27">
        <f>VLOOKUP($A91,'[1]Raw Data'!$A$3:$FB$285,63,FALSE)</f>
        <v>274809</v>
      </c>
      <c r="BC91" s="27" t="str">
        <f>VLOOKUP($A91,'[1]Raw Data'!$A$3:$FB$285,64,FALSE)</f>
        <v/>
      </c>
      <c r="BD91" s="27" t="str">
        <f t="shared" si="9"/>
        <v/>
      </c>
      <c r="BE91" s="27" t="str">
        <f>VLOOKUP($A91,'[1]Raw Data'!$A$3:$FB$285,65,FALSE)</f>
        <v/>
      </c>
      <c r="BF91" s="27">
        <f>VLOOKUP($A91,'[1]Raw Data'!$A$3:$FB$285,66,FALSE)</f>
        <v>274190</v>
      </c>
      <c r="BG91" s="27" t="str">
        <f>VLOOKUP($A91,'[1]Raw Data'!$A$3:$FB$285,67,FALSE)</f>
        <v/>
      </c>
      <c r="BH91" s="27" t="str">
        <f t="shared" si="10"/>
        <v/>
      </c>
      <c r="BI91" s="27" t="str">
        <f>VLOOKUP($A91,'[1]Raw Data'!$A$3:$FB$285,68,FALSE)</f>
        <v/>
      </c>
      <c r="BJ91" s="27">
        <f>VLOOKUP($A91,'[1]Raw Data'!$A$3:$FB$285,69,FALSE)</f>
        <v>29270</v>
      </c>
      <c r="BK91" s="27" t="str">
        <f>VLOOKUP($A91,'[1]Raw Data'!$A$3:$FB$285,70,FALSE)</f>
        <v/>
      </c>
      <c r="BL91" s="27" t="str">
        <f t="shared" si="11"/>
        <v/>
      </c>
      <c r="BM91" s="27" t="str">
        <f>VLOOKUP($A91,'[1]Raw Data'!$A$3:$FB$285,71,FALSE)</f>
        <v/>
      </c>
      <c r="BN91" s="27">
        <f>VLOOKUP($A91,'[1]Raw Data'!$A$3:$FB$285,72,FALSE)</f>
        <v>33511</v>
      </c>
      <c r="BO91" s="27" t="str">
        <f>VLOOKUP($A91,'[1]Raw Data'!$A$3:$FB$285,73,FALSE)</f>
        <v/>
      </c>
      <c r="BP91" s="27" t="str">
        <f t="shared" si="12"/>
        <v/>
      </c>
      <c r="BQ91" s="27" t="str">
        <f>VLOOKUP($A91,'[1]Raw Data'!$A$3:$FB$285,74,FALSE)</f>
        <v/>
      </c>
      <c r="BR91" s="27" t="str">
        <f>VLOOKUP($A91,'[1]Raw Data'!$A$3:$FB$285,75,FALSE)</f>
        <v/>
      </c>
      <c r="BS91" s="27" t="str">
        <f>VLOOKUP($A91,'[1]Raw Data'!$A$3:$FB$285,76,FALSE)</f>
        <v/>
      </c>
      <c r="BT91" s="27" t="str">
        <f t="shared" si="13"/>
        <v/>
      </c>
      <c r="BU91" s="27" t="str">
        <f>VLOOKUP($A91,'[1]Raw Data'!$A$3:$FB$285,77,FALSE)</f>
        <v/>
      </c>
      <c r="BV91" s="27">
        <f>VLOOKUP($A91,'[1]Raw Data'!$A$3:$FB$285,78,FALSE)</f>
        <v>909093</v>
      </c>
      <c r="BW91" s="27" t="str">
        <f>VLOOKUP($A91,'[1]Raw Data'!$A$3:$FB$285,79,FALSE)</f>
        <v/>
      </c>
      <c r="BX91" s="27" t="str">
        <f t="shared" si="14"/>
        <v/>
      </c>
      <c r="BY91" s="27" t="str">
        <f>VLOOKUP($A91,'[1]Raw Data'!$A$3:$FB$285,80,FALSE)</f>
        <v/>
      </c>
      <c r="BZ91" s="27">
        <f>VLOOKUP($A91,'[1]Raw Data'!$A$3:$FB$285,81,FALSE)</f>
        <v>2989671</v>
      </c>
      <c r="CA91" s="27" t="str">
        <f>VLOOKUP($A91,'[1]Raw Data'!$A$3:$FB$285,82,FALSE)</f>
        <v/>
      </c>
      <c r="CB91" s="27" t="str">
        <f t="shared" si="15"/>
        <v/>
      </c>
      <c r="CC91" s="27" t="str">
        <f>VLOOKUP($A91,'[1]Raw Data'!$A$3:$FB$285,83,FALSE)</f>
        <v/>
      </c>
      <c r="CD91" s="27">
        <f>VLOOKUP($A91,'[1]Raw Data'!$A$3:$FB$285,84,FALSE)</f>
        <v>37138</v>
      </c>
      <c r="CE91" s="27" t="str">
        <f>VLOOKUP($A91,'[1]Raw Data'!$A$3:$FB$285,85,FALSE)</f>
        <v/>
      </c>
      <c r="CF91" s="27" t="str">
        <f t="shared" si="16"/>
        <v/>
      </c>
      <c r="CG91" s="27" t="str">
        <f>VLOOKUP($A91,'[1]Raw Data'!$A$3:$FB$285,86,FALSE)</f>
        <v/>
      </c>
      <c r="CH91" s="27">
        <f>VLOOKUP($A91,'[1]Raw Data'!$A$3:$FB$285,87,FALSE)</f>
        <v>3178291</v>
      </c>
      <c r="CI91" s="27" t="str">
        <f>VLOOKUP($A91,'[1]Raw Data'!$A$3:$FB$285,88,FALSE)</f>
        <v/>
      </c>
      <c r="CJ91" s="27" t="str">
        <f t="shared" si="17"/>
        <v/>
      </c>
      <c r="CK91" s="27" t="str">
        <f>VLOOKUP($A91,'[1]Raw Data'!$A$3:$FB$285,89,FALSE)</f>
        <v/>
      </c>
      <c r="CL91" s="27" t="str">
        <f>VLOOKUP($A91,'[1]Raw Data'!$A$3:$FB$285,91,FALSE)</f>
        <v/>
      </c>
      <c r="CM91" s="27" t="str">
        <f>VLOOKUP($A91,'[1]Raw Data'!$A$3:$FB$285,93,FALSE)</f>
        <v/>
      </c>
      <c r="CN91" s="27" t="str">
        <f>VLOOKUP($A91,'[1]Raw Data'!$A$3:$FB$285,94,FALSE)</f>
        <v/>
      </c>
      <c r="CO91" s="27" t="str">
        <f>VLOOKUP($A91,'[1]Raw Data'!$A$3:$FB$285,95,FALSE)</f>
        <v/>
      </c>
      <c r="CP91" s="27" t="str">
        <f>VLOOKUP($A91,'[1]Raw Data'!$A$3:$FB$285,96,FALSE)</f>
        <v/>
      </c>
      <c r="CQ91" s="27" t="str">
        <f>VLOOKUP($A91,'[1]Raw Data'!$A$3:$FB$285,97,FALSE)</f>
        <v/>
      </c>
      <c r="CR91" s="27" t="str">
        <f>VLOOKUP($A91,'[1]Raw Data'!$A$3:$FB$285,98,FALSE)</f>
        <v/>
      </c>
      <c r="CS91" s="27" t="str">
        <f>VLOOKUP($A91,'[1]Raw Data'!$A$3:$FB$285,99,FALSE)</f>
        <v/>
      </c>
      <c r="CT91" s="27" t="str">
        <f>VLOOKUP($A91,'[1]Raw Data'!$A$3:$FB$285,101,FALSE)</f>
        <v>Dambar Bahadur Aryal</v>
      </c>
      <c r="CU91" s="27" t="s">
        <v>1061</v>
      </c>
      <c r="CV91" s="27" t="str">
        <f>VLOOKUP($A91,'[1]Raw Data'!$A$3:$FB$285,102,FALSE)</f>
        <v>Mayor</v>
      </c>
      <c r="CW91" s="27" t="s">
        <v>834</v>
      </c>
      <c r="CX91" s="27">
        <f>VLOOKUP($A91,'[1]Raw Data'!$A$3:$FB$285,103,FALSE)</f>
        <v>9851210270</v>
      </c>
      <c r="CY91" s="27" t="str">
        <f>VLOOKUP($A91,'[1]Raw Data'!$A$3:$FB$285,105,FALSE)</f>
        <v>Bhagawati Nepal</v>
      </c>
      <c r="CZ91" s="27" t="s">
        <v>1062</v>
      </c>
      <c r="DA91" s="27" t="str">
        <f>VLOOKUP($A91,'[1]Raw Data'!$A$3:$FB$285,106,FALSE)</f>
        <v>Deputy Mayor</v>
      </c>
      <c r="DB91" s="27" t="s">
        <v>888</v>
      </c>
      <c r="DC91" s="27">
        <f>VLOOKUP($A91,'[1]Raw Data'!$A$3:$FB$285,107,FALSE)</f>
        <v>9741181911</v>
      </c>
      <c r="DD91" s="27" t="str">
        <f>VLOOKUP($A91,'[1]Raw Data'!$A$3:$FB$285,109,FALSE)</f>
        <v>Devi Prasad Thapaliya</v>
      </c>
      <c r="DE91" s="27" t="s">
        <v>1063</v>
      </c>
      <c r="DF91" s="27" t="str">
        <f>VLOOKUP($A91,'[1]Raw Data'!$A$3:$FB$285,110,FALSE)</f>
        <v>Chief Adminstration Officer</v>
      </c>
      <c r="DG91" s="27" t="s">
        <v>880</v>
      </c>
      <c r="DH91" s="27">
        <f>VLOOKUP($A91,'[1]Raw Data'!$A$3:$FB$285,111,FALSE)</f>
        <v>9851250027</v>
      </c>
      <c r="DI91" s="27" t="str">
        <f>VLOOKUP($A91,'[1]Raw Data'!$A$3:$FB$285,121,FALSE)</f>
        <v>Jit Bahadur Karki</v>
      </c>
      <c r="DJ91" s="27" t="s">
        <v>1064</v>
      </c>
      <c r="DK91" s="27" t="str">
        <f>VLOOKUP($A91,'[1]Raw Data'!$A$3:$FB$285,122,FALSE)</f>
        <v>Focal Person</v>
      </c>
      <c r="DL91" s="27" t="s">
        <v>881</v>
      </c>
      <c r="DM91" s="27">
        <f>VLOOKUP($A91,'[1]Raw Data'!$A$3:$FB$285,123,FALSE)</f>
        <v>9849964020</v>
      </c>
      <c r="DN91" s="27" t="str">
        <f>VLOOKUP($A91,'[1]Raw Data'!$A$3:$FB$285,113,FALSE)</f>
        <v>Jay Prakash Gupta</v>
      </c>
      <c r="DO91" s="27" t="s">
        <v>1029</v>
      </c>
      <c r="DP91" s="27" t="str">
        <f>VLOOKUP($A91,'[1]Raw Data'!$A$3:$FB$285,114,FALSE)</f>
        <v>NRA Chief-District</v>
      </c>
      <c r="DQ91" s="27" t="s">
        <v>882</v>
      </c>
      <c r="DR91" s="27">
        <f>VLOOKUP($A91,'[1]Raw Data'!$A$3:$FB$285,115,FALSE)</f>
        <v>9858320531</v>
      </c>
      <c r="DS91" s="27" t="str">
        <f>VLOOKUP($A91,'[1]Raw Data'!$A$3:$FB$285,117,FALSE)</f>
        <v>Santosh Kumar Niraula</v>
      </c>
      <c r="DT91" s="27" t="s">
        <v>1030</v>
      </c>
      <c r="DU91" s="27" t="str">
        <f>VLOOKUP($A91,'[1]Raw Data'!$A$3:$FB$285,118,FALSE)</f>
        <v>DUDBC.DLPIU Chief</v>
      </c>
      <c r="DV91" s="27" t="s">
        <v>883</v>
      </c>
      <c r="DW91" s="27">
        <f>VLOOKUP($A91,'[1]Raw Data'!$A$3:$FB$285,119,FALSE)</f>
        <v>9851136372</v>
      </c>
      <c r="DX91" s="27" t="s">
        <v>339</v>
      </c>
      <c r="DY91" s="27" t="str">
        <f>VLOOKUP($A91,'[1]Raw Data'!$A$3:$FB$285,124,FALSE)</f>
        <v/>
      </c>
      <c r="DZ91" s="27" t="s">
        <v>884</v>
      </c>
      <c r="EA91" s="27" t="str">
        <f>VLOOKUP($A91,'[1]Raw Data'!$A$3:$FB$285,125,FALSE)</f>
        <v/>
      </c>
      <c r="EB91" s="27" t="s">
        <v>341</v>
      </c>
      <c r="EC91" s="27" t="str">
        <f>VLOOKUP($A91,'[1]Raw Data'!$A$3:$FB$285,126,FALSE)</f>
        <v/>
      </c>
      <c r="ED91" t="s">
        <v>478</v>
      </c>
      <c r="EE91" s="27" t="str">
        <f>VLOOKUP($A91,'[1]Raw Data'!$A$3:$FB$285,127,FALSE)</f>
        <v/>
      </c>
      <c r="EF91" s="27" t="s">
        <v>343</v>
      </c>
      <c r="EG91" s="27" t="str">
        <f>VLOOKUP($A91,'[1]Raw Data'!$A$3:$FB$285,128,FALSE)</f>
        <v/>
      </c>
      <c r="EH91" t="s">
        <v>344</v>
      </c>
      <c r="EI91" s="27" t="str">
        <f>VLOOKUP($A91,'[1]Raw Data'!$A$3:$FB$285,129,FALSE)</f>
        <v/>
      </c>
      <c r="EM91" s="27" t="str">
        <f>VLOOKUP($A91,'[1]Raw Data'!$A$3:$FB$285,130,FALSE)</f>
        <v/>
      </c>
      <c r="EN91" s="27" t="str">
        <f>VLOOKUP($A91,'[1]Raw Data'!$A$3:$FB$285,131,FALSE)</f>
        <v/>
      </c>
      <c r="EO91" s="27" t="str">
        <f>VLOOKUP($A91,'[1]Raw Data'!$A$3:$FB$285,132,FALSE)</f>
        <v/>
      </c>
      <c r="EP91" s="27" t="str">
        <f>VLOOKUP($A91,'[1]Raw Data'!$A$3:$FB$285,133,FALSE)</f>
        <v/>
      </c>
      <c r="EQ91" s="27" t="str">
        <f>VLOOKUP($A91,'[1]Raw Data'!$A$3:$FB$285,134,FALSE)</f>
        <v/>
      </c>
      <c r="ER91" s="27" t="str">
        <f>VLOOKUP($A91,'[1]Raw Data'!$A$3:$FB$285,135,FALSE)</f>
        <v/>
      </c>
      <c r="ES91" s="27" t="str">
        <f>VLOOKUP($A91,'[1]Raw Data'!$A$3:$FB$285,136,FALSE)</f>
        <v/>
      </c>
      <c r="ET91" s="27" t="str">
        <f>VLOOKUP($A91,'[1]Raw Data'!$A$3:$FB$285,137,FALSE)</f>
        <v/>
      </c>
      <c r="EU91" s="27" t="str">
        <f>VLOOKUP($A91,'[1]Raw Data'!$A$3:$FB$285,138,FALSE)</f>
        <v/>
      </c>
      <c r="EV91" s="27" t="str">
        <f>VLOOKUP($A91,'[1]Raw Data'!$A$3:$FB$285,139,FALSE)</f>
        <v/>
      </c>
      <c r="EW91" s="38">
        <f>VLOOKUP($A91,[1]Training!$A$2:$I$284,5,FALSE)</f>
        <v>1025</v>
      </c>
      <c r="EX91" s="31">
        <f>VLOOKUP($A91,[1]Training!$A$2:$I$284,6,FALSE)</f>
        <v>1243</v>
      </c>
      <c r="EY91" s="38">
        <f>VLOOKUP($A91,[1]Training!$A$2:$I$284,8,FALSE)</f>
        <v>1378.4324318111285</v>
      </c>
      <c r="EZ91" s="31">
        <f>VLOOKUP($A91,[1]Training!$A$2:$I$284,9,FALSE)</f>
        <v>0</v>
      </c>
      <c r="FA91" s="27">
        <v>1</v>
      </c>
      <c r="FB91" s="27">
        <v>2</v>
      </c>
      <c r="FC91" s="27" t="str">
        <f>VLOOKUP($A91,'[1]Raw Data'!$A$3:$FB$285,148,FALSE)</f>
        <v/>
      </c>
      <c r="FD91" s="27" t="s">
        <v>1031</v>
      </c>
      <c r="FE91" s="27" t="str">
        <f>VLOOKUP($A91,'[1]Raw Data'!$A$3:$FB$285,149,FALSE)</f>
        <v>District Coordinator</v>
      </c>
      <c r="FF91" s="27" t="s">
        <v>885</v>
      </c>
      <c r="FG91" s="27">
        <f>VLOOKUP($A91,'[1]Raw Data'!$A$3:$FB$285,150,FALSE)</f>
        <v>9654028388</v>
      </c>
      <c r="FH91" s="27" t="str">
        <f>VLOOKUP($A91,'[1]Raw Data'!$A$3:$FB$285,156,FALSE)</f>
        <v xml:space="preserve">Pradip Sharma </v>
      </c>
      <c r="FI91" s="27" t="s">
        <v>1032</v>
      </c>
      <c r="FJ91" s="27" t="str">
        <f>VLOOKUP($A91,'[1]Raw Data'!$A$3:$FB$285,157,FALSE)</f>
        <v>District Technical Officer</v>
      </c>
      <c r="FK91" s="27" t="s">
        <v>886</v>
      </c>
      <c r="FL91" s="27">
        <f>VLOOKUP($A91,'[1]Raw Data'!$A$3:$FB$285,158,FALSE)</f>
        <v>9851073208</v>
      </c>
      <c r="FM91" s="27" t="str">
        <f>VLOOKUP($A91,'[1]Raw Data'!$A$3:$FB$285,152,FALSE)</f>
        <v>Pranjal Bhandari</v>
      </c>
      <c r="FN91" s="27" t="s">
        <v>1033</v>
      </c>
      <c r="FO91" s="27" t="str">
        <f>VLOOKUP($A91,'[1]Raw Data'!$A$3:$FB$285,153,FALSE)</f>
        <v>DIstrict Information Management Officer</v>
      </c>
      <c r="FP91" s="27" t="s">
        <v>887</v>
      </c>
      <c r="FQ91" s="27">
        <f>VLOOKUP($A91,'[1]Raw Data'!$A$3:$FB$285,154,FALSE)</f>
        <v>9840057752</v>
      </c>
    </row>
    <row r="92" spans="1:173" ht="24" x14ac:dyDescent="0.45">
      <c r="A92" s="27">
        <v>23010</v>
      </c>
      <c r="B92" s="36" t="str">
        <f ca="1">IFERROR(__xludf.DUMMYFUNCTION("""COMPUTED_VALUE"""),"Panchpokhari Thangpal Gaunpalika")</f>
        <v>Panchpokhari Thangpal Gaunpalika</v>
      </c>
      <c r="C92" s="37" t="str">
        <f>VLOOKUP(A92,'[1]Palika and District in Nepali '!$D$1:$F$283,3,FALSE)</f>
        <v>पाँचपोखरी थांगपाल गाउँपालिका</v>
      </c>
      <c r="D92" s="36" t="str">
        <f ca="1">IFERROR(__xludf.DUMMYFUNCTION("""COMPUTED_VALUE"""),"Sindhupalchowk")</f>
        <v>Sindhupalchowk</v>
      </c>
      <c r="E92" s="36"/>
      <c r="F92" s="27">
        <f>VLOOKUP(A92,'[1]Raw Data'!$A$3:$FB$285,4,FALSE)</f>
        <v>134</v>
      </c>
      <c r="G92" s="27">
        <f>VLOOKUP(A92,'[1]Raw Data'!$A$3:$FB$285,5,FALSE)</f>
        <v>6327</v>
      </c>
      <c r="H92" s="27">
        <f>VLOOKUP(A92,'[1]Raw Data'!$A$3:$FB$285,6,FALSE)</f>
        <v>6461</v>
      </c>
      <c r="I92" s="27">
        <f>VLOOKUP($A92,'[1]Raw Data'!$A$3:$FB$285,8,FALSE)</f>
        <v>1.39</v>
      </c>
      <c r="J92" s="27">
        <f>VLOOKUP($A92,'[1]Raw Data'!$A$3:$FB$285,9,FALSE)</f>
        <v>1.23</v>
      </c>
      <c r="K92" s="27">
        <f>VLOOKUP($A92,'[1]Raw Data'!$A$3:$FB$285,11,FALSE)</f>
        <v>89.41</v>
      </c>
      <c r="L92" s="27">
        <f>VLOOKUP($A92,'[1]Raw Data'!$A$3:$FB$285,12,FALSE)</f>
        <v>90.24</v>
      </c>
      <c r="M92" s="27">
        <f>VLOOKUP($A92,'[1]Raw Data'!$A$3:$FB$285,14,FALSE)</f>
        <v>0.56999999999999995</v>
      </c>
      <c r="N92" s="27">
        <f>VLOOKUP($A92,'[1]Raw Data'!$A$3:$FB$285,15,FALSE)</f>
        <v>2.5499999999999998</v>
      </c>
      <c r="O92" s="27">
        <f>VLOOKUP($A92,'[1]Raw Data'!$A$3:$FB$285,17,FALSE)</f>
        <v>0.12</v>
      </c>
      <c r="P92" s="27">
        <f>VLOOKUP($A92,'[1]Raw Data'!$A$3:$FB$285,18,FALSE)</f>
        <v>0.16</v>
      </c>
      <c r="Q92" s="27">
        <f>VLOOKUP($A92,'[1]Raw Data'!$A$3:$FB$285,20,FALSE)</f>
        <v>1.39</v>
      </c>
      <c r="R92" s="27">
        <f>VLOOKUP($A92,'[1]Raw Data'!$A$3:$FB$285,21,FALSE)</f>
        <v>1.57</v>
      </c>
      <c r="S92" s="27">
        <f>VLOOKUP($A92,'[1]Raw Data'!$A$3:$FB$285,23,FALSE)</f>
        <v>0</v>
      </c>
      <c r="T92" s="27">
        <f>VLOOKUP($A92,'[1]Raw Data'!$A$3:$FB$285,24,FALSE)</f>
        <v>0</v>
      </c>
      <c r="U92" s="27">
        <f>VLOOKUP($A92,'[1]Raw Data'!$A$3:$FB$285,26,FALSE)</f>
        <v>0.17</v>
      </c>
      <c r="V92" s="27">
        <f>VLOOKUP($A92,'[1]Raw Data'!$A$3:$FB$285,27,FALSE)</f>
        <v>0.3</v>
      </c>
      <c r="W92" s="27">
        <f>VLOOKUP($A92,'[1]Raw Data'!$A$3:$FB$285,29,FALSE)</f>
        <v>0</v>
      </c>
      <c r="X92" s="27">
        <f>VLOOKUP($A92,'[1]Raw Data'!$A$3:$FB$285,30,FALSE)</f>
        <v>0</v>
      </c>
      <c r="Y92" s="27">
        <f>VLOOKUP($A92,'[1]Raw Data'!$A$3:$FB$285,32,FALSE)</f>
        <v>6.72</v>
      </c>
      <c r="Z92" s="27">
        <f>VLOOKUP($A92,'[1]Raw Data'!$A$3:$FB$285,33,FALSE)</f>
        <v>1.08</v>
      </c>
      <c r="AA92" s="27">
        <f>VLOOKUP($A92,'[1]Raw Data'!$A$3:$FB$285,35,FALSE)</f>
        <v>0.2</v>
      </c>
      <c r="AB92" s="27">
        <f>VLOOKUP($A92,'[1]Raw Data'!$A$3:$FB$285,36,FALSE)</f>
        <v>2.85</v>
      </c>
      <c r="AC92" s="27">
        <f>VLOOKUP($A92,'[1]Raw Data'!$A$3:$FB$285,38,FALSE)</f>
        <v>0.02</v>
      </c>
      <c r="AD92" s="27">
        <f>VLOOKUP($A92,'[1]Raw Data'!$A$3:$FB$285,39,FALSE)</f>
        <v>0.02</v>
      </c>
      <c r="AE92" s="27">
        <f>VLOOKUP($A92,'[1]Raw Data'!$A$3:$FB$285,41,FALSE)</f>
        <v>0</v>
      </c>
      <c r="AF92" s="27">
        <f>VLOOKUP($A92,'[1]Raw Data'!$A$3:$FB$285,42,FALSE)</f>
        <v>0</v>
      </c>
      <c r="AG92" s="27">
        <f>VLOOKUP($A92,'[1]Raw Data'!$A$3:$FB$285,44,FALSE)</f>
        <v>0</v>
      </c>
      <c r="AH92" s="27">
        <f>VLOOKUP($A92,'[1]Raw Data'!$A$3:$FB$285,45,FALSE)</f>
        <v>0</v>
      </c>
      <c r="AI92" s="27">
        <f>VLOOKUP($A92,'[1]Raw Data'!$A$3:$FB$285,46,FALSE)</f>
        <v>7030</v>
      </c>
      <c r="AJ92" s="27">
        <f>VLOOKUP($A92,'[1]Raw Data'!$A$3:$FB$285,47,FALSE)</f>
        <v>6681</v>
      </c>
      <c r="AK92" s="27">
        <f>VLOOKUP($A92,'[1]Raw Data'!$A$3:$FB$285,48,FALSE)</f>
        <v>6679</v>
      </c>
      <c r="AL92" s="27">
        <f>VLOOKUP($A92,'[1]Raw Data'!$A$3:$FB$285,49,FALSE)</f>
        <v>5279</v>
      </c>
      <c r="AM92" s="27">
        <f>VLOOKUP($A92,'[1]Raw Data'!$A$3:$FB$285,50,FALSE)</f>
        <v>2924</v>
      </c>
      <c r="AN92" s="27">
        <f>VLOOKUP($A92,'[1]Raw Data'!$A$3:$FB$285,51,FALSE)</f>
        <v>0</v>
      </c>
      <c r="AO92" s="27" t="str">
        <f>VLOOKUP($A92,'[1]Raw Data'!$A$3:$FB$285,52,FALSE)</f>
        <v/>
      </c>
      <c r="AP92" s="27">
        <f>VLOOKUP($A92,'[1]Raw Data'!$A$3:$FB$285,53,FALSE)</f>
        <v>16</v>
      </c>
      <c r="AQ92" s="27">
        <f>VLOOKUP($A92,'[1]Raw Data'!$A$3:$FB$285,54,FALSE)</f>
        <v>0</v>
      </c>
      <c r="AR92" s="27">
        <f>VLOOKUP($A92,'[1]Raw Data'!$A$3:$FB$285,55,FALSE)</f>
        <v>0</v>
      </c>
      <c r="AS92" s="27">
        <f>VLOOKUP($A92,'[1]Raw Data'!$A$3:$FB$285,56,FALSE)</f>
        <v>0</v>
      </c>
      <c r="AT92" s="27">
        <f>VLOOKUP($A92,'[1]Raw Data'!$A$3:$FB$285,57,FALSE)</f>
        <v>2937</v>
      </c>
      <c r="AU92" s="27">
        <f>VLOOKUP($A92,'[1]Raw Data'!$A$3:$FB$285,58,FALSE)</f>
        <v>1273</v>
      </c>
      <c r="AV92" s="27" t="str">
        <f>VLOOKUP($A92,'[1]Raw Data'!$A$3:$FB$285,59,FALSE)</f>
        <v/>
      </c>
      <c r="AW92" s="27" t="str">
        <f>VLOOKUP($A92,'[1]Raw Data'!$A$3:$FB$285,60,FALSE)</f>
        <v/>
      </c>
      <c r="AX92" s="27" t="str">
        <f>VLOOKUP(A92,'[1]PO''s List'!A90:E372,4,FALSE)</f>
        <v>CARE-N(Livelihood,DRR,GESI,Shelter,Health),DH(Shelter),NRCS(Livelihood,Education,Employment ,Health,Shelter,Health),PIN(Livelihood,Shelter),TGH(Livelihood,DRR,Employment ,Shelter,Transport,Health)</v>
      </c>
      <c r="AZ92" s="27" t="str">
        <f>VLOOKUP(A92,'[1]PO''s List'!$A$3:$E$285,5,FALSE)</f>
        <v>AATWIN(Social Protection),ARSOW-TGH(Shelter),CMI-N(Education),DSCBD(Education),FAIRMED(Employment ,Health,Health),GHN(Education),GON-PAF(Shelter),PLAN(GESI,Shelter,Social Protection,Health),SABAL(Shelter),SCI(Nutrition)</v>
      </c>
      <c r="BB92" s="27">
        <f>VLOOKUP($A92,'[1]Raw Data'!$A$3:$FB$285,63,FALSE)</f>
        <v>121331</v>
      </c>
      <c r="BC92" s="27" t="str">
        <f>VLOOKUP($A92,'[1]Raw Data'!$A$3:$FB$285,64,FALSE)</f>
        <v>Y</v>
      </c>
      <c r="BD92" s="27" t="str">
        <f t="shared" si="9"/>
        <v>छ</v>
      </c>
      <c r="BE92" s="27" t="str">
        <f>VLOOKUP($A92,'[1]Raw Data'!$A$3:$FB$285,65,FALSE)</f>
        <v/>
      </c>
      <c r="BF92" s="27">
        <f>VLOOKUP($A92,'[1]Raw Data'!$A$3:$FB$285,66,FALSE)</f>
        <v>111904</v>
      </c>
      <c r="BG92" s="27" t="str">
        <f>VLOOKUP($A92,'[1]Raw Data'!$A$3:$FB$285,67,FALSE)</f>
        <v>Y</v>
      </c>
      <c r="BH92" s="27" t="str">
        <f t="shared" si="10"/>
        <v>छ</v>
      </c>
      <c r="BI92" s="27" t="str">
        <f>VLOOKUP($A92,'[1]Raw Data'!$A$3:$FB$285,68,FALSE)</f>
        <v/>
      </c>
      <c r="BJ92" s="27">
        <f>VLOOKUP($A92,'[1]Raw Data'!$A$3:$FB$285,69,FALSE)</f>
        <v>12835</v>
      </c>
      <c r="BK92" s="27" t="str">
        <f>VLOOKUP($A92,'[1]Raw Data'!$A$3:$FB$285,70,FALSE)</f>
        <v>Y</v>
      </c>
      <c r="BL92" s="27" t="str">
        <f t="shared" si="11"/>
        <v>छ</v>
      </c>
      <c r="BM92" s="27" t="str">
        <f>VLOOKUP($A92,'[1]Raw Data'!$A$3:$FB$285,71,FALSE)</f>
        <v/>
      </c>
      <c r="BN92" s="27">
        <f>VLOOKUP($A92,'[1]Raw Data'!$A$3:$FB$285,72,FALSE)</f>
        <v>14374</v>
      </c>
      <c r="BO92" s="27" t="str">
        <f>VLOOKUP($A92,'[1]Raw Data'!$A$3:$FB$285,73,FALSE)</f>
        <v>Y</v>
      </c>
      <c r="BP92" s="27" t="str">
        <f t="shared" si="12"/>
        <v>छ</v>
      </c>
      <c r="BQ92" s="27" t="str">
        <f>VLOOKUP($A92,'[1]Raw Data'!$A$3:$FB$285,74,FALSE)</f>
        <v>N/A</v>
      </c>
      <c r="BR92" s="27" t="str">
        <f>VLOOKUP($A92,'[1]Raw Data'!$A$3:$FB$285,75,FALSE)</f>
        <v/>
      </c>
      <c r="BS92" s="27" t="str">
        <f>VLOOKUP($A92,'[1]Raw Data'!$A$3:$FB$285,76,FALSE)</f>
        <v>Y</v>
      </c>
      <c r="BT92" s="27" t="str">
        <f t="shared" si="13"/>
        <v>छ</v>
      </c>
      <c r="BU92" s="27" t="str">
        <f>VLOOKUP($A92,'[1]Raw Data'!$A$3:$FB$285,77,FALSE)</f>
        <v/>
      </c>
      <c r="BV92" s="27">
        <f>VLOOKUP($A92,'[1]Raw Data'!$A$3:$FB$285,78,FALSE)</f>
        <v>370950</v>
      </c>
      <c r="BW92" s="27" t="str">
        <f>VLOOKUP($A92,'[1]Raw Data'!$A$3:$FB$285,79,FALSE)</f>
        <v>Y</v>
      </c>
      <c r="BX92" s="27" t="str">
        <f t="shared" si="14"/>
        <v>छ</v>
      </c>
      <c r="BY92" s="27" t="str">
        <f>VLOOKUP($A92,'[1]Raw Data'!$A$3:$FB$285,80,FALSE)</f>
        <v/>
      </c>
      <c r="BZ92" s="27">
        <f>VLOOKUP($A92,'[1]Raw Data'!$A$3:$FB$285,81,FALSE)</f>
        <v>1331616</v>
      </c>
      <c r="CA92" s="27" t="str">
        <f>VLOOKUP($A92,'[1]Raw Data'!$A$3:$FB$285,82,FALSE)</f>
        <v>Y</v>
      </c>
      <c r="CB92" s="27" t="str">
        <f t="shared" si="15"/>
        <v>छ</v>
      </c>
      <c r="CC92" s="27" t="str">
        <f>VLOOKUP($A92,'[1]Raw Data'!$A$3:$FB$285,83,FALSE)</f>
        <v/>
      </c>
      <c r="CD92" s="27">
        <f>VLOOKUP($A92,'[1]Raw Data'!$A$3:$FB$285,84,FALSE)</f>
        <v>15130</v>
      </c>
      <c r="CE92" s="27" t="str">
        <f>VLOOKUP($A92,'[1]Raw Data'!$A$3:$FB$285,85,FALSE)</f>
        <v>Y</v>
      </c>
      <c r="CF92" s="27" t="str">
        <f t="shared" si="16"/>
        <v>छ</v>
      </c>
      <c r="CG92" s="27" t="str">
        <f>VLOOKUP($A92,'[1]Raw Data'!$A$3:$FB$285,86,FALSE)</f>
        <v>N/A</v>
      </c>
      <c r="CH92" s="27">
        <f>VLOOKUP($A92,'[1]Raw Data'!$A$3:$FB$285,87,FALSE)</f>
        <v>1831727</v>
      </c>
      <c r="CI92" s="27" t="str">
        <f>VLOOKUP($A92,'[1]Raw Data'!$A$3:$FB$285,88,FALSE)</f>
        <v>Y</v>
      </c>
      <c r="CJ92" s="27" t="str">
        <f t="shared" si="17"/>
        <v>छ</v>
      </c>
      <c r="CK92" s="27" t="str">
        <f>VLOOKUP($A92,'[1]Raw Data'!$A$3:$FB$285,89,FALSE)</f>
        <v/>
      </c>
      <c r="CL92" s="27" t="str">
        <f>VLOOKUP($A92,'[1]Raw Data'!$A$3:$FB$285,91,FALSE)</f>
        <v/>
      </c>
      <c r="CM92" s="27" t="str">
        <f>VLOOKUP($A92,'[1]Raw Data'!$A$3:$FB$285,93,FALSE)</f>
        <v/>
      </c>
      <c r="CN92" s="27" t="str">
        <f>VLOOKUP($A92,'[1]Raw Data'!$A$3:$FB$285,94,FALSE)</f>
        <v/>
      </c>
      <c r="CO92" s="27" t="str">
        <f>VLOOKUP($A92,'[1]Raw Data'!$A$3:$FB$285,95,FALSE)</f>
        <v/>
      </c>
      <c r="CP92" s="27" t="str">
        <f>VLOOKUP($A92,'[1]Raw Data'!$A$3:$FB$285,96,FALSE)</f>
        <v/>
      </c>
      <c r="CQ92" s="27" t="str">
        <f>VLOOKUP($A92,'[1]Raw Data'!$A$3:$FB$285,97,FALSE)</f>
        <v/>
      </c>
      <c r="CR92" s="27" t="str">
        <f>VLOOKUP($A92,'[1]Raw Data'!$A$3:$FB$285,98,FALSE)</f>
        <v/>
      </c>
      <c r="CS92" s="27" t="str">
        <f>VLOOKUP($A92,'[1]Raw Data'!$A$3:$FB$285,99,FALSE)</f>
        <v/>
      </c>
      <c r="CT92" s="27" t="str">
        <f>VLOOKUP($A92,'[1]Raw Data'!$A$3:$FB$285,101,FALSE)</f>
        <v>Tashi Lama Hyolmo</v>
      </c>
      <c r="CU92" s="27" t="s">
        <v>1065</v>
      </c>
      <c r="CV92" s="27" t="str">
        <f>VLOOKUP($A92,'[1]Raw Data'!$A$3:$FB$285,102,FALSE)</f>
        <v>Chairman</v>
      </c>
      <c r="CW92" s="27" t="s">
        <v>878</v>
      </c>
      <c r="CX92" s="27">
        <f>VLOOKUP($A92,'[1]Raw Data'!$A$3:$FB$285,103,FALSE)</f>
        <v>9803275836</v>
      </c>
      <c r="CY92" s="27" t="str">
        <f>VLOOKUP($A92,'[1]Raw Data'!$A$3:$FB$285,105,FALSE)</f>
        <v>Sunita Adhikari</v>
      </c>
      <c r="CZ92" s="27" t="s">
        <v>1066</v>
      </c>
      <c r="DA92" s="27" t="str">
        <f>VLOOKUP($A92,'[1]Raw Data'!$A$3:$FB$285,106,FALSE)</f>
        <v>Deputy Chairman</v>
      </c>
      <c r="DB92" s="27" t="s">
        <v>879</v>
      </c>
      <c r="DC92" s="27">
        <f>VLOOKUP($A92,'[1]Raw Data'!$A$3:$FB$285,107,FALSE)</f>
        <v>9803805437</v>
      </c>
      <c r="DD92" s="27" t="str">
        <f>VLOOKUP($A92,'[1]Raw Data'!$A$3:$FB$285,109,FALSE)</f>
        <v>Sanjay Kumar Singh</v>
      </c>
      <c r="DE92" s="27" t="s">
        <v>1067</v>
      </c>
      <c r="DF92" s="27" t="str">
        <f>VLOOKUP($A92,'[1]Raw Data'!$A$3:$FB$285,110,FALSE)</f>
        <v>Chief Adminstration Officer</v>
      </c>
      <c r="DG92" s="27" t="s">
        <v>880</v>
      </c>
      <c r="DH92" s="27">
        <f>VLOOKUP($A92,'[1]Raw Data'!$A$3:$FB$285,111,FALSE)</f>
        <v>9805928539</v>
      </c>
      <c r="DI92" s="27" t="str">
        <f>VLOOKUP($A92,'[1]Raw Data'!$A$3:$FB$285,121,FALSE)</f>
        <v>Benjamin Shrestha</v>
      </c>
      <c r="DJ92" s="27" t="s">
        <v>1068</v>
      </c>
      <c r="DK92" s="27" t="str">
        <f>VLOOKUP($A92,'[1]Raw Data'!$A$3:$FB$285,122,FALSE)</f>
        <v>Focal Person</v>
      </c>
      <c r="DL92" s="27" t="s">
        <v>881</v>
      </c>
      <c r="DM92" s="27">
        <f>VLOOKUP($A92,'[1]Raw Data'!$A$3:$FB$285,123,FALSE)</f>
        <v>9843200490</v>
      </c>
      <c r="DN92" s="27" t="str">
        <f>VLOOKUP($A92,'[1]Raw Data'!$A$3:$FB$285,113,FALSE)</f>
        <v>Jay Prakash Gupta</v>
      </c>
      <c r="DO92" s="27" t="s">
        <v>1029</v>
      </c>
      <c r="DP92" s="27" t="str">
        <f>VLOOKUP($A92,'[1]Raw Data'!$A$3:$FB$285,114,FALSE)</f>
        <v>NRA Chief-District</v>
      </c>
      <c r="DQ92" s="27" t="s">
        <v>882</v>
      </c>
      <c r="DR92" s="27">
        <f>VLOOKUP($A92,'[1]Raw Data'!$A$3:$FB$285,115,FALSE)</f>
        <v>9858320531</v>
      </c>
      <c r="DS92" s="27" t="str">
        <f>VLOOKUP($A92,'[1]Raw Data'!$A$3:$FB$285,117,FALSE)</f>
        <v>Santosh Kumar Niraula</v>
      </c>
      <c r="DT92" s="27" t="s">
        <v>1030</v>
      </c>
      <c r="DU92" s="27" t="str">
        <f>VLOOKUP($A92,'[1]Raw Data'!$A$3:$FB$285,118,FALSE)</f>
        <v>DUDBC.DLPIU Chief</v>
      </c>
      <c r="DV92" s="27" t="s">
        <v>883</v>
      </c>
      <c r="DW92" s="27">
        <f>VLOOKUP($A92,'[1]Raw Data'!$A$3:$FB$285,119,FALSE)</f>
        <v>9851136372</v>
      </c>
      <c r="DX92" s="27" t="s">
        <v>339</v>
      </c>
      <c r="DY92" s="27" t="str">
        <f>VLOOKUP($A92,'[1]Raw Data'!$A$3:$FB$285,124,FALSE)</f>
        <v/>
      </c>
      <c r="DZ92" s="27" t="s">
        <v>884</v>
      </c>
      <c r="EA92" s="27" t="str">
        <f>VLOOKUP($A92,'[1]Raw Data'!$A$3:$FB$285,125,FALSE)</f>
        <v/>
      </c>
      <c r="EB92" s="27" t="s">
        <v>341</v>
      </c>
      <c r="EC92" s="27" t="str">
        <f>VLOOKUP($A92,'[1]Raw Data'!$A$3:$FB$285,126,FALSE)</f>
        <v/>
      </c>
      <c r="ED92" t="s">
        <v>478</v>
      </c>
      <c r="EE92" s="27" t="str">
        <f>VLOOKUP($A92,'[1]Raw Data'!$A$3:$FB$285,127,FALSE)</f>
        <v/>
      </c>
      <c r="EF92" s="27" t="s">
        <v>343</v>
      </c>
      <c r="EG92" s="27" t="str">
        <f>VLOOKUP($A92,'[1]Raw Data'!$A$3:$FB$285,128,FALSE)</f>
        <v/>
      </c>
      <c r="EH92" t="s">
        <v>344</v>
      </c>
      <c r="EI92" s="27" t="str">
        <f>VLOOKUP($A92,'[1]Raw Data'!$A$3:$FB$285,129,FALSE)</f>
        <v/>
      </c>
      <c r="EM92" s="27">
        <f>VLOOKUP($A92,'[1]Raw Data'!$A$3:$FB$285,130,FALSE)</f>
        <v>8</v>
      </c>
      <c r="EN92" s="27" t="str">
        <f>VLOOKUP($A92,'[1]Raw Data'!$A$3:$FB$285,131,FALSE)</f>
        <v>0</v>
      </c>
      <c r="EO92" s="27">
        <f>VLOOKUP($A92,'[1]Raw Data'!$A$3:$FB$285,132,FALSE)</f>
        <v>5</v>
      </c>
      <c r="EP92" s="27" t="str">
        <f>VLOOKUP($A92,'[1]Raw Data'!$A$3:$FB$285,133,FALSE)</f>
        <v>3</v>
      </c>
      <c r="EQ92" s="27">
        <f>VLOOKUP($A92,'[1]Raw Data'!$A$3:$FB$285,134,FALSE)</f>
        <v>5</v>
      </c>
      <c r="ER92" s="27" t="str">
        <f>VLOOKUP($A92,'[1]Raw Data'!$A$3:$FB$285,135,FALSE)</f>
        <v>3</v>
      </c>
      <c r="ES92" s="27" t="str">
        <f>VLOOKUP($A92,'[1]Raw Data'!$A$3:$FB$285,136,FALSE)</f>
        <v>1020</v>
      </c>
      <c r="ET92" s="27" t="str">
        <f>VLOOKUP($A92,'[1]Raw Data'!$A$3:$FB$285,137,FALSE)</f>
        <v>0</v>
      </c>
      <c r="EU92" s="27" t="str">
        <f>VLOOKUP($A92,'[1]Raw Data'!$A$3:$FB$285,138,FALSE)</f>
        <v>125</v>
      </c>
      <c r="EV92" s="27" t="str">
        <f>VLOOKUP($A92,'[1]Raw Data'!$A$3:$FB$285,139,FALSE)</f>
        <v>0</v>
      </c>
      <c r="EW92" s="38">
        <f>VLOOKUP($A92,[1]Training!$A$2:$I$284,5,FALSE)</f>
        <v>540.76923076923072</v>
      </c>
      <c r="EX92" s="31">
        <f>VLOOKUP($A92,[1]Training!$A$2:$I$284,6,FALSE)</f>
        <v>1184</v>
      </c>
      <c r="EY92" s="38">
        <f>VLOOKUP($A92,[1]Training!$A$2:$I$284,8,FALSE)</f>
        <v>727.23302031011133</v>
      </c>
      <c r="EZ92" s="31">
        <f>VLOOKUP($A92,[1]Training!$A$2:$I$284,9,FALSE)</f>
        <v>0</v>
      </c>
      <c r="FA92" s="27">
        <v>1</v>
      </c>
      <c r="FB92" s="27">
        <v>2</v>
      </c>
      <c r="FC92" s="27" t="str">
        <f>VLOOKUP($A92,'[1]Raw Data'!$A$3:$FB$285,148,FALSE)</f>
        <v/>
      </c>
      <c r="FD92" s="27" t="s">
        <v>1031</v>
      </c>
      <c r="FE92" s="27" t="str">
        <f>VLOOKUP($A92,'[1]Raw Data'!$A$3:$FB$285,149,FALSE)</f>
        <v>District Coordinator</v>
      </c>
      <c r="FF92" s="27" t="s">
        <v>885</v>
      </c>
      <c r="FG92" s="27">
        <f>VLOOKUP($A92,'[1]Raw Data'!$A$3:$FB$285,150,FALSE)</f>
        <v>9654028388</v>
      </c>
      <c r="FH92" s="27" t="str">
        <f>VLOOKUP($A92,'[1]Raw Data'!$A$3:$FB$285,156,FALSE)</f>
        <v xml:space="preserve">Pradip Sharma </v>
      </c>
      <c r="FI92" s="27" t="s">
        <v>1032</v>
      </c>
      <c r="FJ92" s="27" t="str">
        <f>VLOOKUP($A92,'[1]Raw Data'!$A$3:$FB$285,157,FALSE)</f>
        <v>District Technical Officer</v>
      </c>
      <c r="FK92" s="27" t="s">
        <v>886</v>
      </c>
      <c r="FL92" s="27">
        <f>VLOOKUP($A92,'[1]Raw Data'!$A$3:$FB$285,158,FALSE)</f>
        <v>9851073208</v>
      </c>
      <c r="FM92" s="27" t="str">
        <f>VLOOKUP($A92,'[1]Raw Data'!$A$3:$FB$285,152,FALSE)</f>
        <v>Pranjal Bhandari</v>
      </c>
      <c r="FN92" s="27" t="s">
        <v>1033</v>
      </c>
      <c r="FO92" s="27" t="str">
        <f>VLOOKUP($A92,'[1]Raw Data'!$A$3:$FB$285,153,FALSE)</f>
        <v>DIstrict Information Management Officer</v>
      </c>
      <c r="FP92" s="27" t="s">
        <v>887</v>
      </c>
      <c r="FQ92" s="27">
        <f>VLOOKUP($A92,'[1]Raw Data'!$A$3:$FB$285,154,FALSE)</f>
        <v>9840057752</v>
      </c>
    </row>
    <row r="93" spans="1:173" ht="24" x14ac:dyDescent="0.45">
      <c r="A93" s="27">
        <v>23011</v>
      </c>
      <c r="B93" s="36" t="str">
        <f ca="1">IFERROR(__xludf.DUMMYFUNCTION("""COMPUTED_VALUE"""),"Sunkoshi Gaunpalika")</f>
        <v>Sunkoshi Gaunpalika</v>
      </c>
      <c r="C93" s="37" t="str">
        <f>VLOOKUP(A93,'[1]Palika and District in Nepali '!$D$1:$F$283,3,FALSE)</f>
        <v>सुनकोसी गाउँपालिका</v>
      </c>
      <c r="D93" s="36" t="str">
        <f ca="1">IFERROR(__xludf.DUMMYFUNCTION("""COMPUTED_VALUE"""),"Sindhupalchowk")</f>
        <v>Sindhupalchowk</v>
      </c>
      <c r="E93" s="36"/>
      <c r="F93" s="27">
        <f>VLOOKUP(A93,'[1]Raw Data'!$A$3:$FB$285,4,FALSE)</f>
        <v>123</v>
      </c>
      <c r="G93" s="27">
        <f>VLOOKUP(A93,'[1]Raw Data'!$A$3:$FB$285,5,FALSE)</f>
        <v>5485</v>
      </c>
      <c r="H93" s="27">
        <f>VLOOKUP(A93,'[1]Raw Data'!$A$3:$FB$285,6,FALSE)</f>
        <v>5608</v>
      </c>
      <c r="I93" s="27">
        <f>VLOOKUP($A93,'[1]Raw Data'!$A$3:$FB$285,8,FALSE)</f>
        <v>0.75</v>
      </c>
      <c r="J93" s="27">
        <f>VLOOKUP($A93,'[1]Raw Data'!$A$3:$FB$285,9,FALSE)</f>
        <v>1.23</v>
      </c>
      <c r="K93" s="27">
        <f>VLOOKUP($A93,'[1]Raw Data'!$A$3:$FB$285,11,FALSE)</f>
        <v>96.59</v>
      </c>
      <c r="L93" s="27">
        <f>VLOOKUP($A93,'[1]Raw Data'!$A$3:$FB$285,12,FALSE)</f>
        <v>90.24</v>
      </c>
      <c r="M93" s="27">
        <f>VLOOKUP($A93,'[1]Raw Data'!$A$3:$FB$285,14,FALSE)</f>
        <v>1.71</v>
      </c>
      <c r="N93" s="27">
        <f>VLOOKUP($A93,'[1]Raw Data'!$A$3:$FB$285,15,FALSE)</f>
        <v>2.5499999999999998</v>
      </c>
      <c r="O93" s="27">
        <f>VLOOKUP($A93,'[1]Raw Data'!$A$3:$FB$285,17,FALSE)</f>
        <v>0.02</v>
      </c>
      <c r="P93" s="27">
        <f>VLOOKUP($A93,'[1]Raw Data'!$A$3:$FB$285,18,FALSE)</f>
        <v>0.16</v>
      </c>
      <c r="Q93" s="27">
        <f>VLOOKUP($A93,'[1]Raw Data'!$A$3:$FB$285,20,FALSE)</f>
        <v>0.54</v>
      </c>
      <c r="R93" s="27">
        <f>VLOOKUP($A93,'[1]Raw Data'!$A$3:$FB$285,21,FALSE)</f>
        <v>1.57</v>
      </c>
      <c r="S93" s="27">
        <f>VLOOKUP($A93,'[1]Raw Data'!$A$3:$FB$285,23,FALSE)</f>
        <v>0</v>
      </c>
      <c r="T93" s="27">
        <f>VLOOKUP($A93,'[1]Raw Data'!$A$3:$FB$285,24,FALSE)</f>
        <v>0</v>
      </c>
      <c r="U93" s="27">
        <f>VLOOKUP($A93,'[1]Raw Data'!$A$3:$FB$285,26,FALSE)</f>
        <v>0.16</v>
      </c>
      <c r="V93" s="27">
        <f>VLOOKUP($A93,'[1]Raw Data'!$A$3:$FB$285,27,FALSE)</f>
        <v>0.3</v>
      </c>
      <c r="W93" s="27">
        <f>VLOOKUP($A93,'[1]Raw Data'!$A$3:$FB$285,29,FALSE)</f>
        <v>0</v>
      </c>
      <c r="X93" s="27">
        <f>VLOOKUP($A93,'[1]Raw Data'!$A$3:$FB$285,30,FALSE)</f>
        <v>0</v>
      </c>
      <c r="Y93" s="27">
        <f>VLOOKUP($A93,'[1]Raw Data'!$A$3:$FB$285,32,FALSE)</f>
        <v>0.05</v>
      </c>
      <c r="Z93" s="27">
        <f>VLOOKUP($A93,'[1]Raw Data'!$A$3:$FB$285,33,FALSE)</f>
        <v>1.08</v>
      </c>
      <c r="AA93" s="27">
        <f>VLOOKUP($A93,'[1]Raw Data'!$A$3:$FB$285,35,FALSE)</f>
        <v>0.11</v>
      </c>
      <c r="AB93" s="27">
        <f>VLOOKUP($A93,'[1]Raw Data'!$A$3:$FB$285,36,FALSE)</f>
        <v>2.85</v>
      </c>
      <c r="AC93" s="27">
        <f>VLOOKUP($A93,'[1]Raw Data'!$A$3:$FB$285,38,FALSE)</f>
        <v>7.0000000000000007E-2</v>
      </c>
      <c r="AD93" s="27">
        <f>VLOOKUP($A93,'[1]Raw Data'!$A$3:$FB$285,39,FALSE)</f>
        <v>0.02</v>
      </c>
      <c r="AE93" s="27">
        <f>VLOOKUP($A93,'[1]Raw Data'!$A$3:$FB$285,41,FALSE)</f>
        <v>0</v>
      </c>
      <c r="AF93" s="27">
        <f>VLOOKUP($A93,'[1]Raw Data'!$A$3:$FB$285,42,FALSE)</f>
        <v>0</v>
      </c>
      <c r="AG93" s="27">
        <f>VLOOKUP($A93,'[1]Raw Data'!$A$3:$FB$285,44,FALSE)</f>
        <v>0</v>
      </c>
      <c r="AH93" s="27">
        <f>VLOOKUP($A93,'[1]Raw Data'!$A$3:$FB$285,45,FALSE)</f>
        <v>0</v>
      </c>
      <c r="AI93" s="27">
        <f>VLOOKUP($A93,'[1]Raw Data'!$A$3:$FB$285,46,FALSE)</f>
        <v>5616</v>
      </c>
      <c r="AJ93" s="27">
        <f>VLOOKUP($A93,'[1]Raw Data'!$A$3:$FB$285,47,FALSE)</f>
        <v>5554</v>
      </c>
      <c r="AK93" s="27">
        <f>VLOOKUP($A93,'[1]Raw Data'!$A$3:$FB$285,48,FALSE)</f>
        <v>5553</v>
      </c>
      <c r="AL93" s="27">
        <f>VLOOKUP($A93,'[1]Raw Data'!$A$3:$FB$285,49,FALSE)</f>
        <v>4947</v>
      </c>
      <c r="AM93" s="27">
        <f>VLOOKUP($A93,'[1]Raw Data'!$A$3:$FB$285,50,FALSE)</f>
        <v>4050</v>
      </c>
      <c r="AN93" s="27">
        <f>VLOOKUP($A93,'[1]Raw Data'!$A$3:$FB$285,51,FALSE)</f>
        <v>0</v>
      </c>
      <c r="AO93" s="27" t="str">
        <f>VLOOKUP($A93,'[1]Raw Data'!$A$3:$FB$285,52,FALSE)</f>
        <v/>
      </c>
      <c r="AP93" s="27">
        <f>VLOOKUP($A93,'[1]Raw Data'!$A$3:$FB$285,53,FALSE)</f>
        <v>31</v>
      </c>
      <c r="AQ93" s="27">
        <f>VLOOKUP($A93,'[1]Raw Data'!$A$3:$FB$285,54,FALSE)</f>
        <v>8</v>
      </c>
      <c r="AR93" s="27">
        <f>VLOOKUP($A93,'[1]Raw Data'!$A$3:$FB$285,55,FALSE)</f>
        <v>8</v>
      </c>
      <c r="AS93" s="27">
        <f>VLOOKUP($A93,'[1]Raw Data'!$A$3:$FB$285,56,FALSE)</f>
        <v>0</v>
      </c>
      <c r="AT93" s="27">
        <f>VLOOKUP($A93,'[1]Raw Data'!$A$3:$FB$285,57,FALSE)</f>
        <v>1127</v>
      </c>
      <c r="AU93" s="27">
        <f>VLOOKUP($A93,'[1]Raw Data'!$A$3:$FB$285,58,FALSE)</f>
        <v>682</v>
      </c>
      <c r="AV93" s="27" t="str">
        <f>VLOOKUP($A93,'[1]Raw Data'!$A$3:$FB$285,59,FALSE)</f>
        <v/>
      </c>
      <c r="AW93" s="27" t="str">
        <f>VLOOKUP($A93,'[1]Raw Data'!$A$3:$FB$285,60,FALSE)</f>
        <v/>
      </c>
      <c r="AX93" s="27" t="str">
        <f>VLOOKUP(A93,'[1]PO''s List'!A91:E373,4,FALSE)</f>
        <v>CARITAS-N(Shelter)</v>
      </c>
      <c r="AZ93" s="27" t="str">
        <f>VLOOKUP(A93,'[1]PO''s List'!$A$3:$E$285,5,FALSE)</f>
        <v>CFJ(Education),ChayYa-N(Education),GON(Shelter),IOM(Shelter),MI(Health),NR(Education),OXFAM-GB(Shelter),PLAN(Health),PWJ(Health),SABAL(Shelter),SCI(DRR,Education,Nutrition,Shelter,Social Protection)</v>
      </c>
      <c r="BB93" s="27">
        <f>VLOOKUP($A93,'[1]Raw Data'!$A$3:$FB$285,63,FALSE)</f>
        <v>74256</v>
      </c>
      <c r="BC93" s="27" t="str">
        <f>VLOOKUP($A93,'[1]Raw Data'!$A$3:$FB$285,64,FALSE)</f>
        <v/>
      </c>
      <c r="BD93" s="27" t="str">
        <f t="shared" si="9"/>
        <v/>
      </c>
      <c r="BE93" s="27" t="str">
        <f>VLOOKUP($A93,'[1]Raw Data'!$A$3:$FB$285,65,FALSE)</f>
        <v/>
      </c>
      <c r="BF93" s="27">
        <f>VLOOKUP($A93,'[1]Raw Data'!$A$3:$FB$285,66,FALSE)</f>
        <v>72362</v>
      </c>
      <c r="BG93" s="27" t="str">
        <f>VLOOKUP($A93,'[1]Raw Data'!$A$3:$FB$285,67,FALSE)</f>
        <v/>
      </c>
      <c r="BH93" s="27" t="str">
        <f t="shared" si="10"/>
        <v/>
      </c>
      <c r="BI93" s="27" t="str">
        <f>VLOOKUP($A93,'[1]Raw Data'!$A$3:$FB$285,68,FALSE)</f>
        <v/>
      </c>
      <c r="BJ93" s="27">
        <f>VLOOKUP($A93,'[1]Raw Data'!$A$3:$FB$285,69,FALSE)</f>
        <v>7893</v>
      </c>
      <c r="BK93" s="27" t="str">
        <f>VLOOKUP($A93,'[1]Raw Data'!$A$3:$FB$285,70,FALSE)</f>
        <v/>
      </c>
      <c r="BL93" s="27" t="str">
        <f t="shared" si="11"/>
        <v/>
      </c>
      <c r="BM93" s="27" t="str">
        <f>VLOOKUP($A93,'[1]Raw Data'!$A$3:$FB$285,71,FALSE)</f>
        <v/>
      </c>
      <c r="BN93" s="27">
        <f>VLOOKUP($A93,'[1]Raw Data'!$A$3:$FB$285,72,FALSE)</f>
        <v>8978</v>
      </c>
      <c r="BO93" s="27" t="str">
        <f>VLOOKUP($A93,'[1]Raw Data'!$A$3:$FB$285,73,FALSE)</f>
        <v/>
      </c>
      <c r="BP93" s="27" t="str">
        <f t="shared" si="12"/>
        <v/>
      </c>
      <c r="BQ93" s="27" t="str">
        <f>VLOOKUP($A93,'[1]Raw Data'!$A$3:$FB$285,74,FALSE)</f>
        <v/>
      </c>
      <c r="BR93" s="27" t="str">
        <f>VLOOKUP($A93,'[1]Raw Data'!$A$3:$FB$285,75,FALSE)</f>
        <v/>
      </c>
      <c r="BS93" s="27" t="str">
        <f>VLOOKUP($A93,'[1]Raw Data'!$A$3:$FB$285,76,FALSE)</f>
        <v/>
      </c>
      <c r="BT93" s="27" t="str">
        <f t="shared" si="13"/>
        <v/>
      </c>
      <c r="BU93" s="27" t="str">
        <f>VLOOKUP($A93,'[1]Raw Data'!$A$3:$FB$285,77,FALSE)</f>
        <v/>
      </c>
      <c r="BV93" s="27">
        <f>VLOOKUP($A93,'[1]Raw Data'!$A$3:$FB$285,78,FALSE)</f>
        <v>240274</v>
      </c>
      <c r="BW93" s="27" t="str">
        <f>VLOOKUP($A93,'[1]Raw Data'!$A$3:$FB$285,79,FALSE)</f>
        <v/>
      </c>
      <c r="BX93" s="27" t="str">
        <f t="shared" si="14"/>
        <v/>
      </c>
      <c r="BY93" s="27" t="str">
        <f>VLOOKUP($A93,'[1]Raw Data'!$A$3:$FB$285,80,FALSE)</f>
        <v/>
      </c>
      <c r="BZ93" s="27">
        <f>VLOOKUP($A93,'[1]Raw Data'!$A$3:$FB$285,81,FALSE)</f>
        <v>810529</v>
      </c>
      <c r="CA93" s="27" t="str">
        <f>VLOOKUP($A93,'[1]Raw Data'!$A$3:$FB$285,82,FALSE)</f>
        <v/>
      </c>
      <c r="CB93" s="27" t="str">
        <f t="shared" si="15"/>
        <v/>
      </c>
      <c r="CC93" s="27" t="str">
        <f>VLOOKUP($A93,'[1]Raw Data'!$A$3:$FB$285,83,FALSE)</f>
        <v/>
      </c>
      <c r="CD93" s="27">
        <f>VLOOKUP($A93,'[1]Raw Data'!$A$3:$FB$285,84,FALSE)</f>
        <v>9813</v>
      </c>
      <c r="CE93" s="27" t="str">
        <f>VLOOKUP($A93,'[1]Raw Data'!$A$3:$FB$285,85,FALSE)</f>
        <v/>
      </c>
      <c r="CF93" s="27" t="str">
        <f t="shared" si="16"/>
        <v/>
      </c>
      <c r="CG93" s="27" t="str">
        <f>VLOOKUP($A93,'[1]Raw Data'!$A$3:$FB$285,86,FALSE)</f>
        <v/>
      </c>
      <c r="CH93" s="27">
        <f>VLOOKUP($A93,'[1]Raw Data'!$A$3:$FB$285,87,FALSE)</f>
        <v>995738</v>
      </c>
      <c r="CI93" s="27" t="str">
        <f>VLOOKUP($A93,'[1]Raw Data'!$A$3:$FB$285,88,FALSE)</f>
        <v/>
      </c>
      <c r="CJ93" s="27" t="str">
        <f t="shared" si="17"/>
        <v/>
      </c>
      <c r="CK93" s="27" t="str">
        <f>VLOOKUP($A93,'[1]Raw Data'!$A$3:$FB$285,89,FALSE)</f>
        <v/>
      </c>
      <c r="CL93" s="27" t="str">
        <f>VLOOKUP($A93,'[1]Raw Data'!$A$3:$FB$285,91,FALSE)</f>
        <v/>
      </c>
      <c r="CM93" s="27" t="str">
        <f>VLOOKUP($A93,'[1]Raw Data'!$A$3:$FB$285,93,FALSE)</f>
        <v/>
      </c>
      <c r="CN93" s="27" t="str">
        <f>VLOOKUP($A93,'[1]Raw Data'!$A$3:$FB$285,94,FALSE)</f>
        <v/>
      </c>
      <c r="CO93" s="27" t="str">
        <f>VLOOKUP($A93,'[1]Raw Data'!$A$3:$FB$285,95,FALSE)</f>
        <v/>
      </c>
      <c r="CP93" s="27" t="str">
        <f>VLOOKUP($A93,'[1]Raw Data'!$A$3:$FB$285,96,FALSE)</f>
        <v/>
      </c>
      <c r="CQ93" s="27" t="str">
        <f>VLOOKUP($A93,'[1]Raw Data'!$A$3:$FB$285,97,FALSE)</f>
        <v/>
      </c>
      <c r="CR93" s="27" t="str">
        <f>VLOOKUP($A93,'[1]Raw Data'!$A$3:$FB$285,98,FALSE)</f>
        <v/>
      </c>
      <c r="CS93" s="27" t="str">
        <f>VLOOKUP($A93,'[1]Raw Data'!$A$3:$FB$285,99,FALSE)</f>
        <v/>
      </c>
      <c r="CT93" s="27" t="str">
        <f>VLOOKUP($A93,'[1]Raw Data'!$A$3:$FB$285,101,FALSE)</f>
        <v>Shrawan Kumar G.C</v>
      </c>
      <c r="CU93" s="27" t="s">
        <v>1069</v>
      </c>
      <c r="CV93" s="27" t="str">
        <f>VLOOKUP($A93,'[1]Raw Data'!$A$3:$FB$285,102,FALSE)</f>
        <v>Chairman</v>
      </c>
      <c r="CW93" s="27" t="s">
        <v>878</v>
      </c>
      <c r="CX93" s="27">
        <f>VLOOKUP($A93,'[1]Raw Data'!$A$3:$FB$285,103,FALSE)</f>
        <v>9851030336</v>
      </c>
      <c r="CY93" s="27" t="str">
        <f>VLOOKUP($A93,'[1]Raw Data'!$A$3:$FB$285,105,FALSE)</f>
        <v>Laxmi Poudel</v>
      </c>
      <c r="CZ93" s="27" t="s">
        <v>1070</v>
      </c>
      <c r="DA93" s="27" t="str">
        <f>VLOOKUP($A93,'[1]Raw Data'!$A$3:$FB$285,106,FALSE)</f>
        <v>Deputy Chairman</v>
      </c>
      <c r="DB93" s="27" t="s">
        <v>879</v>
      </c>
      <c r="DC93" s="27">
        <f>VLOOKUP($A93,'[1]Raw Data'!$A$3:$FB$285,107,FALSE)</f>
        <v>9851038575</v>
      </c>
      <c r="DD93" s="27" t="str">
        <f>VLOOKUP($A93,'[1]Raw Data'!$A$3:$FB$285,109,FALSE)</f>
        <v>Bir Bahadur Basnet</v>
      </c>
      <c r="DE93" s="27" t="s">
        <v>1071</v>
      </c>
      <c r="DF93" s="27" t="str">
        <f>VLOOKUP($A93,'[1]Raw Data'!$A$3:$FB$285,110,FALSE)</f>
        <v>Chief Adminstration Officer</v>
      </c>
      <c r="DG93" s="27" t="s">
        <v>880</v>
      </c>
      <c r="DH93" s="27">
        <f>VLOOKUP($A93,'[1]Raw Data'!$A$3:$FB$285,111,FALSE)</f>
        <v>9841743662</v>
      </c>
      <c r="DI93" s="27" t="str">
        <f>VLOOKUP($A93,'[1]Raw Data'!$A$3:$FB$285,121,FALSE)</f>
        <v>Ram Hari Thapa</v>
      </c>
      <c r="DJ93" s="27" t="s">
        <v>1072</v>
      </c>
      <c r="DK93" s="27" t="str">
        <f>VLOOKUP($A93,'[1]Raw Data'!$A$3:$FB$285,122,FALSE)</f>
        <v>Focal Person</v>
      </c>
      <c r="DL93" s="27" t="s">
        <v>881</v>
      </c>
      <c r="DM93" s="27">
        <f>VLOOKUP($A93,'[1]Raw Data'!$A$3:$FB$285,123,FALSE)</f>
        <v>9851203284</v>
      </c>
      <c r="DN93" s="27" t="str">
        <f>VLOOKUP($A93,'[1]Raw Data'!$A$3:$FB$285,113,FALSE)</f>
        <v>Jay Prakash Gupta</v>
      </c>
      <c r="DO93" s="27" t="s">
        <v>1029</v>
      </c>
      <c r="DP93" s="27" t="str">
        <f>VLOOKUP($A93,'[1]Raw Data'!$A$3:$FB$285,114,FALSE)</f>
        <v>NRA Chief-District</v>
      </c>
      <c r="DQ93" s="27" t="s">
        <v>882</v>
      </c>
      <c r="DR93" s="27">
        <f>VLOOKUP($A93,'[1]Raw Data'!$A$3:$FB$285,115,FALSE)</f>
        <v>9858320531</v>
      </c>
      <c r="DS93" s="27" t="str">
        <f>VLOOKUP($A93,'[1]Raw Data'!$A$3:$FB$285,117,FALSE)</f>
        <v>Santosh Kumar Niraula</v>
      </c>
      <c r="DT93" s="27" t="s">
        <v>1030</v>
      </c>
      <c r="DU93" s="27" t="str">
        <f>VLOOKUP($A93,'[1]Raw Data'!$A$3:$FB$285,118,FALSE)</f>
        <v>DUDBC.DLPIU Chief</v>
      </c>
      <c r="DV93" s="27" t="s">
        <v>883</v>
      </c>
      <c r="DW93" s="27">
        <f>VLOOKUP($A93,'[1]Raw Data'!$A$3:$FB$285,119,FALSE)</f>
        <v>9851136372</v>
      </c>
      <c r="DX93" s="27" t="s">
        <v>339</v>
      </c>
      <c r="DY93" s="27" t="str">
        <f>VLOOKUP($A93,'[1]Raw Data'!$A$3:$FB$285,124,FALSE)</f>
        <v/>
      </c>
      <c r="DZ93" s="27" t="s">
        <v>884</v>
      </c>
      <c r="EA93" s="27" t="str">
        <f>VLOOKUP($A93,'[1]Raw Data'!$A$3:$FB$285,125,FALSE)</f>
        <v/>
      </c>
      <c r="EB93" s="27" t="s">
        <v>341</v>
      </c>
      <c r="EC93" s="27" t="str">
        <f>VLOOKUP($A93,'[1]Raw Data'!$A$3:$FB$285,126,FALSE)</f>
        <v/>
      </c>
      <c r="ED93" t="s">
        <v>478</v>
      </c>
      <c r="EE93" s="27" t="str">
        <f>VLOOKUP($A93,'[1]Raw Data'!$A$3:$FB$285,127,FALSE)</f>
        <v/>
      </c>
      <c r="EF93" s="27" t="s">
        <v>343</v>
      </c>
      <c r="EG93" s="27" t="str">
        <f>VLOOKUP($A93,'[1]Raw Data'!$A$3:$FB$285,128,FALSE)</f>
        <v/>
      </c>
      <c r="EH93" t="s">
        <v>344</v>
      </c>
      <c r="EI93" s="27" t="str">
        <f>VLOOKUP($A93,'[1]Raw Data'!$A$3:$FB$285,129,FALSE)</f>
        <v/>
      </c>
      <c r="EM93" s="27" t="str">
        <f>VLOOKUP($A93,'[1]Raw Data'!$A$3:$FB$285,130,FALSE)</f>
        <v/>
      </c>
      <c r="EN93" s="27" t="str">
        <f>VLOOKUP($A93,'[1]Raw Data'!$A$3:$FB$285,131,FALSE)</f>
        <v/>
      </c>
      <c r="EO93" s="27" t="str">
        <f>VLOOKUP($A93,'[1]Raw Data'!$A$3:$FB$285,132,FALSE)</f>
        <v/>
      </c>
      <c r="EP93" s="27" t="str">
        <f>VLOOKUP($A93,'[1]Raw Data'!$A$3:$FB$285,133,FALSE)</f>
        <v/>
      </c>
      <c r="EQ93" s="27" t="str">
        <f>VLOOKUP($A93,'[1]Raw Data'!$A$3:$FB$285,134,FALSE)</f>
        <v/>
      </c>
      <c r="ER93" s="27" t="str">
        <f>VLOOKUP($A93,'[1]Raw Data'!$A$3:$FB$285,135,FALSE)</f>
        <v/>
      </c>
      <c r="ES93" s="27" t="str">
        <f>VLOOKUP($A93,'[1]Raw Data'!$A$3:$FB$285,136,FALSE)</f>
        <v/>
      </c>
      <c r="ET93" s="27" t="str">
        <f>VLOOKUP($A93,'[1]Raw Data'!$A$3:$FB$285,137,FALSE)</f>
        <v/>
      </c>
      <c r="EU93" s="27" t="str">
        <f>VLOOKUP($A93,'[1]Raw Data'!$A$3:$FB$285,138,FALSE)</f>
        <v/>
      </c>
      <c r="EV93" s="27" t="str">
        <f>VLOOKUP($A93,'[1]Raw Data'!$A$3:$FB$285,139,FALSE)</f>
        <v/>
      </c>
      <c r="EW93" s="38">
        <f>VLOOKUP($A93,[1]Training!$A$2:$I$284,5,FALSE)</f>
        <v>432</v>
      </c>
      <c r="EX93" s="31">
        <f>VLOOKUP($A93,[1]Training!$A$2:$I$284,6,FALSE)</f>
        <v>125</v>
      </c>
      <c r="EY93" s="38">
        <f>VLOOKUP($A93,[1]Training!$A$2:$I$284,8,FALSE)</f>
        <v>580.9588395535684</v>
      </c>
      <c r="EZ93" s="31">
        <f>VLOOKUP($A93,[1]Training!$A$2:$I$284,9,FALSE)</f>
        <v>0</v>
      </c>
      <c r="FA93" s="27">
        <v>1</v>
      </c>
      <c r="FB93" s="27">
        <v>2</v>
      </c>
      <c r="FC93" s="27" t="str">
        <f>VLOOKUP($A93,'[1]Raw Data'!$A$3:$FB$285,148,FALSE)</f>
        <v/>
      </c>
      <c r="FD93" s="27" t="s">
        <v>1031</v>
      </c>
      <c r="FE93" s="27" t="str">
        <f>VLOOKUP($A93,'[1]Raw Data'!$A$3:$FB$285,149,FALSE)</f>
        <v>District Coordinator</v>
      </c>
      <c r="FF93" s="27" t="s">
        <v>885</v>
      </c>
      <c r="FG93" s="27">
        <f>VLOOKUP($A93,'[1]Raw Data'!$A$3:$FB$285,150,FALSE)</f>
        <v>9654028388</v>
      </c>
      <c r="FH93" s="27" t="str">
        <f>VLOOKUP($A93,'[1]Raw Data'!$A$3:$FB$285,156,FALSE)</f>
        <v xml:space="preserve">Pradip Sharma </v>
      </c>
      <c r="FI93" s="27" t="s">
        <v>1032</v>
      </c>
      <c r="FJ93" s="27" t="str">
        <f>VLOOKUP($A93,'[1]Raw Data'!$A$3:$FB$285,157,FALSE)</f>
        <v>District Technical Officer</v>
      </c>
      <c r="FK93" s="27" t="s">
        <v>886</v>
      </c>
      <c r="FL93" s="27">
        <f>VLOOKUP($A93,'[1]Raw Data'!$A$3:$FB$285,158,FALSE)</f>
        <v>9851073208</v>
      </c>
      <c r="FM93" s="27" t="str">
        <f>VLOOKUP($A93,'[1]Raw Data'!$A$3:$FB$285,152,FALSE)</f>
        <v>Pranjal Bhandari</v>
      </c>
      <c r="FN93" s="27" t="s">
        <v>1033</v>
      </c>
      <c r="FO93" s="27" t="str">
        <f>VLOOKUP($A93,'[1]Raw Data'!$A$3:$FB$285,153,FALSE)</f>
        <v>DIstrict Information Management Officer</v>
      </c>
      <c r="FP93" s="27" t="s">
        <v>887</v>
      </c>
      <c r="FQ93" s="27">
        <f>VLOOKUP($A93,'[1]Raw Data'!$A$3:$FB$285,154,FALSE)</f>
        <v>9840057752</v>
      </c>
    </row>
    <row r="94" spans="1:173" ht="24" x14ac:dyDescent="0.45">
      <c r="A94" s="27">
        <v>23012</v>
      </c>
      <c r="B94" s="36" t="str">
        <f ca="1">IFERROR(__xludf.DUMMYFUNCTION("""COMPUTED_VALUE"""),"Tripurasundari Gaunpalika")</f>
        <v>Tripurasundari Gaunpalika</v>
      </c>
      <c r="C94" s="37" t="str">
        <f>VLOOKUP(A94,'[1]Palika and District in Nepali '!$D$1:$F$283,3,FALSE)</f>
        <v>त्रिपुरा सुन्दरी गाउँपालिका</v>
      </c>
      <c r="D94" s="36" t="str">
        <f ca="1">IFERROR(__xludf.DUMMYFUNCTION("""COMPUTED_VALUE"""),"Sindhupalchowk")</f>
        <v>Sindhupalchowk</v>
      </c>
      <c r="E94" s="36"/>
      <c r="F94" s="27">
        <f>VLOOKUP(A94,'[1]Raw Data'!$A$3:$FB$285,4,FALSE)</f>
        <v>108</v>
      </c>
      <c r="G94" s="27">
        <f>VLOOKUP(A94,'[1]Raw Data'!$A$3:$FB$285,5,FALSE)</f>
        <v>4404</v>
      </c>
      <c r="H94" s="27">
        <f>VLOOKUP(A94,'[1]Raw Data'!$A$3:$FB$285,6,FALSE)</f>
        <v>4512</v>
      </c>
      <c r="I94" s="27">
        <f>VLOOKUP($A94,'[1]Raw Data'!$A$3:$FB$285,8,FALSE)</f>
        <v>1.04</v>
      </c>
      <c r="J94" s="27">
        <f>VLOOKUP($A94,'[1]Raw Data'!$A$3:$FB$285,9,FALSE)</f>
        <v>1.23</v>
      </c>
      <c r="K94" s="27">
        <f>VLOOKUP($A94,'[1]Raw Data'!$A$3:$FB$285,11,FALSE)</f>
        <v>96.52</v>
      </c>
      <c r="L94" s="27">
        <f>VLOOKUP($A94,'[1]Raw Data'!$A$3:$FB$285,12,FALSE)</f>
        <v>90.24</v>
      </c>
      <c r="M94" s="27">
        <f>VLOOKUP($A94,'[1]Raw Data'!$A$3:$FB$285,14,FALSE)</f>
        <v>0.4</v>
      </c>
      <c r="N94" s="27">
        <f>VLOOKUP($A94,'[1]Raw Data'!$A$3:$FB$285,15,FALSE)</f>
        <v>2.5499999999999998</v>
      </c>
      <c r="O94" s="27">
        <f>VLOOKUP($A94,'[1]Raw Data'!$A$3:$FB$285,17,FALSE)</f>
        <v>0</v>
      </c>
      <c r="P94" s="27">
        <f>VLOOKUP($A94,'[1]Raw Data'!$A$3:$FB$285,18,FALSE)</f>
        <v>0.16</v>
      </c>
      <c r="Q94" s="27">
        <f>VLOOKUP($A94,'[1]Raw Data'!$A$3:$FB$285,20,FALSE)</f>
        <v>1.22</v>
      </c>
      <c r="R94" s="27">
        <f>VLOOKUP($A94,'[1]Raw Data'!$A$3:$FB$285,21,FALSE)</f>
        <v>1.57</v>
      </c>
      <c r="S94" s="27">
        <f>VLOOKUP($A94,'[1]Raw Data'!$A$3:$FB$285,23,FALSE)</f>
        <v>0</v>
      </c>
      <c r="T94" s="27">
        <f>VLOOKUP($A94,'[1]Raw Data'!$A$3:$FB$285,24,FALSE)</f>
        <v>0</v>
      </c>
      <c r="U94" s="27">
        <f>VLOOKUP($A94,'[1]Raw Data'!$A$3:$FB$285,26,FALSE)</f>
        <v>0.16</v>
      </c>
      <c r="V94" s="27">
        <f>VLOOKUP($A94,'[1]Raw Data'!$A$3:$FB$285,27,FALSE)</f>
        <v>0.3</v>
      </c>
      <c r="W94" s="27">
        <f>VLOOKUP($A94,'[1]Raw Data'!$A$3:$FB$285,29,FALSE)</f>
        <v>0</v>
      </c>
      <c r="X94" s="27">
        <f>VLOOKUP($A94,'[1]Raw Data'!$A$3:$FB$285,30,FALSE)</f>
        <v>0</v>
      </c>
      <c r="Y94" s="27">
        <f>VLOOKUP($A94,'[1]Raw Data'!$A$3:$FB$285,32,FALSE)</f>
        <v>0.4</v>
      </c>
      <c r="Z94" s="27">
        <f>VLOOKUP($A94,'[1]Raw Data'!$A$3:$FB$285,33,FALSE)</f>
        <v>1.08</v>
      </c>
      <c r="AA94" s="27">
        <f>VLOOKUP($A94,'[1]Raw Data'!$A$3:$FB$285,35,FALSE)</f>
        <v>0.24</v>
      </c>
      <c r="AB94" s="27">
        <f>VLOOKUP($A94,'[1]Raw Data'!$A$3:$FB$285,36,FALSE)</f>
        <v>2.85</v>
      </c>
      <c r="AC94" s="27">
        <f>VLOOKUP($A94,'[1]Raw Data'!$A$3:$FB$285,38,FALSE)</f>
        <v>0.02</v>
      </c>
      <c r="AD94" s="27">
        <f>VLOOKUP($A94,'[1]Raw Data'!$A$3:$FB$285,39,FALSE)</f>
        <v>0.02</v>
      </c>
      <c r="AE94" s="27">
        <f>VLOOKUP($A94,'[1]Raw Data'!$A$3:$FB$285,41,FALSE)</f>
        <v>0</v>
      </c>
      <c r="AF94" s="27">
        <f>VLOOKUP($A94,'[1]Raw Data'!$A$3:$FB$285,42,FALSE)</f>
        <v>0</v>
      </c>
      <c r="AG94" s="27">
        <f>VLOOKUP($A94,'[1]Raw Data'!$A$3:$FB$285,44,FALSE)</f>
        <v>0</v>
      </c>
      <c r="AH94" s="27">
        <f>VLOOKUP($A94,'[1]Raw Data'!$A$3:$FB$285,45,FALSE)</f>
        <v>0</v>
      </c>
      <c r="AI94" s="27">
        <f>VLOOKUP($A94,'[1]Raw Data'!$A$3:$FB$285,46,FALSE)</f>
        <v>4554</v>
      </c>
      <c r="AJ94" s="27">
        <f>VLOOKUP($A94,'[1]Raw Data'!$A$3:$FB$285,47,FALSE)</f>
        <v>4437</v>
      </c>
      <c r="AK94" s="27">
        <f>VLOOKUP($A94,'[1]Raw Data'!$A$3:$FB$285,48,FALSE)</f>
        <v>4436</v>
      </c>
      <c r="AL94" s="27">
        <f>VLOOKUP($A94,'[1]Raw Data'!$A$3:$FB$285,49,FALSE)</f>
        <v>4085</v>
      </c>
      <c r="AM94" s="27">
        <f>VLOOKUP($A94,'[1]Raw Data'!$A$3:$FB$285,50,FALSE)</f>
        <v>3081</v>
      </c>
      <c r="AN94" s="27">
        <f>VLOOKUP($A94,'[1]Raw Data'!$A$3:$FB$285,51,FALSE)</f>
        <v>0</v>
      </c>
      <c r="AO94" s="27" t="str">
        <f>VLOOKUP($A94,'[1]Raw Data'!$A$3:$FB$285,52,FALSE)</f>
        <v/>
      </c>
      <c r="AP94" s="27">
        <f>VLOOKUP($A94,'[1]Raw Data'!$A$3:$FB$285,53,FALSE)</f>
        <v>19</v>
      </c>
      <c r="AQ94" s="27">
        <f>VLOOKUP($A94,'[1]Raw Data'!$A$3:$FB$285,54,FALSE)</f>
        <v>5</v>
      </c>
      <c r="AR94" s="27">
        <f>VLOOKUP($A94,'[1]Raw Data'!$A$3:$FB$285,55,FALSE)</f>
        <v>5</v>
      </c>
      <c r="AS94" s="27">
        <f>VLOOKUP($A94,'[1]Raw Data'!$A$3:$FB$285,56,FALSE)</f>
        <v>0</v>
      </c>
      <c r="AT94" s="27">
        <f>VLOOKUP($A94,'[1]Raw Data'!$A$3:$FB$285,57,FALSE)</f>
        <v>930</v>
      </c>
      <c r="AU94" s="27">
        <f>VLOOKUP($A94,'[1]Raw Data'!$A$3:$FB$285,58,FALSE)</f>
        <v>448</v>
      </c>
      <c r="AV94" s="27" t="str">
        <f>VLOOKUP($A94,'[1]Raw Data'!$A$3:$FB$285,59,FALSE)</f>
        <v/>
      </c>
      <c r="AW94" s="27" t="str">
        <f>VLOOKUP($A94,'[1]Raw Data'!$A$3:$FB$285,60,FALSE)</f>
        <v/>
      </c>
      <c r="AX94" s="27" t="str">
        <f>VLOOKUP(A94,'[1]PO''s List'!A92:E374,4,FALSE)</f>
        <v>JICA(Shelter)</v>
      </c>
      <c r="AZ94" s="27" t="str">
        <f>VLOOKUP(A94,'[1]PO''s List'!$A$3:$E$285,5,FALSE)</f>
        <v>AATWIN(Social Protection),CFJ(Education),GON-PAF(Shelter),ICCO(Livelihood,DRR,Education,Employment ,Shelter),MC(Other),Shelter),NRA(Shelter),OXFAM-GB(Shelter),PLAN(Health),Praramva(Education),SABAL(Shelter),SCI(Nutrition,Shelter)</v>
      </c>
      <c r="BB94" s="27">
        <f>VLOOKUP($A94,'[1]Raw Data'!$A$3:$FB$285,63,FALSE)</f>
        <v>101425</v>
      </c>
      <c r="BC94" s="27" t="str">
        <f>VLOOKUP($A94,'[1]Raw Data'!$A$3:$FB$285,64,FALSE)</f>
        <v/>
      </c>
      <c r="BD94" s="27" t="str">
        <f t="shared" si="9"/>
        <v/>
      </c>
      <c r="BE94" s="27" t="str">
        <f>VLOOKUP($A94,'[1]Raw Data'!$A$3:$FB$285,65,FALSE)</f>
        <v/>
      </c>
      <c r="BF94" s="27">
        <f>VLOOKUP($A94,'[1]Raw Data'!$A$3:$FB$285,66,FALSE)</f>
        <v>98610</v>
      </c>
      <c r="BG94" s="27" t="str">
        <f>VLOOKUP($A94,'[1]Raw Data'!$A$3:$FB$285,67,FALSE)</f>
        <v/>
      </c>
      <c r="BH94" s="27" t="str">
        <f t="shared" si="10"/>
        <v/>
      </c>
      <c r="BI94" s="27" t="str">
        <f>VLOOKUP($A94,'[1]Raw Data'!$A$3:$FB$285,68,FALSE)</f>
        <v/>
      </c>
      <c r="BJ94" s="27">
        <f>VLOOKUP($A94,'[1]Raw Data'!$A$3:$FB$285,69,FALSE)</f>
        <v>10783</v>
      </c>
      <c r="BK94" s="27" t="str">
        <f>VLOOKUP($A94,'[1]Raw Data'!$A$3:$FB$285,70,FALSE)</f>
        <v/>
      </c>
      <c r="BL94" s="27" t="str">
        <f t="shared" si="11"/>
        <v/>
      </c>
      <c r="BM94" s="27" t="str">
        <f>VLOOKUP($A94,'[1]Raw Data'!$A$3:$FB$285,71,FALSE)</f>
        <v/>
      </c>
      <c r="BN94" s="27">
        <f>VLOOKUP($A94,'[1]Raw Data'!$A$3:$FB$285,72,FALSE)</f>
        <v>12271</v>
      </c>
      <c r="BO94" s="27" t="str">
        <f>VLOOKUP($A94,'[1]Raw Data'!$A$3:$FB$285,73,FALSE)</f>
        <v/>
      </c>
      <c r="BP94" s="27" t="str">
        <f t="shared" si="12"/>
        <v/>
      </c>
      <c r="BQ94" s="27" t="str">
        <f>VLOOKUP($A94,'[1]Raw Data'!$A$3:$FB$285,74,FALSE)</f>
        <v/>
      </c>
      <c r="BR94" s="27" t="str">
        <f>VLOOKUP($A94,'[1]Raw Data'!$A$3:$FB$285,75,FALSE)</f>
        <v/>
      </c>
      <c r="BS94" s="27" t="str">
        <f>VLOOKUP($A94,'[1]Raw Data'!$A$3:$FB$285,76,FALSE)</f>
        <v/>
      </c>
      <c r="BT94" s="27" t="str">
        <f t="shared" si="13"/>
        <v/>
      </c>
      <c r="BU94" s="27" t="str">
        <f>VLOOKUP($A94,'[1]Raw Data'!$A$3:$FB$285,77,FALSE)</f>
        <v/>
      </c>
      <c r="BV94" s="27">
        <f>VLOOKUP($A94,'[1]Raw Data'!$A$3:$FB$285,78,FALSE)</f>
        <v>330453</v>
      </c>
      <c r="BW94" s="27" t="str">
        <f>VLOOKUP($A94,'[1]Raw Data'!$A$3:$FB$285,79,FALSE)</f>
        <v/>
      </c>
      <c r="BX94" s="27" t="str">
        <f t="shared" si="14"/>
        <v/>
      </c>
      <c r="BY94" s="27" t="str">
        <f>VLOOKUP($A94,'[1]Raw Data'!$A$3:$FB$285,80,FALSE)</f>
        <v/>
      </c>
      <c r="BZ94" s="27">
        <f>VLOOKUP($A94,'[1]Raw Data'!$A$3:$FB$285,81,FALSE)</f>
        <v>1111430</v>
      </c>
      <c r="CA94" s="27" t="str">
        <f>VLOOKUP($A94,'[1]Raw Data'!$A$3:$FB$285,82,FALSE)</f>
        <v/>
      </c>
      <c r="CB94" s="27" t="str">
        <f t="shared" si="15"/>
        <v/>
      </c>
      <c r="CC94" s="27" t="str">
        <f>VLOOKUP($A94,'[1]Raw Data'!$A$3:$FB$285,83,FALSE)</f>
        <v/>
      </c>
      <c r="CD94" s="27">
        <f>VLOOKUP($A94,'[1]Raw Data'!$A$3:$FB$285,84,FALSE)</f>
        <v>13514</v>
      </c>
      <c r="CE94" s="27" t="str">
        <f>VLOOKUP($A94,'[1]Raw Data'!$A$3:$FB$285,85,FALSE)</f>
        <v/>
      </c>
      <c r="CF94" s="27" t="str">
        <f t="shared" si="16"/>
        <v/>
      </c>
      <c r="CG94" s="27" t="str">
        <f>VLOOKUP($A94,'[1]Raw Data'!$A$3:$FB$285,86,FALSE)</f>
        <v/>
      </c>
      <c r="CH94" s="27">
        <f>VLOOKUP($A94,'[1]Raw Data'!$A$3:$FB$285,87,FALSE)</f>
        <v>1834218</v>
      </c>
      <c r="CI94" s="27" t="str">
        <f>VLOOKUP($A94,'[1]Raw Data'!$A$3:$FB$285,88,FALSE)</f>
        <v/>
      </c>
      <c r="CJ94" s="27" t="str">
        <f t="shared" si="17"/>
        <v/>
      </c>
      <c r="CK94" s="27" t="str">
        <f>VLOOKUP($A94,'[1]Raw Data'!$A$3:$FB$285,89,FALSE)</f>
        <v/>
      </c>
      <c r="CL94" s="27" t="str">
        <f>VLOOKUP($A94,'[1]Raw Data'!$A$3:$FB$285,91,FALSE)</f>
        <v/>
      </c>
      <c r="CM94" s="27" t="str">
        <f>VLOOKUP($A94,'[1]Raw Data'!$A$3:$FB$285,93,FALSE)</f>
        <v/>
      </c>
      <c r="CN94" s="27" t="str">
        <f>VLOOKUP($A94,'[1]Raw Data'!$A$3:$FB$285,94,FALSE)</f>
        <v/>
      </c>
      <c r="CO94" s="27" t="str">
        <f>VLOOKUP($A94,'[1]Raw Data'!$A$3:$FB$285,95,FALSE)</f>
        <v/>
      </c>
      <c r="CP94" s="27" t="str">
        <f>VLOOKUP($A94,'[1]Raw Data'!$A$3:$FB$285,96,FALSE)</f>
        <v/>
      </c>
      <c r="CQ94" s="27" t="str">
        <f>VLOOKUP($A94,'[1]Raw Data'!$A$3:$FB$285,97,FALSE)</f>
        <v/>
      </c>
      <c r="CR94" s="27" t="str">
        <f>VLOOKUP($A94,'[1]Raw Data'!$A$3:$FB$285,98,FALSE)</f>
        <v/>
      </c>
      <c r="CS94" s="27" t="str">
        <f>VLOOKUP($A94,'[1]Raw Data'!$A$3:$FB$285,99,FALSE)</f>
        <v/>
      </c>
      <c r="CT94" s="27" t="str">
        <f>VLOOKUP($A94,'[1]Raw Data'!$A$3:$FB$285,101,FALSE)</f>
        <v>Bhupendra Shrestha</v>
      </c>
      <c r="CU94" s="27" t="s">
        <v>1073</v>
      </c>
      <c r="CV94" s="27" t="str">
        <f>VLOOKUP($A94,'[1]Raw Data'!$A$3:$FB$285,102,FALSE)</f>
        <v>Chairman</v>
      </c>
      <c r="CW94" s="27" t="s">
        <v>878</v>
      </c>
      <c r="CX94" s="27">
        <f>VLOOKUP($A94,'[1]Raw Data'!$A$3:$FB$285,103,FALSE)</f>
        <v>9851210270</v>
      </c>
      <c r="CY94" s="27" t="str">
        <f>VLOOKUP($A94,'[1]Raw Data'!$A$3:$FB$285,105,FALSE)</f>
        <v>Durga Nepal</v>
      </c>
      <c r="CZ94" s="27" t="s">
        <v>1074</v>
      </c>
      <c r="DA94" s="27" t="str">
        <f>VLOOKUP($A94,'[1]Raw Data'!$A$3:$FB$285,106,FALSE)</f>
        <v>Deputy Chairman</v>
      </c>
      <c r="DB94" s="27" t="s">
        <v>879</v>
      </c>
      <c r="DC94" s="27">
        <f>VLOOKUP($A94,'[1]Raw Data'!$A$3:$FB$285,107,FALSE)</f>
        <v>9741181911</v>
      </c>
      <c r="DD94" s="27" t="str">
        <f>VLOOKUP($A94,'[1]Raw Data'!$A$3:$FB$285,109,FALSE)</f>
        <v>Rajendra Prasad Nepal</v>
      </c>
      <c r="DE94" s="27" t="s">
        <v>1075</v>
      </c>
      <c r="DF94" s="27" t="str">
        <f>VLOOKUP($A94,'[1]Raw Data'!$A$3:$FB$285,110,FALSE)</f>
        <v>Chief Adminstration Officer</v>
      </c>
      <c r="DG94" s="27" t="s">
        <v>880</v>
      </c>
      <c r="DH94" s="27">
        <f>VLOOKUP($A94,'[1]Raw Data'!$A$3:$FB$285,111,FALSE)</f>
        <v>9841535479</v>
      </c>
      <c r="DI94" s="27" t="str">
        <f>VLOOKUP($A94,'[1]Raw Data'!$A$3:$FB$285,121,FALSE)</f>
        <v>Sunil Shrestha</v>
      </c>
      <c r="DJ94" s="27" t="s">
        <v>1076</v>
      </c>
      <c r="DK94" s="27" t="str">
        <f>VLOOKUP($A94,'[1]Raw Data'!$A$3:$FB$285,122,FALSE)</f>
        <v>Focal Person</v>
      </c>
      <c r="DL94" s="27" t="s">
        <v>881</v>
      </c>
      <c r="DM94" s="27">
        <f>VLOOKUP($A94,'[1]Raw Data'!$A$3:$FB$285,123,FALSE)</f>
        <v>9849394426</v>
      </c>
      <c r="DN94" s="27" t="str">
        <f>VLOOKUP($A94,'[1]Raw Data'!$A$3:$FB$285,113,FALSE)</f>
        <v>Jay Prakash Gupta</v>
      </c>
      <c r="DO94" s="27" t="s">
        <v>1029</v>
      </c>
      <c r="DP94" s="27" t="str">
        <f>VLOOKUP($A94,'[1]Raw Data'!$A$3:$FB$285,114,FALSE)</f>
        <v>NRA Chief-District</v>
      </c>
      <c r="DQ94" s="27" t="s">
        <v>882</v>
      </c>
      <c r="DR94" s="27">
        <f>VLOOKUP($A94,'[1]Raw Data'!$A$3:$FB$285,115,FALSE)</f>
        <v>9858320531</v>
      </c>
      <c r="DS94" s="27" t="str">
        <f>VLOOKUP($A94,'[1]Raw Data'!$A$3:$FB$285,117,FALSE)</f>
        <v>Santosh Kumar Niraula</v>
      </c>
      <c r="DT94" s="27" t="s">
        <v>1030</v>
      </c>
      <c r="DU94" s="27" t="str">
        <f>VLOOKUP($A94,'[1]Raw Data'!$A$3:$FB$285,118,FALSE)</f>
        <v>DUDBC.DLPIU Chief</v>
      </c>
      <c r="DV94" s="27" t="s">
        <v>883</v>
      </c>
      <c r="DW94" s="27">
        <f>VLOOKUP($A94,'[1]Raw Data'!$A$3:$FB$285,119,FALSE)</f>
        <v>9851136372</v>
      </c>
      <c r="DX94" s="27" t="s">
        <v>339</v>
      </c>
      <c r="DY94" s="27" t="str">
        <f>VLOOKUP($A94,'[1]Raw Data'!$A$3:$FB$285,124,FALSE)</f>
        <v/>
      </c>
      <c r="DZ94" s="27" t="s">
        <v>884</v>
      </c>
      <c r="EA94" s="27" t="str">
        <f>VLOOKUP($A94,'[1]Raw Data'!$A$3:$FB$285,125,FALSE)</f>
        <v/>
      </c>
      <c r="EB94" s="27" t="s">
        <v>341</v>
      </c>
      <c r="EC94" s="27" t="str">
        <f>VLOOKUP($A94,'[1]Raw Data'!$A$3:$FB$285,126,FALSE)</f>
        <v/>
      </c>
      <c r="ED94" t="s">
        <v>478</v>
      </c>
      <c r="EE94" s="27" t="str">
        <f>VLOOKUP($A94,'[1]Raw Data'!$A$3:$FB$285,127,FALSE)</f>
        <v/>
      </c>
      <c r="EF94" s="27" t="s">
        <v>343</v>
      </c>
      <c r="EG94" s="27" t="str">
        <f>VLOOKUP($A94,'[1]Raw Data'!$A$3:$FB$285,128,FALSE)</f>
        <v/>
      </c>
      <c r="EH94" t="s">
        <v>344</v>
      </c>
      <c r="EI94" s="27" t="str">
        <f>VLOOKUP($A94,'[1]Raw Data'!$A$3:$FB$285,129,FALSE)</f>
        <v/>
      </c>
      <c r="EM94" s="27" t="str">
        <f>VLOOKUP($A94,'[1]Raw Data'!$A$3:$FB$285,130,FALSE)</f>
        <v/>
      </c>
      <c r="EN94" s="27" t="str">
        <f>VLOOKUP($A94,'[1]Raw Data'!$A$3:$FB$285,131,FALSE)</f>
        <v/>
      </c>
      <c r="EO94" s="27" t="str">
        <f>VLOOKUP($A94,'[1]Raw Data'!$A$3:$FB$285,132,FALSE)</f>
        <v/>
      </c>
      <c r="EP94" s="27" t="str">
        <f>VLOOKUP($A94,'[1]Raw Data'!$A$3:$FB$285,133,FALSE)</f>
        <v/>
      </c>
      <c r="EQ94" s="27" t="str">
        <f>VLOOKUP($A94,'[1]Raw Data'!$A$3:$FB$285,134,FALSE)</f>
        <v/>
      </c>
      <c r="ER94" s="27" t="str">
        <f>VLOOKUP($A94,'[1]Raw Data'!$A$3:$FB$285,135,FALSE)</f>
        <v/>
      </c>
      <c r="ES94" s="27" t="str">
        <f>VLOOKUP($A94,'[1]Raw Data'!$A$3:$FB$285,136,FALSE)</f>
        <v/>
      </c>
      <c r="ET94" s="27" t="str">
        <f>VLOOKUP($A94,'[1]Raw Data'!$A$3:$FB$285,137,FALSE)</f>
        <v/>
      </c>
      <c r="EU94" s="27" t="str">
        <f>VLOOKUP($A94,'[1]Raw Data'!$A$3:$FB$285,138,FALSE)</f>
        <v/>
      </c>
      <c r="EV94" s="27" t="str">
        <f>VLOOKUP($A94,'[1]Raw Data'!$A$3:$FB$285,139,FALSE)</f>
        <v/>
      </c>
      <c r="EW94" s="38">
        <f>VLOOKUP($A94,[1]Training!$A$2:$I$284,5,FALSE)</f>
        <v>350.30769230769232</v>
      </c>
      <c r="EX94" s="31">
        <f>VLOOKUP($A94,[1]Training!$A$2:$I$284,6,FALSE)</f>
        <v>340</v>
      </c>
      <c r="EY94" s="38">
        <f>VLOOKUP($A94,[1]Training!$A$2:$I$284,8,FALSE)</f>
        <v>471.09803335593841</v>
      </c>
      <c r="EZ94" s="31">
        <f>VLOOKUP($A94,[1]Training!$A$2:$I$284,9,FALSE)</f>
        <v>0</v>
      </c>
      <c r="FA94" s="27">
        <v>1</v>
      </c>
      <c r="FB94" s="27">
        <v>2</v>
      </c>
      <c r="FC94" s="27" t="str">
        <f>VLOOKUP($A94,'[1]Raw Data'!$A$3:$FB$285,148,FALSE)</f>
        <v/>
      </c>
      <c r="FD94" s="27" t="s">
        <v>1031</v>
      </c>
      <c r="FE94" s="27" t="str">
        <f>VLOOKUP($A94,'[1]Raw Data'!$A$3:$FB$285,149,FALSE)</f>
        <v>District Coordinator</v>
      </c>
      <c r="FF94" s="27" t="s">
        <v>885</v>
      </c>
      <c r="FG94" s="27">
        <f>VLOOKUP($A94,'[1]Raw Data'!$A$3:$FB$285,150,FALSE)</f>
        <v>9654028388</v>
      </c>
      <c r="FH94" s="27" t="str">
        <f>VLOOKUP($A94,'[1]Raw Data'!$A$3:$FB$285,156,FALSE)</f>
        <v xml:space="preserve">Pradip Sharma </v>
      </c>
      <c r="FI94" s="27" t="s">
        <v>1032</v>
      </c>
      <c r="FJ94" s="27" t="str">
        <f>VLOOKUP($A94,'[1]Raw Data'!$A$3:$FB$285,157,FALSE)</f>
        <v>District Technical Officer</v>
      </c>
      <c r="FK94" s="27" t="s">
        <v>886</v>
      </c>
      <c r="FL94" s="27">
        <f>VLOOKUP($A94,'[1]Raw Data'!$A$3:$FB$285,158,FALSE)</f>
        <v>9851073208</v>
      </c>
      <c r="FM94" s="27" t="str">
        <f>VLOOKUP($A94,'[1]Raw Data'!$A$3:$FB$285,152,FALSE)</f>
        <v>Pranjal Bhandari</v>
      </c>
      <c r="FN94" s="27" t="s">
        <v>1033</v>
      </c>
      <c r="FO94" s="27" t="str">
        <f>VLOOKUP($A94,'[1]Raw Data'!$A$3:$FB$285,153,FALSE)</f>
        <v>DIstrict Information Management Officer</v>
      </c>
      <c r="FP94" s="27" t="s">
        <v>887</v>
      </c>
      <c r="FQ94" s="27">
        <f>VLOOKUP($A94,'[1]Raw Data'!$A$3:$FB$285,154,FALSE)</f>
        <v>9840057752</v>
      </c>
    </row>
    <row r="95" spans="1:173" ht="24" x14ac:dyDescent="0.45">
      <c r="A95" s="27">
        <v>24001</v>
      </c>
      <c r="B95" s="36" t="str">
        <f ca="1">IFERROR(__xludf.DUMMYFUNCTION("""COMPUTED_VALUE"""),"Banepa Nagarpalika")</f>
        <v>Banepa Nagarpalika</v>
      </c>
      <c r="C95" s="37" t="str">
        <f>VLOOKUP(A95,'[1]Palika and District in Nepali '!$D$1:$F$283,3,FALSE)</f>
        <v>बनेपा नगरपालिका</v>
      </c>
      <c r="D95" s="36" t="str">
        <f ca="1">IFERROR(__xludf.DUMMYFUNCTION("""COMPUTED_VALUE"""),"Kavrepalanchok")</f>
        <v>Kavrepalanchok</v>
      </c>
      <c r="E95" s="36"/>
      <c r="F95" s="27">
        <f>VLOOKUP(A95,'[1]Raw Data'!$A$3:$FB$285,4,FALSE)</f>
        <v>4855</v>
      </c>
      <c r="G95" s="27">
        <f>VLOOKUP(A95,'[1]Raw Data'!$A$3:$FB$285,5,FALSE)</f>
        <v>7190</v>
      </c>
      <c r="H95" s="27">
        <f>VLOOKUP(A95,'[1]Raw Data'!$A$3:$FB$285,6,FALSE)</f>
        <v>12045</v>
      </c>
      <c r="I95" s="27">
        <f>VLOOKUP($A95,'[1]Raw Data'!$A$3:$FB$285,8,FALSE)</f>
        <v>0.62</v>
      </c>
      <c r="J95" s="27">
        <f>VLOOKUP($A95,'[1]Raw Data'!$A$3:$FB$285,9,FALSE)</f>
        <v>0.28999999999999998</v>
      </c>
      <c r="K95" s="27">
        <f>VLOOKUP($A95,'[1]Raw Data'!$A$3:$FB$285,11,FALSE)</f>
        <v>29.57</v>
      </c>
      <c r="L95" s="27">
        <f>VLOOKUP($A95,'[1]Raw Data'!$A$3:$FB$285,12,FALSE)</f>
        <v>69.19</v>
      </c>
      <c r="M95" s="27">
        <f>VLOOKUP($A95,'[1]Raw Data'!$A$3:$FB$285,14,FALSE)</f>
        <v>22.85</v>
      </c>
      <c r="N95" s="27">
        <f>VLOOKUP($A95,'[1]Raw Data'!$A$3:$FB$285,15,FALSE)</f>
        <v>5.98</v>
      </c>
      <c r="O95" s="27">
        <f>VLOOKUP($A95,'[1]Raw Data'!$A$3:$FB$285,17,FALSE)</f>
        <v>12.93</v>
      </c>
      <c r="P95" s="27">
        <f>VLOOKUP($A95,'[1]Raw Data'!$A$3:$FB$285,18,FALSE)</f>
        <v>4.0199999999999996</v>
      </c>
      <c r="Q95" s="27">
        <f>VLOOKUP($A95,'[1]Raw Data'!$A$3:$FB$285,20,FALSE)</f>
        <v>16.75</v>
      </c>
      <c r="R95" s="27">
        <f>VLOOKUP($A95,'[1]Raw Data'!$A$3:$FB$285,21,FALSE)</f>
        <v>4.6500000000000004</v>
      </c>
      <c r="S95" s="27">
        <f>VLOOKUP($A95,'[1]Raw Data'!$A$3:$FB$285,23,FALSE)</f>
        <v>0</v>
      </c>
      <c r="T95" s="27">
        <f>VLOOKUP($A95,'[1]Raw Data'!$A$3:$FB$285,24,FALSE)</f>
        <v>0</v>
      </c>
      <c r="U95" s="27">
        <f>VLOOKUP($A95,'[1]Raw Data'!$A$3:$FB$285,26,FALSE)</f>
        <v>0.11</v>
      </c>
      <c r="V95" s="27">
        <f>VLOOKUP($A95,'[1]Raw Data'!$A$3:$FB$285,27,FALSE)</f>
        <v>0.38</v>
      </c>
      <c r="W95" s="27">
        <f>VLOOKUP($A95,'[1]Raw Data'!$A$3:$FB$285,29,FALSE)</f>
        <v>0</v>
      </c>
      <c r="X95" s="27">
        <f>VLOOKUP($A95,'[1]Raw Data'!$A$3:$FB$285,30,FALSE)</f>
        <v>0</v>
      </c>
      <c r="Y95" s="27">
        <f>VLOOKUP($A95,'[1]Raw Data'!$A$3:$FB$285,32,FALSE)</f>
        <v>0.02</v>
      </c>
      <c r="Z95" s="27">
        <f>VLOOKUP($A95,'[1]Raw Data'!$A$3:$FB$285,33,FALSE)</f>
        <v>0.06</v>
      </c>
      <c r="AA95" s="27">
        <f>VLOOKUP($A95,'[1]Raw Data'!$A$3:$FB$285,35,FALSE)</f>
        <v>17.079999999999998</v>
      </c>
      <c r="AB95" s="27">
        <f>VLOOKUP($A95,'[1]Raw Data'!$A$3:$FB$285,36,FALSE)</f>
        <v>15.32</v>
      </c>
      <c r="AC95" s="27">
        <f>VLOOKUP($A95,'[1]Raw Data'!$A$3:$FB$285,38,FALSE)</f>
        <v>0.08</v>
      </c>
      <c r="AD95" s="27">
        <f>VLOOKUP($A95,'[1]Raw Data'!$A$3:$FB$285,39,FALSE)</f>
        <v>0.11</v>
      </c>
      <c r="AE95" s="27">
        <f>VLOOKUP($A95,'[1]Raw Data'!$A$3:$FB$285,41,FALSE)</f>
        <v>0</v>
      </c>
      <c r="AF95" s="27">
        <f>VLOOKUP($A95,'[1]Raw Data'!$A$3:$FB$285,42,FALSE)</f>
        <v>0</v>
      </c>
      <c r="AG95" s="27">
        <f>VLOOKUP($A95,'[1]Raw Data'!$A$3:$FB$285,44,FALSE)</f>
        <v>0</v>
      </c>
      <c r="AH95" s="27">
        <f>VLOOKUP($A95,'[1]Raw Data'!$A$3:$FB$285,45,FALSE)</f>
        <v>0</v>
      </c>
      <c r="AI95" s="27">
        <f>VLOOKUP($A95,'[1]Raw Data'!$A$3:$FB$285,46,FALSE)</f>
        <v>7070</v>
      </c>
      <c r="AJ95" s="27">
        <f>VLOOKUP($A95,'[1]Raw Data'!$A$3:$FB$285,47,FALSE)</f>
        <v>6354</v>
      </c>
      <c r="AK95" s="27">
        <f>VLOOKUP($A95,'[1]Raw Data'!$A$3:$FB$285,48,FALSE)</f>
        <v>6250</v>
      </c>
      <c r="AL95" s="27">
        <f>VLOOKUP($A95,'[1]Raw Data'!$A$3:$FB$285,49,FALSE)</f>
        <v>2744</v>
      </c>
      <c r="AM95" s="27">
        <f>VLOOKUP($A95,'[1]Raw Data'!$A$3:$FB$285,50,FALSE)</f>
        <v>2084</v>
      </c>
      <c r="AN95" s="27">
        <f>VLOOKUP($A95,'[1]Raw Data'!$A$3:$FB$285,51,FALSE)</f>
        <v>0</v>
      </c>
      <c r="AO95" s="27" t="str">
        <f>VLOOKUP($A95,'[1]Raw Data'!$A$3:$FB$285,52,FALSE)</f>
        <v/>
      </c>
      <c r="AP95" s="27">
        <f>VLOOKUP($A95,'[1]Raw Data'!$A$3:$FB$285,53,FALSE)</f>
        <v>234</v>
      </c>
      <c r="AQ95" s="27" t="str">
        <f>VLOOKUP($A95,'[1]Raw Data'!$A$3:$FB$285,54,FALSE)</f>
        <v/>
      </c>
      <c r="AR95" s="27">
        <f>VLOOKUP($A95,'[1]Raw Data'!$A$3:$FB$285,55,FALSE)</f>
        <v>73</v>
      </c>
      <c r="AS95" s="27">
        <f>VLOOKUP($A95,'[1]Raw Data'!$A$3:$FB$285,56,FALSE)</f>
        <v>0</v>
      </c>
      <c r="AT95" s="27">
        <f>VLOOKUP($A95,'[1]Raw Data'!$A$3:$FB$285,57,FALSE)</f>
        <v>2226</v>
      </c>
      <c r="AU95" s="27">
        <f>VLOOKUP($A95,'[1]Raw Data'!$A$3:$FB$285,58,FALSE)</f>
        <v>2031</v>
      </c>
      <c r="AV95" s="27">
        <f>VLOOKUP($A95,'[1]Raw Data'!$A$3:$FB$285,59,FALSE)</f>
        <v>25</v>
      </c>
      <c r="AW95" s="27">
        <f>VLOOKUP($A95,'[1]Raw Data'!$A$3:$FB$285,60,FALSE)</f>
        <v>25</v>
      </c>
      <c r="AX95" s="27" t="str">
        <f>VLOOKUP(A95,'[1]PO''s List'!A93:E375,4,FALSE)</f>
        <v/>
      </c>
      <c r="AZ95" s="27" t="str">
        <f>VLOOKUP(A95,'[1]PO''s List'!$A$3:$E$285,5,FALSE)</f>
        <v>SCI(Education,Social Protection)</v>
      </c>
      <c r="BB95" s="27">
        <f>VLOOKUP($A95,'[1]Raw Data'!$A$3:$FB$285,63,FALSE)</f>
        <v>52224</v>
      </c>
      <c r="BC95" s="27" t="str">
        <f>VLOOKUP($A95,'[1]Raw Data'!$A$3:$FB$285,64,FALSE)</f>
        <v>Y</v>
      </c>
      <c r="BD95" s="27" t="str">
        <f t="shared" si="9"/>
        <v>छ</v>
      </c>
      <c r="BE95" s="27">
        <f>VLOOKUP($A95,'[1]Raw Data'!$A$3:$FB$285,65,FALSE)</f>
        <v>2200</v>
      </c>
      <c r="BF95" s="27">
        <f>VLOOKUP($A95,'[1]Raw Data'!$A$3:$FB$285,66,FALSE)</f>
        <v>45461</v>
      </c>
      <c r="BG95" s="27" t="str">
        <f>VLOOKUP($A95,'[1]Raw Data'!$A$3:$FB$285,67,FALSE)</f>
        <v>Y</v>
      </c>
      <c r="BH95" s="27" t="str">
        <f t="shared" si="10"/>
        <v>छ</v>
      </c>
      <c r="BI95" s="27">
        <f>VLOOKUP($A95,'[1]Raw Data'!$A$3:$FB$285,68,FALSE)</f>
        <v>2800</v>
      </c>
      <c r="BJ95" s="27">
        <f>VLOOKUP($A95,'[1]Raw Data'!$A$3:$FB$285,69,FALSE)</f>
        <v>5502</v>
      </c>
      <c r="BK95" s="27" t="str">
        <f>VLOOKUP($A95,'[1]Raw Data'!$A$3:$FB$285,70,FALSE)</f>
        <v>Y</v>
      </c>
      <c r="BL95" s="27" t="str">
        <f t="shared" si="11"/>
        <v>छ</v>
      </c>
      <c r="BM95" s="27">
        <f>VLOOKUP($A95,'[1]Raw Data'!$A$3:$FB$285,71,FALSE)</f>
        <v>3000</v>
      </c>
      <c r="BN95" s="27">
        <f>VLOOKUP($A95,'[1]Raw Data'!$A$3:$FB$285,72,FALSE)</f>
        <v>6078</v>
      </c>
      <c r="BO95" s="27" t="str">
        <f>VLOOKUP($A95,'[1]Raw Data'!$A$3:$FB$285,73,FALSE)</f>
        <v>Y</v>
      </c>
      <c r="BP95" s="27" t="str">
        <f t="shared" si="12"/>
        <v>छ</v>
      </c>
      <c r="BQ95" s="27" t="str">
        <f>VLOOKUP($A95,'[1]Raw Data'!$A$3:$FB$285,74,FALSE)</f>
        <v>6000</v>
      </c>
      <c r="BR95" s="27" t="str">
        <f>VLOOKUP($A95,'[1]Raw Data'!$A$3:$FB$285,75,FALSE)</f>
        <v/>
      </c>
      <c r="BS95" s="27" t="str">
        <f>VLOOKUP($A95,'[1]Raw Data'!$A$3:$FB$285,76,FALSE)</f>
        <v>Y</v>
      </c>
      <c r="BT95" s="27" t="str">
        <f t="shared" si="13"/>
        <v>छ</v>
      </c>
      <c r="BU95" s="27">
        <f>VLOOKUP($A95,'[1]Raw Data'!$A$3:$FB$285,77,FALSE)</f>
        <v>900</v>
      </c>
      <c r="BV95" s="27">
        <f>VLOOKUP($A95,'[1]Raw Data'!$A$3:$FB$285,78,FALSE)</f>
        <v>153129</v>
      </c>
      <c r="BW95" s="27" t="str">
        <f>VLOOKUP($A95,'[1]Raw Data'!$A$3:$FB$285,79,FALSE)</f>
        <v>Y</v>
      </c>
      <c r="BX95" s="27" t="str">
        <f t="shared" si="14"/>
        <v>छ</v>
      </c>
      <c r="BY95" s="27">
        <f>VLOOKUP($A95,'[1]Raw Data'!$A$3:$FB$285,80,FALSE)</f>
        <v>900</v>
      </c>
      <c r="BZ95" s="27">
        <f>VLOOKUP($A95,'[1]Raw Data'!$A$3:$FB$285,81,FALSE)</f>
        <v>579897</v>
      </c>
      <c r="CA95" s="27" t="str">
        <f>VLOOKUP($A95,'[1]Raw Data'!$A$3:$FB$285,82,FALSE)</f>
        <v>Y</v>
      </c>
      <c r="CB95" s="27" t="str">
        <f t="shared" si="15"/>
        <v>छ</v>
      </c>
      <c r="CC95" s="27">
        <f>VLOOKUP($A95,'[1]Raw Data'!$A$3:$FB$285,83,FALSE)</f>
        <v>86</v>
      </c>
      <c r="CD95" s="27">
        <f>VLOOKUP($A95,'[1]Raw Data'!$A$3:$FB$285,84,FALSE)</f>
        <v>6253</v>
      </c>
      <c r="CE95" s="27" t="str">
        <f>VLOOKUP($A95,'[1]Raw Data'!$A$3:$FB$285,85,FALSE)</f>
        <v>Y</v>
      </c>
      <c r="CF95" s="27" t="str">
        <f t="shared" si="16"/>
        <v>छ</v>
      </c>
      <c r="CG95" s="27" t="str">
        <f>VLOOKUP($A95,'[1]Raw Data'!$A$3:$FB$285,86,FALSE)</f>
        <v>5000</v>
      </c>
      <c r="CH95" s="27">
        <f>VLOOKUP($A95,'[1]Raw Data'!$A$3:$FB$285,87,FALSE)</f>
        <v>1290870</v>
      </c>
      <c r="CI95" s="27" t="str">
        <f>VLOOKUP($A95,'[1]Raw Data'!$A$3:$FB$285,88,FALSE)</f>
        <v>Y</v>
      </c>
      <c r="CJ95" s="27" t="str">
        <f t="shared" si="17"/>
        <v>छ</v>
      </c>
      <c r="CK95" s="27">
        <f>VLOOKUP($A95,'[1]Raw Data'!$A$3:$FB$285,89,FALSE)</f>
        <v>20</v>
      </c>
      <c r="CL95" s="27">
        <f>VLOOKUP($A95,'[1]Raw Data'!$A$3:$FB$285,91,FALSE)</f>
        <v>1500</v>
      </c>
      <c r="CM95" s="27">
        <f>VLOOKUP($A95,'[1]Raw Data'!$A$3:$FB$285,93,FALSE)</f>
        <v>800</v>
      </c>
      <c r="CN95" s="27" t="str">
        <f>VLOOKUP($A95,'[1]Raw Data'!$A$3:$FB$285,94,FALSE)</f>
        <v/>
      </c>
      <c r="CO95" s="27" t="str">
        <f>VLOOKUP($A95,'[1]Raw Data'!$A$3:$FB$285,95,FALSE)</f>
        <v/>
      </c>
      <c r="CP95" s="27" t="str">
        <f>VLOOKUP($A95,'[1]Raw Data'!$A$3:$FB$285,96,FALSE)</f>
        <v/>
      </c>
      <c r="CQ95" s="27" t="str">
        <f>VLOOKUP($A95,'[1]Raw Data'!$A$3:$FB$285,97,FALSE)</f>
        <v/>
      </c>
      <c r="CR95" s="27" t="str">
        <f>VLOOKUP($A95,'[1]Raw Data'!$A$3:$FB$285,98,FALSE)</f>
        <v/>
      </c>
      <c r="CS95" s="27" t="str">
        <f>VLOOKUP($A95,'[1]Raw Data'!$A$3:$FB$285,99,FALSE)</f>
        <v/>
      </c>
      <c r="CT95" s="27" t="str">
        <f>VLOOKUP($A95,'[1]Raw Data'!$A$3:$FB$285,101,FALSE)</f>
        <v>Laxmi Narsingh Bade</v>
      </c>
      <c r="CU95" s="27" t="s">
        <v>1077</v>
      </c>
      <c r="CV95" s="27" t="str">
        <f>VLOOKUP($A95,'[1]Raw Data'!$A$3:$FB$285,102,FALSE)</f>
        <v>Mayor</v>
      </c>
      <c r="CW95" s="27" t="s">
        <v>834</v>
      </c>
      <c r="CX95" s="27">
        <f>VLOOKUP($A95,'[1]Raw Data'!$A$3:$FB$285,103,FALSE)</f>
        <v>9851056975</v>
      </c>
      <c r="CY95" s="27" t="str">
        <f>VLOOKUP($A95,'[1]Raw Data'!$A$3:$FB$285,105,FALSE)</f>
        <v>Rekha Dahal</v>
      </c>
      <c r="CZ95" s="27" t="s">
        <v>1078</v>
      </c>
      <c r="DA95" s="27" t="str">
        <f>VLOOKUP($A95,'[1]Raw Data'!$A$3:$FB$285,106,FALSE)</f>
        <v>Deputy Mayor</v>
      </c>
      <c r="DB95" s="27" t="s">
        <v>888</v>
      </c>
      <c r="DC95" s="27">
        <f>VLOOKUP($A95,'[1]Raw Data'!$A$3:$FB$285,107,FALSE)</f>
        <v>9860936366</v>
      </c>
      <c r="DD95" s="27" t="str">
        <f>VLOOKUP($A95,'[1]Raw Data'!$A$3:$FB$285,109,FALSE)</f>
        <v>Bhoj Raj Ghimire</v>
      </c>
      <c r="DE95" s="27" t="s">
        <v>1079</v>
      </c>
      <c r="DF95" s="27" t="str">
        <f>VLOOKUP($A95,'[1]Raw Data'!$A$3:$FB$285,110,FALSE)</f>
        <v>Adminstration Officer</v>
      </c>
      <c r="DG95" s="27" t="s">
        <v>880</v>
      </c>
      <c r="DH95" s="27">
        <f>VLOOKUP($A95,'[1]Raw Data'!$A$3:$FB$285,111,FALSE)</f>
        <v>9851049487</v>
      </c>
      <c r="DI95" s="27" t="str">
        <f>VLOOKUP($A95,'[1]Raw Data'!$A$3:$FB$285,121,FALSE)</f>
        <v>Ram Krishna Ghimire</v>
      </c>
      <c r="DJ95" s="27" t="s">
        <v>1080</v>
      </c>
      <c r="DK95" s="27" t="str">
        <f>VLOOKUP($A95,'[1]Raw Data'!$A$3:$FB$285,122,FALSE)</f>
        <v>Focal Person</v>
      </c>
      <c r="DL95" s="27" t="s">
        <v>881</v>
      </c>
      <c r="DM95" s="27">
        <f>VLOOKUP($A95,'[1]Raw Data'!$A$3:$FB$285,123,FALSE)</f>
        <v>9841935146</v>
      </c>
      <c r="DN95" s="27" t="str">
        <f>VLOOKUP($A95,'[1]Raw Data'!$A$3:$FB$285,113,FALSE)</f>
        <v>Lok Nath Regmi</v>
      </c>
      <c r="DO95" s="27" t="s">
        <v>1081</v>
      </c>
      <c r="DP95" s="27" t="str">
        <f>VLOOKUP($A95,'[1]Raw Data'!$A$3:$FB$285,114,FALSE)</f>
        <v>NRA Chief-District</v>
      </c>
      <c r="DQ95" s="27" t="s">
        <v>882</v>
      </c>
      <c r="DR95" s="27">
        <f>VLOOKUP($A95,'[1]Raw Data'!$A$3:$FB$285,115,FALSE)</f>
        <v>9851146403</v>
      </c>
      <c r="DS95" s="27" t="str">
        <f>VLOOKUP($A95,'[1]Raw Data'!$A$3:$FB$285,117,FALSE)</f>
        <v>Mahalaxmi Joshi</v>
      </c>
      <c r="DT95" s="27" t="s">
        <v>1082</v>
      </c>
      <c r="DU95" s="27" t="str">
        <f>VLOOKUP($A95,'[1]Raw Data'!$A$3:$FB$285,118,FALSE)</f>
        <v>DUDBC.DLPIU Chief</v>
      </c>
      <c r="DV95" s="27" t="s">
        <v>883</v>
      </c>
      <c r="DW95" s="27">
        <f>VLOOKUP($A95,'[1]Raw Data'!$A$3:$FB$285,119,FALSE)</f>
        <v>9841010222</v>
      </c>
      <c r="DX95" s="27" t="s">
        <v>339</v>
      </c>
      <c r="DY95" s="27" t="str">
        <f>VLOOKUP($A95,'[1]Raw Data'!$A$3:$FB$285,124,FALSE)</f>
        <v/>
      </c>
      <c r="DZ95" s="27" t="s">
        <v>884</v>
      </c>
      <c r="EA95" s="27" t="str">
        <f>VLOOKUP($A95,'[1]Raw Data'!$A$3:$FB$285,125,FALSE)</f>
        <v/>
      </c>
      <c r="EB95" s="27" t="s">
        <v>341</v>
      </c>
      <c r="EC95" s="27" t="str">
        <f>VLOOKUP($A95,'[1]Raw Data'!$A$3:$FB$285,126,FALSE)</f>
        <v/>
      </c>
      <c r="ED95" t="s">
        <v>478</v>
      </c>
      <c r="EE95" s="27" t="str">
        <f>VLOOKUP($A95,'[1]Raw Data'!$A$3:$FB$285,127,FALSE)</f>
        <v/>
      </c>
      <c r="EF95" s="27" t="s">
        <v>343</v>
      </c>
      <c r="EG95" s="27" t="str">
        <f>VLOOKUP($A95,'[1]Raw Data'!$A$3:$FB$285,128,FALSE)</f>
        <v/>
      </c>
      <c r="EH95" t="s">
        <v>344</v>
      </c>
      <c r="EI95" s="27" t="str">
        <f>VLOOKUP($A95,'[1]Raw Data'!$A$3:$FB$285,129,FALSE)</f>
        <v/>
      </c>
      <c r="EM95" s="27" t="str">
        <f>VLOOKUP($A95,'[1]Raw Data'!$A$3:$FB$285,130,FALSE)</f>
        <v/>
      </c>
      <c r="EN95" s="27" t="str">
        <f>VLOOKUP($A95,'[1]Raw Data'!$A$3:$FB$285,131,FALSE)</f>
        <v/>
      </c>
      <c r="EO95" s="27" t="str">
        <f>VLOOKUP($A95,'[1]Raw Data'!$A$3:$FB$285,132,FALSE)</f>
        <v/>
      </c>
      <c r="EP95" s="27" t="str">
        <f>VLOOKUP($A95,'[1]Raw Data'!$A$3:$FB$285,133,FALSE)</f>
        <v/>
      </c>
      <c r="EQ95" s="27" t="str">
        <f>VLOOKUP($A95,'[1]Raw Data'!$A$3:$FB$285,134,FALSE)</f>
        <v/>
      </c>
      <c r="ER95" s="27" t="str">
        <f>VLOOKUP($A95,'[1]Raw Data'!$A$3:$FB$285,135,FALSE)</f>
        <v/>
      </c>
      <c r="ES95" s="27" t="str">
        <f>VLOOKUP($A95,'[1]Raw Data'!$A$3:$FB$285,136,FALSE)</f>
        <v/>
      </c>
      <c r="ET95" s="27" t="str">
        <f>VLOOKUP($A95,'[1]Raw Data'!$A$3:$FB$285,137,FALSE)</f>
        <v/>
      </c>
      <c r="EU95" s="27" t="str">
        <f>VLOOKUP($A95,'[1]Raw Data'!$A$3:$FB$285,138,FALSE)</f>
        <v/>
      </c>
      <c r="EV95" s="27" t="str">
        <f>VLOOKUP($A95,'[1]Raw Data'!$A$3:$FB$285,139,FALSE)</f>
        <v/>
      </c>
      <c r="EW95" s="38">
        <f>VLOOKUP($A95,[1]Training!$A$2:$I$284,5,FALSE)</f>
        <v>543.84615384615381</v>
      </c>
      <c r="EX95" s="31">
        <f>VLOOKUP($A95,[1]Training!$A$2:$I$284,6,FALSE)</f>
        <v>56</v>
      </c>
      <c r="EY95" s="38">
        <f>VLOOKUP($A95,[1]Training!$A$2:$I$284,8,FALSE)</f>
        <v>640.1434211002861</v>
      </c>
      <c r="EZ95" s="31">
        <f>VLOOKUP($A95,[1]Training!$A$2:$I$284,9,FALSE)</f>
        <v>161</v>
      </c>
      <c r="FA95" s="27">
        <v>1</v>
      </c>
      <c r="FB95" s="27">
        <v>2</v>
      </c>
      <c r="FC95" s="27" t="str">
        <f>VLOOKUP($A95,'[1]Raw Data'!$A$3:$FB$285,148,FALSE)</f>
        <v>Reshma Shrestha</v>
      </c>
      <c r="FD95" s="27" t="s">
        <v>1083</v>
      </c>
      <c r="FE95" s="27" t="str">
        <f>VLOOKUP($A95,'[1]Raw Data'!$A$3:$FB$285,149,FALSE)</f>
        <v>District Coordinator</v>
      </c>
      <c r="FF95" s="27" t="s">
        <v>885</v>
      </c>
      <c r="FG95" s="27">
        <f>VLOOKUP($A95,'[1]Raw Data'!$A$3:$FB$285,150,FALSE)</f>
        <v>9841264190</v>
      </c>
      <c r="FH95" s="27" t="str">
        <f>VLOOKUP($A95,'[1]Raw Data'!$A$3:$FB$285,156,FALSE)</f>
        <v/>
      </c>
      <c r="FJ95" s="27" t="str">
        <f>VLOOKUP($A95,'[1]Raw Data'!$A$3:$FB$285,157,FALSE)</f>
        <v>District Technical Officer</v>
      </c>
      <c r="FK95" s="27" t="s">
        <v>886</v>
      </c>
      <c r="FL95" s="27" t="str">
        <f>VLOOKUP($A95,'[1]Raw Data'!$A$3:$FB$285,158,FALSE)</f>
        <v/>
      </c>
      <c r="FM95" s="27" t="str">
        <f>VLOOKUP($A95,'[1]Raw Data'!$A$3:$FB$285,152,FALSE)</f>
        <v>Ishor Neupane</v>
      </c>
      <c r="FN95" s="27" t="s">
        <v>1084</v>
      </c>
      <c r="FO95" s="27" t="str">
        <f>VLOOKUP($A95,'[1]Raw Data'!$A$3:$FB$285,153,FALSE)</f>
        <v>DIstrict Information Management Officer</v>
      </c>
      <c r="FP95" s="27" t="s">
        <v>887</v>
      </c>
      <c r="FQ95" s="27">
        <f>VLOOKUP($A95,'[1]Raw Data'!$A$3:$FB$285,154,FALSE)</f>
        <v>9801317265</v>
      </c>
    </row>
    <row r="96" spans="1:173" ht="24" x14ac:dyDescent="0.45">
      <c r="A96" s="27">
        <v>24002</v>
      </c>
      <c r="B96" s="36" t="str">
        <f ca="1">IFERROR(__xludf.DUMMYFUNCTION("""COMPUTED_VALUE"""),"Bethanchowk Gaunpalika")</f>
        <v>Bethanchowk Gaunpalika</v>
      </c>
      <c r="C96" s="37" t="str">
        <f>VLOOKUP(A96,'[1]Palika and District in Nepali '!$D$1:$F$283,3,FALSE)</f>
        <v>बेथानचोक गाऊँपालिका</v>
      </c>
      <c r="D96" s="36" t="str">
        <f ca="1">IFERROR(__xludf.DUMMYFUNCTION("""COMPUTED_VALUE"""),"Kavrepalanchok")</f>
        <v>Kavrepalanchok</v>
      </c>
      <c r="E96" s="36"/>
      <c r="F96" s="27">
        <f>VLOOKUP(A96,'[1]Raw Data'!$A$3:$FB$285,4,FALSE)</f>
        <v>738</v>
      </c>
      <c r="G96" s="27">
        <f>VLOOKUP(A96,'[1]Raw Data'!$A$3:$FB$285,5,FALSE)</f>
        <v>3925</v>
      </c>
      <c r="H96" s="27">
        <f>VLOOKUP(A96,'[1]Raw Data'!$A$3:$FB$285,6,FALSE)</f>
        <v>4663</v>
      </c>
      <c r="I96" s="27">
        <f>VLOOKUP($A96,'[1]Raw Data'!$A$3:$FB$285,8,FALSE)</f>
        <v>0.06</v>
      </c>
      <c r="J96" s="27">
        <f>VLOOKUP($A96,'[1]Raw Data'!$A$3:$FB$285,9,FALSE)</f>
        <v>0.28999999999999998</v>
      </c>
      <c r="K96" s="27">
        <f>VLOOKUP($A96,'[1]Raw Data'!$A$3:$FB$285,11,FALSE)</f>
        <v>89.17</v>
      </c>
      <c r="L96" s="27">
        <f>VLOOKUP($A96,'[1]Raw Data'!$A$3:$FB$285,12,FALSE)</f>
        <v>69.19</v>
      </c>
      <c r="M96" s="27">
        <f>VLOOKUP($A96,'[1]Raw Data'!$A$3:$FB$285,14,FALSE)</f>
        <v>0.43</v>
      </c>
      <c r="N96" s="27">
        <f>VLOOKUP($A96,'[1]Raw Data'!$A$3:$FB$285,15,FALSE)</f>
        <v>5.98</v>
      </c>
      <c r="O96" s="27">
        <f>VLOOKUP($A96,'[1]Raw Data'!$A$3:$FB$285,17,FALSE)</f>
        <v>0.09</v>
      </c>
      <c r="P96" s="27">
        <f>VLOOKUP($A96,'[1]Raw Data'!$A$3:$FB$285,18,FALSE)</f>
        <v>4.0199999999999996</v>
      </c>
      <c r="Q96" s="27">
        <f>VLOOKUP($A96,'[1]Raw Data'!$A$3:$FB$285,20,FALSE)</f>
        <v>0.24</v>
      </c>
      <c r="R96" s="27">
        <f>VLOOKUP($A96,'[1]Raw Data'!$A$3:$FB$285,21,FALSE)</f>
        <v>4.6500000000000004</v>
      </c>
      <c r="S96" s="27">
        <f>VLOOKUP($A96,'[1]Raw Data'!$A$3:$FB$285,23,FALSE)</f>
        <v>0</v>
      </c>
      <c r="T96" s="27">
        <f>VLOOKUP($A96,'[1]Raw Data'!$A$3:$FB$285,24,FALSE)</f>
        <v>0</v>
      </c>
      <c r="U96" s="27">
        <f>VLOOKUP($A96,'[1]Raw Data'!$A$3:$FB$285,26,FALSE)</f>
        <v>0.17</v>
      </c>
      <c r="V96" s="27">
        <f>VLOOKUP($A96,'[1]Raw Data'!$A$3:$FB$285,27,FALSE)</f>
        <v>0.38</v>
      </c>
      <c r="W96" s="27">
        <f>VLOOKUP($A96,'[1]Raw Data'!$A$3:$FB$285,29,FALSE)</f>
        <v>0</v>
      </c>
      <c r="X96" s="27">
        <f>VLOOKUP($A96,'[1]Raw Data'!$A$3:$FB$285,30,FALSE)</f>
        <v>0</v>
      </c>
      <c r="Y96" s="27">
        <f>VLOOKUP($A96,'[1]Raw Data'!$A$3:$FB$285,32,FALSE)</f>
        <v>0</v>
      </c>
      <c r="Z96" s="27">
        <f>VLOOKUP($A96,'[1]Raw Data'!$A$3:$FB$285,33,FALSE)</f>
        <v>0.06</v>
      </c>
      <c r="AA96" s="27">
        <f>VLOOKUP($A96,'[1]Raw Data'!$A$3:$FB$285,35,FALSE)</f>
        <v>9.8000000000000007</v>
      </c>
      <c r="AB96" s="27">
        <f>VLOOKUP($A96,'[1]Raw Data'!$A$3:$FB$285,36,FALSE)</f>
        <v>15.32</v>
      </c>
      <c r="AC96" s="27">
        <f>VLOOKUP($A96,'[1]Raw Data'!$A$3:$FB$285,38,FALSE)</f>
        <v>0.04</v>
      </c>
      <c r="AD96" s="27">
        <f>VLOOKUP($A96,'[1]Raw Data'!$A$3:$FB$285,39,FALSE)</f>
        <v>0.11</v>
      </c>
      <c r="AE96" s="27">
        <f>VLOOKUP($A96,'[1]Raw Data'!$A$3:$FB$285,41,FALSE)</f>
        <v>0</v>
      </c>
      <c r="AF96" s="27">
        <f>VLOOKUP($A96,'[1]Raw Data'!$A$3:$FB$285,42,FALSE)</f>
        <v>0</v>
      </c>
      <c r="AG96" s="27">
        <f>VLOOKUP($A96,'[1]Raw Data'!$A$3:$FB$285,44,FALSE)</f>
        <v>0</v>
      </c>
      <c r="AH96" s="27">
        <f>VLOOKUP($A96,'[1]Raw Data'!$A$3:$FB$285,45,FALSE)</f>
        <v>0</v>
      </c>
      <c r="AI96" s="27">
        <f>VLOOKUP($A96,'[1]Raw Data'!$A$3:$FB$285,46,FALSE)</f>
        <v>4377</v>
      </c>
      <c r="AJ96" s="27">
        <f>VLOOKUP($A96,'[1]Raw Data'!$A$3:$FB$285,47,FALSE)</f>
        <v>3759</v>
      </c>
      <c r="AK96" s="27">
        <f>VLOOKUP($A96,'[1]Raw Data'!$A$3:$FB$285,48,FALSE)</f>
        <v>3724</v>
      </c>
      <c r="AL96" s="27">
        <f>VLOOKUP($A96,'[1]Raw Data'!$A$3:$FB$285,49,FALSE)</f>
        <v>2532</v>
      </c>
      <c r="AM96" s="27">
        <f>VLOOKUP($A96,'[1]Raw Data'!$A$3:$FB$285,50,FALSE)</f>
        <v>1310</v>
      </c>
      <c r="AN96" s="27">
        <f>VLOOKUP($A96,'[1]Raw Data'!$A$3:$FB$285,51,FALSE)</f>
        <v>0</v>
      </c>
      <c r="AO96" s="27" t="str">
        <f>VLOOKUP($A96,'[1]Raw Data'!$A$3:$FB$285,52,FALSE)</f>
        <v/>
      </c>
      <c r="AP96" s="27">
        <f>VLOOKUP($A96,'[1]Raw Data'!$A$3:$FB$285,53,FALSE)</f>
        <v>553</v>
      </c>
      <c r="AQ96" s="27" t="str">
        <f>VLOOKUP($A96,'[1]Raw Data'!$A$3:$FB$285,54,FALSE)</f>
        <v/>
      </c>
      <c r="AR96" s="27">
        <f>VLOOKUP($A96,'[1]Raw Data'!$A$3:$FB$285,55,FALSE)</f>
        <v>73</v>
      </c>
      <c r="AS96" s="27">
        <f>VLOOKUP($A96,'[1]Raw Data'!$A$3:$FB$285,56,FALSE)</f>
        <v>0</v>
      </c>
      <c r="AT96" s="27">
        <f>VLOOKUP($A96,'[1]Raw Data'!$A$3:$FB$285,57,FALSE)</f>
        <v>1202</v>
      </c>
      <c r="AU96" s="27">
        <f>VLOOKUP($A96,'[1]Raw Data'!$A$3:$FB$285,58,FALSE)</f>
        <v>1202</v>
      </c>
      <c r="AV96" s="27">
        <f>VLOOKUP($A96,'[1]Raw Data'!$A$3:$FB$285,59,FALSE)</f>
        <v>4</v>
      </c>
      <c r="AW96" s="27">
        <f>VLOOKUP($A96,'[1]Raw Data'!$A$3:$FB$285,60,FALSE)</f>
        <v>4</v>
      </c>
      <c r="AX96" s="27" t="str">
        <f>VLOOKUP(A96,'[1]PO''s List'!A94:E376,4,FALSE)</f>
        <v>CECI(Livelihood,DRR,Employment ,Governance)</v>
      </c>
      <c r="AZ96" s="27" t="str">
        <f>VLOOKUP(A96,'[1]PO''s List'!$A$3:$E$285,5,FALSE)</f>
        <v>AATWIN(Social Protection),ARSOW-N(Shelter),BC(Education,Shelter),GON - DUDBC(Shelter),HELVETAS(Shelter),Maiti-N(Education),WeWorld(Education)</v>
      </c>
      <c r="BB96" s="27">
        <f>VLOOKUP($A96,'[1]Raw Data'!$A$3:$FB$285,63,FALSE)</f>
        <v>52068</v>
      </c>
      <c r="BC96" s="27" t="str">
        <f>VLOOKUP($A96,'[1]Raw Data'!$A$3:$FB$285,64,FALSE)</f>
        <v>Y</v>
      </c>
      <c r="BD96" s="27" t="str">
        <f t="shared" si="9"/>
        <v>छ</v>
      </c>
      <c r="BE96" s="27">
        <f>VLOOKUP($A96,'[1]Raw Data'!$A$3:$FB$285,65,FALSE)</f>
        <v>1000</v>
      </c>
      <c r="BF96" s="27">
        <f>VLOOKUP($A96,'[1]Raw Data'!$A$3:$FB$285,66,FALSE)</f>
        <v>52710</v>
      </c>
      <c r="BG96" s="27" t="str">
        <f>VLOOKUP($A96,'[1]Raw Data'!$A$3:$FB$285,67,FALSE)</f>
        <v>Y</v>
      </c>
      <c r="BH96" s="27" t="str">
        <f t="shared" si="10"/>
        <v>छ</v>
      </c>
      <c r="BI96" s="27">
        <f>VLOOKUP($A96,'[1]Raw Data'!$A$3:$FB$285,68,FALSE)</f>
        <v>3000</v>
      </c>
      <c r="BJ96" s="27">
        <f>VLOOKUP($A96,'[1]Raw Data'!$A$3:$FB$285,69,FALSE)</f>
        <v>5554</v>
      </c>
      <c r="BK96" s="27" t="str">
        <f>VLOOKUP($A96,'[1]Raw Data'!$A$3:$FB$285,70,FALSE)</f>
        <v>Y</v>
      </c>
      <c r="BL96" s="27" t="str">
        <f t="shared" si="11"/>
        <v>छ</v>
      </c>
      <c r="BM96" s="27">
        <f>VLOOKUP($A96,'[1]Raw Data'!$A$3:$FB$285,71,FALSE)</f>
        <v>4000</v>
      </c>
      <c r="BN96" s="27">
        <f>VLOOKUP($A96,'[1]Raw Data'!$A$3:$FB$285,72,FALSE)</f>
        <v>6388</v>
      </c>
      <c r="BO96" s="27" t="str">
        <f>VLOOKUP($A96,'[1]Raw Data'!$A$3:$FB$285,73,FALSE)</f>
        <v>Y</v>
      </c>
      <c r="BP96" s="27" t="str">
        <f t="shared" si="12"/>
        <v>छ</v>
      </c>
      <c r="BQ96" s="27" t="str">
        <f>VLOOKUP($A96,'[1]Raw Data'!$A$3:$FB$285,74,FALSE)</f>
        <v>6500</v>
      </c>
      <c r="BR96" s="27" t="str">
        <f>VLOOKUP($A96,'[1]Raw Data'!$A$3:$FB$285,75,FALSE)</f>
        <v/>
      </c>
      <c r="BS96" s="27" t="str">
        <f>VLOOKUP($A96,'[1]Raw Data'!$A$3:$FB$285,76,FALSE)</f>
        <v>Y</v>
      </c>
      <c r="BT96" s="27" t="str">
        <f t="shared" si="13"/>
        <v>छ</v>
      </c>
      <c r="BU96" s="27">
        <f>VLOOKUP($A96,'[1]Raw Data'!$A$3:$FB$285,77,FALSE)</f>
        <v>870</v>
      </c>
      <c r="BV96" s="27">
        <f>VLOOKUP($A96,'[1]Raw Data'!$A$3:$FB$285,78,FALSE)</f>
        <v>175336</v>
      </c>
      <c r="BW96" s="27" t="str">
        <f>VLOOKUP($A96,'[1]Raw Data'!$A$3:$FB$285,79,FALSE)</f>
        <v>Y</v>
      </c>
      <c r="BX96" s="27" t="str">
        <f t="shared" si="14"/>
        <v>छ</v>
      </c>
      <c r="BY96" s="27">
        <f>VLOOKUP($A96,'[1]Raw Data'!$A$3:$FB$285,80,FALSE)</f>
        <v>900</v>
      </c>
      <c r="BZ96" s="27">
        <f>VLOOKUP($A96,'[1]Raw Data'!$A$3:$FB$285,81,FALSE)</f>
        <v>566244</v>
      </c>
      <c r="CA96" s="27" t="str">
        <f>VLOOKUP($A96,'[1]Raw Data'!$A$3:$FB$285,82,FALSE)</f>
        <v>Y</v>
      </c>
      <c r="CB96" s="27" t="str">
        <f t="shared" si="15"/>
        <v>छ</v>
      </c>
      <c r="CC96" s="27">
        <f>VLOOKUP($A96,'[1]Raw Data'!$A$3:$FB$285,83,FALSE)</f>
        <v>98</v>
      </c>
      <c r="CD96" s="27">
        <f>VLOOKUP($A96,'[1]Raw Data'!$A$3:$FB$285,84,FALSE)</f>
        <v>7168</v>
      </c>
      <c r="CE96" s="27" t="str">
        <f>VLOOKUP($A96,'[1]Raw Data'!$A$3:$FB$285,85,FALSE)</f>
        <v>Y</v>
      </c>
      <c r="CF96" s="27" t="str">
        <f t="shared" si="16"/>
        <v>छ</v>
      </c>
      <c r="CG96" s="27" t="str">
        <f>VLOOKUP($A96,'[1]Raw Data'!$A$3:$FB$285,86,FALSE)</f>
        <v>7000</v>
      </c>
      <c r="CH96" s="27">
        <f>VLOOKUP($A96,'[1]Raw Data'!$A$3:$FB$285,87,FALSE)</f>
        <v>653444</v>
      </c>
      <c r="CI96" s="27" t="str">
        <f>VLOOKUP($A96,'[1]Raw Data'!$A$3:$FB$285,88,FALSE)</f>
        <v>Y</v>
      </c>
      <c r="CJ96" s="27" t="str">
        <f t="shared" si="17"/>
        <v>छ</v>
      </c>
      <c r="CK96" s="27">
        <f>VLOOKUP($A96,'[1]Raw Data'!$A$3:$FB$285,89,FALSE)</f>
        <v>20</v>
      </c>
      <c r="CL96" s="27">
        <f>VLOOKUP($A96,'[1]Raw Data'!$A$3:$FB$285,91,FALSE)</f>
        <v>1500</v>
      </c>
      <c r="CM96" s="27">
        <f>VLOOKUP($A96,'[1]Raw Data'!$A$3:$FB$285,93,FALSE)</f>
        <v>800</v>
      </c>
      <c r="CN96" s="27" t="str">
        <f>VLOOKUP($A96,'[1]Raw Data'!$A$3:$FB$285,94,FALSE)</f>
        <v/>
      </c>
      <c r="CO96" s="27" t="str">
        <f>VLOOKUP($A96,'[1]Raw Data'!$A$3:$FB$285,95,FALSE)</f>
        <v/>
      </c>
      <c r="CP96" s="27" t="str">
        <f>VLOOKUP($A96,'[1]Raw Data'!$A$3:$FB$285,96,FALSE)</f>
        <v/>
      </c>
      <c r="CQ96" s="27" t="str">
        <f>VLOOKUP($A96,'[1]Raw Data'!$A$3:$FB$285,97,FALSE)</f>
        <v/>
      </c>
      <c r="CR96" s="27" t="str">
        <f>VLOOKUP($A96,'[1]Raw Data'!$A$3:$FB$285,98,FALSE)</f>
        <v/>
      </c>
      <c r="CS96" s="27" t="str">
        <f>VLOOKUP($A96,'[1]Raw Data'!$A$3:$FB$285,99,FALSE)</f>
        <v/>
      </c>
      <c r="CT96" s="27" t="str">
        <f>VLOOKUP($A96,'[1]Raw Data'!$A$3:$FB$285,101,FALSE)</f>
        <v>Prem Prasad Timalsina</v>
      </c>
      <c r="CU96" s="27" t="s">
        <v>1085</v>
      </c>
      <c r="CV96" s="27" t="str">
        <f>VLOOKUP($A96,'[1]Raw Data'!$A$3:$FB$285,102,FALSE)</f>
        <v>Mayor</v>
      </c>
      <c r="CW96" s="27" t="s">
        <v>834</v>
      </c>
      <c r="CX96" s="27">
        <f>VLOOKUP($A96,'[1]Raw Data'!$A$3:$FB$285,103,FALSE)</f>
        <v>9851099511</v>
      </c>
      <c r="CY96" s="27" t="str">
        <f>VLOOKUP($A96,'[1]Raw Data'!$A$3:$FB$285,105,FALSE)</f>
        <v>Sarita Lamichhane</v>
      </c>
      <c r="CZ96" s="27" t="s">
        <v>1086</v>
      </c>
      <c r="DA96" s="27" t="str">
        <f>VLOOKUP($A96,'[1]Raw Data'!$A$3:$FB$285,106,FALSE)</f>
        <v>Deputy Mayor</v>
      </c>
      <c r="DB96" s="27" t="s">
        <v>888</v>
      </c>
      <c r="DC96" s="27">
        <f>VLOOKUP($A96,'[1]Raw Data'!$A$3:$FB$285,107,FALSE)</f>
        <v>9841447532</v>
      </c>
      <c r="DD96" s="27" t="str">
        <f>VLOOKUP($A96,'[1]Raw Data'!$A$3:$FB$285,109,FALSE)</f>
        <v>Tekraj Acharya</v>
      </c>
      <c r="DE96" s="27" t="s">
        <v>1087</v>
      </c>
      <c r="DF96" s="27" t="str">
        <f>VLOOKUP($A96,'[1]Raw Data'!$A$3:$FB$285,110,FALSE)</f>
        <v>Adminstration Officer</v>
      </c>
      <c r="DG96" s="27" t="s">
        <v>880</v>
      </c>
      <c r="DH96" s="27">
        <f>VLOOKUP($A96,'[1]Raw Data'!$A$3:$FB$285,111,FALSE)</f>
        <v>9851154211</v>
      </c>
      <c r="DI96" s="27" t="str">
        <f>VLOOKUP($A96,'[1]Raw Data'!$A$3:$FB$285,121,FALSE)</f>
        <v/>
      </c>
      <c r="DK96" s="27" t="str">
        <f>VLOOKUP($A96,'[1]Raw Data'!$A$3:$FB$285,122,FALSE)</f>
        <v>Focal Person</v>
      </c>
      <c r="DL96" s="27" t="s">
        <v>881</v>
      </c>
      <c r="DM96" s="27" t="str">
        <f>VLOOKUP($A96,'[1]Raw Data'!$A$3:$FB$285,123,FALSE)</f>
        <v/>
      </c>
      <c r="DN96" s="27" t="str">
        <f>VLOOKUP($A96,'[1]Raw Data'!$A$3:$FB$285,113,FALSE)</f>
        <v>Lok Nath Regmi</v>
      </c>
      <c r="DO96" s="27" t="s">
        <v>1081</v>
      </c>
      <c r="DP96" s="27" t="str">
        <f>VLOOKUP($A96,'[1]Raw Data'!$A$3:$FB$285,114,FALSE)</f>
        <v>NRA Chief-District</v>
      </c>
      <c r="DQ96" s="27" t="s">
        <v>882</v>
      </c>
      <c r="DR96" s="27">
        <f>VLOOKUP($A96,'[1]Raw Data'!$A$3:$FB$285,115,FALSE)</f>
        <v>9851146403</v>
      </c>
      <c r="DS96" s="27" t="str">
        <f>VLOOKUP($A96,'[1]Raw Data'!$A$3:$FB$285,117,FALSE)</f>
        <v>Mahalaxmi Joshi</v>
      </c>
      <c r="DT96" s="27" t="s">
        <v>1082</v>
      </c>
      <c r="DU96" s="27" t="str">
        <f>VLOOKUP($A96,'[1]Raw Data'!$A$3:$FB$285,118,FALSE)</f>
        <v>DUDBC.DLPIU Chief</v>
      </c>
      <c r="DV96" s="27" t="s">
        <v>883</v>
      </c>
      <c r="DW96" s="27">
        <f>VLOOKUP($A96,'[1]Raw Data'!$A$3:$FB$285,119,FALSE)</f>
        <v>9841010222</v>
      </c>
      <c r="DX96" s="27" t="s">
        <v>339</v>
      </c>
      <c r="DY96" s="27" t="str">
        <f>VLOOKUP($A96,'[1]Raw Data'!$A$3:$FB$285,124,FALSE)</f>
        <v/>
      </c>
      <c r="DZ96" s="27" t="s">
        <v>884</v>
      </c>
      <c r="EA96" s="27" t="str">
        <f>VLOOKUP($A96,'[1]Raw Data'!$A$3:$FB$285,125,FALSE)</f>
        <v/>
      </c>
      <c r="EB96" s="27" t="s">
        <v>341</v>
      </c>
      <c r="EC96" s="27" t="str">
        <f>VLOOKUP($A96,'[1]Raw Data'!$A$3:$FB$285,126,FALSE)</f>
        <v/>
      </c>
      <c r="ED96" t="s">
        <v>478</v>
      </c>
      <c r="EE96" s="27" t="str">
        <f>VLOOKUP($A96,'[1]Raw Data'!$A$3:$FB$285,127,FALSE)</f>
        <v/>
      </c>
      <c r="EF96" s="27" t="s">
        <v>343</v>
      </c>
      <c r="EG96" s="27" t="str">
        <f>VLOOKUP($A96,'[1]Raw Data'!$A$3:$FB$285,128,FALSE)</f>
        <v/>
      </c>
      <c r="EH96" t="s">
        <v>344</v>
      </c>
      <c r="EI96" s="27" t="str">
        <f>VLOOKUP($A96,'[1]Raw Data'!$A$3:$FB$285,129,FALSE)</f>
        <v/>
      </c>
      <c r="EM96" s="27">
        <f>VLOOKUP($A96,'[1]Raw Data'!$A$3:$FB$285,130,FALSE)</f>
        <v>6</v>
      </c>
      <c r="EN96" s="27" t="str">
        <f>VLOOKUP($A96,'[1]Raw Data'!$A$3:$FB$285,131,FALSE)</f>
        <v/>
      </c>
      <c r="EO96" s="27">
        <f>VLOOKUP($A96,'[1]Raw Data'!$A$3:$FB$285,132,FALSE)</f>
        <v>2</v>
      </c>
      <c r="EP96" s="27" t="str">
        <f>VLOOKUP($A96,'[1]Raw Data'!$A$3:$FB$285,133,FALSE)</f>
        <v>4</v>
      </c>
      <c r="EQ96" s="27">
        <f>VLOOKUP($A96,'[1]Raw Data'!$A$3:$FB$285,134,FALSE)</f>
        <v>3</v>
      </c>
      <c r="ER96" s="27" t="str">
        <f>VLOOKUP($A96,'[1]Raw Data'!$A$3:$FB$285,135,FALSE)</f>
        <v>4</v>
      </c>
      <c r="ES96" s="27" t="str">
        <f>VLOOKUP($A96,'[1]Raw Data'!$A$3:$FB$285,136,FALSE)</f>
        <v>300</v>
      </c>
      <c r="ET96" s="27" t="str">
        <f>VLOOKUP($A96,'[1]Raw Data'!$A$3:$FB$285,137,FALSE)</f>
        <v>100</v>
      </c>
      <c r="EU96" s="27" t="str">
        <f>VLOOKUP($A96,'[1]Raw Data'!$A$3:$FB$285,138,FALSE)</f>
        <v/>
      </c>
      <c r="EV96" s="27" t="str">
        <f>VLOOKUP($A96,'[1]Raw Data'!$A$3:$FB$285,139,FALSE)</f>
        <v/>
      </c>
      <c r="EW96" s="38">
        <f>VLOOKUP($A96,[1]Training!$A$2:$I$284,5,FALSE)</f>
        <v>336.69230769230768</v>
      </c>
      <c r="EX96" s="31">
        <f>VLOOKUP($A96,[1]Training!$A$2:$I$284,6,FALSE)</f>
        <v>306</v>
      </c>
      <c r="EY96" s="38">
        <f>VLOOKUP($A96,[1]Training!$A$2:$I$284,8,FALSE)</f>
        <v>396.30944188910217</v>
      </c>
      <c r="EZ96" s="31">
        <f>VLOOKUP($A96,[1]Training!$A$2:$I$284,9,FALSE)</f>
        <v>214</v>
      </c>
      <c r="FA96" s="27">
        <v>1</v>
      </c>
      <c r="FB96" s="27">
        <v>2</v>
      </c>
      <c r="FC96" s="27" t="str">
        <f>VLOOKUP($A96,'[1]Raw Data'!$A$3:$FB$285,148,FALSE)</f>
        <v>Reshma Shrestha</v>
      </c>
      <c r="FD96" s="27" t="s">
        <v>1083</v>
      </c>
      <c r="FE96" s="27" t="str">
        <f>VLOOKUP($A96,'[1]Raw Data'!$A$3:$FB$285,149,FALSE)</f>
        <v>District Coordinator</v>
      </c>
      <c r="FF96" s="27" t="s">
        <v>885</v>
      </c>
      <c r="FG96" s="27">
        <f>VLOOKUP($A96,'[1]Raw Data'!$A$3:$FB$285,150,FALSE)</f>
        <v>9841264190</v>
      </c>
      <c r="FH96" s="27" t="str">
        <f>VLOOKUP($A96,'[1]Raw Data'!$A$3:$FB$285,156,FALSE)</f>
        <v/>
      </c>
      <c r="FJ96" s="27" t="str">
        <f>VLOOKUP($A96,'[1]Raw Data'!$A$3:$FB$285,157,FALSE)</f>
        <v>District Technical Officer</v>
      </c>
      <c r="FK96" s="27" t="s">
        <v>886</v>
      </c>
      <c r="FL96" s="27" t="str">
        <f>VLOOKUP($A96,'[1]Raw Data'!$A$3:$FB$285,158,FALSE)</f>
        <v/>
      </c>
      <c r="FM96" s="27" t="str">
        <f>VLOOKUP($A96,'[1]Raw Data'!$A$3:$FB$285,152,FALSE)</f>
        <v>Ishor Neupane</v>
      </c>
      <c r="FN96" s="27" t="s">
        <v>1084</v>
      </c>
      <c r="FO96" s="27" t="str">
        <f>VLOOKUP($A96,'[1]Raw Data'!$A$3:$FB$285,153,FALSE)</f>
        <v>DIstrict Information Management Officer</v>
      </c>
      <c r="FP96" s="27" t="s">
        <v>887</v>
      </c>
      <c r="FQ96" s="27">
        <f>VLOOKUP($A96,'[1]Raw Data'!$A$3:$FB$285,154,FALSE)</f>
        <v>9801317265</v>
      </c>
    </row>
    <row r="97" spans="1:173" ht="24" x14ac:dyDescent="0.45">
      <c r="A97" s="27">
        <v>24003</v>
      </c>
      <c r="B97" s="36" t="str">
        <f ca="1">IFERROR(__xludf.DUMMYFUNCTION("""COMPUTED_VALUE"""),"Bhumlu Gaunpalika")</f>
        <v>Bhumlu Gaunpalika</v>
      </c>
      <c r="C97" s="37" t="str">
        <f>VLOOKUP(A97,'[1]Palika and District in Nepali '!$D$1:$F$283,3,FALSE)</f>
        <v>भुम्लु गाऊँपालिका</v>
      </c>
      <c r="D97" s="36" t="str">
        <f ca="1">IFERROR(__xludf.DUMMYFUNCTION("""COMPUTED_VALUE"""),"Kavrepalanchok")</f>
        <v>Kavrepalanchok</v>
      </c>
      <c r="E97" s="36"/>
      <c r="F97" s="27">
        <f>VLOOKUP(A97,'[1]Raw Data'!$A$3:$FB$285,4,FALSE)</f>
        <v>254</v>
      </c>
      <c r="G97" s="27">
        <f>VLOOKUP(A97,'[1]Raw Data'!$A$3:$FB$285,5,FALSE)</f>
        <v>5897</v>
      </c>
      <c r="H97" s="27">
        <f>VLOOKUP(A97,'[1]Raw Data'!$A$3:$FB$285,6,FALSE)</f>
        <v>6151</v>
      </c>
      <c r="I97" s="27">
        <f>VLOOKUP($A97,'[1]Raw Data'!$A$3:$FB$285,8,FALSE)</f>
        <v>7.0000000000000007E-2</v>
      </c>
      <c r="J97" s="27">
        <f>VLOOKUP($A97,'[1]Raw Data'!$A$3:$FB$285,9,FALSE)</f>
        <v>0.28999999999999998</v>
      </c>
      <c r="K97" s="27">
        <f>VLOOKUP($A97,'[1]Raw Data'!$A$3:$FB$285,11,FALSE)</f>
        <v>97.04</v>
      </c>
      <c r="L97" s="27">
        <f>VLOOKUP($A97,'[1]Raw Data'!$A$3:$FB$285,12,FALSE)</f>
        <v>69.19</v>
      </c>
      <c r="M97" s="27">
        <f>VLOOKUP($A97,'[1]Raw Data'!$A$3:$FB$285,14,FALSE)</f>
        <v>1.27</v>
      </c>
      <c r="N97" s="27">
        <f>VLOOKUP($A97,'[1]Raw Data'!$A$3:$FB$285,15,FALSE)</f>
        <v>5.98</v>
      </c>
      <c r="O97" s="27">
        <f>VLOOKUP($A97,'[1]Raw Data'!$A$3:$FB$285,17,FALSE)</f>
        <v>0.08</v>
      </c>
      <c r="P97" s="27">
        <f>VLOOKUP($A97,'[1]Raw Data'!$A$3:$FB$285,18,FALSE)</f>
        <v>4.0199999999999996</v>
      </c>
      <c r="Q97" s="27">
        <f>VLOOKUP($A97,'[1]Raw Data'!$A$3:$FB$285,20,FALSE)</f>
        <v>1.01</v>
      </c>
      <c r="R97" s="27">
        <f>VLOOKUP($A97,'[1]Raw Data'!$A$3:$FB$285,21,FALSE)</f>
        <v>4.6500000000000004</v>
      </c>
      <c r="S97" s="27">
        <f>VLOOKUP($A97,'[1]Raw Data'!$A$3:$FB$285,23,FALSE)</f>
        <v>0</v>
      </c>
      <c r="T97" s="27">
        <f>VLOOKUP($A97,'[1]Raw Data'!$A$3:$FB$285,24,FALSE)</f>
        <v>0</v>
      </c>
      <c r="U97" s="27">
        <f>VLOOKUP($A97,'[1]Raw Data'!$A$3:$FB$285,26,FALSE)</f>
        <v>0.05</v>
      </c>
      <c r="V97" s="27">
        <f>VLOOKUP($A97,'[1]Raw Data'!$A$3:$FB$285,27,FALSE)</f>
        <v>0.38</v>
      </c>
      <c r="W97" s="27">
        <f>VLOOKUP($A97,'[1]Raw Data'!$A$3:$FB$285,29,FALSE)</f>
        <v>0</v>
      </c>
      <c r="X97" s="27">
        <f>VLOOKUP($A97,'[1]Raw Data'!$A$3:$FB$285,30,FALSE)</f>
        <v>0</v>
      </c>
      <c r="Y97" s="27">
        <f>VLOOKUP($A97,'[1]Raw Data'!$A$3:$FB$285,32,FALSE)</f>
        <v>0.05</v>
      </c>
      <c r="Z97" s="27">
        <f>VLOOKUP($A97,'[1]Raw Data'!$A$3:$FB$285,33,FALSE)</f>
        <v>0.06</v>
      </c>
      <c r="AA97" s="27">
        <f>VLOOKUP($A97,'[1]Raw Data'!$A$3:$FB$285,35,FALSE)</f>
        <v>0.42</v>
      </c>
      <c r="AB97" s="27">
        <f>VLOOKUP($A97,'[1]Raw Data'!$A$3:$FB$285,36,FALSE)</f>
        <v>15.32</v>
      </c>
      <c r="AC97" s="27">
        <f>VLOOKUP($A97,'[1]Raw Data'!$A$3:$FB$285,38,FALSE)</f>
        <v>0.02</v>
      </c>
      <c r="AD97" s="27">
        <f>VLOOKUP($A97,'[1]Raw Data'!$A$3:$FB$285,39,FALSE)</f>
        <v>0.11</v>
      </c>
      <c r="AE97" s="27">
        <f>VLOOKUP($A97,'[1]Raw Data'!$A$3:$FB$285,41,FALSE)</f>
        <v>0</v>
      </c>
      <c r="AF97" s="27">
        <f>VLOOKUP($A97,'[1]Raw Data'!$A$3:$FB$285,42,FALSE)</f>
        <v>0</v>
      </c>
      <c r="AG97" s="27">
        <f>VLOOKUP($A97,'[1]Raw Data'!$A$3:$FB$285,44,FALSE)</f>
        <v>0</v>
      </c>
      <c r="AH97" s="27">
        <f>VLOOKUP($A97,'[1]Raw Data'!$A$3:$FB$285,45,FALSE)</f>
        <v>0</v>
      </c>
      <c r="AI97" s="27">
        <f>VLOOKUP($A97,'[1]Raw Data'!$A$3:$FB$285,46,FALSE)</f>
        <v>6203</v>
      </c>
      <c r="AJ97" s="27">
        <f>VLOOKUP($A97,'[1]Raw Data'!$A$3:$FB$285,47,FALSE)</f>
        <v>5810</v>
      </c>
      <c r="AK97" s="27">
        <f>VLOOKUP($A97,'[1]Raw Data'!$A$3:$FB$285,48,FALSE)</f>
        <v>5723</v>
      </c>
      <c r="AL97" s="27">
        <f>VLOOKUP($A97,'[1]Raw Data'!$A$3:$FB$285,49,FALSE)</f>
        <v>4721</v>
      </c>
      <c r="AM97" s="27">
        <f>VLOOKUP($A97,'[1]Raw Data'!$A$3:$FB$285,50,FALSE)</f>
        <v>3480</v>
      </c>
      <c r="AN97" s="27">
        <f>VLOOKUP($A97,'[1]Raw Data'!$A$3:$FB$285,51,FALSE)</f>
        <v>0</v>
      </c>
      <c r="AO97" s="27" t="str">
        <f>VLOOKUP($A97,'[1]Raw Data'!$A$3:$FB$285,52,FALSE)</f>
        <v/>
      </c>
      <c r="AP97" s="27">
        <f>VLOOKUP($A97,'[1]Raw Data'!$A$3:$FB$285,53,FALSE)</f>
        <v>88</v>
      </c>
      <c r="AQ97" s="27" t="str">
        <f>VLOOKUP($A97,'[1]Raw Data'!$A$3:$FB$285,54,FALSE)</f>
        <v/>
      </c>
      <c r="AR97" s="27">
        <f>VLOOKUP($A97,'[1]Raw Data'!$A$3:$FB$285,55,FALSE)</f>
        <v>14</v>
      </c>
      <c r="AS97" s="27">
        <f>VLOOKUP($A97,'[1]Raw Data'!$A$3:$FB$285,56,FALSE)</f>
        <v>0</v>
      </c>
      <c r="AT97" s="27">
        <f>VLOOKUP($A97,'[1]Raw Data'!$A$3:$FB$285,57,FALSE)</f>
        <v>1038</v>
      </c>
      <c r="AU97" s="27">
        <f>VLOOKUP($A97,'[1]Raw Data'!$A$3:$FB$285,58,FALSE)</f>
        <v>971</v>
      </c>
      <c r="AV97" s="27" t="str">
        <f>VLOOKUP($A97,'[1]Raw Data'!$A$3:$FB$285,59,FALSE)</f>
        <v/>
      </c>
      <c r="AW97" s="27" t="str">
        <f>VLOOKUP($A97,'[1]Raw Data'!$A$3:$FB$285,60,FALSE)</f>
        <v/>
      </c>
      <c r="AX97" s="27" t="str">
        <f>VLOOKUP(A97,'[1]PO''s List'!A95:E377,4,FALSE)</f>
        <v>EcoH-N(Education,Health,Social Protection),NRCS(Livelihood,Employment ,Health,Shelter,Health)</v>
      </c>
      <c r="AZ97" s="27" t="str">
        <f>VLOOKUP(A97,'[1]PO''s List'!$A$3:$E$285,5,FALSE)</f>
        <v>AA(DRR,Education,Employment ,GESI),ADRA(Shelter),Garuda-N(Education,Health),HELVETAS(Shelter),HI(DRR,Employment ,Nutrition,Shelter,Health),LWF(Livelihood,Employment ,Health),NN(Shelter),SABAL(Shelter),Tdh(Health)</v>
      </c>
      <c r="BB97" s="27">
        <f>VLOOKUP($A97,'[1]Raw Data'!$A$3:$FB$285,63,FALSE)</f>
        <v>98363</v>
      </c>
      <c r="BC97" s="27" t="str">
        <f>VLOOKUP($A97,'[1]Raw Data'!$A$3:$FB$285,64,FALSE)</f>
        <v>Y</v>
      </c>
      <c r="BD97" s="27" t="str">
        <f t="shared" si="9"/>
        <v>छ</v>
      </c>
      <c r="BE97" s="27">
        <f>VLOOKUP($A97,'[1]Raw Data'!$A$3:$FB$285,65,FALSE)</f>
        <v>3000</v>
      </c>
      <c r="BF97" s="27">
        <f>VLOOKUP($A97,'[1]Raw Data'!$A$3:$FB$285,66,FALSE)</f>
        <v>97349</v>
      </c>
      <c r="BG97" s="27" t="str">
        <f>VLOOKUP($A97,'[1]Raw Data'!$A$3:$FB$285,67,FALSE)</f>
        <v>N</v>
      </c>
      <c r="BH97" s="27" t="str">
        <f t="shared" si="10"/>
        <v>छैन</v>
      </c>
      <c r="BI97" s="27">
        <f>VLOOKUP($A97,'[1]Raw Data'!$A$3:$FB$285,68,FALSE)</f>
        <v>5000</v>
      </c>
      <c r="BJ97" s="27">
        <f>VLOOKUP($A97,'[1]Raw Data'!$A$3:$FB$285,69,FALSE)</f>
        <v>10473</v>
      </c>
      <c r="BK97" s="27" t="str">
        <f>VLOOKUP($A97,'[1]Raw Data'!$A$3:$FB$285,70,FALSE)</f>
        <v>N</v>
      </c>
      <c r="BL97" s="27" t="str">
        <f t="shared" si="11"/>
        <v>छैन</v>
      </c>
      <c r="BM97" s="27">
        <f>VLOOKUP($A97,'[1]Raw Data'!$A$3:$FB$285,71,FALSE)</f>
        <v>5000</v>
      </c>
      <c r="BN97" s="27">
        <f>VLOOKUP($A97,'[1]Raw Data'!$A$3:$FB$285,72,FALSE)</f>
        <v>11973</v>
      </c>
      <c r="BO97" s="27" t="str">
        <f>VLOOKUP($A97,'[1]Raw Data'!$A$3:$FB$285,73,FALSE)</f>
        <v/>
      </c>
      <c r="BP97" s="27" t="str">
        <f t="shared" si="12"/>
        <v/>
      </c>
      <c r="BQ97" s="27" t="str">
        <f>VLOOKUP($A97,'[1]Raw Data'!$A$3:$FB$285,74,FALSE)</f>
        <v/>
      </c>
      <c r="BR97" s="27" t="str">
        <f>VLOOKUP($A97,'[1]Raw Data'!$A$3:$FB$285,75,FALSE)</f>
        <v/>
      </c>
      <c r="BS97" s="27" t="str">
        <f>VLOOKUP($A97,'[1]Raw Data'!$A$3:$FB$285,76,FALSE)</f>
        <v>N</v>
      </c>
      <c r="BT97" s="27" t="str">
        <f t="shared" si="13"/>
        <v>छैन</v>
      </c>
      <c r="BU97" s="27">
        <f>VLOOKUP($A97,'[1]Raw Data'!$A$3:$FB$285,77,FALSE)</f>
        <v>1000</v>
      </c>
      <c r="BV97" s="27">
        <f>VLOOKUP($A97,'[1]Raw Data'!$A$3:$FB$285,78,FALSE)</f>
        <v>325118</v>
      </c>
      <c r="BW97" s="27" t="str">
        <f>VLOOKUP($A97,'[1]Raw Data'!$A$3:$FB$285,79,FALSE)</f>
        <v>N</v>
      </c>
      <c r="BX97" s="27" t="str">
        <f t="shared" si="14"/>
        <v>छैन</v>
      </c>
      <c r="BY97" s="27">
        <f>VLOOKUP($A97,'[1]Raw Data'!$A$3:$FB$285,80,FALSE)</f>
        <v>1100</v>
      </c>
      <c r="BZ97" s="27">
        <f>VLOOKUP($A97,'[1]Raw Data'!$A$3:$FB$285,81,FALSE)</f>
        <v>1074268</v>
      </c>
      <c r="CA97" s="27" t="str">
        <f>VLOOKUP($A97,'[1]Raw Data'!$A$3:$FB$285,82,FALSE)</f>
        <v>N</v>
      </c>
      <c r="CB97" s="27" t="str">
        <f t="shared" si="15"/>
        <v>छैन</v>
      </c>
      <c r="CC97" s="27">
        <f>VLOOKUP($A97,'[1]Raw Data'!$A$3:$FB$285,83,FALSE)</f>
        <v>100</v>
      </c>
      <c r="CD97" s="27">
        <f>VLOOKUP($A97,'[1]Raw Data'!$A$3:$FB$285,84,FALSE)</f>
        <v>13294</v>
      </c>
      <c r="CE97" s="27" t="str">
        <f>VLOOKUP($A97,'[1]Raw Data'!$A$3:$FB$285,85,FALSE)</f>
        <v/>
      </c>
      <c r="CF97" s="27" t="str">
        <f t="shared" si="16"/>
        <v/>
      </c>
      <c r="CG97" s="27" t="str">
        <f>VLOOKUP($A97,'[1]Raw Data'!$A$3:$FB$285,86,FALSE)</f>
        <v/>
      </c>
      <c r="CH97" s="27">
        <f>VLOOKUP($A97,'[1]Raw Data'!$A$3:$FB$285,87,FALSE)</f>
        <v>1535500</v>
      </c>
      <c r="CI97" s="27" t="str">
        <f>VLOOKUP($A97,'[1]Raw Data'!$A$3:$FB$285,88,FALSE)</f>
        <v/>
      </c>
      <c r="CJ97" s="27" t="str">
        <f t="shared" si="17"/>
        <v/>
      </c>
      <c r="CK97" s="27" t="str">
        <f>VLOOKUP($A97,'[1]Raw Data'!$A$3:$FB$285,89,FALSE)</f>
        <v/>
      </c>
      <c r="CL97" s="27">
        <f>VLOOKUP($A97,'[1]Raw Data'!$A$3:$FB$285,91,FALSE)</f>
        <v>1200</v>
      </c>
      <c r="CM97" s="27">
        <f>VLOOKUP($A97,'[1]Raw Data'!$A$3:$FB$285,93,FALSE)</f>
        <v>1000</v>
      </c>
      <c r="CN97" s="27" t="str">
        <f>VLOOKUP($A97,'[1]Raw Data'!$A$3:$FB$285,94,FALSE)</f>
        <v/>
      </c>
      <c r="CO97" s="27" t="str">
        <f>VLOOKUP($A97,'[1]Raw Data'!$A$3:$FB$285,95,FALSE)</f>
        <v/>
      </c>
      <c r="CP97" s="27" t="str">
        <f>VLOOKUP($A97,'[1]Raw Data'!$A$3:$FB$285,96,FALSE)</f>
        <v/>
      </c>
      <c r="CQ97" s="27" t="str">
        <f>VLOOKUP($A97,'[1]Raw Data'!$A$3:$FB$285,97,FALSE)</f>
        <v/>
      </c>
      <c r="CR97" s="27" t="str">
        <f>VLOOKUP($A97,'[1]Raw Data'!$A$3:$FB$285,98,FALSE)</f>
        <v/>
      </c>
      <c r="CS97" s="27" t="str">
        <f>VLOOKUP($A97,'[1]Raw Data'!$A$3:$FB$285,99,FALSE)</f>
        <v/>
      </c>
      <c r="CT97" s="27" t="str">
        <f>VLOOKUP($A97,'[1]Raw Data'!$A$3:$FB$285,101,FALSE)</f>
        <v>Guman Dhoj Kunwar</v>
      </c>
      <c r="CU97" s="27" t="s">
        <v>1088</v>
      </c>
      <c r="CV97" s="27" t="str">
        <f>VLOOKUP($A97,'[1]Raw Data'!$A$3:$FB$285,102,FALSE)</f>
        <v>Mayor</v>
      </c>
      <c r="CW97" s="27" t="s">
        <v>834</v>
      </c>
      <c r="CX97" s="27">
        <f>VLOOKUP($A97,'[1]Raw Data'!$A$3:$FB$285,103,FALSE)</f>
        <v>9851084808</v>
      </c>
      <c r="CY97" s="27" t="str">
        <f>VLOOKUP($A97,'[1]Raw Data'!$A$3:$FB$285,105,FALSE)</f>
        <v>Kalpana Shrestha</v>
      </c>
      <c r="CZ97" s="27" t="s">
        <v>1089</v>
      </c>
      <c r="DA97" s="27" t="str">
        <f>VLOOKUP($A97,'[1]Raw Data'!$A$3:$FB$285,106,FALSE)</f>
        <v>Deputy Mayor</v>
      </c>
      <c r="DB97" s="27" t="s">
        <v>888</v>
      </c>
      <c r="DC97" s="27">
        <f>VLOOKUP($A97,'[1]Raw Data'!$A$3:$FB$285,107,FALSE)</f>
        <v>9841648772</v>
      </c>
      <c r="DD97" s="27" t="str">
        <f>VLOOKUP($A97,'[1]Raw Data'!$A$3:$FB$285,109,FALSE)</f>
        <v>Hari Ballav Ghimire</v>
      </c>
      <c r="DE97" s="27" t="s">
        <v>1090</v>
      </c>
      <c r="DF97" s="27" t="str">
        <f>VLOOKUP($A97,'[1]Raw Data'!$A$3:$FB$285,110,FALSE)</f>
        <v>Adminstration Officer</v>
      </c>
      <c r="DG97" s="27" t="s">
        <v>880</v>
      </c>
      <c r="DH97" s="27">
        <f>VLOOKUP($A97,'[1]Raw Data'!$A$3:$FB$285,111,FALSE)</f>
        <v>9841831427</v>
      </c>
      <c r="DI97" s="27" t="str">
        <f>VLOOKUP($A97,'[1]Raw Data'!$A$3:$FB$285,121,FALSE)</f>
        <v/>
      </c>
      <c r="DK97" s="27" t="str">
        <f>VLOOKUP($A97,'[1]Raw Data'!$A$3:$FB$285,122,FALSE)</f>
        <v>Focal Person</v>
      </c>
      <c r="DL97" s="27" t="s">
        <v>881</v>
      </c>
      <c r="DM97" s="27" t="str">
        <f>VLOOKUP($A97,'[1]Raw Data'!$A$3:$FB$285,123,FALSE)</f>
        <v/>
      </c>
      <c r="DN97" s="27" t="str">
        <f>VLOOKUP($A97,'[1]Raw Data'!$A$3:$FB$285,113,FALSE)</f>
        <v>Lok Nath Regmi</v>
      </c>
      <c r="DO97" s="27" t="s">
        <v>1081</v>
      </c>
      <c r="DP97" s="27" t="str">
        <f>VLOOKUP($A97,'[1]Raw Data'!$A$3:$FB$285,114,FALSE)</f>
        <v>NRA Chief-District</v>
      </c>
      <c r="DQ97" s="27" t="s">
        <v>882</v>
      </c>
      <c r="DR97" s="27">
        <f>VLOOKUP($A97,'[1]Raw Data'!$A$3:$FB$285,115,FALSE)</f>
        <v>9851146403</v>
      </c>
      <c r="DS97" s="27" t="str">
        <f>VLOOKUP($A97,'[1]Raw Data'!$A$3:$FB$285,117,FALSE)</f>
        <v>Mahalaxmi Joshi</v>
      </c>
      <c r="DT97" s="27" t="s">
        <v>1082</v>
      </c>
      <c r="DU97" s="27" t="str">
        <f>VLOOKUP($A97,'[1]Raw Data'!$A$3:$FB$285,118,FALSE)</f>
        <v>DUDBC.DLPIU Chief</v>
      </c>
      <c r="DV97" s="27" t="s">
        <v>883</v>
      </c>
      <c r="DW97" s="27">
        <f>VLOOKUP($A97,'[1]Raw Data'!$A$3:$FB$285,119,FALSE)</f>
        <v>9841010222</v>
      </c>
      <c r="DX97" s="27" t="s">
        <v>339</v>
      </c>
      <c r="DY97" s="27" t="str">
        <f>VLOOKUP($A97,'[1]Raw Data'!$A$3:$FB$285,124,FALSE)</f>
        <v>80</v>
      </c>
      <c r="DZ97" s="27" t="s">
        <v>884</v>
      </c>
      <c r="EA97" s="27" t="str">
        <f>VLOOKUP($A97,'[1]Raw Data'!$A$3:$FB$285,125,FALSE)</f>
        <v>1405</v>
      </c>
      <c r="EB97" s="27" t="s">
        <v>341</v>
      </c>
      <c r="EC97" s="27" t="str">
        <f>VLOOKUP($A97,'[1]Raw Data'!$A$3:$FB$285,126,FALSE)</f>
        <v>325</v>
      </c>
      <c r="ED97" t="s">
        <v>478</v>
      </c>
      <c r="EE97" s="27" t="str">
        <f>VLOOKUP($A97,'[1]Raw Data'!$A$3:$FB$285,127,FALSE)</f>
        <v/>
      </c>
      <c r="EF97" s="27" t="s">
        <v>343</v>
      </c>
      <c r="EG97" s="27" t="str">
        <f>VLOOKUP($A97,'[1]Raw Data'!$A$3:$FB$285,128,FALSE)</f>
        <v>150</v>
      </c>
      <c r="EH97" t="s">
        <v>344</v>
      </c>
      <c r="EI97" s="27" t="str">
        <f>VLOOKUP($A97,'[1]Raw Data'!$A$3:$FB$285,129,FALSE)</f>
        <v>125</v>
      </c>
      <c r="EM97" s="27" t="str">
        <f>VLOOKUP($A97,'[1]Raw Data'!$A$3:$FB$285,130,FALSE)</f>
        <v/>
      </c>
      <c r="EN97" s="27" t="str">
        <f>VLOOKUP($A97,'[1]Raw Data'!$A$3:$FB$285,131,FALSE)</f>
        <v/>
      </c>
      <c r="EO97" s="27" t="str">
        <f>VLOOKUP($A97,'[1]Raw Data'!$A$3:$FB$285,132,FALSE)</f>
        <v/>
      </c>
      <c r="EP97" s="27" t="str">
        <f>VLOOKUP($A97,'[1]Raw Data'!$A$3:$FB$285,133,FALSE)</f>
        <v/>
      </c>
      <c r="EQ97" s="27" t="str">
        <f>VLOOKUP($A97,'[1]Raw Data'!$A$3:$FB$285,134,FALSE)</f>
        <v/>
      </c>
      <c r="ER97" s="27" t="str">
        <f>VLOOKUP($A97,'[1]Raw Data'!$A$3:$FB$285,135,FALSE)</f>
        <v/>
      </c>
      <c r="ES97" s="27" t="str">
        <f>VLOOKUP($A97,'[1]Raw Data'!$A$3:$FB$285,136,FALSE)</f>
        <v/>
      </c>
      <c r="ET97" s="27" t="str">
        <f>VLOOKUP($A97,'[1]Raw Data'!$A$3:$FB$285,137,FALSE)</f>
        <v/>
      </c>
      <c r="EU97" s="27" t="str">
        <f>VLOOKUP($A97,'[1]Raw Data'!$A$3:$FB$285,138,FALSE)</f>
        <v/>
      </c>
      <c r="EV97" s="27" t="str">
        <f>VLOOKUP($A97,'[1]Raw Data'!$A$3:$FB$285,139,FALSE)</f>
        <v/>
      </c>
      <c r="EW97" s="38">
        <f>VLOOKUP($A97,[1]Training!$A$2:$I$284,5,FALSE)</f>
        <v>477.15384615384613</v>
      </c>
      <c r="EX97" s="31">
        <f>VLOOKUP($A97,[1]Training!$A$2:$I$284,6,FALSE)</f>
        <v>338</v>
      </c>
      <c r="EY97" s="38">
        <f>VLOOKUP($A97,[1]Training!$A$2:$I$284,8,FALSE)</f>
        <v>561.64209916337688</v>
      </c>
      <c r="EZ97" s="31">
        <f>VLOOKUP($A97,[1]Training!$A$2:$I$284,9,FALSE)</f>
        <v>292</v>
      </c>
      <c r="FA97" s="27">
        <v>1</v>
      </c>
      <c r="FB97" s="27">
        <v>2</v>
      </c>
      <c r="FC97" s="27" t="str">
        <f>VLOOKUP($A97,'[1]Raw Data'!$A$3:$FB$285,148,FALSE)</f>
        <v>Reshma Shrestha</v>
      </c>
      <c r="FD97" s="27" t="s">
        <v>1083</v>
      </c>
      <c r="FE97" s="27" t="str">
        <f>VLOOKUP($A97,'[1]Raw Data'!$A$3:$FB$285,149,FALSE)</f>
        <v>District Coordinator</v>
      </c>
      <c r="FF97" s="27" t="s">
        <v>885</v>
      </c>
      <c r="FG97" s="27">
        <f>VLOOKUP($A97,'[1]Raw Data'!$A$3:$FB$285,150,FALSE)</f>
        <v>9841264190</v>
      </c>
      <c r="FH97" s="27" t="str">
        <f>VLOOKUP($A97,'[1]Raw Data'!$A$3:$FB$285,156,FALSE)</f>
        <v/>
      </c>
      <c r="FJ97" s="27" t="str">
        <f>VLOOKUP($A97,'[1]Raw Data'!$A$3:$FB$285,157,FALSE)</f>
        <v>District Technical Officer</v>
      </c>
      <c r="FK97" s="27" t="s">
        <v>886</v>
      </c>
      <c r="FL97" s="27" t="str">
        <f>VLOOKUP($A97,'[1]Raw Data'!$A$3:$FB$285,158,FALSE)</f>
        <v/>
      </c>
      <c r="FM97" s="27" t="str">
        <f>VLOOKUP($A97,'[1]Raw Data'!$A$3:$FB$285,152,FALSE)</f>
        <v>Ishor Neupane</v>
      </c>
      <c r="FN97" s="27" t="s">
        <v>1084</v>
      </c>
      <c r="FO97" s="27" t="str">
        <f>VLOOKUP($A97,'[1]Raw Data'!$A$3:$FB$285,153,FALSE)</f>
        <v>DIstrict Information Management Officer</v>
      </c>
      <c r="FP97" s="27" t="s">
        <v>887</v>
      </c>
      <c r="FQ97" s="27">
        <f>VLOOKUP($A97,'[1]Raw Data'!$A$3:$FB$285,154,FALSE)</f>
        <v>9801317265</v>
      </c>
    </row>
    <row r="98" spans="1:173" ht="24" x14ac:dyDescent="0.45">
      <c r="A98" s="27">
        <v>24004</v>
      </c>
      <c r="B98" s="36" t="str">
        <f ca="1">IFERROR(__xludf.DUMMYFUNCTION("""COMPUTED_VALUE"""),"Chaurideurali Gaunpalika")</f>
        <v>Chaurideurali Gaunpalika</v>
      </c>
      <c r="C98" s="37" t="str">
        <f>VLOOKUP(A98,'[1]Palika and District in Nepali '!$D$1:$F$283,3,FALSE)</f>
        <v>चौरीदेउराली गाउँपालिका</v>
      </c>
      <c r="D98" s="36" t="str">
        <f ca="1">IFERROR(__xludf.DUMMYFUNCTION("""COMPUTED_VALUE"""),"Kavrepalanchok")</f>
        <v>Kavrepalanchok</v>
      </c>
      <c r="E98" s="36"/>
      <c r="F98" s="27">
        <f>VLOOKUP(A98,'[1]Raw Data'!$A$3:$FB$285,4,FALSE)</f>
        <v>654</v>
      </c>
      <c r="G98" s="27">
        <f>VLOOKUP(A98,'[1]Raw Data'!$A$3:$FB$285,5,FALSE)</f>
        <v>5481</v>
      </c>
      <c r="H98" s="27">
        <f>VLOOKUP(A98,'[1]Raw Data'!$A$3:$FB$285,6,FALSE)</f>
        <v>6135</v>
      </c>
      <c r="I98" s="27">
        <f>VLOOKUP($A98,'[1]Raw Data'!$A$3:$FB$285,8,FALSE)</f>
        <v>0.13</v>
      </c>
      <c r="J98" s="27">
        <f>VLOOKUP($A98,'[1]Raw Data'!$A$3:$FB$285,9,FALSE)</f>
        <v>0.28999999999999998</v>
      </c>
      <c r="K98" s="27">
        <f>VLOOKUP($A98,'[1]Raw Data'!$A$3:$FB$285,11,FALSE)</f>
        <v>97.98</v>
      </c>
      <c r="L98" s="27">
        <f>VLOOKUP($A98,'[1]Raw Data'!$A$3:$FB$285,12,FALSE)</f>
        <v>69.19</v>
      </c>
      <c r="M98" s="27">
        <f>VLOOKUP($A98,'[1]Raw Data'!$A$3:$FB$285,14,FALSE)</f>
        <v>0.05</v>
      </c>
      <c r="N98" s="27">
        <f>VLOOKUP($A98,'[1]Raw Data'!$A$3:$FB$285,15,FALSE)</f>
        <v>5.98</v>
      </c>
      <c r="O98" s="27">
        <f>VLOOKUP($A98,'[1]Raw Data'!$A$3:$FB$285,17,FALSE)</f>
        <v>0.02</v>
      </c>
      <c r="P98" s="27">
        <f>VLOOKUP($A98,'[1]Raw Data'!$A$3:$FB$285,18,FALSE)</f>
        <v>4.0199999999999996</v>
      </c>
      <c r="Q98" s="27">
        <f>VLOOKUP($A98,'[1]Raw Data'!$A$3:$FB$285,20,FALSE)</f>
        <v>0.1</v>
      </c>
      <c r="R98" s="27">
        <f>VLOOKUP($A98,'[1]Raw Data'!$A$3:$FB$285,21,FALSE)</f>
        <v>4.6500000000000004</v>
      </c>
      <c r="S98" s="27">
        <f>VLOOKUP($A98,'[1]Raw Data'!$A$3:$FB$285,23,FALSE)</f>
        <v>0</v>
      </c>
      <c r="T98" s="27">
        <f>VLOOKUP($A98,'[1]Raw Data'!$A$3:$FB$285,24,FALSE)</f>
        <v>0</v>
      </c>
      <c r="U98" s="27">
        <f>VLOOKUP($A98,'[1]Raw Data'!$A$3:$FB$285,26,FALSE)</f>
        <v>0.02</v>
      </c>
      <c r="V98" s="27">
        <f>VLOOKUP($A98,'[1]Raw Data'!$A$3:$FB$285,27,FALSE)</f>
        <v>0.38</v>
      </c>
      <c r="W98" s="27">
        <f>VLOOKUP($A98,'[1]Raw Data'!$A$3:$FB$285,29,FALSE)</f>
        <v>0</v>
      </c>
      <c r="X98" s="27">
        <f>VLOOKUP($A98,'[1]Raw Data'!$A$3:$FB$285,30,FALSE)</f>
        <v>0</v>
      </c>
      <c r="Y98" s="27">
        <f>VLOOKUP($A98,'[1]Raw Data'!$A$3:$FB$285,32,FALSE)</f>
        <v>0.02</v>
      </c>
      <c r="Z98" s="27">
        <f>VLOOKUP($A98,'[1]Raw Data'!$A$3:$FB$285,33,FALSE)</f>
        <v>0.06</v>
      </c>
      <c r="AA98" s="27">
        <f>VLOOKUP($A98,'[1]Raw Data'!$A$3:$FB$285,35,FALSE)</f>
        <v>1.57</v>
      </c>
      <c r="AB98" s="27">
        <f>VLOOKUP($A98,'[1]Raw Data'!$A$3:$FB$285,36,FALSE)</f>
        <v>15.32</v>
      </c>
      <c r="AC98" s="27">
        <f>VLOOKUP($A98,'[1]Raw Data'!$A$3:$FB$285,38,FALSE)</f>
        <v>0.13</v>
      </c>
      <c r="AD98" s="27">
        <f>VLOOKUP($A98,'[1]Raw Data'!$A$3:$FB$285,39,FALSE)</f>
        <v>0.11</v>
      </c>
      <c r="AE98" s="27">
        <f>VLOOKUP($A98,'[1]Raw Data'!$A$3:$FB$285,41,FALSE)</f>
        <v>0</v>
      </c>
      <c r="AF98" s="27">
        <f>VLOOKUP($A98,'[1]Raw Data'!$A$3:$FB$285,42,FALSE)</f>
        <v>0</v>
      </c>
      <c r="AG98" s="27">
        <f>VLOOKUP($A98,'[1]Raw Data'!$A$3:$FB$285,44,FALSE)</f>
        <v>0</v>
      </c>
      <c r="AH98" s="27">
        <f>VLOOKUP($A98,'[1]Raw Data'!$A$3:$FB$285,45,FALSE)</f>
        <v>0</v>
      </c>
      <c r="AI98" s="27">
        <f>VLOOKUP($A98,'[1]Raw Data'!$A$3:$FB$285,46,FALSE)</f>
        <v>6411</v>
      </c>
      <c r="AJ98" s="27">
        <f>VLOOKUP($A98,'[1]Raw Data'!$A$3:$FB$285,47,FALSE)</f>
        <v>5459</v>
      </c>
      <c r="AK98" s="27">
        <f>VLOOKUP($A98,'[1]Raw Data'!$A$3:$FB$285,48,FALSE)</f>
        <v>5176</v>
      </c>
      <c r="AL98" s="27">
        <f>VLOOKUP($A98,'[1]Raw Data'!$A$3:$FB$285,49,FALSE)</f>
        <v>3686</v>
      </c>
      <c r="AM98" s="27">
        <f>VLOOKUP($A98,'[1]Raw Data'!$A$3:$FB$285,50,FALSE)</f>
        <v>1667</v>
      </c>
      <c r="AN98" s="27">
        <f>VLOOKUP($A98,'[1]Raw Data'!$A$3:$FB$285,51,FALSE)</f>
        <v>0</v>
      </c>
      <c r="AO98" s="27" t="str">
        <f>VLOOKUP($A98,'[1]Raw Data'!$A$3:$FB$285,52,FALSE)</f>
        <v/>
      </c>
      <c r="AP98" s="27">
        <f>VLOOKUP($A98,'[1]Raw Data'!$A$3:$FB$285,53,FALSE)</f>
        <v>440</v>
      </c>
      <c r="AQ98" s="27" t="str">
        <f>VLOOKUP($A98,'[1]Raw Data'!$A$3:$FB$285,54,FALSE)</f>
        <v/>
      </c>
      <c r="AR98" s="27">
        <f>VLOOKUP($A98,'[1]Raw Data'!$A$3:$FB$285,55,FALSE)</f>
        <v>42</v>
      </c>
      <c r="AS98" s="27">
        <f>VLOOKUP($A98,'[1]Raw Data'!$A$3:$FB$285,56,FALSE)</f>
        <v>0</v>
      </c>
      <c r="AT98" s="27">
        <f>VLOOKUP($A98,'[1]Raw Data'!$A$3:$FB$285,57,FALSE)</f>
        <v>1578</v>
      </c>
      <c r="AU98" s="27">
        <f>VLOOKUP($A98,'[1]Raw Data'!$A$3:$FB$285,58,FALSE)</f>
        <v>1517</v>
      </c>
      <c r="AV98" s="27" t="str">
        <f>VLOOKUP($A98,'[1]Raw Data'!$A$3:$FB$285,59,FALSE)</f>
        <v/>
      </c>
      <c r="AW98" s="27" t="str">
        <f>VLOOKUP($A98,'[1]Raw Data'!$A$3:$FB$285,60,FALSE)</f>
        <v/>
      </c>
      <c r="AX98" s="27" t="str">
        <f>VLOOKUP(A98,'[1]PO''s List'!A96:E378,4,FALSE)</f>
        <v>NRCS(Health)</v>
      </c>
      <c r="AZ98" s="27" t="str">
        <f>VLOOKUP(A98,'[1]PO''s List'!$A$3:$E$285,5,FALSE)</f>
        <v>GON - DUDBC(Shelter),NN(Shelter),NYF(Education,Shelter),SABAL(Shelter),Tdh(Health)</v>
      </c>
      <c r="BB98" s="27">
        <f>VLOOKUP($A98,'[1]Raw Data'!$A$3:$FB$285,63,FALSE)</f>
        <v>61968</v>
      </c>
      <c r="BC98" s="27" t="str">
        <f>VLOOKUP($A98,'[1]Raw Data'!$A$3:$FB$285,64,FALSE)</f>
        <v>Y</v>
      </c>
      <c r="BD98" s="27" t="str">
        <f t="shared" si="9"/>
        <v>छ</v>
      </c>
      <c r="BE98" s="27">
        <f>VLOOKUP($A98,'[1]Raw Data'!$A$3:$FB$285,65,FALSE)</f>
        <v>5000</v>
      </c>
      <c r="BF98" s="27">
        <f>VLOOKUP($A98,'[1]Raw Data'!$A$3:$FB$285,66,FALSE)</f>
        <v>64939</v>
      </c>
      <c r="BG98" s="27" t="str">
        <f>VLOOKUP($A98,'[1]Raw Data'!$A$3:$FB$285,67,FALSE)</f>
        <v>N</v>
      </c>
      <c r="BH98" s="27" t="str">
        <f t="shared" si="10"/>
        <v>छैन</v>
      </c>
      <c r="BI98" s="27">
        <f>VLOOKUP($A98,'[1]Raw Data'!$A$3:$FB$285,68,FALSE)</f>
        <v>35000</v>
      </c>
      <c r="BJ98" s="27">
        <f>VLOOKUP($A98,'[1]Raw Data'!$A$3:$FB$285,69,FALSE)</f>
        <v>6629</v>
      </c>
      <c r="BK98" s="27" t="str">
        <f>VLOOKUP($A98,'[1]Raw Data'!$A$3:$FB$285,70,FALSE)</f>
        <v>N</v>
      </c>
      <c r="BL98" s="27" t="str">
        <f t="shared" si="11"/>
        <v>छैन</v>
      </c>
      <c r="BM98" s="27">
        <f>VLOOKUP($A98,'[1]Raw Data'!$A$3:$FB$285,71,FALSE)</f>
        <v>35000</v>
      </c>
      <c r="BN98" s="27">
        <f>VLOOKUP($A98,'[1]Raw Data'!$A$3:$FB$285,72,FALSE)</f>
        <v>7694</v>
      </c>
      <c r="BO98" s="27" t="str">
        <f>VLOOKUP($A98,'[1]Raw Data'!$A$3:$FB$285,73,FALSE)</f>
        <v>Y</v>
      </c>
      <c r="BP98" s="27" t="str">
        <f t="shared" si="12"/>
        <v>छ</v>
      </c>
      <c r="BQ98" s="27" t="str">
        <f>VLOOKUP($A98,'[1]Raw Data'!$A$3:$FB$285,74,FALSE)</f>
        <v/>
      </c>
      <c r="BR98" s="27" t="str">
        <f>VLOOKUP($A98,'[1]Raw Data'!$A$3:$FB$285,75,FALSE)</f>
        <v/>
      </c>
      <c r="BS98" s="27" t="str">
        <f>VLOOKUP($A98,'[1]Raw Data'!$A$3:$FB$285,76,FALSE)</f>
        <v>N</v>
      </c>
      <c r="BT98" s="27" t="str">
        <f t="shared" si="13"/>
        <v>छैन</v>
      </c>
      <c r="BU98" s="27" t="str">
        <f>VLOOKUP($A98,'[1]Raw Data'!$A$3:$FB$285,77,FALSE)</f>
        <v/>
      </c>
      <c r="BV98" s="27">
        <f>VLOOKUP($A98,'[1]Raw Data'!$A$3:$FB$285,78,FALSE)</f>
        <v>214341</v>
      </c>
      <c r="BW98" s="27" t="str">
        <f>VLOOKUP($A98,'[1]Raw Data'!$A$3:$FB$285,79,FALSE)</f>
        <v>N</v>
      </c>
      <c r="BX98" s="27" t="str">
        <f t="shared" si="14"/>
        <v>छैन</v>
      </c>
      <c r="BY98" s="27" t="str">
        <f>VLOOKUP($A98,'[1]Raw Data'!$A$3:$FB$285,80,FALSE)</f>
        <v/>
      </c>
      <c r="BZ98" s="27">
        <f>VLOOKUP($A98,'[1]Raw Data'!$A$3:$FB$285,81,FALSE)</f>
        <v>668867</v>
      </c>
      <c r="CA98" s="27" t="str">
        <f>VLOOKUP($A98,'[1]Raw Data'!$A$3:$FB$285,82,FALSE)</f>
        <v>N</v>
      </c>
      <c r="CB98" s="27" t="str">
        <f t="shared" si="15"/>
        <v>छैन</v>
      </c>
      <c r="CC98" s="27" t="str">
        <f>VLOOKUP($A98,'[1]Raw Data'!$A$3:$FB$285,83,FALSE)</f>
        <v/>
      </c>
      <c r="CD98" s="27">
        <f>VLOOKUP($A98,'[1]Raw Data'!$A$3:$FB$285,84,FALSE)</f>
        <v>8758</v>
      </c>
      <c r="CE98" s="27" t="str">
        <f>VLOOKUP($A98,'[1]Raw Data'!$A$3:$FB$285,85,FALSE)</f>
        <v>N</v>
      </c>
      <c r="CF98" s="27" t="str">
        <f t="shared" si="16"/>
        <v>छैन</v>
      </c>
      <c r="CG98" s="27" t="str">
        <f>VLOOKUP($A98,'[1]Raw Data'!$A$3:$FB$285,86,FALSE)</f>
        <v/>
      </c>
      <c r="CH98" s="27">
        <f>VLOOKUP($A98,'[1]Raw Data'!$A$3:$FB$285,87,FALSE)</f>
        <v>418941</v>
      </c>
      <c r="CI98" s="27" t="str">
        <f>VLOOKUP($A98,'[1]Raw Data'!$A$3:$FB$285,88,FALSE)</f>
        <v>N</v>
      </c>
      <c r="CJ98" s="27" t="str">
        <f t="shared" si="17"/>
        <v>छैन</v>
      </c>
      <c r="CK98" s="27" t="str">
        <f>VLOOKUP($A98,'[1]Raw Data'!$A$3:$FB$285,89,FALSE)</f>
        <v/>
      </c>
      <c r="CL98" s="27">
        <f>VLOOKUP($A98,'[1]Raw Data'!$A$3:$FB$285,91,FALSE)</f>
        <v>1200</v>
      </c>
      <c r="CM98" s="27">
        <f>VLOOKUP($A98,'[1]Raw Data'!$A$3:$FB$285,93,FALSE)</f>
        <v>1000</v>
      </c>
      <c r="CN98" s="27" t="str">
        <f>VLOOKUP($A98,'[1]Raw Data'!$A$3:$FB$285,94,FALSE)</f>
        <v/>
      </c>
      <c r="CO98" s="27" t="str">
        <f>VLOOKUP($A98,'[1]Raw Data'!$A$3:$FB$285,95,FALSE)</f>
        <v/>
      </c>
      <c r="CP98" s="27" t="str">
        <f>VLOOKUP($A98,'[1]Raw Data'!$A$3:$FB$285,96,FALSE)</f>
        <v/>
      </c>
      <c r="CQ98" s="27" t="str">
        <f>VLOOKUP($A98,'[1]Raw Data'!$A$3:$FB$285,97,FALSE)</f>
        <v/>
      </c>
      <c r="CR98" s="27" t="str">
        <f>VLOOKUP($A98,'[1]Raw Data'!$A$3:$FB$285,98,FALSE)</f>
        <v/>
      </c>
      <c r="CS98" s="27" t="str">
        <f>VLOOKUP($A98,'[1]Raw Data'!$A$3:$FB$285,99,FALSE)</f>
        <v/>
      </c>
      <c r="CT98" s="27" t="str">
        <f>VLOOKUP($A98,'[1]Raw Data'!$A$3:$FB$285,101,FALSE)</f>
        <v>Dina Nath Gautam</v>
      </c>
      <c r="CU98" s="27" t="s">
        <v>1091</v>
      </c>
      <c r="CV98" s="27" t="str">
        <f>VLOOKUP($A98,'[1]Raw Data'!$A$3:$FB$285,102,FALSE)</f>
        <v>Mayor</v>
      </c>
      <c r="CW98" s="27" t="s">
        <v>834</v>
      </c>
      <c r="CX98" s="27">
        <f>VLOOKUP($A98,'[1]Raw Data'!$A$3:$FB$285,103,FALSE)</f>
        <v>9751003030</v>
      </c>
      <c r="CY98" s="27" t="str">
        <f>VLOOKUP($A98,'[1]Raw Data'!$A$3:$FB$285,105,FALSE)</f>
        <v>Tara Chaulagain</v>
      </c>
      <c r="CZ98" s="27" t="s">
        <v>1092</v>
      </c>
      <c r="DA98" s="27" t="str">
        <f>VLOOKUP($A98,'[1]Raw Data'!$A$3:$FB$285,106,FALSE)</f>
        <v>Deputy Mayor</v>
      </c>
      <c r="DB98" s="27" t="s">
        <v>888</v>
      </c>
      <c r="DC98" s="27">
        <f>VLOOKUP($A98,'[1]Raw Data'!$A$3:$FB$285,107,FALSE)</f>
        <v>9865051558</v>
      </c>
      <c r="DD98" s="27" t="str">
        <f>VLOOKUP($A98,'[1]Raw Data'!$A$3:$FB$285,109,FALSE)</f>
        <v>Tarzan Kumar Limbu</v>
      </c>
      <c r="DE98" s="27" t="s">
        <v>1093</v>
      </c>
      <c r="DF98" s="27" t="str">
        <f>VLOOKUP($A98,'[1]Raw Data'!$A$3:$FB$285,110,FALSE)</f>
        <v>Adminstration Officer</v>
      </c>
      <c r="DG98" s="27" t="s">
        <v>880</v>
      </c>
      <c r="DH98" s="27">
        <f>VLOOKUP($A98,'[1]Raw Data'!$A$3:$FB$285,111,FALSE)</f>
        <v>9861965095</v>
      </c>
      <c r="DI98" s="27" t="str">
        <f>VLOOKUP($A98,'[1]Raw Data'!$A$3:$FB$285,121,FALSE)</f>
        <v/>
      </c>
      <c r="DK98" s="27" t="str">
        <f>VLOOKUP($A98,'[1]Raw Data'!$A$3:$FB$285,122,FALSE)</f>
        <v>Focal Person</v>
      </c>
      <c r="DL98" s="27" t="s">
        <v>881</v>
      </c>
      <c r="DM98" s="27" t="str">
        <f>VLOOKUP($A98,'[1]Raw Data'!$A$3:$FB$285,123,FALSE)</f>
        <v/>
      </c>
      <c r="DN98" s="27" t="str">
        <f>VLOOKUP($A98,'[1]Raw Data'!$A$3:$FB$285,113,FALSE)</f>
        <v>Lok Nath Regmi</v>
      </c>
      <c r="DO98" s="27" t="s">
        <v>1081</v>
      </c>
      <c r="DP98" s="27" t="str">
        <f>VLOOKUP($A98,'[1]Raw Data'!$A$3:$FB$285,114,FALSE)</f>
        <v>NRA Chief-District</v>
      </c>
      <c r="DQ98" s="27" t="s">
        <v>882</v>
      </c>
      <c r="DR98" s="27">
        <f>VLOOKUP($A98,'[1]Raw Data'!$A$3:$FB$285,115,FALSE)</f>
        <v>9851146403</v>
      </c>
      <c r="DS98" s="27" t="str">
        <f>VLOOKUP($A98,'[1]Raw Data'!$A$3:$FB$285,117,FALSE)</f>
        <v>Mahalaxmi Joshi</v>
      </c>
      <c r="DT98" s="27" t="s">
        <v>1082</v>
      </c>
      <c r="DU98" s="27" t="str">
        <f>VLOOKUP($A98,'[1]Raw Data'!$A$3:$FB$285,118,FALSE)</f>
        <v>DUDBC.DLPIU Chief</v>
      </c>
      <c r="DV98" s="27" t="s">
        <v>883</v>
      </c>
      <c r="DW98" s="27">
        <f>VLOOKUP($A98,'[1]Raw Data'!$A$3:$FB$285,119,FALSE)</f>
        <v>9841010222</v>
      </c>
      <c r="DX98" s="27" t="s">
        <v>339</v>
      </c>
      <c r="DY98" s="27" t="str">
        <f>VLOOKUP($A98,'[1]Raw Data'!$A$3:$FB$285,124,FALSE)</f>
        <v>63</v>
      </c>
      <c r="DZ98" s="27" t="s">
        <v>884</v>
      </c>
      <c r="EA98" s="27" t="str">
        <f>VLOOKUP($A98,'[1]Raw Data'!$A$3:$FB$285,125,FALSE)</f>
        <v/>
      </c>
      <c r="EB98" s="27" t="s">
        <v>341</v>
      </c>
      <c r="EC98" s="27" t="str">
        <f>VLOOKUP($A98,'[1]Raw Data'!$A$3:$FB$285,126,FALSE)</f>
        <v/>
      </c>
      <c r="ED98" t="s">
        <v>478</v>
      </c>
      <c r="EE98" s="27" t="str">
        <f>VLOOKUP($A98,'[1]Raw Data'!$A$3:$FB$285,127,FALSE)</f>
        <v/>
      </c>
      <c r="EF98" s="27" t="s">
        <v>343</v>
      </c>
      <c r="EG98" s="27" t="str">
        <f>VLOOKUP($A98,'[1]Raw Data'!$A$3:$FB$285,128,FALSE)</f>
        <v/>
      </c>
      <c r="EH98" t="s">
        <v>344</v>
      </c>
      <c r="EI98" s="27" t="str">
        <f>VLOOKUP($A98,'[1]Raw Data'!$A$3:$FB$285,129,FALSE)</f>
        <v/>
      </c>
      <c r="EM98" s="27">
        <f>VLOOKUP($A98,'[1]Raw Data'!$A$3:$FB$285,130,FALSE)</f>
        <v>5</v>
      </c>
      <c r="EN98" s="27" t="str">
        <f>VLOOKUP($A98,'[1]Raw Data'!$A$3:$FB$285,131,FALSE)</f>
        <v/>
      </c>
      <c r="EO98" s="27">
        <f>VLOOKUP($A98,'[1]Raw Data'!$A$3:$FB$285,132,FALSE)</f>
        <v>9</v>
      </c>
      <c r="EP98" s="27" t="str">
        <f>VLOOKUP($A98,'[1]Raw Data'!$A$3:$FB$285,133,FALSE)</f>
        <v/>
      </c>
      <c r="EQ98" s="27">
        <f>VLOOKUP($A98,'[1]Raw Data'!$A$3:$FB$285,134,FALSE)</f>
        <v>9</v>
      </c>
      <c r="ER98" s="27" t="str">
        <f>VLOOKUP($A98,'[1]Raw Data'!$A$3:$FB$285,135,FALSE)</f>
        <v/>
      </c>
      <c r="ES98" s="27" t="str">
        <f>VLOOKUP($A98,'[1]Raw Data'!$A$3:$FB$285,136,FALSE)</f>
        <v>110</v>
      </c>
      <c r="ET98" s="27" t="str">
        <f>VLOOKUP($A98,'[1]Raw Data'!$A$3:$FB$285,137,FALSE)</f>
        <v>0</v>
      </c>
      <c r="EU98" s="27" t="str">
        <f>VLOOKUP($A98,'[1]Raw Data'!$A$3:$FB$285,138,FALSE)</f>
        <v/>
      </c>
      <c r="EV98" s="27" t="str">
        <f>VLOOKUP($A98,'[1]Raw Data'!$A$3:$FB$285,139,FALSE)</f>
        <v>100</v>
      </c>
      <c r="EW98" s="38">
        <f>VLOOKUP($A98,[1]Training!$A$2:$I$284,5,FALSE)</f>
        <v>493.15384615384613</v>
      </c>
      <c r="EX98" s="31">
        <f>VLOOKUP($A98,[1]Training!$A$2:$I$284,6,FALSE)</f>
        <v>129</v>
      </c>
      <c r="EY98" s="38">
        <f>VLOOKUP($A98,[1]Training!$A$2:$I$284,8,FALSE)</f>
        <v>580.47517293832175</v>
      </c>
      <c r="EZ98" s="31">
        <f>VLOOKUP($A98,[1]Training!$A$2:$I$284,9,FALSE)</f>
        <v>119</v>
      </c>
      <c r="FA98" s="27">
        <v>1</v>
      </c>
      <c r="FB98" s="27">
        <v>2</v>
      </c>
      <c r="FC98" s="27" t="str">
        <f>VLOOKUP($A98,'[1]Raw Data'!$A$3:$FB$285,148,FALSE)</f>
        <v>Reshma Shrestha</v>
      </c>
      <c r="FD98" s="27" t="s">
        <v>1083</v>
      </c>
      <c r="FE98" s="27" t="str">
        <f>VLOOKUP($A98,'[1]Raw Data'!$A$3:$FB$285,149,FALSE)</f>
        <v>District Coordinator</v>
      </c>
      <c r="FF98" s="27" t="s">
        <v>885</v>
      </c>
      <c r="FG98" s="27">
        <f>VLOOKUP($A98,'[1]Raw Data'!$A$3:$FB$285,150,FALSE)</f>
        <v>9841264190</v>
      </c>
      <c r="FH98" s="27" t="str">
        <f>VLOOKUP($A98,'[1]Raw Data'!$A$3:$FB$285,156,FALSE)</f>
        <v/>
      </c>
      <c r="FJ98" s="27" t="str">
        <f>VLOOKUP($A98,'[1]Raw Data'!$A$3:$FB$285,157,FALSE)</f>
        <v>District Technical Officer</v>
      </c>
      <c r="FK98" s="27" t="s">
        <v>886</v>
      </c>
      <c r="FL98" s="27" t="str">
        <f>VLOOKUP($A98,'[1]Raw Data'!$A$3:$FB$285,158,FALSE)</f>
        <v/>
      </c>
      <c r="FM98" s="27" t="str">
        <f>VLOOKUP($A98,'[1]Raw Data'!$A$3:$FB$285,152,FALSE)</f>
        <v>Ishor Neupane</v>
      </c>
      <c r="FN98" s="27" t="s">
        <v>1084</v>
      </c>
      <c r="FO98" s="27" t="str">
        <f>VLOOKUP($A98,'[1]Raw Data'!$A$3:$FB$285,153,FALSE)</f>
        <v>DIstrict Information Management Officer</v>
      </c>
      <c r="FP98" s="27" t="s">
        <v>887</v>
      </c>
      <c r="FQ98" s="27">
        <f>VLOOKUP($A98,'[1]Raw Data'!$A$3:$FB$285,154,FALSE)</f>
        <v>9801317265</v>
      </c>
    </row>
    <row r="99" spans="1:173" ht="24" x14ac:dyDescent="0.45">
      <c r="A99" s="27">
        <v>24005</v>
      </c>
      <c r="B99" s="36" t="str">
        <f ca="1">IFERROR(__xludf.DUMMYFUNCTION("""COMPUTED_VALUE"""),"Dhulikhel Nagarpalika")</f>
        <v>Dhulikhel Nagarpalika</v>
      </c>
      <c r="C99" s="37" t="str">
        <f>VLOOKUP(A99,'[1]Palika and District in Nepali '!$D$1:$F$283,3,FALSE)</f>
        <v>धुलीखेल नगरपालिका</v>
      </c>
      <c r="D99" s="36" t="str">
        <f ca="1">IFERROR(__xludf.DUMMYFUNCTION("""COMPUTED_VALUE"""),"Kavrepalanchok")</f>
        <v>Kavrepalanchok</v>
      </c>
      <c r="E99" s="36"/>
      <c r="F99" s="27">
        <f>VLOOKUP(A99,'[1]Raw Data'!$A$3:$FB$285,4,FALSE)</f>
        <v>2094</v>
      </c>
      <c r="G99" s="27">
        <f>VLOOKUP(A99,'[1]Raw Data'!$A$3:$FB$285,5,FALSE)</f>
        <v>5787</v>
      </c>
      <c r="H99" s="27">
        <f>VLOOKUP(A99,'[1]Raw Data'!$A$3:$FB$285,6,FALSE)</f>
        <v>7881</v>
      </c>
      <c r="I99" s="27">
        <f>VLOOKUP($A99,'[1]Raw Data'!$A$3:$FB$285,8,FALSE)</f>
        <v>0.37</v>
      </c>
      <c r="J99" s="27">
        <f>VLOOKUP($A99,'[1]Raw Data'!$A$3:$FB$285,9,FALSE)</f>
        <v>0.28999999999999998</v>
      </c>
      <c r="K99" s="27">
        <f>VLOOKUP($A99,'[1]Raw Data'!$A$3:$FB$285,11,FALSE)</f>
        <v>38.479999999999997</v>
      </c>
      <c r="L99" s="27">
        <f>VLOOKUP($A99,'[1]Raw Data'!$A$3:$FB$285,12,FALSE)</f>
        <v>69.19</v>
      </c>
      <c r="M99" s="27">
        <f>VLOOKUP($A99,'[1]Raw Data'!$A$3:$FB$285,14,FALSE)</f>
        <v>8.5399999999999991</v>
      </c>
      <c r="N99" s="27">
        <f>VLOOKUP($A99,'[1]Raw Data'!$A$3:$FB$285,15,FALSE)</f>
        <v>5.98</v>
      </c>
      <c r="O99" s="27">
        <f>VLOOKUP($A99,'[1]Raw Data'!$A$3:$FB$285,17,FALSE)</f>
        <v>6.45</v>
      </c>
      <c r="P99" s="27">
        <f>VLOOKUP($A99,'[1]Raw Data'!$A$3:$FB$285,18,FALSE)</f>
        <v>4.0199999999999996</v>
      </c>
      <c r="Q99" s="27">
        <f>VLOOKUP($A99,'[1]Raw Data'!$A$3:$FB$285,20,FALSE)</f>
        <v>9.73</v>
      </c>
      <c r="R99" s="27">
        <f>VLOOKUP($A99,'[1]Raw Data'!$A$3:$FB$285,21,FALSE)</f>
        <v>4.6500000000000004</v>
      </c>
      <c r="S99" s="27">
        <f>VLOOKUP($A99,'[1]Raw Data'!$A$3:$FB$285,23,FALSE)</f>
        <v>0</v>
      </c>
      <c r="T99" s="27">
        <f>VLOOKUP($A99,'[1]Raw Data'!$A$3:$FB$285,24,FALSE)</f>
        <v>0</v>
      </c>
      <c r="U99" s="27">
        <f>VLOOKUP($A99,'[1]Raw Data'!$A$3:$FB$285,26,FALSE)</f>
        <v>0.06</v>
      </c>
      <c r="V99" s="27">
        <f>VLOOKUP($A99,'[1]Raw Data'!$A$3:$FB$285,27,FALSE)</f>
        <v>0.38</v>
      </c>
      <c r="W99" s="27">
        <f>VLOOKUP($A99,'[1]Raw Data'!$A$3:$FB$285,29,FALSE)</f>
        <v>0</v>
      </c>
      <c r="X99" s="27">
        <f>VLOOKUP($A99,'[1]Raw Data'!$A$3:$FB$285,30,FALSE)</f>
        <v>0</v>
      </c>
      <c r="Y99" s="27">
        <f>VLOOKUP($A99,'[1]Raw Data'!$A$3:$FB$285,32,FALSE)</f>
        <v>0.12</v>
      </c>
      <c r="Z99" s="27">
        <f>VLOOKUP($A99,'[1]Raw Data'!$A$3:$FB$285,33,FALSE)</f>
        <v>0.06</v>
      </c>
      <c r="AA99" s="27">
        <f>VLOOKUP($A99,'[1]Raw Data'!$A$3:$FB$285,35,FALSE)</f>
        <v>36</v>
      </c>
      <c r="AB99" s="27">
        <f>VLOOKUP($A99,'[1]Raw Data'!$A$3:$FB$285,36,FALSE)</f>
        <v>15.32</v>
      </c>
      <c r="AC99" s="27">
        <f>VLOOKUP($A99,'[1]Raw Data'!$A$3:$FB$285,38,FALSE)</f>
        <v>0.24</v>
      </c>
      <c r="AD99" s="27">
        <f>VLOOKUP($A99,'[1]Raw Data'!$A$3:$FB$285,39,FALSE)</f>
        <v>0.11</v>
      </c>
      <c r="AE99" s="27">
        <f>VLOOKUP($A99,'[1]Raw Data'!$A$3:$FB$285,41,FALSE)</f>
        <v>0</v>
      </c>
      <c r="AF99" s="27">
        <f>VLOOKUP($A99,'[1]Raw Data'!$A$3:$FB$285,42,FALSE)</f>
        <v>0</v>
      </c>
      <c r="AG99" s="27">
        <f>VLOOKUP($A99,'[1]Raw Data'!$A$3:$FB$285,44,FALSE)</f>
        <v>0</v>
      </c>
      <c r="AH99" s="27">
        <f>VLOOKUP($A99,'[1]Raw Data'!$A$3:$FB$285,45,FALSE)</f>
        <v>0</v>
      </c>
      <c r="AI99" s="27">
        <f>VLOOKUP($A99,'[1]Raw Data'!$A$3:$FB$285,46,FALSE)</f>
        <v>5968</v>
      </c>
      <c r="AJ99" s="27">
        <f>VLOOKUP($A99,'[1]Raw Data'!$A$3:$FB$285,47,FALSE)</f>
        <v>5074</v>
      </c>
      <c r="AK99" s="27">
        <f>VLOOKUP($A99,'[1]Raw Data'!$A$3:$FB$285,48,FALSE)</f>
        <v>4950</v>
      </c>
      <c r="AL99" s="27">
        <f>VLOOKUP($A99,'[1]Raw Data'!$A$3:$FB$285,49,FALSE)</f>
        <v>2435</v>
      </c>
      <c r="AM99" s="27">
        <f>VLOOKUP($A99,'[1]Raw Data'!$A$3:$FB$285,50,FALSE)</f>
        <v>1594</v>
      </c>
      <c r="AN99" s="27">
        <f>VLOOKUP($A99,'[1]Raw Data'!$A$3:$FB$285,51,FALSE)</f>
        <v>2408</v>
      </c>
      <c r="AO99" s="27">
        <f>VLOOKUP($A99,'[1]Raw Data'!$A$3:$FB$285,52,FALSE)</f>
        <v>1463</v>
      </c>
      <c r="AP99" s="27">
        <f>VLOOKUP($A99,'[1]Raw Data'!$A$3:$FB$285,53,FALSE)</f>
        <v>362</v>
      </c>
      <c r="AQ99" s="27">
        <f>VLOOKUP($A99,'[1]Raw Data'!$A$3:$FB$285,54,FALSE)</f>
        <v>362</v>
      </c>
      <c r="AR99" s="27">
        <f>VLOOKUP($A99,'[1]Raw Data'!$A$3:$FB$285,55,FALSE)</f>
        <v>35</v>
      </c>
      <c r="AS99" s="27">
        <f>VLOOKUP($A99,'[1]Raw Data'!$A$3:$FB$285,56,FALSE)</f>
        <v>0</v>
      </c>
      <c r="AT99" s="27">
        <f>VLOOKUP($A99,'[1]Raw Data'!$A$3:$FB$285,57,FALSE)</f>
        <v>2151</v>
      </c>
      <c r="AU99" s="27">
        <f>VLOOKUP($A99,'[1]Raw Data'!$A$3:$FB$285,58,FALSE)</f>
        <v>1919</v>
      </c>
      <c r="AV99" s="27">
        <f>VLOOKUP($A99,'[1]Raw Data'!$A$3:$FB$285,59,FALSE)</f>
        <v>2</v>
      </c>
      <c r="AW99" s="27">
        <f>VLOOKUP($A99,'[1]Raw Data'!$A$3:$FB$285,60,FALSE)</f>
        <v>2</v>
      </c>
      <c r="AX99" s="27" t="str">
        <f>VLOOKUP(A99,'[1]PO''s List'!A97:E379,4,FALSE)</f>
        <v>NRCS(Health)</v>
      </c>
      <c r="AZ99" s="27" t="str">
        <f>VLOOKUP(A99,'[1]PO''s List'!$A$3:$E$285,5,FALSE)</f>
        <v>AATWIN(Social Protection),CDRA(Shelter),Emergency(Education),HELVETAS(Shelter),SABAL(Shelter),SCI(Education,Social Protection),Tdh(Health),WeWorld(Education)</v>
      </c>
      <c r="BB99" s="27">
        <f>VLOOKUP($A99,'[1]Raw Data'!$A$3:$FB$285,63,FALSE)</f>
        <v>50645</v>
      </c>
      <c r="BC99" s="27" t="str">
        <f>VLOOKUP($A99,'[1]Raw Data'!$A$3:$FB$285,64,FALSE)</f>
        <v>Y</v>
      </c>
      <c r="BD99" s="27" t="str">
        <f t="shared" si="9"/>
        <v>छ</v>
      </c>
      <c r="BE99" s="27">
        <f>VLOOKUP($A99,'[1]Raw Data'!$A$3:$FB$285,65,FALSE)</f>
        <v>2200</v>
      </c>
      <c r="BF99" s="27">
        <f>VLOOKUP($A99,'[1]Raw Data'!$A$3:$FB$285,66,FALSE)</f>
        <v>48710</v>
      </c>
      <c r="BG99" s="27" t="str">
        <f>VLOOKUP($A99,'[1]Raw Data'!$A$3:$FB$285,67,FALSE)</f>
        <v>Y</v>
      </c>
      <c r="BH99" s="27" t="str">
        <f t="shared" si="10"/>
        <v>छ</v>
      </c>
      <c r="BI99" s="27">
        <f>VLOOKUP($A99,'[1]Raw Data'!$A$3:$FB$285,68,FALSE)</f>
        <v>2800</v>
      </c>
      <c r="BJ99" s="27">
        <f>VLOOKUP($A99,'[1]Raw Data'!$A$3:$FB$285,69,FALSE)</f>
        <v>5379</v>
      </c>
      <c r="BK99" s="27" t="str">
        <f>VLOOKUP($A99,'[1]Raw Data'!$A$3:$FB$285,70,FALSE)</f>
        <v>Y</v>
      </c>
      <c r="BL99" s="27" t="str">
        <f t="shared" si="11"/>
        <v>छ</v>
      </c>
      <c r="BM99" s="27">
        <f>VLOOKUP($A99,'[1]Raw Data'!$A$3:$FB$285,71,FALSE)</f>
        <v>3000</v>
      </c>
      <c r="BN99" s="27">
        <f>VLOOKUP($A99,'[1]Raw Data'!$A$3:$FB$285,72,FALSE)</f>
        <v>6100</v>
      </c>
      <c r="BO99" s="27" t="str">
        <f>VLOOKUP($A99,'[1]Raw Data'!$A$3:$FB$285,73,FALSE)</f>
        <v>Y</v>
      </c>
      <c r="BP99" s="27" t="str">
        <f t="shared" si="12"/>
        <v>छ</v>
      </c>
      <c r="BQ99" s="27" t="str">
        <f>VLOOKUP($A99,'[1]Raw Data'!$A$3:$FB$285,74,FALSE)</f>
        <v>7000</v>
      </c>
      <c r="BR99" s="27" t="str">
        <f>VLOOKUP($A99,'[1]Raw Data'!$A$3:$FB$285,75,FALSE)</f>
        <v/>
      </c>
      <c r="BS99" s="27" t="str">
        <f>VLOOKUP($A99,'[1]Raw Data'!$A$3:$FB$285,76,FALSE)</f>
        <v>Y</v>
      </c>
      <c r="BT99" s="27" t="str">
        <f t="shared" si="13"/>
        <v>छ</v>
      </c>
      <c r="BU99" s="27">
        <f>VLOOKUP($A99,'[1]Raw Data'!$A$3:$FB$285,77,FALSE)</f>
        <v>950</v>
      </c>
      <c r="BV99" s="27">
        <f>VLOOKUP($A99,'[1]Raw Data'!$A$3:$FB$285,78,FALSE)</f>
        <v>162745</v>
      </c>
      <c r="BW99" s="27" t="str">
        <f>VLOOKUP($A99,'[1]Raw Data'!$A$3:$FB$285,79,FALSE)</f>
        <v>Y</v>
      </c>
      <c r="BX99" s="27" t="str">
        <f t="shared" si="14"/>
        <v>छ</v>
      </c>
      <c r="BY99" s="27">
        <f>VLOOKUP($A99,'[1]Raw Data'!$A$3:$FB$285,80,FALSE)</f>
        <v>850</v>
      </c>
      <c r="BZ99" s="27">
        <f>VLOOKUP($A99,'[1]Raw Data'!$A$3:$FB$285,81,FALSE)</f>
        <v>554972</v>
      </c>
      <c r="CA99" s="27" t="str">
        <f>VLOOKUP($A99,'[1]Raw Data'!$A$3:$FB$285,82,FALSE)</f>
        <v>Y</v>
      </c>
      <c r="CB99" s="27" t="str">
        <f t="shared" si="15"/>
        <v>छ</v>
      </c>
      <c r="CC99" s="27">
        <f>VLOOKUP($A99,'[1]Raw Data'!$A$3:$FB$285,83,FALSE)</f>
        <v>88</v>
      </c>
      <c r="CD99" s="27">
        <f>VLOOKUP($A99,'[1]Raw Data'!$A$3:$FB$285,84,FALSE)</f>
        <v>6651</v>
      </c>
      <c r="CE99" s="27" t="str">
        <f>VLOOKUP($A99,'[1]Raw Data'!$A$3:$FB$285,85,FALSE)</f>
        <v>Y</v>
      </c>
      <c r="CF99" s="27" t="str">
        <f t="shared" si="16"/>
        <v>छ</v>
      </c>
      <c r="CG99" s="27" t="str">
        <f>VLOOKUP($A99,'[1]Raw Data'!$A$3:$FB$285,86,FALSE)</f>
        <v>5000</v>
      </c>
      <c r="CH99" s="27">
        <f>VLOOKUP($A99,'[1]Raw Data'!$A$3:$FB$285,87,FALSE)</f>
        <v>863632</v>
      </c>
      <c r="CI99" s="27" t="str">
        <f>VLOOKUP($A99,'[1]Raw Data'!$A$3:$FB$285,88,FALSE)</f>
        <v>Y</v>
      </c>
      <c r="CJ99" s="27" t="str">
        <f t="shared" si="17"/>
        <v>छ</v>
      </c>
      <c r="CK99" s="27">
        <f>VLOOKUP($A99,'[1]Raw Data'!$A$3:$FB$285,89,FALSE)</f>
        <v>19</v>
      </c>
      <c r="CL99" s="27">
        <f>VLOOKUP($A99,'[1]Raw Data'!$A$3:$FB$285,91,FALSE)</f>
        <v>1200</v>
      </c>
      <c r="CM99" s="27">
        <f>VLOOKUP($A99,'[1]Raw Data'!$A$3:$FB$285,93,FALSE)</f>
        <v>800</v>
      </c>
      <c r="CN99" s="27" t="str">
        <f>VLOOKUP($A99,'[1]Raw Data'!$A$3:$FB$285,94,FALSE)</f>
        <v/>
      </c>
      <c r="CO99" s="27" t="str">
        <f>VLOOKUP($A99,'[1]Raw Data'!$A$3:$FB$285,95,FALSE)</f>
        <v/>
      </c>
      <c r="CP99" s="27" t="str">
        <f>VLOOKUP($A99,'[1]Raw Data'!$A$3:$FB$285,96,FALSE)</f>
        <v/>
      </c>
      <c r="CQ99" s="27" t="str">
        <f>VLOOKUP($A99,'[1]Raw Data'!$A$3:$FB$285,97,FALSE)</f>
        <v/>
      </c>
      <c r="CR99" s="27" t="str">
        <f>VLOOKUP($A99,'[1]Raw Data'!$A$3:$FB$285,98,FALSE)</f>
        <v/>
      </c>
      <c r="CS99" s="27" t="str">
        <f>VLOOKUP($A99,'[1]Raw Data'!$A$3:$FB$285,99,FALSE)</f>
        <v/>
      </c>
      <c r="CT99" s="27" t="str">
        <f>VLOOKUP($A99,'[1]Raw Data'!$A$3:$FB$285,101,FALSE)</f>
        <v>Ashok Byanju</v>
      </c>
      <c r="CU99" s="27" t="s">
        <v>1094</v>
      </c>
      <c r="CV99" s="27" t="str">
        <f>VLOOKUP($A99,'[1]Raw Data'!$A$3:$FB$285,102,FALSE)</f>
        <v>Mayor</v>
      </c>
      <c r="CW99" s="27" t="s">
        <v>834</v>
      </c>
      <c r="CX99" s="27">
        <f>VLOOKUP($A99,'[1]Raw Data'!$A$3:$FB$285,103,FALSE)</f>
        <v>9851073175</v>
      </c>
      <c r="CY99" s="27" t="str">
        <f>VLOOKUP($A99,'[1]Raw Data'!$A$3:$FB$285,105,FALSE)</f>
        <v>Bimala Sharma</v>
      </c>
      <c r="CZ99" s="27" t="s">
        <v>1095</v>
      </c>
      <c r="DA99" s="27" t="str">
        <f>VLOOKUP($A99,'[1]Raw Data'!$A$3:$FB$285,106,FALSE)</f>
        <v>Deputy Mayor</v>
      </c>
      <c r="DB99" s="27" t="s">
        <v>888</v>
      </c>
      <c r="DC99" s="27">
        <f>VLOOKUP($A99,'[1]Raw Data'!$A$3:$FB$285,107,FALSE)</f>
        <v>9841578064</v>
      </c>
      <c r="DD99" s="27" t="str">
        <f>VLOOKUP($A99,'[1]Raw Data'!$A$3:$FB$285,109,FALSE)</f>
        <v>TaraNath Luitel</v>
      </c>
      <c r="DE99" s="27" t="s">
        <v>1096</v>
      </c>
      <c r="DF99" s="27" t="str">
        <f>VLOOKUP($A99,'[1]Raw Data'!$A$3:$FB$285,110,FALSE)</f>
        <v>Adminstration Officer</v>
      </c>
      <c r="DG99" s="27" t="s">
        <v>880</v>
      </c>
      <c r="DH99" s="27">
        <f>VLOOKUP($A99,'[1]Raw Data'!$A$3:$FB$285,111,FALSE)</f>
        <v>9851156817</v>
      </c>
      <c r="DI99" s="27" t="str">
        <f>VLOOKUP($A99,'[1]Raw Data'!$A$3:$FB$285,121,FALSE)</f>
        <v>BalRam Dhimal</v>
      </c>
      <c r="DJ99" s="27" t="s">
        <v>1097</v>
      </c>
      <c r="DK99" s="27" t="str">
        <f>VLOOKUP($A99,'[1]Raw Data'!$A$3:$FB$285,122,FALSE)</f>
        <v>Focal Person</v>
      </c>
      <c r="DL99" s="27" t="s">
        <v>881</v>
      </c>
      <c r="DM99" s="27">
        <f>VLOOKUP($A99,'[1]Raw Data'!$A$3:$FB$285,123,FALSE)</f>
        <v>9841105844</v>
      </c>
      <c r="DN99" s="27" t="str">
        <f>VLOOKUP($A99,'[1]Raw Data'!$A$3:$FB$285,113,FALSE)</f>
        <v>Lok Nath Regmi</v>
      </c>
      <c r="DO99" s="27" t="s">
        <v>1081</v>
      </c>
      <c r="DP99" s="27" t="str">
        <f>VLOOKUP($A99,'[1]Raw Data'!$A$3:$FB$285,114,FALSE)</f>
        <v>NRA Chief-District</v>
      </c>
      <c r="DQ99" s="27" t="s">
        <v>882</v>
      </c>
      <c r="DR99" s="27">
        <f>VLOOKUP($A99,'[1]Raw Data'!$A$3:$FB$285,115,FALSE)</f>
        <v>9851146403</v>
      </c>
      <c r="DS99" s="27" t="str">
        <f>VLOOKUP($A99,'[1]Raw Data'!$A$3:$FB$285,117,FALSE)</f>
        <v>Mahalaxmi Joshi</v>
      </c>
      <c r="DT99" s="27" t="s">
        <v>1082</v>
      </c>
      <c r="DU99" s="27" t="str">
        <f>VLOOKUP($A99,'[1]Raw Data'!$A$3:$FB$285,118,FALSE)</f>
        <v>DUDBC.DLPIU Chief</v>
      </c>
      <c r="DV99" s="27" t="s">
        <v>883</v>
      </c>
      <c r="DW99" s="27">
        <f>VLOOKUP($A99,'[1]Raw Data'!$A$3:$FB$285,119,FALSE)</f>
        <v>9841010222</v>
      </c>
      <c r="DX99" s="27" t="s">
        <v>339</v>
      </c>
      <c r="DY99" s="27" t="str">
        <f>VLOOKUP($A99,'[1]Raw Data'!$A$3:$FB$285,124,FALSE)</f>
        <v/>
      </c>
      <c r="DZ99" s="27" t="s">
        <v>884</v>
      </c>
      <c r="EA99" s="27" t="str">
        <f>VLOOKUP($A99,'[1]Raw Data'!$A$3:$FB$285,125,FALSE)</f>
        <v/>
      </c>
      <c r="EB99" s="27" t="s">
        <v>341</v>
      </c>
      <c r="EC99" s="27" t="str">
        <f>VLOOKUP($A99,'[1]Raw Data'!$A$3:$FB$285,126,FALSE)</f>
        <v/>
      </c>
      <c r="ED99" t="s">
        <v>478</v>
      </c>
      <c r="EE99" s="27" t="str">
        <f>VLOOKUP($A99,'[1]Raw Data'!$A$3:$FB$285,127,FALSE)</f>
        <v/>
      </c>
      <c r="EF99" s="27" t="s">
        <v>343</v>
      </c>
      <c r="EG99" s="27" t="str">
        <f>VLOOKUP($A99,'[1]Raw Data'!$A$3:$FB$285,128,FALSE)</f>
        <v/>
      </c>
      <c r="EH99" t="s">
        <v>344</v>
      </c>
      <c r="EI99" s="27" t="str">
        <f>VLOOKUP($A99,'[1]Raw Data'!$A$3:$FB$285,129,FALSE)</f>
        <v/>
      </c>
      <c r="EM99" s="27">
        <f>VLOOKUP($A99,'[1]Raw Data'!$A$3:$FB$285,130,FALSE)</f>
        <v>8</v>
      </c>
      <c r="EN99" s="27" t="str">
        <f>VLOOKUP($A99,'[1]Raw Data'!$A$3:$FB$285,131,FALSE)</f>
        <v>12</v>
      </c>
      <c r="EO99" s="27">
        <f>VLOOKUP($A99,'[1]Raw Data'!$A$3:$FB$285,132,FALSE)</f>
        <v>6</v>
      </c>
      <c r="EP99" s="27" t="str">
        <f>VLOOKUP($A99,'[1]Raw Data'!$A$3:$FB$285,133,FALSE)</f>
        <v>12</v>
      </c>
      <c r="EQ99" s="27">
        <f>VLOOKUP($A99,'[1]Raw Data'!$A$3:$FB$285,134,FALSE)</f>
        <v>5</v>
      </c>
      <c r="ER99" s="27" t="str">
        <f>VLOOKUP($A99,'[1]Raw Data'!$A$3:$FB$285,135,FALSE)</f>
        <v/>
      </c>
      <c r="ES99" s="27" t="str">
        <f>VLOOKUP($A99,'[1]Raw Data'!$A$3:$FB$285,136,FALSE)</f>
        <v/>
      </c>
      <c r="ET99" s="27" t="str">
        <f>VLOOKUP($A99,'[1]Raw Data'!$A$3:$FB$285,137,FALSE)</f>
        <v/>
      </c>
      <c r="EU99" s="27" t="str">
        <f>VLOOKUP($A99,'[1]Raw Data'!$A$3:$FB$285,138,FALSE)</f>
        <v/>
      </c>
      <c r="EV99" s="27" t="str">
        <f>VLOOKUP($A99,'[1]Raw Data'!$A$3:$FB$285,139,FALSE)</f>
        <v/>
      </c>
      <c r="EW99" s="38">
        <f>VLOOKUP($A99,[1]Training!$A$2:$I$284,5,FALSE)</f>
        <v>459.07692307692309</v>
      </c>
      <c r="EX99" s="31">
        <f>VLOOKUP($A99,[1]Training!$A$2:$I$284,6,FALSE)</f>
        <v>70</v>
      </c>
      <c r="EY99" s="38">
        <f>VLOOKUP($A99,[1]Training!$A$2:$I$284,8,FALSE)</f>
        <v>540.3643475426461</v>
      </c>
      <c r="EZ99" s="31">
        <f>VLOOKUP($A99,[1]Training!$A$2:$I$284,9,FALSE)</f>
        <v>58</v>
      </c>
      <c r="FA99" s="27">
        <v>1</v>
      </c>
      <c r="FB99" s="27">
        <v>2</v>
      </c>
      <c r="FC99" s="27" t="str">
        <f>VLOOKUP($A99,'[1]Raw Data'!$A$3:$FB$285,148,FALSE)</f>
        <v>Reshma Shrestha</v>
      </c>
      <c r="FD99" s="27" t="s">
        <v>1083</v>
      </c>
      <c r="FE99" s="27" t="str">
        <f>VLOOKUP($A99,'[1]Raw Data'!$A$3:$FB$285,149,FALSE)</f>
        <v>District Coordinator</v>
      </c>
      <c r="FF99" s="27" t="s">
        <v>885</v>
      </c>
      <c r="FG99" s="27">
        <f>VLOOKUP($A99,'[1]Raw Data'!$A$3:$FB$285,150,FALSE)</f>
        <v>9841264190</v>
      </c>
      <c r="FH99" s="27" t="str">
        <f>VLOOKUP($A99,'[1]Raw Data'!$A$3:$FB$285,156,FALSE)</f>
        <v/>
      </c>
      <c r="FJ99" s="27" t="str">
        <f>VLOOKUP($A99,'[1]Raw Data'!$A$3:$FB$285,157,FALSE)</f>
        <v>District Technical Officer</v>
      </c>
      <c r="FK99" s="27" t="s">
        <v>886</v>
      </c>
      <c r="FL99" s="27" t="str">
        <f>VLOOKUP($A99,'[1]Raw Data'!$A$3:$FB$285,158,FALSE)</f>
        <v/>
      </c>
      <c r="FM99" s="27" t="str">
        <f>VLOOKUP($A99,'[1]Raw Data'!$A$3:$FB$285,152,FALSE)</f>
        <v>Ishor Neupane</v>
      </c>
      <c r="FN99" s="27" t="s">
        <v>1084</v>
      </c>
      <c r="FO99" s="27" t="str">
        <f>VLOOKUP($A99,'[1]Raw Data'!$A$3:$FB$285,153,FALSE)</f>
        <v>DIstrict Information Management Officer</v>
      </c>
      <c r="FP99" s="27" t="s">
        <v>887</v>
      </c>
      <c r="FQ99" s="27">
        <f>VLOOKUP($A99,'[1]Raw Data'!$A$3:$FB$285,154,FALSE)</f>
        <v>9801317265</v>
      </c>
    </row>
    <row r="100" spans="1:173" ht="24" x14ac:dyDescent="0.45">
      <c r="A100" s="27">
        <v>24006</v>
      </c>
      <c r="B100" s="36" t="str">
        <f ca="1">IFERROR(__xludf.DUMMYFUNCTION("""COMPUTED_VALUE"""),"Khanikhola Gaunpalika")</f>
        <v>Khanikhola Gaunpalika</v>
      </c>
      <c r="C100" s="37" t="str">
        <f>VLOOKUP(A100,'[1]Palika and District in Nepali '!$D$1:$F$283,3,FALSE)</f>
        <v>खानीखोला नगरपलिका</v>
      </c>
      <c r="D100" s="36" t="str">
        <f ca="1">IFERROR(__xludf.DUMMYFUNCTION("""COMPUTED_VALUE"""),"Kavrepalanchok")</f>
        <v>Kavrepalanchok</v>
      </c>
      <c r="E100" s="36"/>
      <c r="F100" s="27">
        <f>VLOOKUP(A100,'[1]Raw Data'!$A$3:$FB$285,4,FALSE)</f>
        <v>315</v>
      </c>
      <c r="G100" s="27">
        <f>VLOOKUP(A100,'[1]Raw Data'!$A$3:$FB$285,5,FALSE)</f>
        <v>2431</v>
      </c>
      <c r="H100" s="27">
        <f>VLOOKUP(A100,'[1]Raw Data'!$A$3:$FB$285,6,FALSE)</f>
        <v>2746</v>
      </c>
      <c r="I100" s="27">
        <f>VLOOKUP($A100,'[1]Raw Data'!$A$3:$FB$285,8,FALSE)</f>
        <v>0.44</v>
      </c>
      <c r="J100" s="27">
        <f>VLOOKUP($A100,'[1]Raw Data'!$A$3:$FB$285,9,FALSE)</f>
        <v>0.28999999999999998</v>
      </c>
      <c r="K100" s="27">
        <f>VLOOKUP($A100,'[1]Raw Data'!$A$3:$FB$285,11,FALSE)</f>
        <v>84.89</v>
      </c>
      <c r="L100" s="27">
        <f>VLOOKUP($A100,'[1]Raw Data'!$A$3:$FB$285,12,FALSE)</f>
        <v>69.19</v>
      </c>
      <c r="M100" s="27">
        <f>VLOOKUP($A100,'[1]Raw Data'!$A$3:$FB$285,14,FALSE)</f>
        <v>0</v>
      </c>
      <c r="N100" s="27">
        <f>VLOOKUP($A100,'[1]Raw Data'!$A$3:$FB$285,15,FALSE)</f>
        <v>5.98</v>
      </c>
      <c r="O100" s="27">
        <f>VLOOKUP($A100,'[1]Raw Data'!$A$3:$FB$285,17,FALSE)</f>
        <v>0</v>
      </c>
      <c r="P100" s="27">
        <f>VLOOKUP($A100,'[1]Raw Data'!$A$3:$FB$285,18,FALSE)</f>
        <v>4.0199999999999996</v>
      </c>
      <c r="Q100" s="27">
        <f>VLOOKUP($A100,'[1]Raw Data'!$A$3:$FB$285,20,FALSE)</f>
        <v>0</v>
      </c>
      <c r="R100" s="27">
        <f>VLOOKUP($A100,'[1]Raw Data'!$A$3:$FB$285,21,FALSE)</f>
        <v>4.6500000000000004</v>
      </c>
      <c r="S100" s="27">
        <f>VLOOKUP($A100,'[1]Raw Data'!$A$3:$FB$285,23,FALSE)</f>
        <v>0</v>
      </c>
      <c r="T100" s="27">
        <f>VLOOKUP($A100,'[1]Raw Data'!$A$3:$FB$285,24,FALSE)</f>
        <v>0</v>
      </c>
      <c r="U100" s="27">
        <f>VLOOKUP($A100,'[1]Raw Data'!$A$3:$FB$285,26,FALSE)</f>
        <v>3.61</v>
      </c>
      <c r="V100" s="27">
        <f>VLOOKUP($A100,'[1]Raw Data'!$A$3:$FB$285,27,FALSE)</f>
        <v>0.38</v>
      </c>
      <c r="W100" s="27">
        <f>VLOOKUP($A100,'[1]Raw Data'!$A$3:$FB$285,29,FALSE)</f>
        <v>0</v>
      </c>
      <c r="X100" s="27">
        <f>VLOOKUP($A100,'[1]Raw Data'!$A$3:$FB$285,30,FALSE)</f>
        <v>0</v>
      </c>
      <c r="Y100" s="27">
        <f>VLOOKUP($A100,'[1]Raw Data'!$A$3:$FB$285,32,FALSE)</f>
        <v>0.04</v>
      </c>
      <c r="Z100" s="27">
        <f>VLOOKUP($A100,'[1]Raw Data'!$A$3:$FB$285,33,FALSE)</f>
        <v>0.06</v>
      </c>
      <c r="AA100" s="27">
        <f>VLOOKUP($A100,'[1]Raw Data'!$A$3:$FB$285,35,FALSE)</f>
        <v>10.74</v>
      </c>
      <c r="AB100" s="27">
        <f>VLOOKUP($A100,'[1]Raw Data'!$A$3:$FB$285,36,FALSE)</f>
        <v>15.32</v>
      </c>
      <c r="AC100" s="27">
        <f>VLOOKUP($A100,'[1]Raw Data'!$A$3:$FB$285,38,FALSE)</f>
        <v>0.28999999999999998</v>
      </c>
      <c r="AD100" s="27">
        <f>VLOOKUP($A100,'[1]Raw Data'!$A$3:$FB$285,39,FALSE)</f>
        <v>0.11</v>
      </c>
      <c r="AE100" s="27">
        <f>VLOOKUP($A100,'[1]Raw Data'!$A$3:$FB$285,41,FALSE)</f>
        <v>0</v>
      </c>
      <c r="AF100" s="27">
        <f>VLOOKUP($A100,'[1]Raw Data'!$A$3:$FB$285,42,FALSE)</f>
        <v>0</v>
      </c>
      <c r="AG100" s="27">
        <f>VLOOKUP($A100,'[1]Raw Data'!$A$3:$FB$285,44,FALSE)</f>
        <v>0</v>
      </c>
      <c r="AH100" s="27">
        <f>VLOOKUP($A100,'[1]Raw Data'!$A$3:$FB$285,45,FALSE)</f>
        <v>0</v>
      </c>
      <c r="AI100" s="27">
        <f>VLOOKUP($A100,'[1]Raw Data'!$A$3:$FB$285,46,FALSE)</f>
        <v>2842</v>
      </c>
      <c r="AJ100" s="27">
        <f>VLOOKUP($A100,'[1]Raw Data'!$A$3:$FB$285,47,FALSE)</f>
        <v>2732</v>
      </c>
      <c r="AK100" s="27">
        <f>VLOOKUP($A100,'[1]Raw Data'!$A$3:$FB$285,48,FALSE)</f>
        <v>2726</v>
      </c>
      <c r="AL100" s="27">
        <f>VLOOKUP($A100,'[1]Raw Data'!$A$3:$FB$285,49,FALSE)</f>
        <v>2132</v>
      </c>
      <c r="AM100" s="27">
        <f>VLOOKUP($A100,'[1]Raw Data'!$A$3:$FB$285,50,FALSE)</f>
        <v>545</v>
      </c>
      <c r="AN100" s="27">
        <f>VLOOKUP($A100,'[1]Raw Data'!$A$3:$FB$285,51,FALSE)</f>
        <v>0</v>
      </c>
      <c r="AO100" s="27" t="str">
        <f>VLOOKUP($A100,'[1]Raw Data'!$A$3:$FB$285,52,FALSE)</f>
        <v/>
      </c>
      <c r="AP100" s="27">
        <f>VLOOKUP($A100,'[1]Raw Data'!$A$3:$FB$285,53,FALSE)</f>
        <v>217</v>
      </c>
      <c r="AQ100" s="27" t="str">
        <f>VLOOKUP($A100,'[1]Raw Data'!$A$3:$FB$285,54,FALSE)</f>
        <v/>
      </c>
      <c r="AR100" s="27">
        <f>VLOOKUP($A100,'[1]Raw Data'!$A$3:$FB$285,55,FALSE)</f>
        <v>43</v>
      </c>
      <c r="AS100" s="27">
        <f>VLOOKUP($A100,'[1]Raw Data'!$A$3:$FB$285,56,FALSE)</f>
        <v>0</v>
      </c>
      <c r="AT100" s="27">
        <f>VLOOKUP($A100,'[1]Raw Data'!$A$3:$FB$285,57,FALSE)</f>
        <v>683</v>
      </c>
      <c r="AU100" s="27">
        <f>VLOOKUP($A100,'[1]Raw Data'!$A$3:$FB$285,58,FALSE)</f>
        <v>681</v>
      </c>
      <c r="AV100" s="27" t="str">
        <f>VLOOKUP($A100,'[1]Raw Data'!$A$3:$FB$285,59,FALSE)</f>
        <v/>
      </c>
      <c r="AW100" s="27" t="str">
        <f>VLOOKUP($A100,'[1]Raw Data'!$A$3:$FB$285,60,FALSE)</f>
        <v/>
      </c>
      <c r="AX100" s="27" t="str">
        <f>VLOOKUP(A100,'[1]PO''s List'!A98:E380,4,FALSE)</f>
        <v>NRCS(Health)</v>
      </c>
      <c r="AZ100" s="27" t="str">
        <f>VLOOKUP(A100,'[1]PO''s List'!$A$3:$E$285,5,FALSE)</f>
        <v>GON - DUDBC(Shelter),HELVETAS(Shelter),SABAL(Shelter),WeWorld(Education)</v>
      </c>
      <c r="BB100" s="27">
        <f>VLOOKUP($A100,'[1]Raw Data'!$A$3:$FB$285,63,FALSE)</f>
        <v>40231</v>
      </c>
      <c r="BC100" s="27" t="str">
        <f>VLOOKUP($A100,'[1]Raw Data'!$A$3:$FB$285,64,FALSE)</f>
        <v>Y</v>
      </c>
      <c r="BD100" s="27" t="str">
        <f t="shared" si="9"/>
        <v>छ</v>
      </c>
      <c r="BE100" s="27">
        <f>VLOOKUP($A100,'[1]Raw Data'!$A$3:$FB$285,65,FALSE)</f>
        <v>2000</v>
      </c>
      <c r="BF100" s="27">
        <f>VLOOKUP($A100,'[1]Raw Data'!$A$3:$FB$285,66,FALSE)</f>
        <v>40675</v>
      </c>
      <c r="BG100" s="27" t="str">
        <f>VLOOKUP($A100,'[1]Raw Data'!$A$3:$FB$285,67,FALSE)</f>
        <v>Y</v>
      </c>
      <c r="BH100" s="27" t="str">
        <f t="shared" si="10"/>
        <v>छ</v>
      </c>
      <c r="BI100" s="27">
        <f>VLOOKUP($A100,'[1]Raw Data'!$A$3:$FB$285,68,FALSE)</f>
        <v>100000</v>
      </c>
      <c r="BJ100" s="27">
        <f>VLOOKUP($A100,'[1]Raw Data'!$A$3:$FB$285,69,FALSE)</f>
        <v>4293</v>
      </c>
      <c r="BK100" s="27" t="str">
        <f>VLOOKUP($A100,'[1]Raw Data'!$A$3:$FB$285,70,FALSE)</f>
        <v>Y</v>
      </c>
      <c r="BL100" s="27" t="str">
        <f t="shared" si="11"/>
        <v>छ</v>
      </c>
      <c r="BM100" s="27">
        <f>VLOOKUP($A100,'[1]Raw Data'!$A$3:$FB$285,71,FALSE)</f>
        <v>10000</v>
      </c>
      <c r="BN100" s="27">
        <f>VLOOKUP($A100,'[1]Raw Data'!$A$3:$FB$285,72,FALSE)</f>
        <v>4941</v>
      </c>
      <c r="BO100" s="27" t="str">
        <f>VLOOKUP($A100,'[1]Raw Data'!$A$3:$FB$285,73,FALSE)</f>
        <v/>
      </c>
      <c r="BP100" s="27" t="str">
        <f t="shared" si="12"/>
        <v/>
      </c>
      <c r="BQ100" s="27" t="str">
        <f>VLOOKUP($A100,'[1]Raw Data'!$A$3:$FB$285,74,FALSE)</f>
        <v/>
      </c>
      <c r="BR100" s="27" t="str">
        <f>VLOOKUP($A100,'[1]Raw Data'!$A$3:$FB$285,75,FALSE)</f>
        <v/>
      </c>
      <c r="BS100" s="27" t="str">
        <f>VLOOKUP($A100,'[1]Raw Data'!$A$3:$FB$285,76,FALSE)</f>
        <v>N</v>
      </c>
      <c r="BT100" s="27" t="str">
        <f t="shared" si="13"/>
        <v>छैन</v>
      </c>
      <c r="BU100" s="27">
        <f>VLOOKUP($A100,'[1]Raw Data'!$A$3:$FB$285,77,FALSE)</f>
        <v>900</v>
      </c>
      <c r="BV100" s="27">
        <f>VLOOKUP($A100,'[1]Raw Data'!$A$3:$FB$285,78,FALSE)</f>
        <v>136555</v>
      </c>
      <c r="BW100" s="27" t="str">
        <f>VLOOKUP($A100,'[1]Raw Data'!$A$3:$FB$285,79,FALSE)</f>
        <v>N</v>
      </c>
      <c r="BX100" s="27" t="str">
        <f t="shared" si="14"/>
        <v>छैन</v>
      </c>
      <c r="BY100" s="27">
        <f>VLOOKUP($A100,'[1]Raw Data'!$A$3:$FB$285,80,FALSE)</f>
        <v>1000</v>
      </c>
      <c r="BZ100" s="27">
        <f>VLOOKUP($A100,'[1]Raw Data'!$A$3:$FB$285,81,FALSE)</f>
        <v>439259</v>
      </c>
      <c r="CA100" s="27" t="str">
        <f>VLOOKUP($A100,'[1]Raw Data'!$A$3:$FB$285,82,FALSE)</f>
        <v/>
      </c>
      <c r="CB100" s="27" t="str">
        <f t="shared" si="15"/>
        <v/>
      </c>
      <c r="CC100" s="27" t="str">
        <f>VLOOKUP($A100,'[1]Raw Data'!$A$3:$FB$285,83,FALSE)</f>
        <v/>
      </c>
      <c r="CD100" s="27">
        <f>VLOOKUP($A100,'[1]Raw Data'!$A$3:$FB$285,84,FALSE)</f>
        <v>5590</v>
      </c>
      <c r="CE100" s="27" t="str">
        <f>VLOOKUP($A100,'[1]Raw Data'!$A$3:$FB$285,85,FALSE)</f>
        <v/>
      </c>
      <c r="CF100" s="27" t="str">
        <f t="shared" si="16"/>
        <v/>
      </c>
      <c r="CG100" s="27" t="str">
        <f>VLOOKUP($A100,'[1]Raw Data'!$A$3:$FB$285,86,FALSE)</f>
        <v/>
      </c>
      <c r="CH100" s="27">
        <f>VLOOKUP($A100,'[1]Raw Data'!$A$3:$FB$285,87,FALSE)</f>
        <v>699259</v>
      </c>
      <c r="CI100" s="27" t="str">
        <f>VLOOKUP($A100,'[1]Raw Data'!$A$3:$FB$285,88,FALSE)</f>
        <v/>
      </c>
      <c r="CJ100" s="27" t="str">
        <f t="shared" si="17"/>
        <v/>
      </c>
      <c r="CK100" s="27" t="str">
        <f>VLOOKUP($A100,'[1]Raw Data'!$A$3:$FB$285,89,FALSE)</f>
        <v/>
      </c>
      <c r="CL100" s="27" t="str">
        <f>VLOOKUP($A100,'[1]Raw Data'!$A$3:$FB$285,91,FALSE)</f>
        <v/>
      </c>
      <c r="CM100" s="27" t="str">
        <f>VLOOKUP($A100,'[1]Raw Data'!$A$3:$FB$285,93,FALSE)</f>
        <v/>
      </c>
      <c r="CN100" s="27" t="str">
        <f>VLOOKUP($A100,'[1]Raw Data'!$A$3:$FB$285,94,FALSE)</f>
        <v/>
      </c>
      <c r="CO100" s="27" t="str">
        <f>VLOOKUP($A100,'[1]Raw Data'!$A$3:$FB$285,95,FALSE)</f>
        <v/>
      </c>
      <c r="CP100" s="27" t="str">
        <f>VLOOKUP($A100,'[1]Raw Data'!$A$3:$FB$285,96,FALSE)</f>
        <v/>
      </c>
      <c r="CQ100" s="27" t="str">
        <f>VLOOKUP($A100,'[1]Raw Data'!$A$3:$FB$285,97,FALSE)</f>
        <v/>
      </c>
      <c r="CR100" s="27" t="str">
        <f>VLOOKUP($A100,'[1]Raw Data'!$A$3:$FB$285,98,FALSE)</f>
        <v/>
      </c>
      <c r="CS100" s="27" t="str">
        <f>VLOOKUP($A100,'[1]Raw Data'!$A$3:$FB$285,99,FALSE)</f>
        <v/>
      </c>
      <c r="CT100" s="27" t="str">
        <f>VLOOKUP($A100,'[1]Raw Data'!$A$3:$FB$285,101,FALSE)</f>
        <v>Krishna Bdr Khulal</v>
      </c>
      <c r="CU100" s="27" t="s">
        <v>1098</v>
      </c>
      <c r="CV100" s="27" t="str">
        <f>VLOOKUP($A100,'[1]Raw Data'!$A$3:$FB$285,102,FALSE)</f>
        <v>Mayor</v>
      </c>
      <c r="CW100" s="27" t="s">
        <v>834</v>
      </c>
      <c r="CX100" s="27">
        <f>VLOOKUP($A100,'[1]Raw Data'!$A$3:$FB$285,103,FALSE)</f>
        <v>9741277731</v>
      </c>
      <c r="CY100" s="27" t="str">
        <f>VLOOKUP($A100,'[1]Raw Data'!$A$3:$FB$285,105,FALSE)</f>
        <v>Rukmani Gurung</v>
      </c>
      <c r="CZ100" s="27" t="s">
        <v>1099</v>
      </c>
      <c r="DA100" s="27" t="str">
        <f>VLOOKUP($A100,'[1]Raw Data'!$A$3:$FB$285,106,FALSE)</f>
        <v>Deputy Mayor</v>
      </c>
      <c r="DB100" s="27" t="s">
        <v>888</v>
      </c>
      <c r="DC100" s="27">
        <f>VLOOKUP($A100,'[1]Raw Data'!$A$3:$FB$285,107,FALSE)</f>
        <v>9621198697</v>
      </c>
      <c r="DD100" s="27" t="str">
        <f>VLOOKUP($A100,'[1]Raw Data'!$A$3:$FB$285,109,FALSE)</f>
        <v>Laxmi Prasad Adhikari</v>
      </c>
      <c r="DE100" s="27" t="s">
        <v>1100</v>
      </c>
      <c r="DF100" s="27" t="str">
        <f>VLOOKUP($A100,'[1]Raw Data'!$A$3:$FB$285,110,FALSE)</f>
        <v>Adminstration Officer</v>
      </c>
      <c r="DG100" s="27" t="s">
        <v>880</v>
      </c>
      <c r="DH100" s="27">
        <f>VLOOKUP($A100,'[1]Raw Data'!$A$3:$FB$285,111,FALSE)</f>
        <v>9841400343</v>
      </c>
      <c r="DI100" s="27" t="str">
        <f>VLOOKUP($A100,'[1]Raw Data'!$A$3:$FB$285,121,FALSE)</f>
        <v/>
      </c>
      <c r="DK100" s="27" t="str">
        <f>VLOOKUP($A100,'[1]Raw Data'!$A$3:$FB$285,122,FALSE)</f>
        <v>Focal Person</v>
      </c>
      <c r="DL100" s="27" t="s">
        <v>881</v>
      </c>
      <c r="DM100" s="27" t="str">
        <f>VLOOKUP($A100,'[1]Raw Data'!$A$3:$FB$285,123,FALSE)</f>
        <v/>
      </c>
      <c r="DN100" s="27" t="str">
        <f>VLOOKUP($A100,'[1]Raw Data'!$A$3:$FB$285,113,FALSE)</f>
        <v>Lok Nath Regmi</v>
      </c>
      <c r="DO100" s="27" t="s">
        <v>1081</v>
      </c>
      <c r="DP100" s="27" t="str">
        <f>VLOOKUP($A100,'[1]Raw Data'!$A$3:$FB$285,114,FALSE)</f>
        <v>NRA Chief-District</v>
      </c>
      <c r="DQ100" s="27" t="s">
        <v>882</v>
      </c>
      <c r="DR100" s="27">
        <f>VLOOKUP($A100,'[1]Raw Data'!$A$3:$FB$285,115,FALSE)</f>
        <v>9851146403</v>
      </c>
      <c r="DS100" s="27" t="str">
        <f>VLOOKUP($A100,'[1]Raw Data'!$A$3:$FB$285,117,FALSE)</f>
        <v>Mahalaxmi Joshi</v>
      </c>
      <c r="DT100" s="27" t="s">
        <v>1082</v>
      </c>
      <c r="DU100" s="27" t="str">
        <f>VLOOKUP($A100,'[1]Raw Data'!$A$3:$FB$285,118,FALSE)</f>
        <v>DUDBC.DLPIU Chief</v>
      </c>
      <c r="DV100" s="27" t="s">
        <v>883</v>
      </c>
      <c r="DW100" s="27">
        <f>VLOOKUP($A100,'[1]Raw Data'!$A$3:$FB$285,119,FALSE)</f>
        <v>9841010222</v>
      </c>
      <c r="DX100" s="27" t="s">
        <v>339</v>
      </c>
      <c r="DY100" s="27" t="str">
        <f>VLOOKUP($A100,'[1]Raw Data'!$A$3:$FB$285,124,FALSE)</f>
        <v/>
      </c>
      <c r="DZ100" s="27" t="s">
        <v>884</v>
      </c>
      <c r="EA100" s="27" t="str">
        <f>VLOOKUP($A100,'[1]Raw Data'!$A$3:$FB$285,125,FALSE)</f>
        <v/>
      </c>
      <c r="EB100" s="27" t="s">
        <v>341</v>
      </c>
      <c r="EC100" s="27" t="str">
        <f>VLOOKUP($A100,'[1]Raw Data'!$A$3:$FB$285,126,FALSE)</f>
        <v/>
      </c>
      <c r="ED100" t="s">
        <v>478</v>
      </c>
      <c r="EE100" s="27" t="str">
        <f>VLOOKUP($A100,'[1]Raw Data'!$A$3:$FB$285,127,FALSE)</f>
        <v/>
      </c>
      <c r="EF100" s="27" t="s">
        <v>343</v>
      </c>
      <c r="EG100" s="27" t="str">
        <f>VLOOKUP($A100,'[1]Raw Data'!$A$3:$FB$285,128,FALSE)</f>
        <v/>
      </c>
      <c r="EH100" t="s">
        <v>344</v>
      </c>
      <c r="EI100" s="27" t="str">
        <f>VLOOKUP($A100,'[1]Raw Data'!$A$3:$FB$285,129,FALSE)</f>
        <v/>
      </c>
      <c r="EM100" s="27" t="str">
        <f>VLOOKUP($A100,'[1]Raw Data'!$A$3:$FB$285,130,FALSE)</f>
        <v/>
      </c>
      <c r="EN100" s="27" t="str">
        <f>VLOOKUP($A100,'[1]Raw Data'!$A$3:$FB$285,131,FALSE)</f>
        <v/>
      </c>
      <c r="EO100" s="27" t="str">
        <f>VLOOKUP($A100,'[1]Raw Data'!$A$3:$FB$285,132,FALSE)</f>
        <v/>
      </c>
      <c r="EP100" s="27" t="str">
        <f>VLOOKUP($A100,'[1]Raw Data'!$A$3:$FB$285,133,FALSE)</f>
        <v/>
      </c>
      <c r="EQ100" s="27" t="str">
        <f>VLOOKUP($A100,'[1]Raw Data'!$A$3:$FB$285,134,FALSE)</f>
        <v/>
      </c>
      <c r="ER100" s="27" t="str">
        <f>VLOOKUP($A100,'[1]Raw Data'!$A$3:$FB$285,135,FALSE)</f>
        <v/>
      </c>
      <c r="ES100" s="27" t="str">
        <f>VLOOKUP($A100,'[1]Raw Data'!$A$3:$FB$285,136,FALSE)</f>
        <v/>
      </c>
      <c r="ET100" s="27" t="str">
        <f>VLOOKUP($A100,'[1]Raw Data'!$A$3:$FB$285,137,FALSE)</f>
        <v/>
      </c>
      <c r="EU100" s="27" t="str">
        <f>VLOOKUP($A100,'[1]Raw Data'!$A$3:$FB$285,138,FALSE)</f>
        <v/>
      </c>
      <c r="EV100" s="27" t="str">
        <f>VLOOKUP($A100,'[1]Raw Data'!$A$3:$FB$285,139,FALSE)</f>
        <v/>
      </c>
      <c r="EW100" s="38">
        <f>VLOOKUP($A100,[1]Training!$A$2:$I$284,5,FALSE)</f>
        <v>218.61538461538461</v>
      </c>
      <c r="EX100" s="31">
        <f>VLOOKUP($A100,[1]Training!$A$2:$I$284,6,FALSE)</f>
        <v>170</v>
      </c>
      <c r="EY100" s="38">
        <f>VLOOKUP($A100,[1]Training!$A$2:$I$284,8,FALSE)</f>
        <v>257.32497917496653</v>
      </c>
      <c r="EZ100" s="31">
        <f>VLOOKUP($A100,[1]Training!$A$2:$I$284,9,FALSE)</f>
        <v>74</v>
      </c>
      <c r="FA100" s="27">
        <v>1</v>
      </c>
      <c r="FB100" s="27">
        <v>2</v>
      </c>
      <c r="FC100" s="27" t="str">
        <f>VLOOKUP($A100,'[1]Raw Data'!$A$3:$FB$285,148,FALSE)</f>
        <v>Reshma Shrestha</v>
      </c>
      <c r="FD100" s="27" t="s">
        <v>1083</v>
      </c>
      <c r="FE100" s="27" t="str">
        <f>VLOOKUP($A100,'[1]Raw Data'!$A$3:$FB$285,149,FALSE)</f>
        <v>District Coordinator</v>
      </c>
      <c r="FF100" s="27" t="s">
        <v>885</v>
      </c>
      <c r="FG100" s="27">
        <f>VLOOKUP($A100,'[1]Raw Data'!$A$3:$FB$285,150,FALSE)</f>
        <v>9841264190</v>
      </c>
      <c r="FH100" s="27" t="str">
        <f>VLOOKUP($A100,'[1]Raw Data'!$A$3:$FB$285,156,FALSE)</f>
        <v/>
      </c>
      <c r="FJ100" s="27" t="str">
        <f>VLOOKUP($A100,'[1]Raw Data'!$A$3:$FB$285,157,FALSE)</f>
        <v>District Technical Officer</v>
      </c>
      <c r="FK100" s="27" t="s">
        <v>886</v>
      </c>
      <c r="FL100" s="27" t="str">
        <f>VLOOKUP($A100,'[1]Raw Data'!$A$3:$FB$285,158,FALSE)</f>
        <v/>
      </c>
      <c r="FM100" s="27" t="str">
        <f>VLOOKUP($A100,'[1]Raw Data'!$A$3:$FB$285,152,FALSE)</f>
        <v>Ishor Neupane</v>
      </c>
      <c r="FN100" s="27" t="s">
        <v>1084</v>
      </c>
      <c r="FO100" s="27" t="str">
        <f>VLOOKUP($A100,'[1]Raw Data'!$A$3:$FB$285,153,FALSE)</f>
        <v>DIstrict Information Management Officer</v>
      </c>
      <c r="FP100" s="27" t="s">
        <v>887</v>
      </c>
      <c r="FQ100" s="27">
        <f>VLOOKUP($A100,'[1]Raw Data'!$A$3:$FB$285,154,FALSE)</f>
        <v>9801317265</v>
      </c>
    </row>
    <row r="101" spans="1:173" ht="24" x14ac:dyDescent="0.45">
      <c r="A101" s="27">
        <v>24007</v>
      </c>
      <c r="B101" s="36" t="str">
        <f ca="1">IFERROR(__xludf.DUMMYFUNCTION("""COMPUTED_VALUE"""),"Mahabharat Gaunpalika")</f>
        <v>Mahabharat Gaunpalika</v>
      </c>
      <c r="C101" s="37" t="str">
        <f>VLOOKUP(A101,'[1]Palika and District in Nepali '!$D$1:$F$283,3,FALSE)</f>
        <v>महाभारत गाऊँपालिका</v>
      </c>
      <c r="D101" s="36" t="str">
        <f ca="1">IFERROR(__xludf.DUMMYFUNCTION("""COMPUTED_VALUE"""),"Kavrepalanchok")</f>
        <v>Kavrepalanchok</v>
      </c>
      <c r="E101" s="36"/>
      <c r="F101" s="27">
        <f>VLOOKUP(A101,'[1]Raw Data'!$A$3:$FB$285,4,FALSE)</f>
        <v>643</v>
      </c>
      <c r="G101" s="27">
        <f>VLOOKUP(A101,'[1]Raw Data'!$A$3:$FB$285,5,FALSE)</f>
        <v>2861</v>
      </c>
      <c r="H101" s="27">
        <f>VLOOKUP(A101,'[1]Raw Data'!$A$3:$FB$285,6,FALSE)</f>
        <v>3504</v>
      </c>
      <c r="I101" s="27">
        <f>VLOOKUP($A101,'[1]Raw Data'!$A$3:$FB$285,8,FALSE)</f>
        <v>0</v>
      </c>
      <c r="J101" s="27">
        <f>VLOOKUP($A101,'[1]Raw Data'!$A$3:$FB$285,9,FALSE)</f>
        <v>0.28999999999999998</v>
      </c>
      <c r="K101" s="27">
        <f>VLOOKUP($A101,'[1]Raw Data'!$A$3:$FB$285,11,FALSE)</f>
        <v>94.06</v>
      </c>
      <c r="L101" s="27">
        <f>VLOOKUP($A101,'[1]Raw Data'!$A$3:$FB$285,12,FALSE)</f>
        <v>69.19</v>
      </c>
      <c r="M101" s="27">
        <f>VLOOKUP($A101,'[1]Raw Data'!$A$3:$FB$285,14,FALSE)</f>
        <v>0.03</v>
      </c>
      <c r="N101" s="27">
        <f>VLOOKUP($A101,'[1]Raw Data'!$A$3:$FB$285,15,FALSE)</f>
        <v>5.98</v>
      </c>
      <c r="O101" s="27">
        <f>VLOOKUP($A101,'[1]Raw Data'!$A$3:$FB$285,17,FALSE)</f>
        <v>0.03</v>
      </c>
      <c r="P101" s="27">
        <f>VLOOKUP($A101,'[1]Raw Data'!$A$3:$FB$285,18,FALSE)</f>
        <v>4.0199999999999996</v>
      </c>
      <c r="Q101" s="27">
        <f>VLOOKUP($A101,'[1]Raw Data'!$A$3:$FB$285,20,FALSE)</f>
        <v>0</v>
      </c>
      <c r="R101" s="27">
        <f>VLOOKUP($A101,'[1]Raw Data'!$A$3:$FB$285,21,FALSE)</f>
        <v>4.6500000000000004</v>
      </c>
      <c r="S101" s="27">
        <f>VLOOKUP($A101,'[1]Raw Data'!$A$3:$FB$285,23,FALSE)</f>
        <v>0</v>
      </c>
      <c r="T101" s="27">
        <f>VLOOKUP($A101,'[1]Raw Data'!$A$3:$FB$285,24,FALSE)</f>
        <v>0</v>
      </c>
      <c r="U101" s="27">
        <f>VLOOKUP($A101,'[1]Raw Data'!$A$3:$FB$285,26,FALSE)</f>
        <v>4.97</v>
      </c>
      <c r="V101" s="27">
        <f>VLOOKUP($A101,'[1]Raw Data'!$A$3:$FB$285,27,FALSE)</f>
        <v>0.38</v>
      </c>
      <c r="W101" s="27">
        <f>VLOOKUP($A101,'[1]Raw Data'!$A$3:$FB$285,29,FALSE)</f>
        <v>0</v>
      </c>
      <c r="X101" s="27">
        <f>VLOOKUP($A101,'[1]Raw Data'!$A$3:$FB$285,30,FALSE)</f>
        <v>0</v>
      </c>
      <c r="Y101" s="27">
        <f>VLOOKUP($A101,'[1]Raw Data'!$A$3:$FB$285,32,FALSE)</f>
        <v>0.09</v>
      </c>
      <c r="Z101" s="27">
        <f>VLOOKUP($A101,'[1]Raw Data'!$A$3:$FB$285,33,FALSE)</f>
        <v>0.06</v>
      </c>
      <c r="AA101" s="27">
        <f>VLOOKUP($A101,'[1]Raw Data'!$A$3:$FB$285,35,FALSE)</f>
        <v>0.46</v>
      </c>
      <c r="AB101" s="27">
        <f>VLOOKUP($A101,'[1]Raw Data'!$A$3:$FB$285,36,FALSE)</f>
        <v>15.32</v>
      </c>
      <c r="AC101" s="27">
        <f>VLOOKUP($A101,'[1]Raw Data'!$A$3:$FB$285,38,FALSE)</f>
        <v>0.37</v>
      </c>
      <c r="AD101" s="27">
        <f>VLOOKUP($A101,'[1]Raw Data'!$A$3:$FB$285,39,FALSE)</f>
        <v>0.11</v>
      </c>
      <c r="AE101" s="27">
        <f>VLOOKUP($A101,'[1]Raw Data'!$A$3:$FB$285,41,FALSE)</f>
        <v>0</v>
      </c>
      <c r="AF101" s="27">
        <f>VLOOKUP($A101,'[1]Raw Data'!$A$3:$FB$285,42,FALSE)</f>
        <v>0</v>
      </c>
      <c r="AG101" s="27">
        <f>VLOOKUP($A101,'[1]Raw Data'!$A$3:$FB$285,44,FALSE)</f>
        <v>0</v>
      </c>
      <c r="AH101" s="27">
        <f>VLOOKUP($A101,'[1]Raw Data'!$A$3:$FB$285,45,FALSE)</f>
        <v>0</v>
      </c>
      <c r="AI101" s="27">
        <f>VLOOKUP($A101,'[1]Raw Data'!$A$3:$FB$285,46,FALSE)</f>
        <v>2950</v>
      </c>
      <c r="AJ101" s="27">
        <f>VLOOKUP($A101,'[1]Raw Data'!$A$3:$FB$285,47,FALSE)</f>
        <v>2872</v>
      </c>
      <c r="AK101" s="27">
        <f>VLOOKUP($A101,'[1]Raw Data'!$A$3:$FB$285,48,FALSE)</f>
        <v>2800</v>
      </c>
      <c r="AL101" s="27">
        <f>VLOOKUP($A101,'[1]Raw Data'!$A$3:$FB$285,49,FALSE)</f>
        <v>2350</v>
      </c>
      <c r="AM101" s="27">
        <f>VLOOKUP($A101,'[1]Raw Data'!$A$3:$FB$285,50,FALSE)</f>
        <v>1317</v>
      </c>
      <c r="AN101" s="27">
        <f>VLOOKUP($A101,'[1]Raw Data'!$A$3:$FB$285,51,FALSE)</f>
        <v>0</v>
      </c>
      <c r="AO101" s="27" t="str">
        <f>VLOOKUP($A101,'[1]Raw Data'!$A$3:$FB$285,52,FALSE)</f>
        <v/>
      </c>
      <c r="AP101" s="27">
        <f>VLOOKUP($A101,'[1]Raw Data'!$A$3:$FB$285,53,FALSE)</f>
        <v>220</v>
      </c>
      <c r="AQ101" s="27">
        <f>VLOOKUP($A101,'[1]Raw Data'!$A$3:$FB$285,54,FALSE)</f>
        <v>143</v>
      </c>
      <c r="AR101" s="27">
        <f>VLOOKUP($A101,'[1]Raw Data'!$A$3:$FB$285,55,FALSE)</f>
        <v>143</v>
      </c>
      <c r="AS101" s="27">
        <f>VLOOKUP($A101,'[1]Raw Data'!$A$3:$FB$285,56,FALSE)</f>
        <v>0</v>
      </c>
      <c r="AT101" s="27">
        <f>VLOOKUP($A101,'[1]Raw Data'!$A$3:$FB$285,57,FALSE)</f>
        <v>1075</v>
      </c>
      <c r="AU101" s="27">
        <f>VLOOKUP($A101,'[1]Raw Data'!$A$3:$FB$285,58,FALSE)</f>
        <v>1055</v>
      </c>
      <c r="AV101" s="27" t="str">
        <f>VLOOKUP($A101,'[1]Raw Data'!$A$3:$FB$285,59,FALSE)</f>
        <v/>
      </c>
      <c r="AW101" s="27" t="str">
        <f>VLOOKUP($A101,'[1]Raw Data'!$A$3:$FB$285,60,FALSE)</f>
        <v/>
      </c>
      <c r="AX101" s="27" t="str">
        <f>VLOOKUP(A101,'[1]PO''s List'!A99:E381,4,FALSE)</f>
        <v>NRCS(Health)</v>
      </c>
      <c r="AZ101" s="27" t="str">
        <f>VLOOKUP(A101,'[1]PO''s List'!$A$3:$E$285,5,FALSE)</f>
        <v>HELVETAS(Shelter),NYF(Shelter),SABAL(Shelter),SCI(Education,Shelter,Social Protection)</v>
      </c>
      <c r="BB101" s="27">
        <f>VLOOKUP($A101,'[1]Raw Data'!$A$3:$FB$285,63,FALSE)</f>
        <v>51653</v>
      </c>
      <c r="BC101" s="27" t="str">
        <f>VLOOKUP($A101,'[1]Raw Data'!$A$3:$FB$285,64,FALSE)</f>
        <v>Y</v>
      </c>
      <c r="BD101" s="27" t="str">
        <f t="shared" si="9"/>
        <v>छ</v>
      </c>
      <c r="BE101" s="27">
        <f>VLOOKUP($A101,'[1]Raw Data'!$A$3:$FB$285,65,FALSE)</f>
        <v>4000</v>
      </c>
      <c r="BF101" s="27">
        <f>VLOOKUP($A101,'[1]Raw Data'!$A$3:$FB$285,66,FALSE)</f>
        <v>53471</v>
      </c>
      <c r="BG101" s="27" t="str">
        <f>VLOOKUP($A101,'[1]Raw Data'!$A$3:$FB$285,67,FALSE)</f>
        <v>Y</v>
      </c>
      <c r="BH101" s="27" t="str">
        <f t="shared" si="10"/>
        <v>छ</v>
      </c>
      <c r="BI101" s="27">
        <f>VLOOKUP($A101,'[1]Raw Data'!$A$3:$FB$285,68,FALSE)</f>
        <v>7000</v>
      </c>
      <c r="BJ101" s="27">
        <f>VLOOKUP($A101,'[1]Raw Data'!$A$3:$FB$285,69,FALSE)</f>
        <v>5520</v>
      </c>
      <c r="BK101" s="27" t="str">
        <f>VLOOKUP($A101,'[1]Raw Data'!$A$3:$FB$285,70,FALSE)</f>
        <v>N</v>
      </c>
      <c r="BL101" s="27" t="str">
        <f t="shared" si="11"/>
        <v>छैन</v>
      </c>
      <c r="BM101" s="27">
        <f>VLOOKUP($A101,'[1]Raw Data'!$A$3:$FB$285,71,FALSE)</f>
        <v>5000</v>
      </c>
      <c r="BN101" s="27">
        <f>VLOOKUP($A101,'[1]Raw Data'!$A$3:$FB$285,72,FALSE)</f>
        <v>6387</v>
      </c>
      <c r="BO101" s="27" t="str">
        <f>VLOOKUP($A101,'[1]Raw Data'!$A$3:$FB$285,73,FALSE)</f>
        <v/>
      </c>
      <c r="BP101" s="27" t="str">
        <f t="shared" si="12"/>
        <v/>
      </c>
      <c r="BQ101" s="27" t="str">
        <f>VLOOKUP($A101,'[1]Raw Data'!$A$3:$FB$285,74,FALSE)</f>
        <v/>
      </c>
      <c r="BR101" s="27" t="str">
        <f>VLOOKUP($A101,'[1]Raw Data'!$A$3:$FB$285,75,FALSE)</f>
        <v/>
      </c>
      <c r="BS101" s="27" t="str">
        <f>VLOOKUP($A101,'[1]Raw Data'!$A$3:$FB$285,76,FALSE)</f>
        <v>N</v>
      </c>
      <c r="BT101" s="27" t="str">
        <f t="shared" si="13"/>
        <v>छैन</v>
      </c>
      <c r="BU101" s="27">
        <f>VLOOKUP($A101,'[1]Raw Data'!$A$3:$FB$285,77,FALSE)</f>
        <v>950</v>
      </c>
      <c r="BV101" s="27">
        <f>VLOOKUP($A101,'[1]Raw Data'!$A$3:$FB$285,78,FALSE)</f>
        <v>177191</v>
      </c>
      <c r="BW101" s="27" t="str">
        <f>VLOOKUP($A101,'[1]Raw Data'!$A$3:$FB$285,79,FALSE)</f>
        <v>N</v>
      </c>
      <c r="BX101" s="27" t="str">
        <f t="shared" si="14"/>
        <v>छैन</v>
      </c>
      <c r="BY101" s="27">
        <f>VLOOKUP($A101,'[1]Raw Data'!$A$3:$FB$285,80,FALSE)</f>
        <v>1000</v>
      </c>
      <c r="BZ101" s="27">
        <f>VLOOKUP($A101,'[1]Raw Data'!$A$3:$FB$285,81,FALSE)</f>
        <v>559329</v>
      </c>
      <c r="CA101" s="27" t="str">
        <f>VLOOKUP($A101,'[1]Raw Data'!$A$3:$FB$285,82,FALSE)</f>
        <v>N</v>
      </c>
      <c r="CB101" s="27" t="str">
        <f t="shared" si="15"/>
        <v>छैन</v>
      </c>
      <c r="CC101" s="27">
        <f>VLOOKUP($A101,'[1]Raw Data'!$A$3:$FB$285,83,FALSE)</f>
        <v>110</v>
      </c>
      <c r="CD101" s="27">
        <f>VLOOKUP($A101,'[1]Raw Data'!$A$3:$FB$285,84,FALSE)</f>
        <v>7243</v>
      </c>
      <c r="CE101" s="27" t="str">
        <f>VLOOKUP($A101,'[1]Raw Data'!$A$3:$FB$285,85,FALSE)</f>
        <v/>
      </c>
      <c r="CF101" s="27" t="str">
        <f t="shared" si="16"/>
        <v/>
      </c>
      <c r="CG101" s="27" t="str">
        <f>VLOOKUP($A101,'[1]Raw Data'!$A$3:$FB$285,86,FALSE)</f>
        <v/>
      </c>
      <c r="CH101" s="27">
        <f>VLOOKUP($A101,'[1]Raw Data'!$A$3:$FB$285,87,FALSE)</f>
        <v>489939</v>
      </c>
      <c r="CI101" s="27" t="str">
        <f>VLOOKUP($A101,'[1]Raw Data'!$A$3:$FB$285,88,FALSE)</f>
        <v/>
      </c>
      <c r="CJ101" s="27" t="str">
        <f t="shared" si="17"/>
        <v/>
      </c>
      <c r="CK101" s="27" t="str">
        <f>VLOOKUP($A101,'[1]Raw Data'!$A$3:$FB$285,89,FALSE)</f>
        <v/>
      </c>
      <c r="CL101" s="27">
        <f>VLOOKUP($A101,'[1]Raw Data'!$A$3:$FB$285,91,FALSE)</f>
        <v>1000</v>
      </c>
      <c r="CM101" s="27">
        <f>VLOOKUP($A101,'[1]Raw Data'!$A$3:$FB$285,93,FALSE)</f>
        <v>700</v>
      </c>
      <c r="CN101" s="27" t="str">
        <f>VLOOKUP($A101,'[1]Raw Data'!$A$3:$FB$285,94,FALSE)</f>
        <v/>
      </c>
      <c r="CO101" s="27" t="str">
        <f>VLOOKUP($A101,'[1]Raw Data'!$A$3:$FB$285,95,FALSE)</f>
        <v/>
      </c>
      <c r="CP101" s="27" t="str">
        <f>VLOOKUP($A101,'[1]Raw Data'!$A$3:$FB$285,96,FALSE)</f>
        <v/>
      </c>
      <c r="CQ101" s="27" t="str">
        <f>VLOOKUP($A101,'[1]Raw Data'!$A$3:$FB$285,97,FALSE)</f>
        <v/>
      </c>
      <c r="CR101" s="27" t="str">
        <f>VLOOKUP($A101,'[1]Raw Data'!$A$3:$FB$285,98,FALSE)</f>
        <v/>
      </c>
      <c r="CS101" s="27" t="str">
        <f>VLOOKUP($A101,'[1]Raw Data'!$A$3:$FB$285,99,FALSE)</f>
        <v/>
      </c>
      <c r="CT101" s="27" t="str">
        <f>VLOOKUP($A101,'[1]Raw Data'!$A$3:$FB$285,101,FALSE)</f>
        <v>Kancha Man Jimba</v>
      </c>
      <c r="CU101" s="27" t="s">
        <v>1101</v>
      </c>
      <c r="CV101" s="27" t="str">
        <f>VLOOKUP($A101,'[1]Raw Data'!$A$3:$FB$285,102,FALSE)</f>
        <v>Mayor</v>
      </c>
      <c r="CW101" s="27" t="s">
        <v>834</v>
      </c>
      <c r="CX101" s="27">
        <f>VLOOKUP($A101,'[1]Raw Data'!$A$3:$FB$285,103,FALSE)</f>
        <v>9851205710</v>
      </c>
      <c r="CY101" s="27" t="str">
        <f>VLOOKUP($A101,'[1]Raw Data'!$A$3:$FB$285,105,FALSE)</f>
        <v>Tej Kumari Majhi</v>
      </c>
      <c r="CZ101" s="27" t="s">
        <v>1102</v>
      </c>
      <c r="DA101" s="27" t="str">
        <f>VLOOKUP($A101,'[1]Raw Data'!$A$3:$FB$285,106,FALSE)</f>
        <v>Deputy Mayor</v>
      </c>
      <c r="DB101" s="27" t="s">
        <v>888</v>
      </c>
      <c r="DC101" s="27">
        <f>VLOOKUP($A101,'[1]Raw Data'!$A$3:$FB$285,107,FALSE)</f>
        <v>9621105710</v>
      </c>
      <c r="DD101" s="27" t="str">
        <f>VLOOKUP($A101,'[1]Raw Data'!$A$3:$FB$285,109,FALSE)</f>
        <v>Raymond Bdr Thapa Magar</v>
      </c>
      <c r="DE101" s="27" t="s">
        <v>1103</v>
      </c>
      <c r="DF101" s="27" t="str">
        <f>VLOOKUP($A101,'[1]Raw Data'!$A$3:$FB$285,110,FALSE)</f>
        <v>Adminstration Officer</v>
      </c>
      <c r="DG101" s="27" t="s">
        <v>880</v>
      </c>
      <c r="DH101" s="27">
        <f>VLOOKUP($A101,'[1]Raw Data'!$A$3:$FB$285,111,FALSE)</f>
        <v>9851227723</v>
      </c>
      <c r="DI101" s="27" t="str">
        <f>VLOOKUP($A101,'[1]Raw Data'!$A$3:$FB$285,121,FALSE)</f>
        <v>Anjan Parajuli</v>
      </c>
      <c r="DJ101" s="27" t="s">
        <v>1104</v>
      </c>
      <c r="DK101" s="27" t="str">
        <f>VLOOKUP($A101,'[1]Raw Data'!$A$3:$FB$285,122,FALSE)</f>
        <v>Focal Person</v>
      </c>
      <c r="DL101" s="27" t="s">
        <v>881</v>
      </c>
      <c r="DM101" s="27">
        <f>VLOOKUP($A101,'[1]Raw Data'!$A$3:$FB$285,123,FALSE)</f>
        <v>9849622902</v>
      </c>
      <c r="DN101" s="27" t="str">
        <f>VLOOKUP($A101,'[1]Raw Data'!$A$3:$FB$285,113,FALSE)</f>
        <v>Lok Nath Regmi</v>
      </c>
      <c r="DO101" s="27" t="s">
        <v>1081</v>
      </c>
      <c r="DP101" s="27" t="str">
        <f>VLOOKUP($A101,'[1]Raw Data'!$A$3:$FB$285,114,FALSE)</f>
        <v>NRA Chief-District</v>
      </c>
      <c r="DQ101" s="27" t="s">
        <v>882</v>
      </c>
      <c r="DR101" s="27">
        <f>VLOOKUP($A101,'[1]Raw Data'!$A$3:$FB$285,115,FALSE)</f>
        <v>9851146403</v>
      </c>
      <c r="DS101" s="27" t="str">
        <f>VLOOKUP($A101,'[1]Raw Data'!$A$3:$FB$285,117,FALSE)</f>
        <v>Mahalaxmi Joshi</v>
      </c>
      <c r="DT101" s="27" t="s">
        <v>1082</v>
      </c>
      <c r="DU101" s="27" t="str">
        <f>VLOOKUP($A101,'[1]Raw Data'!$A$3:$FB$285,118,FALSE)</f>
        <v>DUDBC.DLPIU Chief</v>
      </c>
      <c r="DV101" s="27" t="s">
        <v>883</v>
      </c>
      <c r="DW101" s="27">
        <f>VLOOKUP($A101,'[1]Raw Data'!$A$3:$FB$285,119,FALSE)</f>
        <v>9841010222</v>
      </c>
      <c r="DX101" s="27" t="s">
        <v>339</v>
      </c>
      <c r="DY101" s="27" t="str">
        <f>VLOOKUP($A101,'[1]Raw Data'!$A$3:$FB$285,124,FALSE)</f>
        <v/>
      </c>
      <c r="DZ101" s="27" t="s">
        <v>884</v>
      </c>
      <c r="EA101" s="27" t="str">
        <f>VLOOKUP($A101,'[1]Raw Data'!$A$3:$FB$285,125,FALSE)</f>
        <v/>
      </c>
      <c r="EB101" s="27" t="s">
        <v>341</v>
      </c>
      <c r="EC101" s="27" t="str">
        <f>VLOOKUP($A101,'[1]Raw Data'!$A$3:$FB$285,126,FALSE)</f>
        <v>1</v>
      </c>
      <c r="ED101" t="s">
        <v>478</v>
      </c>
      <c r="EE101" s="27" t="str">
        <f>VLOOKUP($A101,'[1]Raw Data'!$A$3:$FB$285,127,FALSE)</f>
        <v/>
      </c>
      <c r="EF101" s="27" t="s">
        <v>343</v>
      </c>
      <c r="EG101" s="27" t="str">
        <f>VLOOKUP($A101,'[1]Raw Data'!$A$3:$FB$285,128,FALSE)</f>
        <v>17</v>
      </c>
      <c r="EH101" t="s">
        <v>344</v>
      </c>
      <c r="EI101" s="27" t="str">
        <f>VLOOKUP($A101,'[1]Raw Data'!$A$3:$FB$285,129,FALSE)</f>
        <v/>
      </c>
      <c r="EM101" s="27">
        <f>VLOOKUP($A101,'[1]Raw Data'!$A$3:$FB$285,130,FALSE)</f>
        <v>4</v>
      </c>
      <c r="EN101" s="27" t="str">
        <f>VLOOKUP($A101,'[1]Raw Data'!$A$3:$FB$285,131,FALSE)</f>
        <v>4</v>
      </c>
      <c r="EO101" s="27">
        <f>VLOOKUP($A101,'[1]Raw Data'!$A$3:$FB$285,132,FALSE)</f>
        <v>3</v>
      </c>
      <c r="EP101" s="27" t="str">
        <f>VLOOKUP($A101,'[1]Raw Data'!$A$3:$FB$285,133,FALSE)</f>
        <v>5</v>
      </c>
      <c r="EQ101" s="27">
        <f>VLOOKUP($A101,'[1]Raw Data'!$A$3:$FB$285,134,FALSE)</f>
        <v>2</v>
      </c>
      <c r="ER101" s="27" t="str">
        <f>VLOOKUP($A101,'[1]Raw Data'!$A$3:$FB$285,135,FALSE)</f>
        <v>6</v>
      </c>
      <c r="ES101" s="27" t="str">
        <f>VLOOKUP($A101,'[1]Raw Data'!$A$3:$FB$285,136,FALSE)</f>
        <v>200</v>
      </c>
      <c r="ET101" s="27" t="str">
        <f>VLOOKUP($A101,'[1]Raw Data'!$A$3:$FB$285,137,FALSE)</f>
        <v>8</v>
      </c>
      <c r="EU101" s="27" t="str">
        <f>VLOOKUP($A101,'[1]Raw Data'!$A$3:$FB$285,138,FALSE)</f>
        <v/>
      </c>
      <c r="EV101" s="27" t="str">
        <f>VLOOKUP($A101,'[1]Raw Data'!$A$3:$FB$285,139,FALSE)</f>
        <v>7</v>
      </c>
      <c r="EW101" s="38">
        <f>VLOOKUP($A101,[1]Training!$A$2:$I$284,5,FALSE)</f>
        <v>226.92307692307693</v>
      </c>
      <c r="EX101" s="31">
        <f>VLOOKUP($A101,[1]Training!$A$2:$I$284,6,FALSE)</f>
        <v>36</v>
      </c>
      <c r="EY101" s="38">
        <f>VLOOKUP($A101,[1]Training!$A$2:$I$284,8,FALSE)</f>
        <v>267.10369055811088</v>
      </c>
      <c r="EZ101" s="31">
        <f>VLOOKUP($A101,[1]Training!$A$2:$I$284,9,FALSE)</f>
        <v>14</v>
      </c>
      <c r="FA101" s="27">
        <v>1</v>
      </c>
      <c r="FB101" s="27">
        <v>2</v>
      </c>
      <c r="FC101" s="27" t="str">
        <f>VLOOKUP($A101,'[1]Raw Data'!$A$3:$FB$285,148,FALSE)</f>
        <v>Reshma Shrestha</v>
      </c>
      <c r="FD101" s="27" t="s">
        <v>1083</v>
      </c>
      <c r="FE101" s="27" t="str">
        <f>VLOOKUP($A101,'[1]Raw Data'!$A$3:$FB$285,149,FALSE)</f>
        <v>District Coordinator</v>
      </c>
      <c r="FF101" s="27" t="s">
        <v>885</v>
      </c>
      <c r="FG101" s="27">
        <f>VLOOKUP($A101,'[1]Raw Data'!$A$3:$FB$285,150,FALSE)</f>
        <v>9841264190</v>
      </c>
      <c r="FH101" s="27" t="str">
        <f>VLOOKUP($A101,'[1]Raw Data'!$A$3:$FB$285,156,FALSE)</f>
        <v/>
      </c>
      <c r="FJ101" s="27" t="str">
        <f>VLOOKUP($A101,'[1]Raw Data'!$A$3:$FB$285,157,FALSE)</f>
        <v>District Technical Officer</v>
      </c>
      <c r="FK101" s="27" t="s">
        <v>886</v>
      </c>
      <c r="FL101" s="27" t="str">
        <f>VLOOKUP($A101,'[1]Raw Data'!$A$3:$FB$285,158,FALSE)</f>
        <v/>
      </c>
      <c r="FM101" s="27" t="str">
        <f>VLOOKUP($A101,'[1]Raw Data'!$A$3:$FB$285,152,FALSE)</f>
        <v>Ishor Neupane</v>
      </c>
      <c r="FN101" s="27" t="s">
        <v>1084</v>
      </c>
      <c r="FO101" s="27" t="str">
        <f>VLOOKUP($A101,'[1]Raw Data'!$A$3:$FB$285,153,FALSE)</f>
        <v>DIstrict Information Management Officer</v>
      </c>
      <c r="FP101" s="27" t="s">
        <v>887</v>
      </c>
      <c r="FQ101" s="27">
        <f>VLOOKUP($A101,'[1]Raw Data'!$A$3:$FB$285,154,FALSE)</f>
        <v>9801317265</v>
      </c>
    </row>
    <row r="102" spans="1:173" ht="24" x14ac:dyDescent="0.45">
      <c r="A102" s="27">
        <v>24008</v>
      </c>
      <c r="B102" s="36" t="str">
        <f ca="1">IFERROR(__xludf.DUMMYFUNCTION("""COMPUTED_VALUE"""),"Mandandeupur Nagarpalika")</f>
        <v>Mandandeupur Nagarpalika</v>
      </c>
      <c r="C102" s="37" t="str">
        <f>VLOOKUP(A102,'[1]Palika and District in Nepali '!$D$1:$F$283,3,FALSE)</f>
        <v>मदनदेउपुर नगरपालिका</v>
      </c>
      <c r="D102" s="36" t="str">
        <f ca="1">IFERROR(__xludf.DUMMYFUNCTION("""COMPUTED_VALUE"""),"Kavrepalanchok")</f>
        <v>Kavrepalanchok</v>
      </c>
      <c r="E102" s="36"/>
      <c r="F102" s="27">
        <f>VLOOKUP(A102,'[1]Raw Data'!$A$3:$FB$285,4,FALSE)</f>
        <v>967</v>
      </c>
      <c r="G102" s="27">
        <f>VLOOKUP(A102,'[1]Raw Data'!$A$3:$FB$285,5,FALSE)</f>
        <v>8768</v>
      </c>
      <c r="H102" s="27">
        <f>VLOOKUP(A102,'[1]Raw Data'!$A$3:$FB$285,6,FALSE)</f>
        <v>9735</v>
      </c>
      <c r="I102" s="27">
        <f>VLOOKUP($A102,'[1]Raw Data'!$A$3:$FB$285,8,FALSE)</f>
        <v>0.31</v>
      </c>
      <c r="J102" s="27">
        <f>VLOOKUP($A102,'[1]Raw Data'!$A$3:$FB$285,9,FALSE)</f>
        <v>0.28999999999999998</v>
      </c>
      <c r="K102" s="27">
        <f>VLOOKUP($A102,'[1]Raw Data'!$A$3:$FB$285,11,FALSE)</f>
        <v>87.3</v>
      </c>
      <c r="L102" s="27">
        <f>VLOOKUP($A102,'[1]Raw Data'!$A$3:$FB$285,12,FALSE)</f>
        <v>69.19</v>
      </c>
      <c r="M102" s="27">
        <f>VLOOKUP($A102,'[1]Raw Data'!$A$3:$FB$285,14,FALSE)</f>
        <v>2.2000000000000002</v>
      </c>
      <c r="N102" s="27">
        <f>VLOOKUP($A102,'[1]Raw Data'!$A$3:$FB$285,15,FALSE)</f>
        <v>5.98</v>
      </c>
      <c r="O102" s="27">
        <f>VLOOKUP($A102,'[1]Raw Data'!$A$3:$FB$285,17,FALSE)</f>
        <v>1.68</v>
      </c>
      <c r="P102" s="27">
        <f>VLOOKUP($A102,'[1]Raw Data'!$A$3:$FB$285,18,FALSE)</f>
        <v>4.0199999999999996</v>
      </c>
      <c r="Q102" s="27">
        <f>VLOOKUP($A102,'[1]Raw Data'!$A$3:$FB$285,20,FALSE)</f>
        <v>3.28</v>
      </c>
      <c r="R102" s="27">
        <f>VLOOKUP($A102,'[1]Raw Data'!$A$3:$FB$285,21,FALSE)</f>
        <v>4.6500000000000004</v>
      </c>
      <c r="S102" s="27">
        <f>VLOOKUP($A102,'[1]Raw Data'!$A$3:$FB$285,23,FALSE)</f>
        <v>0</v>
      </c>
      <c r="T102" s="27">
        <f>VLOOKUP($A102,'[1]Raw Data'!$A$3:$FB$285,24,FALSE)</f>
        <v>0</v>
      </c>
      <c r="U102" s="27">
        <f>VLOOKUP($A102,'[1]Raw Data'!$A$3:$FB$285,26,FALSE)</f>
        <v>0.09</v>
      </c>
      <c r="V102" s="27">
        <f>VLOOKUP($A102,'[1]Raw Data'!$A$3:$FB$285,27,FALSE)</f>
        <v>0.38</v>
      </c>
      <c r="W102" s="27">
        <f>VLOOKUP($A102,'[1]Raw Data'!$A$3:$FB$285,29,FALSE)</f>
        <v>0</v>
      </c>
      <c r="X102" s="27">
        <f>VLOOKUP($A102,'[1]Raw Data'!$A$3:$FB$285,30,FALSE)</f>
        <v>0</v>
      </c>
      <c r="Y102" s="27">
        <f>VLOOKUP($A102,'[1]Raw Data'!$A$3:$FB$285,32,FALSE)</f>
        <v>0.19</v>
      </c>
      <c r="Z102" s="27">
        <f>VLOOKUP($A102,'[1]Raw Data'!$A$3:$FB$285,33,FALSE)</f>
        <v>0.06</v>
      </c>
      <c r="AA102" s="27">
        <f>VLOOKUP($A102,'[1]Raw Data'!$A$3:$FB$285,35,FALSE)</f>
        <v>4.8899999999999997</v>
      </c>
      <c r="AB102" s="27">
        <f>VLOOKUP($A102,'[1]Raw Data'!$A$3:$FB$285,36,FALSE)</f>
        <v>15.32</v>
      </c>
      <c r="AC102" s="27">
        <f>VLOOKUP($A102,'[1]Raw Data'!$A$3:$FB$285,38,FALSE)</f>
        <v>0.06</v>
      </c>
      <c r="AD102" s="27">
        <f>VLOOKUP($A102,'[1]Raw Data'!$A$3:$FB$285,39,FALSE)</f>
        <v>0.11</v>
      </c>
      <c r="AE102" s="27">
        <f>VLOOKUP($A102,'[1]Raw Data'!$A$3:$FB$285,41,FALSE)</f>
        <v>0</v>
      </c>
      <c r="AF102" s="27">
        <f>VLOOKUP($A102,'[1]Raw Data'!$A$3:$FB$285,42,FALSE)</f>
        <v>0</v>
      </c>
      <c r="AG102" s="27">
        <f>VLOOKUP($A102,'[1]Raw Data'!$A$3:$FB$285,44,FALSE)</f>
        <v>0</v>
      </c>
      <c r="AH102" s="27">
        <f>VLOOKUP($A102,'[1]Raw Data'!$A$3:$FB$285,45,FALSE)</f>
        <v>0</v>
      </c>
      <c r="AI102" s="27">
        <f>VLOOKUP($A102,'[1]Raw Data'!$A$3:$FB$285,46,FALSE)</f>
        <v>9195</v>
      </c>
      <c r="AJ102" s="27">
        <f>VLOOKUP($A102,'[1]Raw Data'!$A$3:$FB$285,47,FALSE)</f>
        <v>8434</v>
      </c>
      <c r="AK102" s="27">
        <f>VLOOKUP($A102,'[1]Raw Data'!$A$3:$FB$285,48,FALSE)</f>
        <v>8407</v>
      </c>
      <c r="AL102" s="27">
        <f>VLOOKUP($A102,'[1]Raw Data'!$A$3:$FB$285,49,FALSE)</f>
        <v>6384</v>
      </c>
      <c r="AM102" s="27">
        <f>VLOOKUP($A102,'[1]Raw Data'!$A$3:$FB$285,50,FALSE)</f>
        <v>3754</v>
      </c>
      <c r="AN102" s="27">
        <f>VLOOKUP($A102,'[1]Raw Data'!$A$3:$FB$285,51,FALSE)</f>
        <v>0</v>
      </c>
      <c r="AO102" s="27" t="str">
        <f>VLOOKUP($A102,'[1]Raw Data'!$A$3:$FB$285,52,FALSE)</f>
        <v/>
      </c>
      <c r="AP102" s="27">
        <f>VLOOKUP($A102,'[1]Raw Data'!$A$3:$FB$285,53,FALSE)</f>
        <v>145</v>
      </c>
      <c r="AQ102" s="27" t="str">
        <f>VLOOKUP($A102,'[1]Raw Data'!$A$3:$FB$285,54,FALSE)</f>
        <v/>
      </c>
      <c r="AR102" s="27">
        <f>VLOOKUP($A102,'[1]Raw Data'!$A$3:$FB$285,55,FALSE)</f>
        <v>21</v>
      </c>
      <c r="AS102" s="27">
        <f>VLOOKUP($A102,'[1]Raw Data'!$A$3:$FB$285,56,FALSE)</f>
        <v>0</v>
      </c>
      <c r="AT102" s="27">
        <f>VLOOKUP($A102,'[1]Raw Data'!$A$3:$FB$285,57,FALSE)</f>
        <v>2300</v>
      </c>
      <c r="AU102" s="27">
        <f>VLOOKUP($A102,'[1]Raw Data'!$A$3:$FB$285,58,FALSE)</f>
        <v>1762</v>
      </c>
      <c r="AV102" s="27">
        <f>VLOOKUP($A102,'[1]Raw Data'!$A$3:$FB$285,59,FALSE)</f>
        <v>19</v>
      </c>
      <c r="AW102" s="27">
        <f>VLOOKUP($A102,'[1]Raw Data'!$A$3:$FB$285,60,FALSE)</f>
        <v>19</v>
      </c>
      <c r="AX102" s="27" t="str">
        <f>VLOOKUP(A102,'[1]PO''s List'!A100:E382,4,FALSE)</f>
        <v>CARITAS-N(Livelihood,Shelter),EcoH-N(Education,Health,Social Protection),NRCS(Livelihood,Employment ,Health,Shelter,Health),ROTARY(Shelter,Health)</v>
      </c>
      <c r="AZ102" s="27" t="str">
        <f>VLOOKUP(A102,'[1]PO''s List'!$A$3:$E$285,5,FALSE)</f>
        <v>AA(DRR,Education,Employment ,GESI),AATWIN(Social Protection),ADRA(Shelter),CDRA(Shelter),Emergency(Education),HELVETAS(Shelter),LWF(Livelihood,DRR,Education,Employment ,Shelter,Health),MI(DRR,Health,Health),NJSI(Education),SABAL(Shelter)</v>
      </c>
      <c r="BB102" s="27">
        <f>VLOOKUP($A102,'[1]Raw Data'!$A$3:$FB$285,63,FALSE)</f>
        <v>86892</v>
      </c>
      <c r="BC102" s="27" t="str">
        <f>VLOOKUP($A102,'[1]Raw Data'!$A$3:$FB$285,64,FALSE)</f>
        <v/>
      </c>
      <c r="BD102" s="27" t="str">
        <f t="shared" si="9"/>
        <v/>
      </c>
      <c r="BE102" s="27" t="str">
        <f>VLOOKUP($A102,'[1]Raw Data'!$A$3:$FB$285,65,FALSE)</f>
        <v/>
      </c>
      <c r="BF102" s="27">
        <f>VLOOKUP($A102,'[1]Raw Data'!$A$3:$FB$285,66,FALSE)</f>
        <v>82508</v>
      </c>
      <c r="BG102" s="27" t="str">
        <f>VLOOKUP($A102,'[1]Raw Data'!$A$3:$FB$285,67,FALSE)</f>
        <v/>
      </c>
      <c r="BH102" s="27" t="str">
        <f t="shared" si="10"/>
        <v/>
      </c>
      <c r="BI102" s="27" t="str">
        <f>VLOOKUP($A102,'[1]Raw Data'!$A$3:$FB$285,68,FALSE)</f>
        <v/>
      </c>
      <c r="BJ102" s="27">
        <f>VLOOKUP($A102,'[1]Raw Data'!$A$3:$FB$285,69,FALSE)</f>
        <v>9220</v>
      </c>
      <c r="BK102" s="27" t="str">
        <f>VLOOKUP($A102,'[1]Raw Data'!$A$3:$FB$285,70,FALSE)</f>
        <v/>
      </c>
      <c r="BL102" s="27" t="str">
        <f t="shared" si="11"/>
        <v/>
      </c>
      <c r="BM102" s="27" t="str">
        <f>VLOOKUP($A102,'[1]Raw Data'!$A$3:$FB$285,71,FALSE)</f>
        <v/>
      </c>
      <c r="BN102" s="27">
        <f>VLOOKUP($A102,'[1]Raw Data'!$A$3:$FB$285,72,FALSE)</f>
        <v>10425</v>
      </c>
      <c r="BO102" s="27" t="str">
        <f>VLOOKUP($A102,'[1]Raw Data'!$A$3:$FB$285,73,FALSE)</f>
        <v/>
      </c>
      <c r="BP102" s="27" t="str">
        <f t="shared" si="12"/>
        <v/>
      </c>
      <c r="BQ102" s="27" t="str">
        <f>VLOOKUP($A102,'[1]Raw Data'!$A$3:$FB$285,74,FALSE)</f>
        <v/>
      </c>
      <c r="BR102" s="27" t="str">
        <f>VLOOKUP($A102,'[1]Raw Data'!$A$3:$FB$285,75,FALSE)</f>
        <v/>
      </c>
      <c r="BS102" s="27" t="str">
        <f>VLOOKUP($A102,'[1]Raw Data'!$A$3:$FB$285,76,FALSE)</f>
        <v/>
      </c>
      <c r="BT102" s="27" t="str">
        <f t="shared" si="13"/>
        <v/>
      </c>
      <c r="BU102" s="27" t="str">
        <f>VLOOKUP($A102,'[1]Raw Data'!$A$3:$FB$285,77,FALSE)</f>
        <v/>
      </c>
      <c r="BV102" s="27">
        <f>VLOOKUP($A102,'[1]Raw Data'!$A$3:$FB$285,78,FALSE)</f>
        <v>276977</v>
      </c>
      <c r="BW102" s="27" t="str">
        <f>VLOOKUP($A102,'[1]Raw Data'!$A$3:$FB$285,79,FALSE)</f>
        <v/>
      </c>
      <c r="BX102" s="27" t="str">
        <f t="shared" si="14"/>
        <v/>
      </c>
      <c r="BY102" s="27" t="str">
        <f>VLOOKUP($A102,'[1]Raw Data'!$A$3:$FB$285,80,FALSE)</f>
        <v/>
      </c>
      <c r="BZ102" s="27">
        <f>VLOOKUP($A102,'[1]Raw Data'!$A$3:$FB$285,81,FALSE)</f>
        <v>955264</v>
      </c>
      <c r="CA102" s="27" t="str">
        <f>VLOOKUP($A102,'[1]Raw Data'!$A$3:$FB$285,82,FALSE)</f>
        <v/>
      </c>
      <c r="CB102" s="27" t="str">
        <f t="shared" si="15"/>
        <v/>
      </c>
      <c r="CC102" s="27" t="str">
        <f>VLOOKUP($A102,'[1]Raw Data'!$A$3:$FB$285,83,FALSE)</f>
        <v/>
      </c>
      <c r="CD102" s="27">
        <f>VLOOKUP($A102,'[1]Raw Data'!$A$3:$FB$285,84,FALSE)</f>
        <v>11325</v>
      </c>
      <c r="CE102" s="27" t="str">
        <f>VLOOKUP($A102,'[1]Raw Data'!$A$3:$FB$285,85,FALSE)</f>
        <v/>
      </c>
      <c r="CF102" s="27" t="str">
        <f t="shared" si="16"/>
        <v/>
      </c>
      <c r="CG102" s="27" t="str">
        <f>VLOOKUP($A102,'[1]Raw Data'!$A$3:$FB$285,86,FALSE)</f>
        <v/>
      </c>
      <c r="CH102" s="27">
        <f>VLOOKUP($A102,'[1]Raw Data'!$A$3:$FB$285,87,FALSE)</f>
        <v>1729278</v>
      </c>
      <c r="CI102" s="27" t="str">
        <f>VLOOKUP($A102,'[1]Raw Data'!$A$3:$FB$285,88,FALSE)</f>
        <v/>
      </c>
      <c r="CJ102" s="27" t="str">
        <f t="shared" si="17"/>
        <v/>
      </c>
      <c r="CK102" s="27" t="str">
        <f>VLOOKUP($A102,'[1]Raw Data'!$A$3:$FB$285,89,FALSE)</f>
        <v/>
      </c>
      <c r="CL102" s="27" t="str">
        <f>VLOOKUP($A102,'[1]Raw Data'!$A$3:$FB$285,91,FALSE)</f>
        <v/>
      </c>
      <c r="CM102" s="27" t="str">
        <f>VLOOKUP($A102,'[1]Raw Data'!$A$3:$FB$285,93,FALSE)</f>
        <v/>
      </c>
      <c r="CN102" s="27" t="str">
        <f>VLOOKUP($A102,'[1]Raw Data'!$A$3:$FB$285,94,FALSE)</f>
        <v/>
      </c>
      <c r="CO102" s="27" t="str">
        <f>VLOOKUP($A102,'[1]Raw Data'!$A$3:$FB$285,95,FALSE)</f>
        <v/>
      </c>
      <c r="CP102" s="27" t="str">
        <f>VLOOKUP($A102,'[1]Raw Data'!$A$3:$FB$285,96,FALSE)</f>
        <v/>
      </c>
      <c r="CQ102" s="27" t="str">
        <f>VLOOKUP($A102,'[1]Raw Data'!$A$3:$FB$285,97,FALSE)</f>
        <v/>
      </c>
      <c r="CR102" s="27" t="str">
        <f>VLOOKUP($A102,'[1]Raw Data'!$A$3:$FB$285,98,FALSE)</f>
        <v/>
      </c>
      <c r="CS102" s="27" t="str">
        <f>VLOOKUP($A102,'[1]Raw Data'!$A$3:$FB$285,99,FALSE)</f>
        <v/>
      </c>
      <c r="CT102" s="27" t="str">
        <f>VLOOKUP($A102,'[1]Raw Data'!$A$3:$FB$285,101,FALSE)</f>
        <v>Tok Bahadur Waiba</v>
      </c>
      <c r="CU102" s="27" t="s">
        <v>1105</v>
      </c>
      <c r="CV102" s="27" t="str">
        <f>VLOOKUP($A102,'[1]Raw Data'!$A$3:$FB$285,102,FALSE)</f>
        <v>Mayor</v>
      </c>
      <c r="CW102" s="27" t="s">
        <v>834</v>
      </c>
      <c r="CX102" s="27">
        <f>VLOOKUP($A102,'[1]Raw Data'!$A$3:$FB$285,103,FALSE)</f>
        <v>9851199918</v>
      </c>
      <c r="CY102" s="27" t="str">
        <f>VLOOKUP($A102,'[1]Raw Data'!$A$3:$FB$285,105,FALSE)</f>
        <v>Nirmala Shahi</v>
      </c>
      <c r="CZ102" s="27" t="s">
        <v>1106</v>
      </c>
      <c r="DA102" s="27" t="str">
        <f>VLOOKUP($A102,'[1]Raw Data'!$A$3:$FB$285,106,FALSE)</f>
        <v>Deputy Mayor</v>
      </c>
      <c r="DB102" s="27" t="s">
        <v>888</v>
      </c>
      <c r="DC102" s="27">
        <f>VLOOKUP($A102,'[1]Raw Data'!$A$3:$FB$285,107,FALSE)</f>
        <v>9843445819</v>
      </c>
      <c r="DD102" s="27" t="str">
        <f>VLOOKUP($A102,'[1]Raw Data'!$A$3:$FB$285,109,FALSE)</f>
        <v>Bhim Kanta Sharma</v>
      </c>
      <c r="DE102" s="27" t="s">
        <v>1107</v>
      </c>
      <c r="DF102" s="27" t="str">
        <f>VLOOKUP($A102,'[1]Raw Data'!$A$3:$FB$285,110,FALSE)</f>
        <v>Adminstration Officer</v>
      </c>
      <c r="DG102" s="27" t="s">
        <v>880</v>
      </c>
      <c r="DH102" s="27">
        <f>VLOOKUP($A102,'[1]Raw Data'!$A$3:$FB$285,111,FALSE)</f>
        <v>9851243560</v>
      </c>
      <c r="DI102" s="27" t="str">
        <f>VLOOKUP($A102,'[1]Raw Data'!$A$3:$FB$285,121,FALSE)</f>
        <v/>
      </c>
      <c r="DK102" s="27" t="str">
        <f>VLOOKUP($A102,'[1]Raw Data'!$A$3:$FB$285,122,FALSE)</f>
        <v>Focal Person</v>
      </c>
      <c r="DL102" s="27" t="s">
        <v>881</v>
      </c>
      <c r="DM102" s="27" t="str">
        <f>VLOOKUP($A102,'[1]Raw Data'!$A$3:$FB$285,123,FALSE)</f>
        <v/>
      </c>
      <c r="DN102" s="27" t="str">
        <f>VLOOKUP($A102,'[1]Raw Data'!$A$3:$FB$285,113,FALSE)</f>
        <v>Lok Nath Regmi</v>
      </c>
      <c r="DO102" s="27" t="s">
        <v>1081</v>
      </c>
      <c r="DP102" s="27" t="str">
        <f>VLOOKUP($A102,'[1]Raw Data'!$A$3:$FB$285,114,FALSE)</f>
        <v>NRA Chief-District</v>
      </c>
      <c r="DQ102" s="27" t="s">
        <v>882</v>
      </c>
      <c r="DR102" s="27">
        <f>VLOOKUP($A102,'[1]Raw Data'!$A$3:$FB$285,115,FALSE)</f>
        <v>9851146403</v>
      </c>
      <c r="DS102" s="27" t="str">
        <f>VLOOKUP($A102,'[1]Raw Data'!$A$3:$FB$285,117,FALSE)</f>
        <v>Mahalaxmi Joshi</v>
      </c>
      <c r="DT102" s="27" t="s">
        <v>1082</v>
      </c>
      <c r="DU102" s="27" t="str">
        <f>VLOOKUP($A102,'[1]Raw Data'!$A$3:$FB$285,118,FALSE)</f>
        <v>DUDBC.DLPIU Chief</v>
      </c>
      <c r="DV102" s="27" t="s">
        <v>883</v>
      </c>
      <c r="DW102" s="27">
        <f>VLOOKUP($A102,'[1]Raw Data'!$A$3:$FB$285,119,FALSE)</f>
        <v>9841010222</v>
      </c>
      <c r="DX102" s="27" t="s">
        <v>339</v>
      </c>
      <c r="DY102" s="27" t="str">
        <f>VLOOKUP($A102,'[1]Raw Data'!$A$3:$FB$285,124,FALSE)</f>
        <v/>
      </c>
      <c r="DZ102" s="27" t="s">
        <v>884</v>
      </c>
      <c r="EA102" s="27" t="str">
        <f>VLOOKUP($A102,'[1]Raw Data'!$A$3:$FB$285,125,FALSE)</f>
        <v/>
      </c>
      <c r="EB102" s="27" t="s">
        <v>341</v>
      </c>
      <c r="EC102" s="27" t="str">
        <f>VLOOKUP($A102,'[1]Raw Data'!$A$3:$FB$285,126,FALSE)</f>
        <v/>
      </c>
      <c r="ED102" t="s">
        <v>478</v>
      </c>
      <c r="EE102" s="27" t="str">
        <f>VLOOKUP($A102,'[1]Raw Data'!$A$3:$FB$285,127,FALSE)</f>
        <v/>
      </c>
      <c r="EF102" s="27" t="s">
        <v>343</v>
      </c>
      <c r="EG102" s="27" t="str">
        <f>VLOOKUP($A102,'[1]Raw Data'!$A$3:$FB$285,128,FALSE)</f>
        <v/>
      </c>
      <c r="EH102" t="s">
        <v>344</v>
      </c>
      <c r="EI102" s="27" t="str">
        <f>VLOOKUP($A102,'[1]Raw Data'!$A$3:$FB$285,129,FALSE)</f>
        <v/>
      </c>
      <c r="EM102" s="27" t="str">
        <f>VLOOKUP($A102,'[1]Raw Data'!$A$3:$FB$285,130,FALSE)</f>
        <v/>
      </c>
      <c r="EN102" s="27" t="str">
        <f>VLOOKUP($A102,'[1]Raw Data'!$A$3:$FB$285,131,FALSE)</f>
        <v/>
      </c>
      <c r="EO102" s="27" t="str">
        <f>VLOOKUP($A102,'[1]Raw Data'!$A$3:$FB$285,132,FALSE)</f>
        <v/>
      </c>
      <c r="EP102" s="27" t="str">
        <f>VLOOKUP($A102,'[1]Raw Data'!$A$3:$FB$285,133,FALSE)</f>
        <v/>
      </c>
      <c r="EQ102" s="27" t="str">
        <f>VLOOKUP($A102,'[1]Raw Data'!$A$3:$FB$285,134,FALSE)</f>
        <v/>
      </c>
      <c r="ER102" s="27" t="str">
        <f>VLOOKUP($A102,'[1]Raw Data'!$A$3:$FB$285,135,FALSE)</f>
        <v/>
      </c>
      <c r="ES102" s="27" t="str">
        <f>VLOOKUP($A102,'[1]Raw Data'!$A$3:$FB$285,136,FALSE)</f>
        <v/>
      </c>
      <c r="ET102" s="27" t="str">
        <f>VLOOKUP($A102,'[1]Raw Data'!$A$3:$FB$285,137,FALSE)</f>
        <v/>
      </c>
      <c r="EU102" s="27" t="str">
        <f>VLOOKUP($A102,'[1]Raw Data'!$A$3:$FB$285,138,FALSE)</f>
        <v/>
      </c>
      <c r="EV102" s="27" t="str">
        <f>VLOOKUP($A102,'[1]Raw Data'!$A$3:$FB$285,139,FALSE)</f>
        <v/>
      </c>
      <c r="EW102" s="38">
        <f>VLOOKUP($A102,[1]Training!$A$2:$I$284,5,FALSE)</f>
        <v>707.30769230769226</v>
      </c>
      <c r="EX102" s="31">
        <f>VLOOKUP($A102,[1]Training!$A$2:$I$284,6,FALSE)</f>
        <v>307</v>
      </c>
      <c r="EY102" s="38">
        <f>VLOOKUP($A102,[1]Training!$A$2:$I$284,8,FALSE)</f>
        <v>832.54862192604401</v>
      </c>
      <c r="EZ102" s="31">
        <f>VLOOKUP($A102,[1]Training!$A$2:$I$284,9,FALSE)</f>
        <v>155</v>
      </c>
      <c r="FA102" s="27">
        <v>1</v>
      </c>
      <c r="FB102" s="27">
        <v>2</v>
      </c>
      <c r="FC102" s="27" t="str">
        <f>VLOOKUP($A102,'[1]Raw Data'!$A$3:$FB$285,148,FALSE)</f>
        <v>Reshma Shrestha</v>
      </c>
      <c r="FD102" s="27" t="s">
        <v>1083</v>
      </c>
      <c r="FE102" s="27" t="str">
        <f>VLOOKUP($A102,'[1]Raw Data'!$A$3:$FB$285,149,FALSE)</f>
        <v>District Coordinator</v>
      </c>
      <c r="FF102" s="27" t="s">
        <v>885</v>
      </c>
      <c r="FG102" s="27">
        <f>VLOOKUP($A102,'[1]Raw Data'!$A$3:$FB$285,150,FALSE)</f>
        <v>9841264190</v>
      </c>
      <c r="FH102" s="27" t="str">
        <f>VLOOKUP($A102,'[1]Raw Data'!$A$3:$FB$285,156,FALSE)</f>
        <v/>
      </c>
      <c r="FJ102" s="27" t="str">
        <f>VLOOKUP($A102,'[1]Raw Data'!$A$3:$FB$285,157,FALSE)</f>
        <v>District Technical Officer</v>
      </c>
      <c r="FK102" s="27" t="s">
        <v>886</v>
      </c>
      <c r="FL102" s="27" t="str">
        <f>VLOOKUP($A102,'[1]Raw Data'!$A$3:$FB$285,158,FALSE)</f>
        <v/>
      </c>
      <c r="FM102" s="27" t="str">
        <f>VLOOKUP($A102,'[1]Raw Data'!$A$3:$FB$285,152,FALSE)</f>
        <v>Ishor Neupane</v>
      </c>
      <c r="FN102" s="27" t="s">
        <v>1084</v>
      </c>
      <c r="FO102" s="27" t="str">
        <f>VLOOKUP($A102,'[1]Raw Data'!$A$3:$FB$285,153,FALSE)</f>
        <v>DIstrict Information Management Officer</v>
      </c>
      <c r="FP102" s="27" t="s">
        <v>887</v>
      </c>
      <c r="FQ102" s="27">
        <f>VLOOKUP($A102,'[1]Raw Data'!$A$3:$FB$285,154,FALSE)</f>
        <v>9801317265</v>
      </c>
    </row>
    <row r="103" spans="1:173" ht="24" x14ac:dyDescent="0.45">
      <c r="A103" s="27">
        <v>24009</v>
      </c>
      <c r="B103" s="36" t="str">
        <f ca="1">IFERROR(__xludf.DUMMYFUNCTION("""COMPUTED_VALUE"""),"Namobuddha Nagarpalika")</f>
        <v>Namobuddha Nagarpalika</v>
      </c>
      <c r="C103" s="37" t="str">
        <f>VLOOKUP(A103,'[1]Palika and District in Nepali '!$D$1:$F$283,3,FALSE)</f>
        <v>नमोबुद्ध नगरपालिका</v>
      </c>
      <c r="D103" s="36" t="str">
        <f ca="1">IFERROR(__xludf.DUMMYFUNCTION("""COMPUTED_VALUE"""),"Kavrepalanchok")</f>
        <v>Kavrepalanchok</v>
      </c>
      <c r="E103" s="36"/>
      <c r="F103" s="27">
        <f>VLOOKUP(A103,'[1]Raw Data'!$A$3:$FB$285,4,FALSE)</f>
        <v>1209</v>
      </c>
      <c r="G103" s="27">
        <f>VLOOKUP(A103,'[1]Raw Data'!$A$3:$FB$285,5,FALSE)</f>
        <v>7064</v>
      </c>
      <c r="H103" s="27">
        <f>VLOOKUP(A103,'[1]Raw Data'!$A$3:$FB$285,6,FALSE)</f>
        <v>8273</v>
      </c>
      <c r="I103" s="27">
        <f>VLOOKUP($A103,'[1]Raw Data'!$A$3:$FB$285,8,FALSE)</f>
        <v>0.11</v>
      </c>
      <c r="J103" s="27">
        <f>VLOOKUP($A103,'[1]Raw Data'!$A$3:$FB$285,9,FALSE)</f>
        <v>0.28999999999999998</v>
      </c>
      <c r="K103" s="27">
        <f>VLOOKUP($A103,'[1]Raw Data'!$A$3:$FB$285,11,FALSE)</f>
        <v>73.739999999999995</v>
      </c>
      <c r="L103" s="27">
        <f>VLOOKUP($A103,'[1]Raw Data'!$A$3:$FB$285,12,FALSE)</f>
        <v>69.19</v>
      </c>
      <c r="M103" s="27">
        <f>VLOOKUP($A103,'[1]Raw Data'!$A$3:$FB$285,14,FALSE)</f>
        <v>1.78</v>
      </c>
      <c r="N103" s="27">
        <f>VLOOKUP($A103,'[1]Raw Data'!$A$3:$FB$285,15,FALSE)</f>
        <v>5.98</v>
      </c>
      <c r="O103" s="27">
        <f>VLOOKUP($A103,'[1]Raw Data'!$A$3:$FB$285,17,FALSE)</f>
        <v>1.61</v>
      </c>
      <c r="P103" s="27">
        <f>VLOOKUP($A103,'[1]Raw Data'!$A$3:$FB$285,18,FALSE)</f>
        <v>4.0199999999999996</v>
      </c>
      <c r="Q103" s="27">
        <f>VLOOKUP($A103,'[1]Raw Data'!$A$3:$FB$285,20,FALSE)</f>
        <v>1.77</v>
      </c>
      <c r="R103" s="27">
        <f>VLOOKUP($A103,'[1]Raw Data'!$A$3:$FB$285,21,FALSE)</f>
        <v>4.6500000000000004</v>
      </c>
      <c r="S103" s="27">
        <f>VLOOKUP($A103,'[1]Raw Data'!$A$3:$FB$285,23,FALSE)</f>
        <v>0</v>
      </c>
      <c r="T103" s="27">
        <f>VLOOKUP($A103,'[1]Raw Data'!$A$3:$FB$285,24,FALSE)</f>
        <v>0</v>
      </c>
      <c r="U103" s="27">
        <f>VLOOKUP($A103,'[1]Raw Data'!$A$3:$FB$285,26,FALSE)</f>
        <v>0.2</v>
      </c>
      <c r="V103" s="27">
        <f>VLOOKUP($A103,'[1]Raw Data'!$A$3:$FB$285,27,FALSE)</f>
        <v>0.38</v>
      </c>
      <c r="W103" s="27">
        <f>VLOOKUP($A103,'[1]Raw Data'!$A$3:$FB$285,29,FALSE)</f>
        <v>0</v>
      </c>
      <c r="X103" s="27">
        <f>VLOOKUP($A103,'[1]Raw Data'!$A$3:$FB$285,30,FALSE)</f>
        <v>0</v>
      </c>
      <c r="Y103" s="27">
        <f>VLOOKUP($A103,'[1]Raw Data'!$A$3:$FB$285,32,FALSE)</f>
        <v>0.02</v>
      </c>
      <c r="Z103" s="27">
        <f>VLOOKUP($A103,'[1]Raw Data'!$A$3:$FB$285,33,FALSE)</f>
        <v>0.06</v>
      </c>
      <c r="AA103" s="27">
        <f>VLOOKUP($A103,'[1]Raw Data'!$A$3:$FB$285,35,FALSE)</f>
        <v>20.63</v>
      </c>
      <c r="AB103" s="27">
        <f>VLOOKUP($A103,'[1]Raw Data'!$A$3:$FB$285,36,FALSE)</f>
        <v>15.32</v>
      </c>
      <c r="AC103" s="27">
        <f>VLOOKUP($A103,'[1]Raw Data'!$A$3:$FB$285,38,FALSE)</f>
        <v>0.15</v>
      </c>
      <c r="AD103" s="27">
        <f>VLOOKUP($A103,'[1]Raw Data'!$A$3:$FB$285,39,FALSE)</f>
        <v>0.11</v>
      </c>
      <c r="AE103" s="27">
        <f>VLOOKUP($A103,'[1]Raw Data'!$A$3:$FB$285,41,FALSE)</f>
        <v>0</v>
      </c>
      <c r="AF103" s="27">
        <f>VLOOKUP($A103,'[1]Raw Data'!$A$3:$FB$285,42,FALSE)</f>
        <v>0</v>
      </c>
      <c r="AG103" s="27">
        <f>VLOOKUP($A103,'[1]Raw Data'!$A$3:$FB$285,44,FALSE)</f>
        <v>0</v>
      </c>
      <c r="AH103" s="27">
        <f>VLOOKUP($A103,'[1]Raw Data'!$A$3:$FB$285,45,FALSE)</f>
        <v>0</v>
      </c>
      <c r="AI103" s="27">
        <f>VLOOKUP($A103,'[1]Raw Data'!$A$3:$FB$285,46,FALSE)</f>
        <v>7593</v>
      </c>
      <c r="AJ103" s="27">
        <f>VLOOKUP($A103,'[1]Raw Data'!$A$3:$FB$285,47,FALSE)</f>
        <v>6147</v>
      </c>
      <c r="AK103" s="27">
        <f>VLOOKUP($A103,'[1]Raw Data'!$A$3:$FB$285,48,FALSE)</f>
        <v>6109</v>
      </c>
      <c r="AL103" s="27">
        <f>VLOOKUP($A103,'[1]Raw Data'!$A$3:$FB$285,49,FALSE)</f>
        <v>3004</v>
      </c>
      <c r="AM103" s="27">
        <f>VLOOKUP($A103,'[1]Raw Data'!$A$3:$FB$285,50,FALSE)</f>
        <v>1585</v>
      </c>
      <c r="AN103" s="27">
        <f>VLOOKUP($A103,'[1]Raw Data'!$A$3:$FB$285,51,FALSE)</f>
        <v>2981</v>
      </c>
      <c r="AO103" s="27">
        <f>VLOOKUP($A103,'[1]Raw Data'!$A$3:$FB$285,52,FALSE)</f>
        <v>1520</v>
      </c>
      <c r="AP103" s="27">
        <f>VLOOKUP($A103,'[1]Raw Data'!$A$3:$FB$285,53,FALSE)</f>
        <v>672</v>
      </c>
      <c r="AQ103" s="27">
        <f>VLOOKUP($A103,'[1]Raw Data'!$A$3:$FB$285,54,FALSE)</f>
        <v>672</v>
      </c>
      <c r="AR103" s="27">
        <f>VLOOKUP($A103,'[1]Raw Data'!$A$3:$FB$285,55,FALSE)</f>
        <v>20</v>
      </c>
      <c r="AS103" s="27">
        <f>VLOOKUP($A103,'[1]Raw Data'!$A$3:$FB$285,56,FALSE)</f>
        <v>0</v>
      </c>
      <c r="AT103" s="27">
        <f>VLOOKUP($A103,'[1]Raw Data'!$A$3:$FB$285,57,FALSE)</f>
        <v>2814</v>
      </c>
      <c r="AU103" s="27">
        <f>VLOOKUP($A103,'[1]Raw Data'!$A$3:$FB$285,58,FALSE)</f>
        <v>2296</v>
      </c>
      <c r="AV103" s="27">
        <f>VLOOKUP($A103,'[1]Raw Data'!$A$3:$FB$285,59,FALSE)</f>
        <v>16</v>
      </c>
      <c r="AW103" s="27">
        <f>VLOOKUP($A103,'[1]Raw Data'!$A$3:$FB$285,60,FALSE)</f>
        <v>16</v>
      </c>
      <c r="AX103" s="27" t="str">
        <f>VLOOKUP(A103,'[1]PO''s List'!A101:E383,4,FALSE)</f>
        <v/>
      </c>
      <c r="AZ103" s="27" t="str">
        <f>VLOOKUP(A103,'[1]PO''s List'!$A$3:$E$285,5,FALSE)</f>
        <v>CDRA(Shelter),CNF(Education),GON(Shelter),GON - DUDBC(Shelter),NCRS(Other),Shelter,Health),NYF(Shelter),SABAL(Shelter),SP-N(DRR,Shelter,Health)</v>
      </c>
      <c r="BB103" s="27">
        <f>VLOOKUP($A103,'[1]Raw Data'!$A$3:$FB$285,63,FALSE)</f>
        <v>52040</v>
      </c>
      <c r="BC103" s="27" t="str">
        <f>VLOOKUP($A103,'[1]Raw Data'!$A$3:$FB$285,64,FALSE)</f>
        <v>Y</v>
      </c>
      <c r="BD103" s="27" t="str">
        <f t="shared" si="9"/>
        <v>छ</v>
      </c>
      <c r="BE103" s="27">
        <f>VLOOKUP($A103,'[1]Raw Data'!$A$3:$FB$285,65,FALSE)</f>
        <v>10271</v>
      </c>
      <c r="BF103" s="27">
        <f>VLOOKUP($A103,'[1]Raw Data'!$A$3:$FB$285,66,FALSE)</f>
        <v>52825</v>
      </c>
      <c r="BG103" s="27" t="str">
        <f>VLOOKUP($A103,'[1]Raw Data'!$A$3:$FB$285,67,FALSE)</f>
        <v/>
      </c>
      <c r="BH103" s="27" t="str">
        <f t="shared" si="10"/>
        <v/>
      </c>
      <c r="BI103" s="27">
        <f>VLOOKUP($A103,'[1]Raw Data'!$A$3:$FB$285,68,FALSE)</f>
        <v>14500</v>
      </c>
      <c r="BJ103" s="27">
        <f>VLOOKUP($A103,'[1]Raw Data'!$A$3:$FB$285,69,FALSE)</f>
        <v>5552</v>
      </c>
      <c r="BK103" s="27" t="str">
        <f>VLOOKUP($A103,'[1]Raw Data'!$A$3:$FB$285,70,FALSE)</f>
        <v>Y</v>
      </c>
      <c r="BL103" s="27" t="str">
        <f t="shared" si="11"/>
        <v>छ</v>
      </c>
      <c r="BM103" s="27">
        <f>VLOOKUP($A103,'[1]Raw Data'!$A$3:$FB$285,71,FALSE)</f>
        <v>14300</v>
      </c>
      <c r="BN103" s="27">
        <f>VLOOKUP($A103,'[1]Raw Data'!$A$3:$FB$285,72,FALSE)</f>
        <v>6391</v>
      </c>
      <c r="BO103" s="27" t="str">
        <f>VLOOKUP($A103,'[1]Raw Data'!$A$3:$FB$285,73,FALSE)</f>
        <v/>
      </c>
      <c r="BP103" s="27" t="str">
        <f t="shared" si="12"/>
        <v/>
      </c>
      <c r="BQ103" s="27" t="str">
        <f>VLOOKUP($A103,'[1]Raw Data'!$A$3:$FB$285,74,FALSE)</f>
        <v/>
      </c>
      <c r="BR103" s="27" t="str">
        <f>VLOOKUP($A103,'[1]Raw Data'!$A$3:$FB$285,75,FALSE)</f>
        <v/>
      </c>
      <c r="BS103" s="27" t="str">
        <f>VLOOKUP($A103,'[1]Raw Data'!$A$3:$FB$285,76,FALSE)</f>
        <v>Y</v>
      </c>
      <c r="BT103" s="27" t="str">
        <f t="shared" si="13"/>
        <v>छ</v>
      </c>
      <c r="BU103" s="27">
        <f>VLOOKUP($A103,'[1]Raw Data'!$A$3:$FB$285,77,FALSE)</f>
        <v>725</v>
      </c>
      <c r="BV103" s="27">
        <f>VLOOKUP($A103,'[1]Raw Data'!$A$3:$FB$285,78,FALSE)</f>
        <v>175667</v>
      </c>
      <c r="BW103" s="27" t="str">
        <f>VLOOKUP($A103,'[1]Raw Data'!$A$3:$FB$285,79,FALSE)</f>
        <v>Y</v>
      </c>
      <c r="BX103" s="27" t="str">
        <f t="shared" si="14"/>
        <v>छ</v>
      </c>
      <c r="BY103" s="27">
        <f>VLOOKUP($A103,'[1]Raw Data'!$A$3:$FB$285,80,FALSE)</f>
        <v>930</v>
      </c>
      <c r="BZ103" s="27">
        <f>VLOOKUP($A103,'[1]Raw Data'!$A$3:$FB$285,81,FALSE)</f>
        <v>565687</v>
      </c>
      <c r="CA103" s="27" t="str">
        <f>VLOOKUP($A103,'[1]Raw Data'!$A$3:$FB$285,82,FALSE)</f>
        <v>Y</v>
      </c>
      <c r="CB103" s="27" t="str">
        <f t="shared" si="15"/>
        <v>छ</v>
      </c>
      <c r="CC103" s="27">
        <f>VLOOKUP($A103,'[1]Raw Data'!$A$3:$FB$285,83,FALSE)</f>
        <v>124</v>
      </c>
      <c r="CD103" s="27">
        <f>VLOOKUP($A103,'[1]Raw Data'!$A$3:$FB$285,84,FALSE)</f>
        <v>7182</v>
      </c>
      <c r="CE103" s="27" t="str">
        <f>VLOOKUP($A103,'[1]Raw Data'!$A$3:$FB$285,85,FALSE)</f>
        <v/>
      </c>
      <c r="CF103" s="27" t="str">
        <f t="shared" si="16"/>
        <v/>
      </c>
      <c r="CG103" s="27" t="str">
        <f>VLOOKUP($A103,'[1]Raw Data'!$A$3:$FB$285,86,FALSE)</f>
        <v/>
      </c>
      <c r="CH103" s="27">
        <f>VLOOKUP($A103,'[1]Raw Data'!$A$3:$FB$285,87,FALSE)</f>
        <v>638433</v>
      </c>
      <c r="CI103" s="27" t="str">
        <f>VLOOKUP($A103,'[1]Raw Data'!$A$3:$FB$285,88,FALSE)</f>
        <v>N</v>
      </c>
      <c r="CJ103" s="27" t="str">
        <f t="shared" si="17"/>
        <v>छैन</v>
      </c>
      <c r="CK103" s="27">
        <f>VLOOKUP($A103,'[1]Raw Data'!$A$3:$FB$285,89,FALSE)</f>
        <v>16</v>
      </c>
      <c r="CL103" s="27">
        <f>VLOOKUP($A103,'[1]Raw Data'!$A$3:$FB$285,91,FALSE)</f>
        <v>1500</v>
      </c>
      <c r="CM103" s="27">
        <f>VLOOKUP($A103,'[1]Raw Data'!$A$3:$FB$285,93,FALSE)</f>
        <v>950</v>
      </c>
      <c r="CN103" s="27" t="str">
        <f>VLOOKUP($A103,'[1]Raw Data'!$A$3:$FB$285,94,FALSE)</f>
        <v/>
      </c>
      <c r="CO103" s="27" t="str">
        <f>VLOOKUP($A103,'[1]Raw Data'!$A$3:$FB$285,95,FALSE)</f>
        <v/>
      </c>
      <c r="CP103" s="27" t="str">
        <f>VLOOKUP($A103,'[1]Raw Data'!$A$3:$FB$285,96,FALSE)</f>
        <v/>
      </c>
      <c r="CQ103" s="27" t="str">
        <f>VLOOKUP($A103,'[1]Raw Data'!$A$3:$FB$285,97,FALSE)</f>
        <v/>
      </c>
      <c r="CR103" s="27" t="str">
        <f>VLOOKUP($A103,'[1]Raw Data'!$A$3:$FB$285,98,FALSE)</f>
        <v/>
      </c>
      <c r="CS103" s="27" t="str">
        <f>VLOOKUP($A103,'[1]Raw Data'!$A$3:$FB$285,99,FALSE)</f>
        <v/>
      </c>
      <c r="CT103" s="27" t="str">
        <f>VLOOKUP($A103,'[1]Raw Data'!$A$3:$FB$285,101,FALSE)</f>
        <v>TP Sharma</v>
      </c>
      <c r="CU103" s="27" t="s">
        <v>1108</v>
      </c>
      <c r="CV103" s="27" t="str">
        <f>VLOOKUP($A103,'[1]Raw Data'!$A$3:$FB$285,102,FALSE)</f>
        <v>Mayor</v>
      </c>
      <c r="CW103" s="27" t="s">
        <v>834</v>
      </c>
      <c r="CX103" s="27">
        <f>VLOOKUP($A103,'[1]Raw Data'!$A$3:$FB$285,103,FALSE)</f>
        <v>9851149160</v>
      </c>
      <c r="CY103" s="27" t="str">
        <f>VLOOKUP($A103,'[1]Raw Data'!$A$3:$FB$285,105,FALSE)</f>
        <v>Ram Devi Tamang</v>
      </c>
      <c r="CZ103" s="27" t="s">
        <v>1109</v>
      </c>
      <c r="DA103" s="27" t="str">
        <f>VLOOKUP($A103,'[1]Raw Data'!$A$3:$FB$285,106,FALSE)</f>
        <v>Deputy Mayor</v>
      </c>
      <c r="DB103" s="27" t="s">
        <v>888</v>
      </c>
      <c r="DC103" s="27">
        <f>VLOOKUP($A103,'[1]Raw Data'!$A$3:$FB$285,107,FALSE)</f>
        <v>9851154222</v>
      </c>
      <c r="DD103" s="27" t="str">
        <f>VLOOKUP($A103,'[1]Raw Data'!$A$3:$FB$285,109,FALSE)</f>
        <v>Kumar Koirala</v>
      </c>
      <c r="DE103" s="39" t="s">
        <v>1110</v>
      </c>
      <c r="DF103" s="27" t="str">
        <f>VLOOKUP($A103,'[1]Raw Data'!$A$3:$FB$285,110,FALSE)</f>
        <v>Adminstration Officer</v>
      </c>
      <c r="DG103" s="27" t="s">
        <v>880</v>
      </c>
      <c r="DH103" s="27">
        <f>VLOOKUP($A103,'[1]Raw Data'!$A$3:$FB$285,111,FALSE)</f>
        <v>98511250032</v>
      </c>
      <c r="DI103" s="27" t="str">
        <f>VLOOKUP($A103,'[1]Raw Data'!$A$3:$FB$285,121,FALSE)</f>
        <v>Kamal Kuikel</v>
      </c>
      <c r="DJ103" s="27" t="s">
        <v>1111</v>
      </c>
      <c r="DK103" s="27" t="str">
        <f>VLOOKUP($A103,'[1]Raw Data'!$A$3:$FB$285,122,FALSE)</f>
        <v>Focal Person</v>
      </c>
      <c r="DL103" s="27" t="s">
        <v>881</v>
      </c>
      <c r="DM103" s="27">
        <f>VLOOKUP($A103,'[1]Raw Data'!$A$3:$FB$285,123,FALSE)</f>
        <v>9849444221</v>
      </c>
      <c r="DN103" s="27" t="str">
        <f>VLOOKUP($A103,'[1]Raw Data'!$A$3:$FB$285,113,FALSE)</f>
        <v>Lok Nath Regmi</v>
      </c>
      <c r="DO103" s="27" t="s">
        <v>1081</v>
      </c>
      <c r="DP103" s="27" t="str">
        <f>VLOOKUP($A103,'[1]Raw Data'!$A$3:$FB$285,114,FALSE)</f>
        <v>NRA Chief-District</v>
      </c>
      <c r="DQ103" s="27" t="s">
        <v>882</v>
      </c>
      <c r="DR103" s="27">
        <f>VLOOKUP($A103,'[1]Raw Data'!$A$3:$FB$285,115,FALSE)</f>
        <v>9851146403</v>
      </c>
      <c r="DS103" s="27" t="str">
        <f>VLOOKUP($A103,'[1]Raw Data'!$A$3:$FB$285,117,FALSE)</f>
        <v>Mahalaxmi Joshi</v>
      </c>
      <c r="DT103" s="27" t="s">
        <v>1082</v>
      </c>
      <c r="DU103" s="27" t="str">
        <f>VLOOKUP($A103,'[1]Raw Data'!$A$3:$FB$285,118,FALSE)</f>
        <v>DUDBC.DLPIU Chief</v>
      </c>
      <c r="DV103" s="27" t="s">
        <v>883</v>
      </c>
      <c r="DW103" s="27">
        <f>VLOOKUP($A103,'[1]Raw Data'!$A$3:$FB$285,119,FALSE)</f>
        <v>9841010222</v>
      </c>
      <c r="DX103" s="27" t="s">
        <v>339</v>
      </c>
      <c r="DY103" s="27" t="str">
        <f>VLOOKUP($A103,'[1]Raw Data'!$A$3:$FB$285,124,FALSE)</f>
        <v>4</v>
      </c>
      <c r="DZ103" s="27" t="s">
        <v>884</v>
      </c>
      <c r="EA103" s="27" t="str">
        <f>VLOOKUP($A103,'[1]Raw Data'!$A$3:$FB$285,125,FALSE)</f>
        <v>1</v>
      </c>
      <c r="EB103" s="27" t="s">
        <v>341</v>
      </c>
      <c r="EC103" s="27" t="str">
        <f>VLOOKUP($A103,'[1]Raw Data'!$A$3:$FB$285,126,FALSE)</f>
        <v>2</v>
      </c>
      <c r="ED103" t="s">
        <v>478</v>
      </c>
      <c r="EE103" s="27" t="str">
        <f>VLOOKUP($A103,'[1]Raw Data'!$A$3:$FB$285,127,FALSE)</f>
        <v/>
      </c>
      <c r="EF103" s="27" t="s">
        <v>343</v>
      </c>
      <c r="EG103" s="27" t="str">
        <f>VLOOKUP($A103,'[1]Raw Data'!$A$3:$FB$285,128,FALSE)</f>
        <v/>
      </c>
      <c r="EH103" t="s">
        <v>344</v>
      </c>
      <c r="EI103" s="27" t="str">
        <f>VLOOKUP($A103,'[1]Raw Data'!$A$3:$FB$285,129,FALSE)</f>
        <v>158</v>
      </c>
      <c r="EM103" s="27">
        <f>VLOOKUP($A103,'[1]Raw Data'!$A$3:$FB$285,130,FALSE)</f>
        <v>10</v>
      </c>
      <c r="EN103" s="27" t="str">
        <f>VLOOKUP($A103,'[1]Raw Data'!$A$3:$FB$285,131,FALSE)</f>
        <v>11</v>
      </c>
      <c r="EO103" s="27">
        <f>VLOOKUP($A103,'[1]Raw Data'!$A$3:$FB$285,132,FALSE)</f>
        <v>4</v>
      </c>
      <c r="EP103" s="27" t="str">
        <f>VLOOKUP($A103,'[1]Raw Data'!$A$3:$FB$285,133,FALSE)</f>
        <v>11</v>
      </c>
      <c r="EQ103" s="27">
        <f>VLOOKUP($A103,'[1]Raw Data'!$A$3:$FB$285,134,FALSE)</f>
        <v>1</v>
      </c>
      <c r="ER103" s="27" t="str">
        <f>VLOOKUP($A103,'[1]Raw Data'!$A$3:$FB$285,135,FALSE)</f>
        <v>11</v>
      </c>
      <c r="ES103" s="27" t="str">
        <f>VLOOKUP($A103,'[1]Raw Data'!$A$3:$FB$285,136,FALSE)</f>
        <v/>
      </c>
      <c r="ET103" s="27" t="str">
        <f>VLOOKUP($A103,'[1]Raw Data'!$A$3:$FB$285,137,FALSE)</f>
        <v/>
      </c>
      <c r="EU103" s="27" t="str">
        <f>VLOOKUP($A103,'[1]Raw Data'!$A$3:$FB$285,138,FALSE)</f>
        <v/>
      </c>
      <c r="EV103" s="27" t="str">
        <f>VLOOKUP($A103,'[1]Raw Data'!$A$3:$FB$285,139,FALSE)</f>
        <v/>
      </c>
      <c r="EW103" s="38">
        <f>VLOOKUP($A103,[1]Training!$A$2:$I$284,5,FALSE)</f>
        <v>584.07692307692309</v>
      </c>
      <c r="EX103" s="31">
        <f>VLOOKUP($A103,[1]Training!$A$2:$I$284,6,FALSE)</f>
        <v>674</v>
      </c>
      <c r="EY103" s="38">
        <f>VLOOKUP($A103,[1]Training!$A$2:$I$284,8,FALSE)</f>
        <v>687.49773640940202</v>
      </c>
      <c r="EZ103" s="31">
        <f>VLOOKUP($A103,[1]Training!$A$2:$I$284,9,FALSE)</f>
        <v>299</v>
      </c>
      <c r="FA103" s="27">
        <v>1</v>
      </c>
      <c r="FB103" s="27">
        <v>2</v>
      </c>
      <c r="FC103" s="27" t="str">
        <f>VLOOKUP($A103,'[1]Raw Data'!$A$3:$FB$285,148,FALSE)</f>
        <v>Reshma Shrestha</v>
      </c>
      <c r="FD103" s="27" t="s">
        <v>1083</v>
      </c>
      <c r="FE103" s="27" t="str">
        <f>VLOOKUP($A103,'[1]Raw Data'!$A$3:$FB$285,149,FALSE)</f>
        <v>District Coordinator</v>
      </c>
      <c r="FF103" s="27" t="s">
        <v>885</v>
      </c>
      <c r="FG103" s="27">
        <f>VLOOKUP($A103,'[1]Raw Data'!$A$3:$FB$285,150,FALSE)</f>
        <v>9841264190</v>
      </c>
      <c r="FH103" s="27" t="str">
        <f>VLOOKUP($A103,'[1]Raw Data'!$A$3:$FB$285,156,FALSE)</f>
        <v/>
      </c>
      <c r="FJ103" s="27" t="str">
        <f>VLOOKUP($A103,'[1]Raw Data'!$A$3:$FB$285,157,FALSE)</f>
        <v>District Technical Officer</v>
      </c>
      <c r="FK103" s="27" t="s">
        <v>886</v>
      </c>
      <c r="FL103" s="27" t="str">
        <f>VLOOKUP($A103,'[1]Raw Data'!$A$3:$FB$285,158,FALSE)</f>
        <v/>
      </c>
      <c r="FM103" s="27" t="str">
        <f>VLOOKUP($A103,'[1]Raw Data'!$A$3:$FB$285,152,FALSE)</f>
        <v>Ishor Neupane</v>
      </c>
      <c r="FN103" s="27" t="s">
        <v>1084</v>
      </c>
      <c r="FO103" s="27" t="str">
        <f>VLOOKUP($A103,'[1]Raw Data'!$A$3:$FB$285,153,FALSE)</f>
        <v>DIstrict Information Management Officer</v>
      </c>
      <c r="FP103" s="27" t="s">
        <v>887</v>
      </c>
      <c r="FQ103" s="27">
        <f>VLOOKUP($A103,'[1]Raw Data'!$A$3:$FB$285,154,FALSE)</f>
        <v>9801317265</v>
      </c>
    </row>
    <row r="104" spans="1:173" ht="24" x14ac:dyDescent="0.45">
      <c r="A104" s="27">
        <v>24010</v>
      </c>
      <c r="B104" s="36" t="str">
        <f ca="1">IFERROR(__xludf.DUMMYFUNCTION("""COMPUTED_VALUE"""),"Panautibihabar Nagarpalika")</f>
        <v>Panautibihabar Nagarpalika</v>
      </c>
      <c r="C104" s="37" t="str">
        <f>VLOOKUP(A104,'[1]Palika and District in Nepali '!$D$1:$F$283,3,FALSE)</f>
        <v>पनौतीबिहार नगरपालिका</v>
      </c>
      <c r="D104" s="36" t="str">
        <f ca="1">IFERROR(__xludf.DUMMYFUNCTION("""COMPUTED_VALUE"""),"Kavrepalanchok")</f>
        <v>Kavrepalanchok</v>
      </c>
      <c r="E104" s="36"/>
      <c r="F104" s="27">
        <f>VLOOKUP(A104,'[1]Raw Data'!$A$3:$FB$285,4,FALSE)</f>
        <v>3435</v>
      </c>
      <c r="G104" s="27">
        <f>VLOOKUP(A104,'[1]Raw Data'!$A$3:$FB$285,5,FALSE)</f>
        <v>8850</v>
      </c>
      <c r="H104" s="27">
        <f>VLOOKUP(A104,'[1]Raw Data'!$A$3:$FB$285,6,FALSE)</f>
        <v>12285</v>
      </c>
      <c r="I104" s="27">
        <f>VLOOKUP($A104,'[1]Raw Data'!$A$3:$FB$285,8,FALSE)</f>
        <v>0.46</v>
      </c>
      <c r="J104" s="27">
        <f>VLOOKUP($A104,'[1]Raw Data'!$A$3:$FB$285,9,FALSE)</f>
        <v>0.28999999999999998</v>
      </c>
      <c r="K104" s="27">
        <f>VLOOKUP($A104,'[1]Raw Data'!$A$3:$FB$285,11,FALSE)</f>
        <v>42.19</v>
      </c>
      <c r="L104" s="27">
        <f>VLOOKUP($A104,'[1]Raw Data'!$A$3:$FB$285,12,FALSE)</f>
        <v>69.19</v>
      </c>
      <c r="M104" s="27">
        <f>VLOOKUP($A104,'[1]Raw Data'!$A$3:$FB$285,14,FALSE)</f>
        <v>12.17</v>
      </c>
      <c r="N104" s="27">
        <f>VLOOKUP($A104,'[1]Raw Data'!$A$3:$FB$285,15,FALSE)</f>
        <v>5.98</v>
      </c>
      <c r="O104" s="27">
        <f>VLOOKUP($A104,'[1]Raw Data'!$A$3:$FB$285,17,FALSE)</f>
        <v>10.1</v>
      </c>
      <c r="P104" s="27">
        <f>VLOOKUP($A104,'[1]Raw Data'!$A$3:$FB$285,18,FALSE)</f>
        <v>4.0199999999999996</v>
      </c>
      <c r="Q104" s="27">
        <f>VLOOKUP($A104,'[1]Raw Data'!$A$3:$FB$285,20,FALSE)</f>
        <v>6.76</v>
      </c>
      <c r="R104" s="27">
        <f>VLOOKUP($A104,'[1]Raw Data'!$A$3:$FB$285,21,FALSE)</f>
        <v>4.6500000000000004</v>
      </c>
      <c r="S104" s="27">
        <f>VLOOKUP($A104,'[1]Raw Data'!$A$3:$FB$285,23,FALSE)</f>
        <v>0</v>
      </c>
      <c r="T104" s="27">
        <f>VLOOKUP($A104,'[1]Raw Data'!$A$3:$FB$285,24,FALSE)</f>
        <v>0</v>
      </c>
      <c r="U104" s="27">
        <f>VLOOKUP($A104,'[1]Raw Data'!$A$3:$FB$285,26,FALSE)</f>
        <v>0.11</v>
      </c>
      <c r="V104" s="27">
        <f>VLOOKUP($A104,'[1]Raw Data'!$A$3:$FB$285,27,FALSE)</f>
        <v>0.38</v>
      </c>
      <c r="W104" s="27">
        <f>VLOOKUP($A104,'[1]Raw Data'!$A$3:$FB$285,29,FALSE)</f>
        <v>0</v>
      </c>
      <c r="X104" s="27">
        <f>VLOOKUP($A104,'[1]Raw Data'!$A$3:$FB$285,30,FALSE)</f>
        <v>0</v>
      </c>
      <c r="Y104" s="27">
        <f>VLOOKUP($A104,'[1]Raw Data'!$A$3:$FB$285,32,FALSE)</f>
        <v>0.04</v>
      </c>
      <c r="Z104" s="27">
        <f>VLOOKUP($A104,'[1]Raw Data'!$A$3:$FB$285,33,FALSE)</f>
        <v>0.06</v>
      </c>
      <c r="AA104" s="27">
        <f>VLOOKUP($A104,'[1]Raw Data'!$A$3:$FB$285,35,FALSE)</f>
        <v>28.06</v>
      </c>
      <c r="AB104" s="27">
        <f>VLOOKUP($A104,'[1]Raw Data'!$A$3:$FB$285,36,FALSE)</f>
        <v>15.32</v>
      </c>
      <c r="AC104" s="27">
        <f>VLOOKUP($A104,'[1]Raw Data'!$A$3:$FB$285,38,FALSE)</f>
        <v>0.09</v>
      </c>
      <c r="AD104" s="27">
        <f>VLOOKUP($A104,'[1]Raw Data'!$A$3:$FB$285,39,FALSE)</f>
        <v>0.11</v>
      </c>
      <c r="AE104" s="27">
        <f>VLOOKUP($A104,'[1]Raw Data'!$A$3:$FB$285,41,FALSE)</f>
        <v>0</v>
      </c>
      <c r="AF104" s="27">
        <f>VLOOKUP($A104,'[1]Raw Data'!$A$3:$FB$285,42,FALSE)</f>
        <v>0</v>
      </c>
      <c r="AG104" s="27">
        <f>VLOOKUP($A104,'[1]Raw Data'!$A$3:$FB$285,44,FALSE)</f>
        <v>0</v>
      </c>
      <c r="AH104" s="27">
        <f>VLOOKUP($A104,'[1]Raw Data'!$A$3:$FB$285,45,FALSE)</f>
        <v>0</v>
      </c>
      <c r="AI104" s="27">
        <f>VLOOKUP($A104,'[1]Raw Data'!$A$3:$FB$285,46,FALSE)</f>
        <v>9178</v>
      </c>
      <c r="AJ104" s="27">
        <f>VLOOKUP($A104,'[1]Raw Data'!$A$3:$FB$285,47,FALSE)</f>
        <v>8813</v>
      </c>
      <c r="AK104" s="27">
        <f>VLOOKUP($A104,'[1]Raw Data'!$A$3:$FB$285,48,FALSE)</f>
        <v>8766</v>
      </c>
      <c r="AL104" s="27">
        <f>VLOOKUP($A104,'[1]Raw Data'!$A$3:$FB$285,49,FALSE)</f>
        <v>5779</v>
      </c>
      <c r="AM104" s="27">
        <f>VLOOKUP($A104,'[1]Raw Data'!$A$3:$FB$285,50,FALSE)</f>
        <v>3458</v>
      </c>
      <c r="AN104" s="27">
        <f>VLOOKUP($A104,'[1]Raw Data'!$A$3:$FB$285,51,FALSE)</f>
        <v>0</v>
      </c>
      <c r="AO104" s="27" t="str">
        <f>VLOOKUP($A104,'[1]Raw Data'!$A$3:$FB$285,52,FALSE)</f>
        <v/>
      </c>
      <c r="AP104" s="27">
        <f>VLOOKUP($A104,'[1]Raw Data'!$A$3:$FB$285,53,FALSE)</f>
        <v>832</v>
      </c>
      <c r="AQ104" s="27" t="str">
        <f>VLOOKUP($A104,'[1]Raw Data'!$A$3:$FB$285,54,FALSE)</f>
        <v/>
      </c>
      <c r="AR104" s="27">
        <f>VLOOKUP($A104,'[1]Raw Data'!$A$3:$FB$285,55,FALSE)</f>
        <v>88</v>
      </c>
      <c r="AS104" s="27">
        <f>VLOOKUP($A104,'[1]Raw Data'!$A$3:$FB$285,56,FALSE)</f>
        <v>12</v>
      </c>
      <c r="AT104" s="27">
        <f>VLOOKUP($A104,'[1]Raw Data'!$A$3:$FB$285,57,FALSE)</f>
        <v>2874</v>
      </c>
      <c r="AU104" s="27">
        <f>VLOOKUP($A104,'[1]Raw Data'!$A$3:$FB$285,58,FALSE)</f>
        <v>2932</v>
      </c>
      <c r="AV104" s="27">
        <f>VLOOKUP($A104,'[1]Raw Data'!$A$3:$FB$285,59,FALSE)</f>
        <v>7</v>
      </c>
      <c r="AW104" s="27">
        <f>VLOOKUP($A104,'[1]Raw Data'!$A$3:$FB$285,60,FALSE)</f>
        <v>7</v>
      </c>
      <c r="AX104" s="27" t="str">
        <f>VLOOKUP(A104,'[1]PO''s List'!A102:E384,4,FALSE)</f>
        <v/>
      </c>
      <c r="AZ104" s="27" t="str">
        <f>VLOOKUP(A104,'[1]PO''s List'!$A$3:$E$285,5,FALSE)</f>
        <v>AATWIN(Social Protection)</v>
      </c>
      <c r="BB104" s="27">
        <f>VLOOKUP($A104,'[1]Raw Data'!$A$3:$FB$285,63,FALSE)</f>
        <v>100424</v>
      </c>
      <c r="BC104" s="27" t="str">
        <f>VLOOKUP($A104,'[1]Raw Data'!$A$3:$FB$285,64,FALSE)</f>
        <v/>
      </c>
      <c r="BD104" s="27" t="str">
        <f t="shared" si="9"/>
        <v/>
      </c>
      <c r="BE104" s="27" t="str">
        <f>VLOOKUP($A104,'[1]Raw Data'!$A$3:$FB$285,65,FALSE)</f>
        <v/>
      </c>
      <c r="BF104" s="27">
        <f>VLOOKUP($A104,'[1]Raw Data'!$A$3:$FB$285,66,FALSE)</f>
        <v>92943</v>
      </c>
      <c r="BG104" s="27" t="str">
        <f>VLOOKUP($A104,'[1]Raw Data'!$A$3:$FB$285,67,FALSE)</f>
        <v/>
      </c>
      <c r="BH104" s="27" t="str">
        <f t="shared" si="10"/>
        <v/>
      </c>
      <c r="BI104" s="27" t="str">
        <f>VLOOKUP($A104,'[1]Raw Data'!$A$3:$FB$285,68,FALSE)</f>
        <v/>
      </c>
      <c r="BJ104" s="27">
        <f>VLOOKUP($A104,'[1]Raw Data'!$A$3:$FB$285,69,FALSE)</f>
        <v>10634</v>
      </c>
      <c r="BK104" s="27" t="str">
        <f>VLOOKUP($A104,'[1]Raw Data'!$A$3:$FB$285,70,FALSE)</f>
        <v/>
      </c>
      <c r="BL104" s="27" t="str">
        <f t="shared" si="11"/>
        <v/>
      </c>
      <c r="BM104" s="27" t="str">
        <f>VLOOKUP($A104,'[1]Raw Data'!$A$3:$FB$285,71,FALSE)</f>
        <v/>
      </c>
      <c r="BN104" s="27">
        <f>VLOOKUP($A104,'[1]Raw Data'!$A$3:$FB$285,72,FALSE)</f>
        <v>11943</v>
      </c>
      <c r="BO104" s="27" t="str">
        <f>VLOOKUP($A104,'[1]Raw Data'!$A$3:$FB$285,73,FALSE)</f>
        <v/>
      </c>
      <c r="BP104" s="27" t="str">
        <f t="shared" si="12"/>
        <v/>
      </c>
      <c r="BQ104" s="27" t="str">
        <f>VLOOKUP($A104,'[1]Raw Data'!$A$3:$FB$285,74,FALSE)</f>
        <v/>
      </c>
      <c r="BR104" s="27" t="str">
        <f>VLOOKUP($A104,'[1]Raw Data'!$A$3:$FB$285,75,FALSE)</f>
        <v/>
      </c>
      <c r="BS104" s="27" t="str">
        <f>VLOOKUP($A104,'[1]Raw Data'!$A$3:$FB$285,76,FALSE)</f>
        <v/>
      </c>
      <c r="BT104" s="27" t="str">
        <f t="shared" si="13"/>
        <v/>
      </c>
      <c r="BU104" s="27" t="str">
        <f>VLOOKUP($A104,'[1]Raw Data'!$A$3:$FB$285,77,FALSE)</f>
        <v/>
      </c>
      <c r="BV104" s="27">
        <f>VLOOKUP($A104,'[1]Raw Data'!$A$3:$FB$285,78,FALSE)</f>
        <v>313070</v>
      </c>
      <c r="BW104" s="27" t="str">
        <f>VLOOKUP($A104,'[1]Raw Data'!$A$3:$FB$285,79,FALSE)</f>
        <v/>
      </c>
      <c r="BX104" s="27" t="str">
        <f t="shared" si="14"/>
        <v/>
      </c>
      <c r="BY104" s="27" t="str">
        <f>VLOOKUP($A104,'[1]Raw Data'!$A$3:$FB$285,80,FALSE)</f>
        <v/>
      </c>
      <c r="BZ104" s="27">
        <f>VLOOKUP($A104,'[1]Raw Data'!$A$3:$FB$285,81,FALSE)</f>
        <v>1108419</v>
      </c>
      <c r="CA104" s="27" t="str">
        <f>VLOOKUP($A104,'[1]Raw Data'!$A$3:$FB$285,82,FALSE)</f>
        <v/>
      </c>
      <c r="CB104" s="27" t="str">
        <f t="shared" si="15"/>
        <v/>
      </c>
      <c r="CC104" s="27" t="str">
        <f>VLOOKUP($A104,'[1]Raw Data'!$A$3:$FB$285,83,FALSE)</f>
        <v/>
      </c>
      <c r="CD104" s="27">
        <f>VLOOKUP($A104,'[1]Raw Data'!$A$3:$FB$285,84,FALSE)</f>
        <v>12800</v>
      </c>
      <c r="CE104" s="27" t="str">
        <f>VLOOKUP($A104,'[1]Raw Data'!$A$3:$FB$285,85,FALSE)</f>
        <v/>
      </c>
      <c r="CF104" s="27" t="str">
        <f t="shared" si="16"/>
        <v/>
      </c>
      <c r="CG104" s="27" t="str">
        <f>VLOOKUP($A104,'[1]Raw Data'!$A$3:$FB$285,86,FALSE)</f>
        <v/>
      </c>
      <c r="CH104" s="27">
        <f>VLOOKUP($A104,'[1]Raw Data'!$A$3:$FB$285,87,FALSE)</f>
        <v>2262239</v>
      </c>
      <c r="CI104" s="27" t="str">
        <f>VLOOKUP($A104,'[1]Raw Data'!$A$3:$FB$285,88,FALSE)</f>
        <v/>
      </c>
      <c r="CJ104" s="27" t="str">
        <f t="shared" si="17"/>
        <v/>
      </c>
      <c r="CK104" s="27" t="str">
        <f>VLOOKUP($A104,'[1]Raw Data'!$A$3:$FB$285,89,FALSE)</f>
        <v/>
      </c>
      <c r="CL104" s="27">
        <f>VLOOKUP($A104,'[1]Raw Data'!$A$3:$FB$285,91,FALSE)</f>
        <v>1200</v>
      </c>
      <c r="CM104" s="27">
        <f>VLOOKUP($A104,'[1]Raw Data'!$A$3:$FB$285,93,FALSE)</f>
        <v>1000</v>
      </c>
      <c r="CN104" s="27" t="str">
        <f>VLOOKUP($A104,'[1]Raw Data'!$A$3:$FB$285,94,FALSE)</f>
        <v/>
      </c>
      <c r="CO104" s="27" t="str">
        <f>VLOOKUP($A104,'[1]Raw Data'!$A$3:$FB$285,95,FALSE)</f>
        <v/>
      </c>
      <c r="CP104" s="27" t="str">
        <f>VLOOKUP($A104,'[1]Raw Data'!$A$3:$FB$285,96,FALSE)</f>
        <v/>
      </c>
      <c r="CQ104" s="27" t="str">
        <f>VLOOKUP($A104,'[1]Raw Data'!$A$3:$FB$285,97,FALSE)</f>
        <v/>
      </c>
      <c r="CR104" s="27" t="str">
        <f>VLOOKUP($A104,'[1]Raw Data'!$A$3:$FB$285,98,FALSE)</f>
        <v/>
      </c>
      <c r="CS104" s="27" t="str">
        <f>VLOOKUP($A104,'[1]Raw Data'!$A$3:$FB$285,99,FALSE)</f>
        <v/>
      </c>
      <c r="CT104" s="27" t="str">
        <f>VLOOKUP($A104,'[1]Raw Data'!$A$3:$FB$285,101,FALSE)</f>
        <v>Bhim Neupane</v>
      </c>
      <c r="CU104" s="27" t="s">
        <v>1112</v>
      </c>
      <c r="CV104" s="27" t="str">
        <f>VLOOKUP($A104,'[1]Raw Data'!$A$3:$FB$285,102,FALSE)</f>
        <v>Mayor</v>
      </c>
      <c r="CW104" s="27" t="s">
        <v>834</v>
      </c>
      <c r="CX104" s="27">
        <f>VLOOKUP($A104,'[1]Raw Data'!$A$3:$FB$285,103,FALSE)</f>
        <v>9851169272</v>
      </c>
      <c r="CY104" s="27" t="str">
        <f>VLOOKUP($A104,'[1]Raw Data'!$A$3:$FB$285,105,FALSE)</f>
        <v>Gita Banjara</v>
      </c>
      <c r="CZ104" s="27" t="s">
        <v>1113</v>
      </c>
      <c r="DA104" s="27" t="str">
        <f>VLOOKUP($A104,'[1]Raw Data'!$A$3:$FB$285,106,FALSE)</f>
        <v>Deputy Mayor</v>
      </c>
      <c r="DB104" s="27" t="s">
        <v>888</v>
      </c>
      <c r="DC104" s="27">
        <f>VLOOKUP($A104,'[1]Raw Data'!$A$3:$FB$285,107,FALSE)</f>
        <v>9841543139</v>
      </c>
      <c r="DD104" s="27" t="str">
        <f>VLOOKUP($A104,'[1]Raw Data'!$A$3:$FB$285,109,FALSE)</f>
        <v>Bijaye Raj Paudel</v>
      </c>
      <c r="DE104" s="27" t="s">
        <v>1114</v>
      </c>
      <c r="DF104" s="27" t="str">
        <f>VLOOKUP($A104,'[1]Raw Data'!$A$3:$FB$285,110,FALSE)</f>
        <v>Adminstration Officer</v>
      </c>
      <c r="DG104" s="27" t="s">
        <v>880</v>
      </c>
      <c r="DH104" s="27">
        <f>VLOOKUP($A104,'[1]Raw Data'!$A$3:$FB$285,111,FALSE)</f>
        <v>9843794219</v>
      </c>
      <c r="DI104" s="27" t="str">
        <f>VLOOKUP($A104,'[1]Raw Data'!$A$3:$FB$285,121,FALSE)</f>
        <v/>
      </c>
      <c r="DK104" s="27" t="str">
        <f>VLOOKUP($A104,'[1]Raw Data'!$A$3:$FB$285,122,FALSE)</f>
        <v>Focal Person</v>
      </c>
      <c r="DL104" s="27" t="s">
        <v>881</v>
      </c>
      <c r="DM104" s="27" t="str">
        <f>VLOOKUP($A104,'[1]Raw Data'!$A$3:$FB$285,123,FALSE)</f>
        <v/>
      </c>
      <c r="DN104" s="27" t="str">
        <f>VLOOKUP($A104,'[1]Raw Data'!$A$3:$FB$285,113,FALSE)</f>
        <v>Lok Nath Regmi</v>
      </c>
      <c r="DO104" s="27" t="s">
        <v>1081</v>
      </c>
      <c r="DP104" s="27" t="str">
        <f>VLOOKUP($A104,'[1]Raw Data'!$A$3:$FB$285,114,FALSE)</f>
        <v>NRA Chief-District</v>
      </c>
      <c r="DQ104" s="27" t="s">
        <v>882</v>
      </c>
      <c r="DR104" s="27">
        <f>VLOOKUP($A104,'[1]Raw Data'!$A$3:$FB$285,115,FALSE)</f>
        <v>9851146403</v>
      </c>
      <c r="DS104" s="27" t="str">
        <f>VLOOKUP($A104,'[1]Raw Data'!$A$3:$FB$285,117,FALSE)</f>
        <v>Mahalaxmi Joshi</v>
      </c>
      <c r="DT104" s="27" t="s">
        <v>1082</v>
      </c>
      <c r="DU104" s="27" t="str">
        <f>VLOOKUP($A104,'[1]Raw Data'!$A$3:$FB$285,118,FALSE)</f>
        <v>DUDBC.DLPIU Chief</v>
      </c>
      <c r="DV104" s="27" t="s">
        <v>883</v>
      </c>
      <c r="DW104" s="27">
        <f>VLOOKUP($A104,'[1]Raw Data'!$A$3:$FB$285,119,FALSE)</f>
        <v>9841010222</v>
      </c>
      <c r="DX104" s="27" t="s">
        <v>339</v>
      </c>
      <c r="DY104" s="27" t="str">
        <f>VLOOKUP($A104,'[1]Raw Data'!$A$3:$FB$285,124,FALSE)</f>
        <v>105</v>
      </c>
      <c r="DZ104" s="27" t="s">
        <v>884</v>
      </c>
      <c r="EA104" s="27" t="str">
        <f>VLOOKUP($A104,'[1]Raw Data'!$A$3:$FB$285,125,FALSE)</f>
        <v>120</v>
      </c>
      <c r="EB104" s="27" t="s">
        <v>341</v>
      </c>
      <c r="EC104" s="27" t="str">
        <f>VLOOKUP($A104,'[1]Raw Data'!$A$3:$FB$285,126,FALSE)</f>
        <v>2000</v>
      </c>
      <c r="ED104" t="s">
        <v>478</v>
      </c>
      <c r="EE104" s="27" t="str">
        <f>VLOOKUP($A104,'[1]Raw Data'!$A$3:$FB$285,127,FALSE)</f>
        <v>20</v>
      </c>
      <c r="EF104" s="27" t="s">
        <v>343</v>
      </c>
      <c r="EG104" s="27" t="str">
        <f>VLOOKUP($A104,'[1]Raw Data'!$A$3:$FB$285,128,FALSE)</f>
        <v>300</v>
      </c>
      <c r="EH104" t="s">
        <v>344</v>
      </c>
      <c r="EI104" s="27" t="str">
        <f>VLOOKUP($A104,'[1]Raw Data'!$A$3:$FB$285,129,FALSE)</f>
        <v>200</v>
      </c>
      <c r="EM104" s="27">
        <f>VLOOKUP($A104,'[1]Raw Data'!$A$3:$FB$285,130,FALSE)</f>
        <v>12</v>
      </c>
      <c r="EN104" s="27" t="str">
        <f>VLOOKUP($A104,'[1]Raw Data'!$A$3:$FB$285,131,FALSE)</f>
        <v>5</v>
      </c>
      <c r="EO104" s="27">
        <f>VLOOKUP($A104,'[1]Raw Data'!$A$3:$FB$285,132,FALSE)</f>
        <v>5</v>
      </c>
      <c r="EP104" s="27" t="str">
        <f>VLOOKUP($A104,'[1]Raw Data'!$A$3:$FB$285,133,FALSE)</f>
        <v>6</v>
      </c>
      <c r="EQ104" s="27">
        <f>VLOOKUP($A104,'[1]Raw Data'!$A$3:$FB$285,134,FALSE)</f>
        <v>4</v>
      </c>
      <c r="ER104" s="27" t="str">
        <f>VLOOKUP($A104,'[1]Raw Data'!$A$3:$FB$285,135,FALSE)</f>
        <v>3</v>
      </c>
      <c r="ES104" s="27" t="str">
        <f>VLOOKUP($A104,'[1]Raw Data'!$A$3:$FB$285,136,FALSE)</f>
        <v>100</v>
      </c>
      <c r="ET104" s="27" t="str">
        <f>VLOOKUP($A104,'[1]Raw Data'!$A$3:$FB$285,137,FALSE)</f>
        <v>2</v>
      </c>
      <c r="EU104" s="27" t="str">
        <f>VLOOKUP($A104,'[1]Raw Data'!$A$3:$FB$285,138,FALSE)</f>
        <v/>
      </c>
      <c r="EV104" s="27" t="str">
        <f>VLOOKUP($A104,'[1]Raw Data'!$A$3:$FB$285,139,FALSE)</f>
        <v/>
      </c>
      <c r="EW104" s="38">
        <f>VLOOKUP($A104,[1]Training!$A$2:$I$284,5,FALSE)</f>
        <v>706</v>
      </c>
      <c r="EX104" s="31">
        <f>VLOOKUP($A104,[1]Training!$A$2:$I$284,6,FALSE)</f>
        <v>487</v>
      </c>
      <c r="EY104" s="38">
        <f>VLOOKUP($A104,[1]Training!$A$2:$I$284,8,FALSE)</f>
        <v>831.00938031943792</v>
      </c>
      <c r="EZ104" s="31">
        <f>VLOOKUP($A104,[1]Training!$A$2:$I$284,9,FALSE)</f>
        <v>101</v>
      </c>
      <c r="FA104" s="27">
        <v>1</v>
      </c>
      <c r="FB104" s="27">
        <v>2</v>
      </c>
      <c r="FC104" s="27" t="str">
        <f>VLOOKUP($A104,'[1]Raw Data'!$A$3:$FB$285,148,FALSE)</f>
        <v>Reshma Shrestha</v>
      </c>
      <c r="FD104" s="27" t="s">
        <v>1083</v>
      </c>
      <c r="FE104" s="27" t="str">
        <f>VLOOKUP($A104,'[1]Raw Data'!$A$3:$FB$285,149,FALSE)</f>
        <v>District Coordinator</v>
      </c>
      <c r="FF104" s="27" t="s">
        <v>885</v>
      </c>
      <c r="FG104" s="27">
        <f>VLOOKUP($A104,'[1]Raw Data'!$A$3:$FB$285,150,FALSE)</f>
        <v>9841264190</v>
      </c>
      <c r="FH104" s="27" t="str">
        <f>VLOOKUP($A104,'[1]Raw Data'!$A$3:$FB$285,156,FALSE)</f>
        <v/>
      </c>
      <c r="FJ104" s="27" t="str">
        <f>VLOOKUP($A104,'[1]Raw Data'!$A$3:$FB$285,157,FALSE)</f>
        <v>District Technical Officer</v>
      </c>
      <c r="FK104" s="27" t="s">
        <v>886</v>
      </c>
      <c r="FL104" s="27" t="str">
        <f>VLOOKUP($A104,'[1]Raw Data'!$A$3:$FB$285,158,FALSE)</f>
        <v/>
      </c>
      <c r="FM104" s="27" t="str">
        <f>VLOOKUP($A104,'[1]Raw Data'!$A$3:$FB$285,152,FALSE)</f>
        <v>Ishor Neupane</v>
      </c>
      <c r="FN104" s="27" t="s">
        <v>1084</v>
      </c>
      <c r="FO104" s="27" t="str">
        <f>VLOOKUP($A104,'[1]Raw Data'!$A$3:$FB$285,153,FALSE)</f>
        <v>DIstrict Information Management Officer</v>
      </c>
      <c r="FP104" s="27" t="s">
        <v>887</v>
      </c>
      <c r="FQ104" s="27">
        <f>VLOOKUP($A104,'[1]Raw Data'!$A$3:$FB$285,154,FALSE)</f>
        <v>9801317265</v>
      </c>
    </row>
    <row r="105" spans="1:173" ht="24" x14ac:dyDescent="0.45">
      <c r="A105" s="27">
        <v>24011</v>
      </c>
      <c r="B105" s="36" t="str">
        <f ca="1">IFERROR(__xludf.DUMMYFUNCTION("""COMPUTED_VALUE"""),"Panchkhal Nagarpalika")</f>
        <v>Panchkhal Nagarpalika</v>
      </c>
      <c r="C105" s="37" t="str">
        <f>VLOOKUP(A105,'[1]Palika and District in Nepali '!$D$1:$F$283,3,FALSE)</f>
        <v>पाँचखाल नगरपालिका</v>
      </c>
      <c r="D105" s="36" t="str">
        <f ca="1">IFERROR(__xludf.DUMMYFUNCTION("""COMPUTED_VALUE"""),"Kavrepalanchok")</f>
        <v>Kavrepalanchok</v>
      </c>
      <c r="E105" s="36"/>
      <c r="F105" s="27">
        <f>VLOOKUP(A105,'[1]Raw Data'!$A$3:$FB$285,4,FALSE)</f>
        <v>1721</v>
      </c>
      <c r="G105" s="27">
        <f>VLOOKUP(A105,'[1]Raw Data'!$A$3:$FB$285,5,FALSE)</f>
        <v>9278</v>
      </c>
      <c r="H105" s="27">
        <f>VLOOKUP(A105,'[1]Raw Data'!$A$3:$FB$285,6,FALSE)</f>
        <v>10999</v>
      </c>
      <c r="I105" s="27">
        <f>VLOOKUP($A105,'[1]Raw Data'!$A$3:$FB$285,8,FALSE)</f>
        <v>0.26</v>
      </c>
      <c r="J105" s="27">
        <f>VLOOKUP($A105,'[1]Raw Data'!$A$3:$FB$285,9,FALSE)</f>
        <v>0.28999999999999998</v>
      </c>
      <c r="K105" s="27">
        <f>VLOOKUP($A105,'[1]Raw Data'!$A$3:$FB$285,11,FALSE)</f>
        <v>57.7</v>
      </c>
      <c r="L105" s="27">
        <f>VLOOKUP($A105,'[1]Raw Data'!$A$3:$FB$285,12,FALSE)</f>
        <v>69.19</v>
      </c>
      <c r="M105" s="27">
        <f>VLOOKUP($A105,'[1]Raw Data'!$A$3:$FB$285,14,FALSE)</f>
        <v>4.13</v>
      </c>
      <c r="N105" s="27">
        <f>VLOOKUP($A105,'[1]Raw Data'!$A$3:$FB$285,15,FALSE)</f>
        <v>5.98</v>
      </c>
      <c r="O105" s="27">
        <f>VLOOKUP($A105,'[1]Raw Data'!$A$3:$FB$285,17,FALSE)</f>
        <v>2.83</v>
      </c>
      <c r="P105" s="27">
        <f>VLOOKUP($A105,'[1]Raw Data'!$A$3:$FB$285,18,FALSE)</f>
        <v>4.0199999999999996</v>
      </c>
      <c r="Q105" s="27">
        <f>VLOOKUP($A105,'[1]Raw Data'!$A$3:$FB$285,20,FALSE)</f>
        <v>3.43</v>
      </c>
      <c r="R105" s="27">
        <f>VLOOKUP($A105,'[1]Raw Data'!$A$3:$FB$285,21,FALSE)</f>
        <v>4.6500000000000004</v>
      </c>
      <c r="S105" s="27">
        <f>VLOOKUP($A105,'[1]Raw Data'!$A$3:$FB$285,23,FALSE)</f>
        <v>0</v>
      </c>
      <c r="T105" s="27">
        <f>VLOOKUP($A105,'[1]Raw Data'!$A$3:$FB$285,24,FALSE)</f>
        <v>0</v>
      </c>
      <c r="U105" s="27">
        <f>VLOOKUP($A105,'[1]Raw Data'!$A$3:$FB$285,26,FALSE)</f>
        <v>0.13</v>
      </c>
      <c r="V105" s="27">
        <f>VLOOKUP($A105,'[1]Raw Data'!$A$3:$FB$285,27,FALSE)</f>
        <v>0.38</v>
      </c>
      <c r="W105" s="27">
        <f>VLOOKUP($A105,'[1]Raw Data'!$A$3:$FB$285,29,FALSE)</f>
        <v>0</v>
      </c>
      <c r="X105" s="27">
        <f>VLOOKUP($A105,'[1]Raw Data'!$A$3:$FB$285,30,FALSE)</f>
        <v>0</v>
      </c>
      <c r="Y105" s="27">
        <f>VLOOKUP($A105,'[1]Raw Data'!$A$3:$FB$285,32,FALSE)</f>
        <v>0.04</v>
      </c>
      <c r="Z105" s="27">
        <f>VLOOKUP($A105,'[1]Raw Data'!$A$3:$FB$285,33,FALSE)</f>
        <v>0.06</v>
      </c>
      <c r="AA105" s="27">
        <f>VLOOKUP($A105,'[1]Raw Data'!$A$3:$FB$285,35,FALSE)</f>
        <v>31.42</v>
      </c>
      <c r="AB105" s="27">
        <f>VLOOKUP($A105,'[1]Raw Data'!$A$3:$FB$285,36,FALSE)</f>
        <v>15.32</v>
      </c>
      <c r="AC105" s="27">
        <f>VLOOKUP($A105,'[1]Raw Data'!$A$3:$FB$285,38,FALSE)</f>
        <v>0.06</v>
      </c>
      <c r="AD105" s="27">
        <f>VLOOKUP($A105,'[1]Raw Data'!$A$3:$FB$285,39,FALSE)</f>
        <v>0.11</v>
      </c>
      <c r="AE105" s="27">
        <f>VLOOKUP($A105,'[1]Raw Data'!$A$3:$FB$285,41,FALSE)</f>
        <v>0</v>
      </c>
      <c r="AF105" s="27">
        <f>VLOOKUP($A105,'[1]Raw Data'!$A$3:$FB$285,42,FALSE)</f>
        <v>0</v>
      </c>
      <c r="AG105" s="27">
        <f>VLOOKUP($A105,'[1]Raw Data'!$A$3:$FB$285,44,FALSE)</f>
        <v>0</v>
      </c>
      <c r="AH105" s="27">
        <f>VLOOKUP($A105,'[1]Raw Data'!$A$3:$FB$285,45,FALSE)</f>
        <v>0</v>
      </c>
      <c r="AI105" s="27">
        <f>VLOOKUP($A105,'[1]Raw Data'!$A$3:$FB$285,46,FALSE)</f>
        <v>9937</v>
      </c>
      <c r="AJ105" s="27">
        <f>VLOOKUP($A105,'[1]Raw Data'!$A$3:$FB$285,47,FALSE)</f>
        <v>7958</v>
      </c>
      <c r="AK105" s="27">
        <f>VLOOKUP($A105,'[1]Raw Data'!$A$3:$FB$285,48,FALSE)</f>
        <v>7906</v>
      </c>
      <c r="AL105" s="27">
        <f>VLOOKUP($A105,'[1]Raw Data'!$A$3:$FB$285,49,FALSE)</f>
        <v>4147</v>
      </c>
      <c r="AM105" s="27">
        <f>VLOOKUP($A105,'[1]Raw Data'!$A$3:$FB$285,50,FALSE)</f>
        <v>2874</v>
      </c>
      <c r="AN105" s="27">
        <f>VLOOKUP($A105,'[1]Raw Data'!$A$3:$FB$285,51,FALSE)</f>
        <v>0</v>
      </c>
      <c r="AO105" s="27" t="str">
        <f>VLOOKUP($A105,'[1]Raw Data'!$A$3:$FB$285,52,FALSE)</f>
        <v/>
      </c>
      <c r="AP105" s="27">
        <f>VLOOKUP($A105,'[1]Raw Data'!$A$3:$FB$285,53,FALSE)</f>
        <v>397</v>
      </c>
      <c r="AQ105" s="27" t="str">
        <f>VLOOKUP($A105,'[1]Raw Data'!$A$3:$FB$285,54,FALSE)</f>
        <v/>
      </c>
      <c r="AR105" s="27">
        <f>VLOOKUP($A105,'[1]Raw Data'!$A$3:$FB$285,55,FALSE)</f>
        <v>111</v>
      </c>
      <c r="AS105" s="27">
        <f>VLOOKUP($A105,'[1]Raw Data'!$A$3:$FB$285,56,FALSE)</f>
        <v>0</v>
      </c>
      <c r="AT105" s="27">
        <f>VLOOKUP($A105,'[1]Raw Data'!$A$3:$FB$285,57,FALSE)</f>
        <v>3041</v>
      </c>
      <c r="AU105" s="27">
        <f>VLOOKUP($A105,'[1]Raw Data'!$A$3:$FB$285,58,FALSE)</f>
        <v>2851</v>
      </c>
      <c r="AV105" s="27">
        <f>VLOOKUP($A105,'[1]Raw Data'!$A$3:$FB$285,59,FALSE)</f>
        <v>4</v>
      </c>
      <c r="AW105" s="27">
        <f>VLOOKUP($A105,'[1]Raw Data'!$A$3:$FB$285,60,FALSE)</f>
        <v>4</v>
      </c>
      <c r="AX105" s="27" t="str">
        <f>VLOOKUP(A105,'[1]PO''s List'!A103:E385,4,FALSE)</f>
        <v>NRCS(Livelihood,Employment ,Health,Shelter,Health)</v>
      </c>
      <c r="AZ105" s="27" t="str">
        <f>VLOOKUP(A105,'[1]PO''s List'!$A$3:$E$285,5,FALSE)</f>
        <v>AATWIN(Social Protection),ADRA(Health),Centum Learning(Shelter),Garuda-N(Education,Health),HELVETAS(Shelter),HFH(DRR,Employment ,Shelter,Shelter),MI(DRR,Health,Health),Navjyoti(Shelter,Health),NJSI(Education),NN(Shelter),,SCI(Education,Shelter,Social Protection),UNDP(Shelter),WeWorld(Education)</v>
      </c>
      <c r="BB105" s="27">
        <f>VLOOKUP($A105,'[1]Raw Data'!$A$3:$FB$285,63,FALSE)</f>
        <v>62830</v>
      </c>
      <c r="BC105" s="27" t="str">
        <f>VLOOKUP($A105,'[1]Raw Data'!$A$3:$FB$285,64,FALSE)</f>
        <v/>
      </c>
      <c r="BD105" s="27" t="str">
        <f t="shared" si="9"/>
        <v/>
      </c>
      <c r="BE105" s="27" t="str">
        <f>VLOOKUP($A105,'[1]Raw Data'!$A$3:$FB$285,65,FALSE)</f>
        <v/>
      </c>
      <c r="BF105" s="27">
        <f>VLOOKUP($A105,'[1]Raw Data'!$A$3:$FB$285,66,FALSE)</f>
        <v>60339</v>
      </c>
      <c r="BG105" s="27" t="str">
        <f>VLOOKUP($A105,'[1]Raw Data'!$A$3:$FB$285,67,FALSE)</f>
        <v/>
      </c>
      <c r="BH105" s="27" t="str">
        <f t="shared" si="10"/>
        <v/>
      </c>
      <c r="BI105" s="27" t="str">
        <f>VLOOKUP($A105,'[1]Raw Data'!$A$3:$FB$285,68,FALSE)</f>
        <v/>
      </c>
      <c r="BJ105" s="27">
        <f>VLOOKUP($A105,'[1]Raw Data'!$A$3:$FB$285,69,FALSE)</f>
        <v>6673</v>
      </c>
      <c r="BK105" s="27" t="str">
        <f>VLOOKUP($A105,'[1]Raw Data'!$A$3:$FB$285,70,FALSE)</f>
        <v/>
      </c>
      <c r="BL105" s="27" t="str">
        <f t="shared" si="11"/>
        <v/>
      </c>
      <c r="BM105" s="27" t="str">
        <f>VLOOKUP($A105,'[1]Raw Data'!$A$3:$FB$285,71,FALSE)</f>
        <v/>
      </c>
      <c r="BN105" s="27">
        <f>VLOOKUP($A105,'[1]Raw Data'!$A$3:$FB$285,72,FALSE)</f>
        <v>7570</v>
      </c>
      <c r="BO105" s="27" t="str">
        <f>VLOOKUP($A105,'[1]Raw Data'!$A$3:$FB$285,73,FALSE)</f>
        <v/>
      </c>
      <c r="BP105" s="27" t="str">
        <f t="shared" si="12"/>
        <v/>
      </c>
      <c r="BQ105" s="27" t="str">
        <f>VLOOKUP($A105,'[1]Raw Data'!$A$3:$FB$285,74,FALSE)</f>
        <v/>
      </c>
      <c r="BR105" s="27" t="str">
        <f>VLOOKUP($A105,'[1]Raw Data'!$A$3:$FB$285,75,FALSE)</f>
        <v/>
      </c>
      <c r="BS105" s="27" t="str">
        <f>VLOOKUP($A105,'[1]Raw Data'!$A$3:$FB$285,76,FALSE)</f>
        <v/>
      </c>
      <c r="BT105" s="27" t="str">
        <f t="shared" si="13"/>
        <v/>
      </c>
      <c r="BU105" s="27" t="str">
        <f>VLOOKUP($A105,'[1]Raw Data'!$A$3:$FB$285,77,FALSE)</f>
        <v/>
      </c>
      <c r="BV105" s="27">
        <f>VLOOKUP($A105,'[1]Raw Data'!$A$3:$FB$285,78,FALSE)</f>
        <v>202676</v>
      </c>
      <c r="BW105" s="27" t="str">
        <f>VLOOKUP($A105,'[1]Raw Data'!$A$3:$FB$285,79,FALSE)</f>
        <v/>
      </c>
      <c r="BX105" s="27" t="str">
        <f t="shared" si="14"/>
        <v/>
      </c>
      <c r="BY105" s="27" t="str">
        <f>VLOOKUP($A105,'[1]Raw Data'!$A$3:$FB$285,80,FALSE)</f>
        <v/>
      </c>
      <c r="BZ105" s="27">
        <f>VLOOKUP($A105,'[1]Raw Data'!$A$3:$FB$285,81,FALSE)</f>
        <v>690063</v>
      </c>
      <c r="CA105" s="27" t="str">
        <f>VLOOKUP($A105,'[1]Raw Data'!$A$3:$FB$285,82,FALSE)</f>
        <v/>
      </c>
      <c r="CB105" s="27" t="str">
        <f t="shared" si="15"/>
        <v/>
      </c>
      <c r="CC105" s="27" t="str">
        <f>VLOOKUP($A105,'[1]Raw Data'!$A$3:$FB$285,83,FALSE)</f>
        <v/>
      </c>
      <c r="CD105" s="27">
        <f>VLOOKUP($A105,'[1]Raw Data'!$A$3:$FB$285,84,FALSE)</f>
        <v>8289</v>
      </c>
      <c r="CE105" s="27" t="str">
        <f>VLOOKUP($A105,'[1]Raw Data'!$A$3:$FB$285,85,FALSE)</f>
        <v/>
      </c>
      <c r="CF105" s="27" t="str">
        <f t="shared" si="16"/>
        <v/>
      </c>
      <c r="CG105" s="27" t="str">
        <f>VLOOKUP($A105,'[1]Raw Data'!$A$3:$FB$285,86,FALSE)</f>
        <v/>
      </c>
      <c r="CH105" s="27">
        <f>VLOOKUP($A105,'[1]Raw Data'!$A$3:$FB$285,87,FALSE)</f>
        <v>1240754</v>
      </c>
      <c r="CI105" s="27" t="str">
        <f>VLOOKUP($A105,'[1]Raw Data'!$A$3:$FB$285,88,FALSE)</f>
        <v/>
      </c>
      <c r="CJ105" s="27" t="str">
        <f t="shared" si="17"/>
        <v/>
      </c>
      <c r="CK105" s="27" t="str">
        <f>VLOOKUP($A105,'[1]Raw Data'!$A$3:$FB$285,89,FALSE)</f>
        <v/>
      </c>
      <c r="CL105" s="27">
        <f>VLOOKUP($A105,'[1]Raw Data'!$A$3:$FB$285,91,FALSE)</f>
        <v>1400</v>
      </c>
      <c r="CM105" s="27">
        <f>VLOOKUP($A105,'[1]Raw Data'!$A$3:$FB$285,93,FALSE)</f>
        <v>800</v>
      </c>
      <c r="CN105" s="27" t="str">
        <f>VLOOKUP($A105,'[1]Raw Data'!$A$3:$FB$285,94,FALSE)</f>
        <v/>
      </c>
      <c r="CO105" s="27" t="str">
        <f>VLOOKUP($A105,'[1]Raw Data'!$A$3:$FB$285,95,FALSE)</f>
        <v/>
      </c>
      <c r="CP105" s="27" t="str">
        <f>VLOOKUP($A105,'[1]Raw Data'!$A$3:$FB$285,96,FALSE)</f>
        <v/>
      </c>
      <c r="CQ105" s="27" t="str">
        <f>VLOOKUP($A105,'[1]Raw Data'!$A$3:$FB$285,97,FALSE)</f>
        <v/>
      </c>
      <c r="CR105" s="27" t="str">
        <f>VLOOKUP($A105,'[1]Raw Data'!$A$3:$FB$285,98,FALSE)</f>
        <v/>
      </c>
      <c r="CS105" s="27" t="str">
        <f>VLOOKUP($A105,'[1]Raw Data'!$A$3:$FB$285,99,FALSE)</f>
        <v/>
      </c>
      <c r="CT105" s="27" t="str">
        <f>VLOOKUP($A105,'[1]Raw Data'!$A$3:$FB$285,101,FALSE)</f>
        <v>Mahesh Kharel</v>
      </c>
      <c r="CU105" s="27" t="s">
        <v>1115</v>
      </c>
      <c r="CV105" s="27" t="str">
        <f>VLOOKUP($A105,'[1]Raw Data'!$A$3:$FB$285,102,FALSE)</f>
        <v>Mayor</v>
      </c>
      <c r="CW105" s="27" t="s">
        <v>834</v>
      </c>
      <c r="CX105" s="27">
        <f>VLOOKUP($A105,'[1]Raw Data'!$A$3:$FB$285,103,FALSE)</f>
        <v>9843041788</v>
      </c>
      <c r="CY105" s="27" t="str">
        <f>VLOOKUP($A105,'[1]Raw Data'!$A$3:$FB$285,105,FALSE)</f>
        <v>Laxmi Danuwar</v>
      </c>
      <c r="CZ105" s="27" t="s">
        <v>1116</v>
      </c>
      <c r="DA105" s="27" t="str">
        <f>VLOOKUP($A105,'[1]Raw Data'!$A$3:$FB$285,106,FALSE)</f>
        <v>Deputy Mayor</v>
      </c>
      <c r="DB105" s="27" t="s">
        <v>888</v>
      </c>
      <c r="DC105" s="27">
        <f>VLOOKUP($A105,'[1]Raw Data'!$A$3:$FB$285,107,FALSE)</f>
        <v>9841670594</v>
      </c>
      <c r="DD105" s="27" t="str">
        <f>VLOOKUP($A105,'[1]Raw Data'!$A$3:$FB$285,109,FALSE)</f>
        <v>Bhola Chapagain</v>
      </c>
      <c r="DE105" s="27" t="s">
        <v>1117</v>
      </c>
      <c r="DF105" s="27" t="str">
        <f>VLOOKUP($A105,'[1]Raw Data'!$A$3:$FB$285,110,FALSE)</f>
        <v>Adminstration Officer</v>
      </c>
      <c r="DG105" s="27" t="s">
        <v>880</v>
      </c>
      <c r="DH105" s="27">
        <f>VLOOKUP($A105,'[1]Raw Data'!$A$3:$FB$285,111,FALSE)</f>
        <v>9851250031</v>
      </c>
      <c r="DI105" s="27" t="str">
        <f>VLOOKUP($A105,'[1]Raw Data'!$A$3:$FB$285,121,FALSE)</f>
        <v/>
      </c>
      <c r="DK105" s="27" t="str">
        <f>VLOOKUP($A105,'[1]Raw Data'!$A$3:$FB$285,122,FALSE)</f>
        <v>Focal Person</v>
      </c>
      <c r="DL105" s="27" t="s">
        <v>881</v>
      </c>
      <c r="DM105" s="27" t="str">
        <f>VLOOKUP($A105,'[1]Raw Data'!$A$3:$FB$285,123,FALSE)</f>
        <v/>
      </c>
      <c r="DN105" s="27" t="str">
        <f>VLOOKUP($A105,'[1]Raw Data'!$A$3:$FB$285,113,FALSE)</f>
        <v>Lok Nath Regmi</v>
      </c>
      <c r="DO105" s="27" t="s">
        <v>1081</v>
      </c>
      <c r="DP105" s="27" t="str">
        <f>VLOOKUP($A105,'[1]Raw Data'!$A$3:$FB$285,114,FALSE)</f>
        <v>NRA Chief-District</v>
      </c>
      <c r="DQ105" s="27" t="s">
        <v>882</v>
      </c>
      <c r="DR105" s="27">
        <f>VLOOKUP($A105,'[1]Raw Data'!$A$3:$FB$285,115,FALSE)</f>
        <v>9851146403</v>
      </c>
      <c r="DS105" s="27" t="str">
        <f>VLOOKUP($A105,'[1]Raw Data'!$A$3:$FB$285,117,FALSE)</f>
        <v>Mahalaxmi Joshi</v>
      </c>
      <c r="DT105" s="27" t="s">
        <v>1082</v>
      </c>
      <c r="DU105" s="27" t="str">
        <f>VLOOKUP($A105,'[1]Raw Data'!$A$3:$FB$285,118,FALSE)</f>
        <v>DUDBC.DLPIU Chief</v>
      </c>
      <c r="DV105" s="27" t="s">
        <v>883</v>
      </c>
      <c r="DW105" s="27">
        <f>VLOOKUP($A105,'[1]Raw Data'!$A$3:$FB$285,119,FALSE)</f>
        <v>9841010222</v>
      </c>
      <c r="DX105" s="27" t="s">
        <v>339</v>
      </c>
      <c r="DY105" s="27" t="str">
        <f>VLOOKUP($A105,'[1]Raw Data'!$A$3:$FB$285,124,FALSE)</f>
        <v/>
      </c>
      <c r="DZ105" s="27" t="s">
        <v>884</v>
      </c>
      <c r="EA105" s="27" t="str">
        <f>VLOOKUP($A105,'[1]Raw Data'!$A$3:$FB$285,125,FALSE)</f>
        <v/>
      </c>
      <c r="EB105" s="27" t="s">
        <v>341</v>
      </c>
      <c r="EC105" s="27" t="str">
        <f>VLOOKUP($A105,'[1]Raw Data'!$A$3:$FB$285,126,FALSE)</f>
        <v/>
      </c>
      <c r="ED105" t="s">
        <v>478</v>
      </c>
      <c r="EE105" s="27" t="str">
        <f>VLOOKUP($A105,'[1]Raw Data'!$A$3:$FB$285,127,FALSE)</f>
        <v/>
      </c>
      <c r="EF105" s="27" t="s">
        <v>343</v>
      </c>
      <c r="EG105" s="27" t="str">
        <f>VLOOKUP($A105,'[1]Raw Data'!$A$3:$FB$285,128,FALSE)</f>
        <v/>
      </c>
      <c r="EH105" t="s">
        <v>344</v>
      </c>
      <c r="EI105" s="27" t="str">
        <f>VLOOKUP($A105,'[1]Raw Data'!$A$3:$FB$285,129,FALSE)</f>
        <v/>
      </c>
      <c r="EM105" s="27">
        <f>VLOOKUP($A105,'[1]Raw Data'!$A$3:$FB$285,130,FALSE)</f>
        <v>14</v>
      </c>
      <c r="EN105" s="27" t="str">
        <f>VLOOKUP($A105,'[1]Raw Data'!$A$3:$FB$285,131,FALSE)</f>
        <v/>
      </c>
      <c r="EO105" s="27">
        <f>VLOOKUP($A105,'[1]Raw Data'!$A$3:$FB$285,132,FALSE)</f>
        <v>2</v>
      </c>
      <c r="EP105" s="27" t="str">
        <f>VLOOKUP($A105,'[1]Raw Data'!$A$3:$FB$285,133,FALSE)</f>
        <v/>
      </c>
      <c r="EQ105" s="27">
        <f>VLOOKUP($A105,'[1]Raw Data'!$A$3:$FB$285,134,FALSE)</f>
        <v>4</v>
      </c>
      <c r="ER105" s="27" t="str">
        <f>VLOOKUP($A105,'[1]Raw Data'!$A$3:$FB$285,135,FALSE)</f>
        <v/>
      </c>
      <c r="ES105" s="27" t="str">
        <f>VLOOKUP($A105,'[1]Raw Data'!$A$3:$FB$285,136,FALSE)</f>
        <v/>
      </c>
      <c r="ET105" s="27" t="str">
        <f>VLOOKUP($A105,'[1]Raw Data'!$A$3:$FB$285,137,FALSE)</f>
        <v/>
      </c>
      <c r="EU105" s="27" t="str">
        <f>VLOOKUP($A105,'[1]Raw Data'!$A$3:$FB$285,138,FALSE)</f>
        <v/>
      </c>
      <c r="EV105" s="27" t="str">
        <f>VLOOKUP($A105,'[1]Raw Data'!$A$3:$FB$285,139,FALSE)</f>
        <v>4</v>
      </c>
      <c r="EW105" s="38">
        <f>VLOOKUP($A105,[1]Training!$A$2:$I$284,5,FALSE)</f>
        <v>764.38461538461536</v>
      </c>
      <c r="EX105" s="31">
        <f>VLOOKUP($A105,[1]Training!$A$2:$I$284,6,FALSE)</f>
        <v>469</v>
      </c>
      <c r="EY105" s="38">
        <f>VLOOKUP($A105,[1]Training!$A$2:$I$284,8,FALSE)</f>
        <v>899.73199087320279</v>
      </c>
      <c r="EZ105" s="31">
        <f>VLOOKUP($A105,[1]Training!$A$2:$I$284,9,FALSE)</f>
        <v>177</v>
      </c>
      <c r="FA105" s="27">
        <v>1</v>
      </c>
      <c r="FB105" s="27">
        <v>2</v>
      </c>
      <c r="FC105" s="27" t="str">
        <f>VLOOKUP($A105,'[1]Raw Data'!$A$3:$FB$285,148,FALSE)</f>
        <v>Reshma Shrestha</v>
      </c>
      <c r="FD105" s="27" t="s">
        <v>1083</v>
      </c>
      <c r="FE105" s="27" t="str">
        <f>VLOOKUP($A105,'[1]Raw Data'!$A$3:$FB$285,149,FALSE)</f>
        <v>District Coordinator</v>
      </c>
      <c r="FF105" s="27" t="s">
        <v>885</v>
      </c>
      <c r="FG105" s="27">
        <f>VLOOKUP($A105,'[1]Raw Data'!$A$3:$FB$285,150,FALSE)</f>
        <v>9841264190</v>
      </c>
      <c r="FH105" s="27" t="str">
        <f>VLOOKUP($A105,'[1]Raw Data'!$A$3:$FB$285,156,FALSE)</f>
        <v/>
      </c>
      <c r="FJ105" s="27" t="str">
        <f>VLOOKUP($A105,'[1]Raw Data'!$A$3:$FB$285,157,FALSE)</f>
        <v>District Technical Officer</v>
      </c>
      <c r="FK105" s="27" t="s">
        <v>886</v>
      </c>
      <c r="FL105" s="27" t="str">
        <f>VLOOKUP($A105,'[1]Raw Data'!$A$3:$FB$285,158,FALSE)</f>
        <v/>
      </c>
      <c r="FM105" s="27" t="str">
        <f>VLOOKUP($A105,'[1]Raw Data'!$A$3:$FB$285,152,FALSE)</f>
        <v>Ishor Neupane</v>
      </c>
      <c r="FN105" s="27" t="s">
        <v>1084</v>
      </c>
      <c r="FO105" s="27" t="str">
        <f>VLOOKUP($A105,'[1]Raw Data'!$A$3:$FB$285,153,FALSE)</f>
        <v>DIstrict Information Management Officer</v>
      </c>
      <c r="FP105" s="27" t="s">
        <v>887</v>
      </c>
      <c r="FQ105" s="27">
        <f>VLOOKUP($A105,'[1]Raw Data'!$A$3:$FB$285,154,FALSE)</f>
        <v>9801317265</v>
      </c>
    </row>
    <row r="106" spans="1:173" ht="24" x14ac:dyDescent="0.45">
      <c r="A106" s="27">
        <v>24012</v>
      </c>
      <c r="B106" s="36" t="str">
        <f ca="1">IFERROR(__xludf.DUMMYFUNCTION("""COMPUTED_VALUE"""),"Roshi Gaunpalika")</f>
        <v>Roshi Gaunpalika</v>
      </c>
      <c r="C106" s="37" t="str">
        <f>VLOOKUP(A106,'[1]Palika and District in Nepali '!$D$1:$F$283,3,FALSE)</f>
        <v>रोसी गाउँपालिका</v>
      </c>
      <c r="D106" s="36" t="str">
        <f ca="1">IFERROR(__xludf.DUMMYFUNCTION("""COMPUTED_VALUE"""),"Kavrepalanchok")</f>
        <v>Kavrepalanchok</v>
      </c>
      <c r="E106" s="36"/>
      <c r="F106" s="27">
        <f>VLOOKUP(A106,'[1]Raw Data'!$A$3:$FB$285,4,FALSE)</f>
        <v>1539</v>
      </c>
      <c r="G106" s="27">
        <f>VLOOKUP(A106,'[1]Raw Data'!$A$3:$FB$285,5,FALSE)</f>
        <v>5862</v>
      </c>
      <c r="H106" s="27">
        <f>VLOOKUP(A106,'[1]Raw Data'!$A$3:$FB$285,6,FALSE)</f>
        <v>7401</v>
      </c>
      <c r="I106" s="27">
        <f>VLOOKUP($A106,'[1]Raw Data'!$A$3:$FB$285,8,FALSE)</f>
        <v>0.19</v>
      </c>
      <c r="J106" s="27">
        <f>VLOOKUP($A106,'[1]Raw Data'!$A$3:$FB$285,9,FALSE)</f>
        <v>0.28999999999999998</v>
      </c>
      <c r="K106" s="27">
        <f>VLOOKUP($A106,'[1]Raw Data'!$A$3:$FB$285,11,FALSE)</f>
        <v>96.74</v>
      </c>
      <c r="L106" s="27">
        <f>VLOOKUP($A106,'[1]Raw Data'!$A$3:$FB$285,12,FALSE)</f>
        <v>69.19</v>
      </c>
      <c r="M106" s="27">
        <f>VLOOKUP($A106,'[1]Raw Data'!$A$3:$FB$285,14,FALSE)</f>
        <v>0.28000000000000003</v>
      </c>
      <c r="N106" s="27">
        <f>VLOOKUP($A106,'[1]Raw Data'!$A$3:$FB$285,15,FALSE)</f>
        <v>5.98</v>
      </c>
      <c r="O106" s="27">
        <f>VLOOKUP($A106,'[1]Raw Data'!$A$3:$FB$285,17,FALSE)</f>
        <v>0.14000000000000001</v>
      </c>
      <c r="P106" s="27">
        <f>VLOOKUP($A106,'[1]Raw Data'!$A$3:$FB$285,18,FALSE)</f>
        <v>4.0199999999999996</v>
      </c>
      <c r="Q106" s="27">
        <f>VLOOKUP($A106,'[1]Raw Data'!$A$3:$FB$285,20,FALSE)</f>
        <v>0.27</v>
      </c>
      <c r="R106" s="27">
        <f>VLOOKUP($A106,'[1]Raw Data'!$A$3:$FB$285,21,FALSE)</f>
        <v>4.6500000000000004</v>
      </c>
      <c r="S106" s="27">
        <f>VLOOKUP($A106,'[1]Raw Data'!$A$3:$FB$285,23,FALSE)</f>
        <v>0</v>
      </c>
      <c r="T106" s="27">
        <f>VLOOKUP($A106,'[1]Raw Data'!$A$3:$FB$285,24,FALSE)</f>
        <v>0</v>
      </c>
      <c r="U106" s="27">
        <f>VLOOKUP($A106,'[1]Raw Data'!$A$3:$FB$285,26,FALSE)</f>
        <v>0.15</v>
      </c>
      <c r="V106" s="27">
        <f>VLOOKUP($A106,'[1]Raw Data'!$A$3:$FB$285,27,FALSE)</f>
        <v>0.38</v>
      </c>
      <c r="W106" s="27">
        <f>VLOOKUP($A106,'[1]Raw Data'!$A$3:$FB$285,29,FALSE)</f>
        <v>0</v>
      </c>
      <c r="X106" s="27">
        <f>VLOOKUP($A106,'[1]Raw Data'!$A$3:$FB$285,30,FALSE)</f>
        <v>0</v>
      </c>
      <c r="Y106" s="27">
        <f>VLOOKUP($A106,'[1]Raw Data'!$A$3:$FB$285,32,FALSE)</f>
        <v>0.11</v>
      </c>
      <c r="Z106" s="27">
        <f>VLOOKUP($A106,'[1]Raw Data'!$A$3:$FB$285,33,FALSE)</f>
        <v>0.06</v>
      </c>
      <c r="AA106" s="27">
        <f>VLOOKUP($A106,'[1]Raw Data'!$A$3:$FB$285,35,FALSE)</f>
        <v>2.0299999999999998</v>
      </c>
      <c r="AB106" s="27">
        <f>VLOOKUP($A106,'[1]Raw Data'!$A$3:$FB$285,36,FALSE)</f>
        <v>15.32</v>
      </c>
      <c r="AC106" s="27">
        <f>VLOOKUP($A106,'[1]Raw Data'!$A$3:$FB$285,38,FALSE)</f>
        <v>0.09</v>
      </c>
      <c r="AD106" s="27">
        <f>VLOOKUP($A106,'[1]Raw Data'!$A$3:$FB$285,39,FALSE)</f>
        <v>0.11</v>
      </c>
      <c r="AE106" s="27">
        <f>VLOOKUP($A106,'[1]Raw Data'!$A$3:$FB$285,41,FALSE)</f>
        <v>0</v>
      </c>
      <c r="AF106" s="27">
        <f>VLOOKUP($A106,'[1]Raw Data'!$A$3:$FB$285,42,FALSE)</f>
        <v>0</v>
      </c>
      <c r="AG106" s="27">
        <f>VLOOKUP($A106,'[1]Raw Data'!$A$3:$FB$285,44,FALSE)</f>
        <v>0</v>
      </c>
      <c r="AH106" s="27">
        <f>VLOOKUP($A106,'[1]Raw Data'!$A$3:$FB$285,45,FALSE)</f>
        <v>0</v>
      </c>
      <c r="AI106" s="27">
        <f>VLOOKUP($A106,'[1]Raw Data'!$A$3:$FB$285,46,FALSE)</f>
        <v>6262</v>
      </c>
      <c r="AJ106" s="27">
        <f>VLOOKUP($A106,'[1]Raw Data'!$A$3:$FB$285,47,FALSE)</f>
        <v>5466</v>
      </c>
      <c r="AK106" s="27">
        <f>VLOOKUP($A106,'[1]Raw Data'!$A$3:$FB$285,48,FALSE)</f>
        <v>5425</v>
      </c>
      <c r="AL106" s="27">
        <f>VLOOKUP($A106,'[1]Raw Data'!$A$3:$FB$285,49,FALSE)</f>
        <v>3729</v>
      </c>
      <c r="AM106" s="27">
        <f>VLOOKUP($A106,'[1]Raw Data'!$A$3:$FB$285,50,FALSE)</f>
        <v>1711</v>
      </c>
      <c r="AN106" s="27">
        <f>VLOOKUP($A106,'[1]Raw Data'!$A$3:$FB$285,51,FALSE)</f>
        <v>0</v>
      </c>
      <c r="AO106" s="27" t="str">
        <f>VLOOKUP($A106,'[1]Raw Data'!$A$3:$FB$285,52,FALSE)</f>
        <v/>
      </c>
      <c r="AP106" s="27">
        <f>VLOOKUP($A106,'[1]Raw Data'!$A$3:$FB$285,53,FALSE)</f>
        <v>662</v>
      </c>
      <c r="AQ106" s="27" t="str">
        <f>VLOOKUP($A106,'[1]Raw Data'!$A$3:$FB$285,54,FALSE)</f>
        <v/>
      </c>
      <c r="AR106" s="27">
        <f>VLOOKUP($A106,'[1]Raw Data'!$A$3:$FB$285,55,FALSE)</f>
        <v>129</v>
      </c>
      <c r="AS106" s="27">
        <f>VLOOKUP($A106,'[1]Raw Data'!$A$3:$FB$285,56,FALSE)</f>
        <v>0</v>
      </c>
      <c r="AT106" s="27">
        <f>VLOOKUP($A106,'[1]Raw Data'!$A$3:$FB$285,57,FALSE)</f>
        <v>2257</v>
      </c>
      <c r="AU106" s="27">
        <f>VLOOKUP($A106,'[1]Raw Data'!$A$3:$FB$285,58,FALSE)</f>
        <v>2203</v>
      </c>
      <c r="AV106" s="27" t="str">
        <f>VLOOKUP($A106,'[1]Raw Data'!$A$3:$FB$285,59,FALSE)</f>
        <v/>
      </c>
      <c r="AW106" s="27" t="str">
        <f>VLOOKUP($A106,'[1]Raw Data'!$A$3:$FB$285,60,FALSE)</f>
        <v/>
      </c>
      <c r="AX106" s="27" t="str">
        <f>VLOOKUP(A106,'[1]PO''s List'!A104:E386,4,FALSE)</f>
        <v>NRCS(Health)</v>
      </c>
      <c r="AZ106" s="27" t="str">
        <f>VLOOKUP(A106,'[1]PO''s List'!$A$3:$E$285,5,FALSE)</f>
        <v>ADRA(Health),GON - DUDBC(Shelter),HELVETAS(Shelter),Maiti-N(Education),NN(Shelter),NYF(Education,Shelter),SABAL(Shelter),SAGUN(Education),SCI(Education,Social Protection),Tdh(Health)</v>
      </c>
      <c r="BB106" s="27">
        <f>VLOOKUP($A106,'[1]Raw Data'!$A$3:$FB$285,63,FALSE)</f>
        <v>63377</v>
      </c>
      <c r="BC106" s="27" t="str">
        <f>VLOOKUP($A106,'[1]Raw Data'!$A$3:$FB$285,64,FALSE)</f>
        <v/>
      </c>
      <c r="BD106" s="27" t="str">
        <f t="shared" si="9"/>
        <v/>
      </c>
      <c r="BE106" s="27" t="str">
        <f>VLOOKUP($A106,'[1]Raw Data'!$A$3:$FB$285,65,FALSE)</f>
        <v/>
      </c>
      <c r="BF106" s="27">
        <f>VLOOKUP($A106,'[1]Raw Data'!$A$3:$FB$285,66,FALSE)</f>
        <v>63804</v>
      </c>
      <c r="BG106" s="27" t="str">
        <f>VLOOKUP($A106,'[1]Raw Data'!$A$3:$FB$285,67,FALSE)</f>
        <v/>
      </c>
      <c r="BH106" s="27" t="str">
        <f t="shared" si="10"/>
        <v/>
      </c>
      <c r="BI106" s="27" t="str">
        <f>VLOOKUP($A106,'[1]Raw Data'!$A$3:$FB$285,68,FALSE)</f>
        <v/>
      </c>
      <c r="BJ106" s="27">
        <f>VLOOKUP($A106,'[1]Raw Data'!$A$3:$FB$285,69,FALSE)</f>
        <v>6757</v>
      </c>
      <c r="BK106" s="27" t="str">
        <f>VLOOKUP($A106,'[1]Raw Data'!$A$3:$FB$285,70,FALSE)</f>
        <v/>
      </c>
      <c r="BL106" s="27" t="str">
        <f t="shared" si="11"/>
        <v/>
      </c>
      <c r="BM106" s="27" t="str">
        <f>VLOOKUP($A106,'[1]Raw Data'!$A$3:$FB$285,71,FALSE)</f>
        <v/>
      </c>
      <c r="BN106" s="27">
        <f>VLOOKUP($A106,'[1]Raw Data'!$A$3:$FB$285,72,FALSE)</f>
        <v>7760</v>
      </c>
      <c r="BO106" s="27" t="str">
        <f>VLOOKUP($A106,'[1]Raw Data'!$A$3:$FB$285,73,FALSE)</f>
        <v/>
      </c>
      <c r="BP106" s="27" t="str">
        <f t="shared" si="12"/>
        <v/>
      </c>
      <c r="BQ106" s="27" t="str">
        <f>VLOOKUP($A106,'[1]Raw Data'!$A$3:$FB$285,74,FALSE)</f>
        <v/>
      </c>
      <c r="BR106" s="27" t="str">
        <f>VLOOKUP($A106,'[1]Raw Data'!$A$3:$FB$285,75,FALSE)</f>
        <v/>
      </c>
      <c r="BS106" s="27" t="str">
        <f>VLOOKUP($A106,'[1]Raw Data'!$A$3:$FB$285,76,FALSE)</f>
        <v/>
      </c>
      <c r="BT106" s="27" t="str">
        <f t="shared" si="13"/>
        <v/>
      </c>
      <c r="BU106" s="27" t="str">
        <f>VLOOKUP($A106,'[1]Raw Data'!$A$3:$FB$285,77,FALSE)</f>
        <v/>
      </c>
      <c r="BV106" s="27">
        <f>VLOOKUP($A106,'[1]Raw Data'!$A$3:$FB$285,78,FALSE)</f>
        <v>212362</v>
      </c>
      <c r="BW106" s="27" t="str">
        <f>VLOOKUP($A106,'[1]Raw Data'!$A$3:$FB$285,79,FALSE)</f>
        <v/>
      </c>
      <c r="BX106" s="27" t="str">
        <f t="shared" si="14"/>
        <v/>
      </c>
      <c r="BY106" s="27" t="str">
        <f>VLOOKUP($A106,'[1]Raw Data'!$A$3:$FB$285,80,FALSE)</f>
        <v/>
      </c>
      <c r="BZ106" s="27">
        <f>VLOOKUP($A106,'[1]Raw Data'!$A$3:$FB$285,81,FALSE)</f>
        <v>689846</v>
      </c>
      <c r="CA106" s="27" t="str">
        <f>VLOOKUP($A106,'[1]Raw Data'!$A$3:$FB$285,82,FALSE)</f>
        <v/>
      </c>
      <c r="CB106" s="27" t="str">
        <f t="shared" si="15"/>
        <v/>
      </c>
      <c r="CC106" s="27" t="str">
        <f>VLOOKUP($A106,'[1]Raw Data'!$A$3:$FB$285,83,FALSE)</f>
        <v/>
      </c>
      <c r="CD106" s="27">
        <f>VLOOKUP($A106,'[1]Raw Data'!$A$3:$FB$285,84,FALSE)</f>
        <v>8682</v>
      </c>
      <c r="CE106" s="27" t="str">
        <f>VLOOKUP($A106,'[1]Raw Data'!$A$3:$FB$285,85,FALSE)</f>
        <v/>
      </c>
      <c r="CF106" s="27" t="str">
        <f t="shared" si="16"/>
        <v/>
      </c>
      <c r="CG106" s="27" t="str">
        <f>VLOOKUP($A106,'[1]Raw Data'!$A$3:$FB$285,86,FALSE)</f>
        <v/>
      </c>
      <c r="CH106" s="27">
        <f>VLOOKUP($A106,'[1]Raw Data'!$A$3:$FB$285,87,FALSE)</f>
        <v>830653</v>
      </c>
      <c r="CI106" s="27" t="str">
        <f>VLOOKUP($A106,'[1]Raw Data'!$A$3:$FB$285,88,FALSE)</f>
        <v/>
      </c>
      <c r="CJ106" s="27" t="str">
        <f t="shared" si="17"/>
        <v/>
      </c>
      <c r="CK106" s="27" t="str">
        <f>VLOOKUP($A106,'[1]Raw Data'!$A$3:$FB$285,89,FALSE)</f>
        <v/>
      </c>
      <c r="CL106" s="27" t="str">
        <f>VLOOKUP($A106,'[1]Raw Data'!$A$3:$FB$285,91,FALSE)</f>
        <v/>
      </c>
      <c r="CM106" s="27" t="str">
        <f>VLOOKUP($A106,'[1]Raw Data'!$A$3:$FB$285,93,FALSE)</f>
        <v/>
      </c>
      <c r="CN106" s="27" t="str">
        <f>VLOOKUP($A106,'[1]Raw Data'!$A$3:$FB$285,94,FALSE)</f>
        <v/>
      </c>
      <c r="CO106" s="27" t="str">
        <f>VLOOKUP($A106,'[1]Raw Data'!$A$3:$FB$285,95,FALSE)</f>
        <v/>
      </c>
      <c r="CP106" s="27" t="str">
        <f>VLOOKUP($A106,'[1]Raw Data'!$A$3:$FB$285,96,FALSE)</f>
        <v/>
      </c>
      <c r="CQ106" s="27" t="str">
        <f>VLOOKUP($A106,'[1]Raw Data'!$A$3:$FB$285,97,FALSE)</f>
        <v/>
      </c>
      <c r="CR106" s="27" t="str">
        <f>VLOOKUP($A106,'[1]Raw Data'!$A$3:$FB$285,98,FALSE)</f>
        <v/>
      </c>
      <c r="CS106" s="27" t="str">
        <f>VLOOKUP($A106,'[1]Raw Data'!$A$3:$FB$285,99,FALSE)</f>
        <v/>
      </c>
      <c r="CT106" s="27" t="str">
        <f>VLOOKUP($A106,'[1]Raw Data'!$A$3:$FB$285,101,FALSE)</f>
        <v>Dal Bdr Tamang</v>
      </c>
      <c r="CU106" s="27" t="s">
        <v>1118</v>
      </c>
      <c r="CV106" s="27" t="str">
        <f>VLOOKUP($A106,'[1]Raw Data'!$A$3:$FB$285,102,FALSE)</f>
        <v>Mayor</v>
      </c>
      <c r="CW106" s="27" t="s">
        <v>834</v>
      </c>
      <c r="CX106" s="27">
        <f>VLOOKUP($A106,'[1]Raw Data'!$A$3:$FB$285,103,FALSE)</f>
        <v>9851023673</v>
      </c>
      <c r="CY106" s="27" t="str">
        <f>VLOOKUP($A106,'[1]Raw Data'!$A$3:$FB$285,105,FALSE)</f>
        <v>Laxmi Bartaula</v>
      </c>
      <c r="CZ106" s="27" t="s">
        <v>1119</v>
      </c>
      <c r="DA106" s="27" t="str">
        <f>VLOOKUP($A106,'[1]Raw Data'!$A$3:$FB$285,106,FALSE)</f>
        <v>Deputy Mayor</v>
      </c>
      <c r="DB106" s="27" t="s">
        <v>888</v>
      </c>
      <c r="DC106" s="27">
        <f>VLOOKUP($A106,'[1]Raw Data'!$A$3:$FB$285,107,FALSE)</f>
        <v>9841005964</v>
      </c>
      <c r="DD106" s="27" t="str">
        <f>VLOOKUP($A106,'[1]Raw Data'!$A$3:$FB$285,109,FALSE)</f>
        <v>Krishna Prasad Basyal</v>
      </c>
      <c r="DE106" s="27" t="s">
        <v>1120</v>
      </c>
      <c r="DF106" s="27" t="str">
        <f>VLOOKUP($A106,'[1]Raw Data'!$A$3:$FB$285,110,FALSE)</f>
        <v>Adminstration Officer</v>
      </c>
      <c r="DG106" s="27" t="s">
        <v>880</v>
      </c>
      <c r="DH106" s="27">
        <f>VLOOKUP($A106,'[1]Raw Data'!$A$3:$FB$285,111,FALSE)</f>
        <v>9841344795</v>
      </c>
      <c r="DI106" s="27" t="str">
        <f>VLOOKUP($A106,'[1]Raw Data'!$A$3:$FB$285,121,FALSE)</f>
        <v/>
      </c>
      <c r="DK106" s="27" t="str">
        <f>VLOOKUP($A106,'[1]Raw Data'!$A$3:$FB$285,122,FALSE)</f>
        <v>Focal Person</v>
      </c>
      <c r="DL106" s="27" t="s">
        <v>881</v>
      </c>
      <c r="DM106" s="27" t="str">
        <f>VLOOKUP($A106,'[1]Raw Data'!$A$3:$FB$285,123,FALSE)</f>
        <v/>
      </c>
      <c r="DN106" s="27" t="str">
        <f>VLOOKUP($A106,'[1]Raw Data'!$A$3:$FB$285,113,FALSE)</f>
        <v>Lok Nath Regmi</v>
      </c>
      <c r="DO106" s="27" t="s">
        <v>1081</v>
      </c>
      <c r="DP106" s="27" t="str">
        <f>VLOOKUP($A106,'[1]Raw Data'!$A$3:$FB$285,114,FALSE)</f>
        <v>NRA Chief-District</v>
      </c>
      <c r="DQ106" s="27" t="s">
        <v>882</v>
      </c>
      <c r="DR106" s="27">
        <f>VLOOKUP($A106,'[1]Raw Data'!$A$3:$FB$285,115,FALSE)</f>
        <v>9851146403</v>
      </c>
      <c r="DS106" s="27" t="str">
        <f>VLOOKUP($A106,'[1]Raw Data'!$A$3:$FB$285,117,FALSE)</f>
        <v>Mahalaxmi Joshi</v>
      </c>
      <c r="DT106" s="27" t="s">
        <v>1082</v>
      </c>
      <c r="DU106" s="27" t="str">
        <f>VLOOKUP($A106,'[1]Raw Data'!$A$3:$FB$285,118,FALSE)</f>
        <v>DUDBC.DLPIU Chief</v>
      </c>
      <c r="DV106" s="27" t="s">
        <v>883</v>
      </c>
      <c r="DW106" s="27">
        <f>VLOOKUP($A106,'[1]Raw Data'!$A$3:$FB$285,119,FALSE)</f>
        <v>9841010222</v>
      </c>
      <c r="DX106" s="27" t="s">
        <v>339</v>
      </c>
      <c r="DY106" s="27" t="str">
        <f>VLOOKUP($A106,'[1]Raw Data'!$A$3:$FB$285,124,FALSE)</f>
        <v/>
      </c>
      <c r="DZ106" s="27" t="s">
        <v>884</v>
      </c>
      <c r="EA106" s="27" t="str">
        <f>VLOOKUP($A106,'[1]Raw Data'!$A$3:$FB$285,125,FALSE)</f>
        <v/>
      </c>
      <c r="EB106" s="27" t="s">
        <v>341</v>
      </c>
      <c r="EC106" s="27" t="str">
        <f>VLOOKUP($A106,'[1]Raw Data'!$A$3:$FB$285,126,FALSE)</f>
        <v/>
      </c>
      <c r="ED106" t="s">
        <v>478</v>
      </c>
      <c r="EE106" s="27" t="str">
        <f>VLOOKUP($A106,'[1]Raw Data'!$A$3:$FB$285,127,FALSE)</f>
        <v/>
      </c>
      <c r="EF106" s="27" t="s">
        <v>343</v>
      </c>
      <c r="EG106" s="27" t="str">
        <f>VLOOKUP($A106,'[1]Raw Data'!$A$3:$FB$285,128,FALSE)</f>
        <v/>
      </c>
      <c r="EH106" t="s">
        <v>344</v>
      </c>
      <c r="EI106" s="27" t="str">
        <f>VLOOKUP($A106,'[1]Raw Data'!$A$3:$FB$285,129,FALSE)</f>
        <v/>
      </c>
      <c r="EM106" s="27" t="str">
        <f>VLOOKUP($A106,'[1]Raw Data'!$A$3:$FB$285,130,FALSE)</f>
        <v/>
      </c>
      <c r="EN106" s="27" t="str">
        <f>VLOOKUP($A106,'[1]Raw Data'!$A$3:$FB$285,131,FALSE)</f>
        <v/>
      </c>
      <c r="EO106" s="27" t="str">
        <f>VLOOKUP($A106,'[1]Raw Data'!$A$3:$FB$285,132,FALSE)</f>
        <v/>
      </c>
      <c r="EP106" s="27" t="str">
        <f>VLOOKUP($A106,'[1]Raw Data'!$A$3:$FB$285,133,FALSE)</f>
        <v/>
      </c>
      <c r="EQ106" s="27" t="str">
        <f>VLOOKUP($A106,'[1]Raw Data'!$A$3:$FB$285,134,FALSE)</f>
        <v/>
      </c>
      <c r="ER106" s="27" t="str">
        <f>VLOOKUP($A106,'[1]Raw Data'!$A$3:$FB$285,135,FALSE)</f>
        <v/>
      </c>
      <c r="ES106" s="27" t="str">
        <f>VLOOKUP($A106,'[1]Raw Data'!$A$3:$FB$285,136,FALSE)</f>
        <v/>
      </c>
      <c r="ET106" s="27" t="str">
        <f>VLOOKUP($A106,'[1]Raw Data'!$A$3:$FB$285,137,FALSE)</f>
        <v/>
      </c>
      <c r="EU106" s="27" t="str">
        <f>VLOOKUP($A106,'[1]Raw Data'!$A$3:$FB$285,138,FALSE)</f>
        <v/>
      </c>
      <c r="EV106" s="27" t="str">
        <f>VLOOKUP($A106,'[1]Raw Data'!$A$3:$FB$285,139,FALSE)</f>
        <v/>
      </c>
      <c r="EW106" s="38">
        <f>VLOOKUP($A106,[1]Training!$A$2:$I$284,5,FALSE)</f>
        <v>481.69230769230768</v>
      </c>
      <c r="EX106" s="31">
        <f>VLOOKUP($A106,[1]Training!$A$2:$I$284,6,FALSE)</f>
        <v>518</v>
      </c>
      <c r="EY106" s="38">
        <f>VLOOKUP($A106,[1]Training!$A$2:$I$284,8,FALSE)</f>
        <v>566.98417297453921</v>
      </c>
      <c r="EZ106" s="31">
        <f>VLOOKUP($A106,[1]Training!$A$2:$I$284,9,FALSE)</f>
        <v>113</v>
      </c>
      <c r="FA106" s="27">
        <v>1</v>
      </c>
      <c r="FB106" s="27">
        <v>2</v>
      </c>
      <c r="FC106" s="27" t="str">
        <f>VLOOKUP($A106,'[1]Raw Data'!$A$3:$FB$285,148,FALSE)</f>
        <v>Reshma Shrestha</v>
      </c>
      <c r="FD106" s="27" t="s">
        <v>1083</v>
      </c>
      <c r="FE106" s="27" t="str">
        <f>VLOOKUP($A106,'[1]Raw Data'!$A$3:$FB$285,149,FALSE)</f>
        <v>District Coordinator</v>
      </c>
      <c r="FF106" s="27" t="s">
        <v>885</v>
      </c>
      <c r="FG106" s="27">
        <f>VLOOKUP($A106,'[1]Raw Data'!$A$3:$FB$285,150,FALSE)</f>
        <v>9841264190</v>
      </c>
      <c r="FH106" s="27" t="str">
        <f>VLOOKUP($A106,'[1]Raw Data'!$A$3:$FB$285,156,FALSE)</f>
        <v/>
      </c>
      <c r="FJ106" s="27" t="str">
        <f>VLOOKUP($A106,'[1]Raw Data'!$A$3:$FB$285,157,FALSE)</f>
        <v>District Technical Officer</v>
      </c>
      <c r="FK106" s="27" t="s">
        <v>886</v>
      </c>
      <c r="FL106" s="27" t="str">
        <f>VLOOKUP($A106,'[1]Raw Data'!$A$3:$FB$285,158,FALSE)</f>
        <v/>
      </c>
      <c r="FM106" s="27" t="str">
        <f>VLOOKUP($A106,'[1]Raw Data'!$A$3:$FB$285,152,FALSE)</f>
        <v>Ishor Neupane</v>
      </c>
      <c r="FN106" s="27" t="s">
        <v>1084</v>
      </c>
      <c r="FO106" s="27" t="str">
        <f>VLOOKUP($A106,'[1]Raw Data'!$A$3:$FB$285,153,FALSE)</f>
        <v>DIstrict Information Management Officer</v>
      </c>
      <c r="FP106" s="27" t="s">
        <v>887</v>
      </c>
      <c r="FQ106" s="27">
        <f>VLOOKUP($A106,'[1]Raw Data'!$A$3:$FB$285,154,FALSE)</f>
        <v>9801317265</v>
      </c>
    </row>
    <row r="107" spans="1:173" ht="24" x14ac:dyDescent="0.45">
      <c r="A107" s="27">
        <v>24013</v>
      </c>
      <c r="B107" s="36" t="str">
        <f ca="1">IFERROR(__xludf.DUMMYFUNCTION("""COMPUTED_VALUE"""),"Temal Gaunpalika")</f>
        <v>Temal Gaunpalika</v>
      </c>
      <c r="C107" s="37" t="str">
        <f>VLOOKUP(A107,'[1]Palika and District in Nepali '!$D$1:$F$283,3,FALSE)</f>
        <v>तिमाल गाऊँपालिका</v>
      </c>
      <c r="D107" s="36" t="str">
        <f ca="1">IFERROR(__xludf.DUMMYFUNCTION("""COMPUTED_VALUE"""),"Kavrepalanchok")</f>
        <v>Kavrepalanchok</v>
      </c>
      <c r="E107" s="36"/>
      <c r="F107" s="27">
        <f>VLOOKUP(A107,'[1]Raw Data'!$A$3:$FB$285,4,FALSE)</f>
        <v>1632</v>
      </c>
      <c r="G107" s="27">
        <f>VLOOKUP(A107,'[1]Raw Data'!$A$3:$FB$285,5,FALSE)</f>
        <v>4569</v>
      </c>
      <c r="H107" s="27">
        <f>VLOOKUP(A107,'[1]Raw Data'!$A$3:$FB$285,6,FALSE)</f>
        <v>6201</v>
      </c>
      <c r="I107" s="27">
        <f>VLOOKUP($A107,'[1]Raw Data'!$A$3:$FB$285,8,FALSE)</f>
        <v>0.16</v>
      </c>
      <c r="J107" s="27">
        <f>VLOOKUP($A107,'[1]Raw Data'!$A$3:$FB$285,9,FALSE)</f>
        <v>0.28999999999999998</v>
      </c>
      <c r="K107" s="27">
        <f>VLOOKUP($A107,'[1]Raw Data'!$A$3:$FB$285,11,FALSE)</f>
        <v>99.21</v>
      </c>
      <c r="L107" s="27">
        <f>VLOOKUP($A107,'[1]Raw Data'!$A$3:$FB$285,12,FALSE)</f>
        <v>69.19</v>
      </c>
      <c r="M107" s="27">
        <f>VLOOKUP($A107,'[1]Raw Data'!$A$3:$FB$285,14,FALSE)</f>
        <v>0.05</v>
      </c>
      <c r="N107" s="27">
        <f>VLOOKUP($A107,'[1]Raw Data'!$A$3:$FB$285,15,FALSE)</f>
        <v>5.98</v>
      </c>
      <c r="O107" s="27">
        <f>VLOOKUP($A107,'[1]Raw Data'!$A$3:$FB$285,17,FALSE)</f>
        <v>0.1</v>
      </c>
      <c r="P107" s="27">
        <f>VLOOKUP($A107,'[1]Raw Data'!$A$3:$FB$285,18,FALSE)</f>
        <v>4.0199999999999996</v>
      </c>
      <c r="Q107" s="27">
        <f>VLOOKUP($A107,'[1]Raw Data'!$A$3:$FB$285,20,FALSE)</f>
        <v>0.11</v>
      </c>
      <c r="R107" s="27">
        <f>VLOOKUP($A107,'[1]Raw Data'!$A$3:$FB$285,21,FALSE)</f>
        <v>4.6500000000000004</v>
      </c>
      <c r="S107" s="27">
        <f>VLOOKUP($A107,'[1]Raw Data'!$A$3:$FB$285,23,FALSE)</f>
        <v>0</v>
      </c>
      <c r="T107" s="27">
        <f>VLOOKUP($A107,'[1]Raw Data'!$A$3:$FB$285,24,FALSE)</f>
        <v>0</v>
      </c>
      <c r="U107" s="27">
        <f>VLOOKUP($A107,'[1]Raw Data'!$A$3:$FB$285,26,FALSE)</f>
        <v>0.02</v>
      </c>
      <c r="V107" s="27">
        <f>VLOOKUP($A107,'[1]Raw Data'!$A$3:$FB$285,27,FALSE)</f>
        <v>0.38</v>
      </c>
      <c r="W107" s="27">
        <f>VLOOKUP($A107,'[1]Raw Data'!$A$3:$FB$285,29,FALSE)</f>
        <v>0</v>
      </c>
      <c r="X107" s="27">
        <f>VLOOKUP($A107,'[1]Raw Data'!$A$3:$FB$285,30,FALSE)</f>
        <v>0</v>
      </c>
      <c r="Y107" s="27">
        <f>VLOOKUP($A107,'[1]Raw Data'!$A$3:$FB$285,32,FALSE)</f>
        <v>0.05</v>
      </c>
      <c r="Z107" s="27">
        <f>VLOOKUP($A107,'[1]Raw Data'!$A$3:$FB$285,33,FALSE)</f>
        <v>0.06</v>
      </c>
      <c r="AA107" s="27">
        <f>VLOOKUP($A107,'[1]Raw Data'!$A$3:$FB$285,35,FALSE)</f>
        <v>0.27</v>
      </c>
      <c r="AB107" s="27">
        <f>VLOOKUP($A107,'[1]Raw Data'!$A$3:$FB$285,36,FALSE)</f>
        <v>15.32</v>
      </c>
      <c r="AC107" s="27">
        <f>VLOOKUP($A107,'[1]Raw Data'!$A$3:$FB$285,38,FALSE)</f>
        <v>0.03</v>
      </c>
      <c r="AD107" s="27">
        <f>VLOOKUP($A107,'[1]Raw Data'!$A$3:$FB$285,39,FALSE)</f>
        <v>0.11</v>
      </c>
      <c r="AE107" s="27">
        <f>VLOOKUP($A107,'[1]Raw Data'!$A$3:$FB$285,41,FALSE)</f>
        <v>0</v>
      </c>
      <c r="AF107" s="27">
        <f>VLOOKUP($A107,'[1]Raw Data'!$A$3:$FB$285,42,FALSE)</f>
        <v>0</v>
      </c>
      <c r="AG107" s="27">
        <f>VLOOKUP($A107,'[1]Raw Data'!$A$3:$FB$285,44,FALSE)</f>
        <v>0</v>
      </c>
      <c r="AH107" s="27">
        <f>VLOOKUP($A107,'[1]Raw Data'!$A$3:$FB$285,45,FALSE)</f>
        <v>0</v>
      </c>
      <c r="AI107" s="27">
        <f>VLOOKUP($A107,'[1]Raw Data'!$A$3:$FB$285,46,FALSE)</f>
        <v>4847</v>
      </c>
      <c r="AJ107" s="27">
        <f>VLOOKUP($A107,'[1]Raw Data'!$A$3:$FB$285,47,FALSE)</f>
        <v>4137</v>
      </c>
      <c r="AK107" s="27">
        <f>VLOOKUP($A107,'[1]Raw Data'!$A$3:$FB$285,48,FALSE)</f>
        <v>4055</v>
      </c>
      <c r="AL107" s="27">
        <f>VLOOKUP($A107,'[1]Raw Data'!$A$3:$FB$285,49,FALSE)</f>
        <v>2787</v>
      </c>
      <c r="AM107" s="27">
        <f>VLOOKUP($A107,'[1]Raw Data'!$A$3:$FB$285,50,FALSE)</f>
        <v>1571</v>
      </c>
      <c r="AN107" s="27">
        <f>VLOOKUP($A107,'[1]Raw Data'!$A$3:$FB$285,51,FALSE)</f>
        <v>0</v>
      </c>
      <c r="AO107" s="27" t="str">
        <f>VLOOKUP($A107,'[1]Raw Data'!$A$3:$FB$285,52,FALSE)</f>
        <v/>
      </c>
      <c r="AP107" s="27">
        <f>VLOOKUP($A107,'[1]Raw Data'!$A$3:$FB$285,53,FALSE)</f>
        <v>597</v>
      </c>
      <c r="AQ107" s="27" t="str">
        <f>VLOOKUP($A107,'[1]Raw Data'!$A$3:$FB$285,54,FALSE)</f>
        <v/>
      </c>
      <c r="AR107" s="27">
        <f>VLOOKUP($A107,'[1]Raw Data'!$A$3:$FB$285,55,FALSE)</f>
        <v>100</v>
      </c>
      <c r="AS107" s="27">
        <f>VLOOKUP($A107,'[1]Raw Data'!$A$3:$FB$285,56,FALSE)</f>
        <v>1</v>
      </c>
      <c r="AT107" s="27">
        <f>VLOOKUP($A107,'[1]Raw Data'!$A$3:$FB$285,57,FALSE)</f>
        <v>2101</v>
      </c>
      <c r="AU107" s="27">
        <f>VLOOKUP($A107,'[1]Raw Data'!$A$3:$FB$285,58,FALSE)</f>
        <v>2069</v>
      </c>
      <c r="AV107" s="27" t="str">
        <f>VLOOKUP($A107,'[1]Raw Data'!$A$3:$FB$285,59,FALSE)</f>
        <v/>
      </c>
      <c r="AW107" s="27" t="str">
        <f>VLOOKUP($A107,'[1]Raw Data'!$A$3:$FB$285,60,FALSE)</f>
        <v/>
      </c>
      <c r="AX107" s="27" t="str">
        <f>VLOOKUP(A107,'[1]PO''s List'!A105:E387,4,FALSE)</f>
        <v>NRCS(Livelihood,Employment ,Shelter,Health)</v>
      </c>
      <c r="AZ107" s="27" t="str">
        <f>VLOOKUP(A107,'[1]PO''s List'!$A$3:$E$285,5,FALSE)</f>
        <v>ADRA(Health),GON - DUDBC(Shelter),NYF(Education,Shelter),SABAL(Shelter)</v>
      </c>
      <c r="BB107" s="27">
        <f>VLOOKUP($A107,'[1]Raw Data'!$A$3:$FB$285,63,FALSE)</f>
        <v>55759</v>
      </c>
      <c r="BC107" s="27" t="str">
        <f>VLOOKUP($A107,'[1]Raw Data'!$A$3:$FB$285,64,FALSE)</f>
        <v/>
      </c>
      <c r="BD107" s="27" t="str">
        <f t="shared" si="9"/>
        <v/>
      </c>
      <c r="BE107" s="27" t="str">
        <f>VLOOKUP($A107,'[1]Raw Data'!$A$3:$FB$285,65,FALSE)</f>
        <v/>
      </c>
      <c r="BF107" s="27">
        <f>VLOOKUP($A107,'[1]Raw Data'!$A$3:$FB$285,66,FALSE)</f>
        <v>56245</v>
      </c>
      <c r="BG107" s="27" t="str">
        <f>VLOOKUP($A107,'[1]Raw Data'!$A$3:$FB$285,67,FALSE)</f>
        <v/>
      </c>
      <c r="BH107" s="27" t="str">
        <f t="shared" si="10"/>
        <v/>
      </c>
      <c r="BI107" s="27" t="str">
        <f>VLOOKUP($A107,'[1]Raw Data'!$A$3:$FB$285,68,FALSE)</f>
        <v/>
      </c>
      <c r="BJ107" s="27">
        <f>VLOOKUP($A107,'[1]Raw Data'!$A$3:$FB$285,69,FALSE)</f>
        <v>5948</v>
      </c>
      <c r="BK107" s="27" t="str">
        <f>VLOOKUP($A107,'[1]Raw Data'!$A$3:$FB$285,70,FALSE)</f>
        <v/>
      </c>
      <c r="BL107" s="27" t="str">
        <f t="shared" si="11"/>
        <v/>
      </c>
      <c r="BM107" s="27" t="str">
        <f>VLOOKUP($A107,'[1]Raw Data'!$A$3:$FB$285,71,FALSE)</f>
        <v/>
      </c>
      <c r="BN107" s="27">
        <f>VLOOKUP($A107,'[1]Raw Data'!$A$3:$FB$285,72,FALSE)</f>
        <v>6841</v>
      </c>
      <c r="BO107" s="27" t="str">
        <f>VLOOKUP($A107,'[1]Raw Data'!$A$3:$FB$285,73,FALSE)</f>
        <v/>
      </c>
      <c r="BP107" s="27" t="str">
        <f t="shared" si="12"/>
        <v/>
      </c>
      <c r="BQ107" s="27" t="str">
        <f>VLOOKUP($A107,'[1]Raw Data'!$A$3:$FB$285,74,FALSE)</f>
        <v/>
      </c>
      <c r="BR107" s="27" t="str">
        <f>VLOOKUP($A107,'[1]Raw Data'!$A$3:$FB$285,75,FALSE)</f>
        <v/>
      </c>
      <c r="BS107" s="27" t="str">
        <f>VLOOKUP($A107,'[1]Raw Data'!$A$3:$FB$285,76,FALSE)</f>
        <v/>
      </c>
      <c r="BT107" s="27" t="str">
        <f t="shared" si="13"/>
        <v/>
      </c>
      <c r="BU107" s="27" t="str">
        <f>VLOOKUP($A107,'[1]Raw Data'!$A$3:$FB$285,77,FALSE)</f>
        <v/>
      </c>
      <c r="BV107" s="27">
        <f>VLOOKUP($A107,'[1]Raw Data'!$A$3:$FB$285,78,FALSE)</f>
        <v>188638</v>
      </c>
      <c r="BW107" s="27" t="str">
        <f>VLOOKUP($A107,'[1]Raw Data'!$A$3:$FB$285,79,FALSE)</f>
        <v/>
      </c>
      <c r="BX107" s="27" t="str">
        <f t="shared" si="14"/>
        <v/>
      </c>
      <c r="BY107" s="27" t="str">
        <f>VLOOKUP($A107,'[1]Raw Data'!$A$3:$FB$285,80,FALSE)</f>
        <v/>
      </c>
      <c r="BZ107" s="27">
        <f>VLOOKUP($A107,'[1]Raw Data'!$A$3:$FB$285,81,FALSE)</f>
        <v>608715</v>
      </c>
      <c r="CA107" s="27" t="str">
        <f>VLOOKUP($A107,'[1]Raw Data'!$A$3:$FB$285,82,FALSE)</f>
        <v/>
      </c>
      <c r="CB107" s="27" t="str">
        <f t="shared" si="15"/>
        <v/>
      </c>
      <c r="CC107" s="27" t="str">
        <f>VLOOKUP($A107,'[1]Raw Data'!$A$3:$FB$285,83,FALSE)</f>
        <v/>
      </c>
      <c r="CD107" s="27">
        <f>VLOOKUP($A107,'[1]Raw Data'!$A$3:$FB$285,84,FALSE)</f>
        <v>7721</v>
      </c>
      <c r="CE107" s="27" t="str">
        <f>VLOOKUP($A107,'[1]Raw Data'!$A$3:$FB$285,85,FALSE)</f>
        <v/>
      </c>
      <c r="CF107" s="27" t="str">
        <f t="shared" si="16"/>
        <v/>
      </c>
      <c r="CG107" s="27" t="str">
        <f>VLOOKUP($A107,'[1]Raw Data'!$A$3:$FB$285,86,FALSE)</f>
        <v/>
      </c>
      <c r="CH107" s="27">
        <f>VLOOKUP($A107,'[1]Raw Data'!$A$3:$FB$285,87,FALSE)</f>
        <v>945401</v>
      </c>
      <c r="CI107" s="27" t="str">
        <f>VLOOKUP($A107,'[1]Raw Data'!$A$3:$FB$285,88,FALSE)</f>
        <v/>
      </c>
      <c r="CJ107" s="27" t="str">
        <f t="shared" si="17"/>
        <v/>
      </c>
      <c r="CK107" s="27" t="str">
        <f>VLOOKUP($A107,'[1]Raw Data'!$A$3:$FB$285,89,FALSE)</f>
        <v/>
      </c>
      <c r="CL107" s="27">
        <f>VLOOKUP($A107,'[1]Raw Data'!$A$3:$FB$285,91,FALSE)</f>
        <v>1500</v>
      </c>
      <c r="CM107" s="27">
        <f>VLOOKUP($A107,'[1]Raw Data'!$A$3:$FB$285,93,FALSE)</f>
        <v>1000</v>
      </c>
      <c r="CN107" s="27" t="str">
        <f>VLOOKUP($A107,'[1]Raw Data'!$A$3:$FB$285,94,FALSE)</f>
        <v/>
      </c>
      <c r="CO107" s="27" t="str">
        <f>VLOOKUP($A107,'[1]Raw Data'!$A$3:$FB$285,95,FALSE)</f>
        <v/>
      </c>
      <c r="CP107" s="27" t="str">
        <f>VLOOKUP($A107,'[1]Raw Data'!$A$3:$FB$285,96,FALSE)</f>
        <v/>
      </c>
      <c r="CQ107" s="27" t="str">
        <f>VLOOKUP($A107,'[1]Raw Data'!$A$3:$FB$285,97,FALSE)</f>
        <v/>
      </c>
      <c r="CR107" s="27" t="str">
        <f>VLOOKUP($A107,'[1]Raw Data'!$A$3:$FB$285,98,FALSE)</f>
        <v/>
      </c>
      <c r="CS107" s="27" t="str">
        <f>VLOOKUP($A107,'[1]Raw Data'!$A$3:$FB$285,99,FALSE)</f>
        <v/>
      </c>
      <c r="CT107" s="27" t="str">
        <f>VLOOKUP($A107,'[1]Raw Data'!$A$3:$FB$285,101,FALSE)</f>
        <v>Salam Singh Tamang</v>
      </c>
      <c r="CU107" s="27" t="s">
        <v>1121</v>
      </c>
      <c r="CV107" s="27" t="str">
        <f>VLOOKUP($A107,'[1]Raw Data'!$A$3:$FB$285,102,FALSE)</f>
        <v>Mayor</v>
      </c>
      <c r="CW107" s="27" t="s">
        <v>834</v>
      </c>
      <c r="CX107" s="27">
        <f>VLOOKUP($A107,'[1]Raw Data'!$A$3:$FB$285,103,FALSE)</f>
        <v>9851083953</v>
      </c>
      <c r="CY107" s="27" t="str">
        <f>VLOOKUP($A107,'[1]Raw Data'!$A$3:$FB$285,105,FALSE)</f>
        <v>Durga Maya Tamang</v>
      </c>
      <c r="CZ107" s="27" t="s">
        <v>1122</v>
      </c>
      <c r="DA107" s="27" t="str">
        <f>VLOOKUP($A107,'[1]Raw Data'!$A$3:$FB$285,106,FALSE)</f>
        <v>Deputy Mayor</v>
      </c>
      <c r="DB107" s="27" t="s">
        <v>888</v>
      </c>
      <c r="DC107" s="27">
        <f>VLOOKUP($A107,'[1]Raw Data'!$A$3:$FB$285,107,FALSE)</f>
        <v>9849482709</v>
      </c>
      <c r="DD107" s="27" t="str">
        <f>VLOOKUP($A107,'[1]Raw Data'!$A$3:$FB$285,109,FALSE)</f>
        <v>Sharmila Lamichhane</v>
      </c>
      <c r="DE107" s="27" t="s">
        <v>1123</v>
      </c>
      <c r="DF107" s="27" t="str">
        <f>VLOOKUP($A107,'[1]Raw Data'!$A$3:$FB$285,110,FALSE)</f>
        <v>Adminstration Officer</v>
      </c>
      <c r="DG107" s="27" t="s">
        <v>880</v>
      </c>
      <c r="DH107" s="27">
        <f>VLOOKUP($A107,'[1]Raw Data'!$A$3:$FB$285,111,FALSE)</f>
        <v>9841700755</v>
      </c>
      <c r="DI107" s="27" t="str">
        <f>VLOOKUP($A107,'[1]Raw Data'!$A$3:$FB$285,121,FALSE)</f>
        <v/>
      </c>
      <c r="DK107" s="27" t="str">
        <f>VLOOKUP($A107,'[1]Raw Data'!$A$3:$FB$285,122,FALSE)</f>
        <v>Focal Person</v>
      </c>
      <c r="DL107" s="27" t="s">
        <v>881</v>
      </c>
      <c r="DM107" s="27" t="str">
        <f>VLOOKUP($A107,'[1]Raw Data'!$A$3:$FB$285,123,FALSE)</f>
        <v/>
      </c>
      <c r="DN107" s="27" t="str">
        <f>VLOOKUP($A107,'[1]Raw Data'!$A$3:$FB$285,113,FALSE)</f>
        <v>Lok Nath Regmi</v>
      </c>
      <c r="DO107" s="27" t="s">
        <v>1081</v>
      </c>
      <c r="DP107" s="27" t="str">
        <f>VLOOKUP($A107,'[1]Raw Data'!$A$3:$FB$285,114,FALSE)</f>
        <v>NRA Chief-District</v>
      </c>
      <c r="DQ107" s="27" t="s">
        <v>882</v>
      </c>
      <c r="DR107" s="27">
        <f>VLOOKUP($A107,'[1]Raw Data'!$A$3:$FB$285,115,FALSE)</f>
        <v>9851146403</v>
      </c>
      <c r="DS107" s="27" t="str">
        <f>VLOOKUP($A107,'[1]Raw Data'!$A$3:$FB$285,117,FALSE)</f>
        <v>Mahalaxmi Joshi</v>
      </c>
      <c r="DT107" s="27" t="s">
        <v>1082</v>
      </c>
      <c r="DU107" s="27" t="str">
        <f>VLOOKUP($A107,'[1]Raw Data'!$A$3:$FB$285,118,FALSE)</f>
        <v>DUDBC.DLPIU Chief</v>
      </c>
      <c r="DV107" s="27" t="s">
        <v>883</v>
      </c>
      <c r="DW107" s="27">
        <f>VLOOKUP($A107,'[1]Raw Data'!$A$3:$FB$285,119,FALSE)</f>
        <v>9841010222</v>
      </c>
      <c r="DX107" s="27" t="s">
        <v>339</v>
      </c>
      <c r="DY107" s="27" t="str">
        <f>VLOOKUP($A107,'[1]Raw Data'!$A$3:$FB$285,124,FALSE)</f>
        <v/>
      </c>
      <c r="DZ107" s="27" t="s">
        <v>884</v>
      </c>
      <c r="EA107" s="27" t="str">
        <f>VLOOKUP($A107,'[1]Raw Data'!$A$3:$FB$285,125,FALSE)</f>
        <v/>
      </c>
      <c r="EB107" s="27" t="s">
        <v>341</v>
      </c>
      <c r="EC107" s="27" t="str">
        <f>VLOOKUP($A107,'[1]Raw Data'!$A$3:$FB$285,126,FALSE)</f>
        <v/>
      </c>
      <c r="ED107" t="s">
        <v>478</v>
      </c>
      <c r="EE107" s="27" t="str">
        <f>VLOOKUP($A107,'[1]Raw Data'!$A$3:$FB$285,127,FALSE)</f>
        <v/>
      </c>
      <c r="EF107" s="27" t="s">
        <v>343</v>
      </c>
      <c r="EG107" s="27" t="str">
        <f>VLOOKUP($A107,'[1]Raw Data'!$A$3:$FB$285,128,FALSE)</f>
        <v/>
      </c>
      <c r="EH107" t="s">
        <v>344</v>
      </c>
      <c r="EI107" s="27" t="str">
        <f>VLOOKUP($A107,'[1]Raw Data'!$A$3:$FB$285,129,FALSE)</f>
        <v/>
      </c>
      <c r="EM107" s="27">
        <f>VLOOKUP($A107,'[1]Raw Data'!$A$3:$FB$285,130,FALSE)</f>
        <v>7</v>
      </c>
      <c r="EN107" s="27" t="str">
        <f>VLOOKUP($A107,'[1]Raw Data'!$A$3:$FB$285,131,FALSE)</f>
        <v/>
      </c>
      <c r="EO107" s="27" t="str">
        <f>VLOOKUP($A107,'[1]Raw Data'!$A$3:$FB$285,132,FALSE)</f>
        <v/>
      </c>
      <c r="EP107" s="27" t="str">
        <f>VLOOKUP($A107,'[1]Raw Data'!$A$3:$FB$285,133,FALSE)</f>
        <v/>
      </c>
      <c r="EQ107" s="27">
        <f>VLOOKUP($A107,'[1]Raw Data'!$A$3:$FB$285,134,FALSE)</f>
        <v>8</v>
      </c>
      <c r="ER107" s="27" t="str">
        <f>VLOOKUP($A107,'[1]Raw Data'!$A$3:$FB$285,135,FALSE)</f>
        <v/>
      </c>
      <c r="ES107" s="27" t="str">
        <f>VLOOKUP($A107,'[1]Raw Data'!$A$3:$FB$285,136,FALSE)</f>
        <v>160</v>
      </c>
      <c r="ET107" s="27" t="str">
        <f>VLOOKUP($A107,'[1]Raw Data'!$A$3:$FB$285,137,FALSE)</f>
        <v>150</v>
      </c>
      <c r="EU107" s="27" t="str">
        <f>VLOOKUP($A107,'[1]Raw Data'!$A$3:$FB$285,138,FALSE)</f>
        <v/>
      </c>
      <c r="EV107" s="27" t="str">
        <f>VLOOKUP($A107,'[1]Raw Data'!$A$3:$FB$285,139,FALSE)</f>
        <v/>
      </c>
      <c r="EW107" s="38">
        <f>VLOOKUP($A107,[1]Training!$A$2:$I$284,5,FALSE)</f>
        <v>372.84615384615387</v>
      </c>
      <c r="EX107" s="31">
        <f>VLOOKUP($A107,[1]Training!$A$2:$I$284,6,FALSE)</f>
        <v>97</v>
      </c>
      <c r="EY107" s="38">
        <f>VLOOKUP($A107,[1]Training!$A$2:$I$284,8,FALSE)</f>
        <v>438.86494513056391</v>
      </c>
      <c r="EZ107" s="31">
        <f>VLOOKUP($A107,[1]Training!$A$2:$I$284,9,FALSE)</f>
        <v>30</v>
      </c>
      <c r="FA107" s="27">
        <v>1</v>
      </c>
      <c r="FB107" s="27">
        <v>2</v>
      </c>
      <c r="FC107" s="27" t="str">
        <f>VLOOKUP($A107,'[1]Raw Data'!$A$3:$FB$285,148,FALSE)</f>
        <v>Reshma Shrestha</v>
      </c>
      <c r="FD107" s="27" t="s">
        <v>1083</v>
      </c>
      <c r="FE107" s="27" t="str">
        <f>VLOOKUP($A107,'[1]Raw Data'!$A$3:$FB$285,149,FALSE)</f>
        <v>District Coordinator</v>
      </c>
      <c r="FF107" s="27" t="s">
        <v>885</v>
      </c>
      <c r="FG107" s="27">
        <f>VLOOKUP($A107,'[1]Raw Data'!$A$3:$FB$285,150,FALSE)</f>
        <v>9841264190</v>
      </c>
      <c r="FH107" s="27" t="str">
        <f>VLOOKUP($A107,'[1]Raw Data'!$A$3:$FB$285,156,FALSE)</f>
        <v/>
      </c>
      <c r="FJ107" s="27" t="str">
        <f>VLOOKUP($A107,'[1]Raw Data'!$A$3:$FB$285,157,FALSE)</f>
        <v>District Technical Officer</v>
      </c>
      <c r="FK107" s="27" t="s">
        <v>886</v>
      </c>
      <c r="FL107" s="27" t="str">
        <f>VLOOKUP($A107,'[1]Raw Data'!$A$3:$FB$285,158,FALSE)</f>
        <v/>
      </c>
      <c r="FM107" s="27" t="str">
        <f>VLOOKUP($A107,'[1]Raw Data'!$A$3:$FB$285,152,FALSE)</f>
        <v>Ishor Neupane</v>
      </c>
      <c r="FN107" s="27" t="s">
        <v>1084</v>
      </c>
      <c r="FO107" s="27" t="str">
        <f>VLOOKUP($A107,'[1]Raw Data'!$A$3:$FB$285,153,FALSE)</f>
        <v>DIstrict Information Management Officer</v>
      </c>
      <c r="FP107" s="27" t="s">
        <v>887</v>
      </c>
      <c r="FQ107" s="27">
        <f>VLOOKUP($A107,'[1]Raw Data'!$A$3:$FB$285,154,FALSE)</f>
        <v>9801317265</v>
      </c>
    </row>
    <row r="108" spans="1:173" ht="24" x14ac:dyDescent="0.45">
      <c r="A108" s="27">
        <v>25001</v>
      </c>
      <c r="B108" s="36" t="str">
        <f ca="1">IFERROR(__xludf.DUMMYFUNCTION("""COMPUTED_VALUE"""),"Bagmati Gaunpalika")</f>
        <v>Bagmati Gaunpalika</v>
      </c>
      <c r="C108" s="37" t="str">
        <f>VLOOKUP(A108,'[1]Palika and District in Nepali '!$D$1:$F$283,3,FALSE)</f>
        <v>बाग्मती गाउँपालिका</v>
      </c>
      <c r="D108" s="36" t="str">
        <f ca="1">IFERROR(__xludf.DUMMYFUNCTION("""COMPUTED_VALUE"""),"Lalitpur")</f>
        <v>Lalitpur</v>
      </c>
      <c r="E108" s="36"/>
      <c r="F108" s="27">
        <f>VLOOKUP(A108,'[1]Raw Data'!$A$3:$FB$285,4,FALSE)</f>
        <v>260</v>
      </c>
      <c r="G108" s="27">
        <f>VLOOKUP(A108,'[1]Raw Data'!$A$3:$FB$285,5,FALSE)</f>
        <v>3101</v>
      </c>
      <c r="H108" s="27">
        <f>VLOOKUP(A108,'[1]Raw Data'!$A$3:$FB$285,6,FALSE)</f>
        <v>3361</v>
      </c>
      <c r="I108" s="27">
        <f>VLOOKUP($A108,'[1]Raw Data'!$A$3:$FB$285,8,FALSE)</f>
        <v>0.09</v>
      </c>
      <c r="J108" s="27">
        <f>VLOOKUP($A108,'[1]Raw Data'!$A$3:$FB$285,9,FALSE)</f>
        <v>0.6</v>
      </c>
      <c r="K108" s="27">
        <f>VLOOKUP($A108,'[1]Raw Data'!$A$3:$FB$285,11,FALSE)</f>
        <v>97.83</v>
      </c>
      <c r="L108" s="27">
        <f>VLOOKUP($A108,'[1]Raw Data'!$A$3:$FB$285,12,FALSE)</f>
        <v>39.28</v>
      </c>
      <c r="M108" s="27">
        <f>VLOOKUP($A108,'[1]Raw Data'!$A$3:$FB$285,14,FALSE)</f>
        <v>0.06</v>
      </c>
      <c r="N108" s="27">
        <f>VLOOKUP($A108,'[1]Raw Data'!$A$3:$FB$285,15,FALSE)</f>
        <v>4.51</v>
      </c>
      <c r="O108" s="27">
        <f>VLOOKUP($A108,'[1]Raw Data'!$A$3:$FB$285,17,FALSE)</f>
        <v>0.03</v>
      </c>
      <c r="P108" s="27">
        <f>VLOOKUP($A108,'[1]Raw Data'!$A$3:$FB$285,18,FALSE)</f>
        <v>18.14</v>
      </c>
      <c r="Q108" s="27">
        <f>VLOOKUP($A108,'[1]Raw Data'!$A$3:$FB$285,20,FALSE)</f>
        <v>0.09</v>
      </c>
      <c r="R108" s="27">
        <f>VLOOKUP($A108,'[1]Raw Data'!$A$3:$FB$285,21,FALSE)</f>
        <v>2.15</v>
      </c>
      <c r="S108" s="27">
        <f>VLOOKUP($A108,'[1]Raw Data'!$A$3:$FB$285,23,FALSE)</f>
        <v>0</v>
      </c>
      <c r="T108" s="27">
        <f>VLOOKUP($A108,'[1]Raw Data'!$A$3:$FB$285,24,FALSE)</f>
        <v>0</v>
      </c>
      <c r="U108" s="27">
        <f>VLOOKUP($A108,'[1]Raw Data'!$A$3:$FB$285,26,FALSE)</f>
        <v>0.33</v>
      </c>
      <c r="V108" s="27">
        <f>VLOOKUP($A108,'[1]Raw Data'!$A$3:$FB$285,27,FALSE)</f>
        <v>0.12</v>
      </c>
      <c r="W108" s="27">
        <f>VLOOKUP($A108,'[1]Raw Data'!$A$3:$FB$285,29,FALSE)</f>
        <v>0</v>
      </c>
      <c r="X108" s="27">
        <f>VLOOKUP($A108,'[1]Raw Data'!$A$3:$FB$285,30,FALSE)</f>
        <v>0</v>
      </c>
      <c r="Y108" s="27">
        <f>VLOOKUP($A108,'[1]Raw Data'!$A$3:$FB$285,32,FALSE)</f>
        <v>0.48</v>
      </c>
      <c r="Z108" s="27">
        <f>VLOOKUP($A108,'[1]Raw Data'!$A$3:$FB$285,33,FALSE)</f>
        <v>0.31</v>
      </c>
      <c r="AA108" s="27">
        <f>VLOOKUP($A108,'[1]Raw Data'!$A$3:$FB$285,35,FALSE)</f>
        <v>1.07</v>
      </c>
      <c r="AB108" s="27">
        <f>VLOOKUP($A108,'[1]Raw Data'!$A$3:$FB$285,36,FALSE)</f>
        <v>34.86</v>
      </c>
      <c r="AC108" s="27">
        <f>VLOOKUP($A108,'[1]Raw Data'!$A$3:$FB$285,38,FALSE)</f>
        <v>0.03</v>
      </c>
      <c r="AD108" s="27">
        <f>VLOOKUP($A108,'[1]Raw Data'!$A$3:$FB$285,39,FALSE)</f>
        <v>0.04</v>
      </c>
      <c r="AE108" s="27">
        <f>VLOOKUP($A108,'[1]Raw Data'!$A$3:$FB$285,41,FALSE)</f>
        <v>0</v>
      </c>
      <c r="AF108" s="27">
        <f>VLOOKUP($A108,'[1]Raw Data'!$A$3:$FB$285,42,FALSE)</f>
        <v>0</v>
      </c>
      <c r="AG108" s="27">
        <f>VLOOKUP($A108,'[1]Raw Data'!$A$3:$FB$285,44,FALSE)</f>
        <v>0</v>
      </c>
      <c r="AH108" s="27">
        <f>VLOOKUP($A108,'[1]Raw Data'!$A$3:$FB$285,45,FALSE)</f>
        <v>0</v>
      </c>
      <c r="AI108" s="27">
        <f>VLOOKUP($A108,'[1]Raw Data'!$A$3:$FB$285,46,FALSE)</f>
        <v>3370</v>
      </c>
      <c r="AJ108" s="27">
        <f>VLOOKUP($A108,'[1]Raw Data'!$A$3:$FB$285,47,FALSE)</f>
        <v>3051</v>
      </c>
      <c r="AK108" s="27">
        <f>VLOOKUP($A108,'[1]Raw Data'!$A$3:$FB$285,48,FALSE)</f>
        <v>3049</v>
      </c>
      <c r="AL108" s="27">
        <f>VLOOKUP($A108,'[1]Raw Data'!$A$3:$FB$285,49,FALSE)</f>
        <v>2403</v>
      </c>
      <c r="AM108" s="27">
        <f>VLOOKUP($A108,'[1]Raw Data'!$A$3:$FB$285,50,FALSE)</f>
        <v>1652</v>
      </c>
      <c r="AN108" s="27">
        <f>VLOOKUP($A108,'[1]Raw Data'!$A$3:$FB$285,51,FALSE)</f>
        <v>0</v>
      </c>
      <c r="AO108" s="27" t="str">
        <f>VLOOKUP($A108,'[1]Raw Data'!$A$3:$FB$285,52,FALSE)</f>
        <v/>
      </c>
      <c r="AP108" s="27">
        <f>VLOOKUP($A108,'[1]Raw Data'!$A$3:$FB$285,53,FALSE)</f>
        <v>252</v>
      </c>
      <c r="AQ108" s="27">
        <f>VLOOKUP($A108,'[1]Raw Data'!$A$3:$FB$285,54,FALSE)</f>
        <v>75</v>
      </c>
      <c r="AR108" s="27">
        <f>VLOOKUP($A108,'[1]Raw Data'!$A$3:$FB$285,55,FALSE)</f>
        <v>71</v>
      </c>
      <c r="AS108" s="27">
        <f>VLOOKUP($A108,'[1]Raw Data'!$A$3:$FB$285,56,FALSE)</f>
        <v>0</v>
      </c>
      <c r="AT108" s="27">
        <f>VLOOKUP($A108,'[1]Raw Data'!$A$3:$FB$285,57,FALSE)</f>
        <v>883</v>
      </c>
      <c r="AU108" s="27">
        <f>VLOOKUP($A108,'[1]Raw Data'!$A$3:$FB$285,58,FALSE)</f>
        <v>713</v>
      </c>
      <c r="AV108" s="27" t="str">
        <f>VLOOKUP($A108,'[1]Raw Data'!$A$3:$FB$285,59,FALSE)</f>
        <v/>
      </c>
      <c r="AW108" s="27" t="str">
        <f>VLOOKUP($A108,'[1]Raw Data'!$A$3:$FB$285,60,FALSE)</f>
        <v/>
      </c>
      <c r="AX108" s="27" t="str">
        <f>VLOOKUP(A108,'[1]PO''s List'!A106:E388,4,FALSE)</f>
        <v/>
      </c>
      <c r="AZ108" s="27" t="str">
        <f>VLOOKUP(A108,'[1]PO''s List'!$A$3:$E$285,5,FALSE)</f>
        <v/>
      </c>
      <c r="BB108" s="27">
        <f>VLOOKUP($A108,'[1]Raw Data'!$A$3:$FB$285,63,FALSE)</f>
        <v>48987</v>
      </c>
      <c r="BC108" s="27" t="str">
        <f>VLOOKUP($A108,'[1]Raw Data'!$A$3:$FB$285,64,FALSE)</f>
        <v/>
      </c>
      <c r="BD108" s="27" t="str">
        <f t="shared" si="9"/>
        <v/>
      </c>
      <c r="BE108" s="27" t="str">
        <f>VLOOKUP($A108,'[1]Raw Data'!$A$3:$FB$285,65,FALSE)</f>
        <v/>
      </c>
      <c r="BF108" s="27">
        <f>VLOOKUP($A108,'[1]Raw Data'!$A$3:$FB$285,66,FALSE)</f>
        <v>51777</v>
      </c>
      <c r="BG108" s="27" t="str">
        <f>VLOOKUP($A108,'[1]Raw Data'!$A$3:$FB$285,67,FALSE)</f>
        <v/>
      </c>
      <c r="BH108" s="27" t="str">
        <f t="shared" si="10"/>
        <v/>
      </c>
      <c r="BI108" s="27" t="str">
        <f>VLOOKUP($A108,'[1]Raw Data'!$A$3:$FB$285,68,FALSE)</f>
        <v/>
      </c>
      <c r="BJ108" s="27">
        <f>VLOOKUP($A108,'[1]Raw Data'!$A$3:$FB$285,69,FALSE)</f>
        <v>5243</v>
      </c>
      <c r="BK108" s="27" t="str">
        <f>VLOOKUP($A108,'[1]Raw Data'!$A$3:$FB$285,70,FALSE)</f>
        <v/>
      </c>
      <c r="BL108" s="27" t="str">
        <f t="shared" si="11"/>
        <v/>
      </c>
      <c r="BM108" s="27" t="str">
        <f>VLOOKUP($A108,'[1]Raw Data'!$A$3:$FB$285,71,FALSE)</f>
        <v/>
      </c>
      <c r="BN108" s="27">
        <f>VLOOKUP($A108,'[1]Raw Data'!$A$3:$FB$285,72,FALSE)</f>
        <v>6098</v>
      </c>
      <c r="BO108" s="27" t="str">
        <f>VLOOKUP($A108,'[1]Raw Data'!$A$3:$FB$285,73,FALSE)</f>
        <v/>
      </c>
      <c r="BP108" s="27" t="str">
        <f t="shared" si="12"/>
        <v/>
      </c>
      <c r="BQ108" s="27" t="str">
        <f>VLOOKUP($A108,'[1]Raw Data'!$A$3:$FB$285,74,FALSE)</f>
        <v/>
      </c>
      <c r="BR108" s="27" t="str">
        <f>VLOOKUP($A108,'[1]Raw Data'!$A$3:$FB$285,75,FALSE)</f>
        <v/>
      </c>
      <c r="BS108" s="27" t="str">
        <f>VLOOKUP($A108,'[1]Raw Data'!$A$3:$FB$285,76,FALSE)</f>
        <v/>
      </c>
      <c r="BT108" s="27" t="str">
        <f t="shared" si="13"/>
        <v/>
      </c>
      <c r="BU108" s="27" t="str">
        <f>VLOOKUP($A108,'[1]Raw Data'!$A$3:$FB$285,77,FALSE)</f>
        <v/>
      </c>
      <c r="BV108" s="27">
        <f>VLOOKUP($A108,'[1]Raw Data'!$A$3:$FB$285,78,FALSE)</f>
        <v>170214</v>
      </c>
      <c r="BW108" s="27" t="str">
        <f>VLOOKUP($A108,'[1]Raw Data'!$A$3:$FB$285,79,FALSE)</f>
        <v/>
      </c>
      <c r="BX108" s="27" t="str">
        <f t="shared" si="14"/>
        <v/>
      </c>
      <c r="BY108" s="27" t="str">
        <f>VLOOKUP($A108,'[1]Raw Data'!$A$3:$FB$285,80,FALSE)</f>
        <v/>
      </c>
      <c r="BZ108" s="27">
        <f>VLOOKUP($A108,'[1]Raw Data'!$A$3:$FB$285,81,FALSE)</f>
        <v>527263</v>
      </c>
      <c r="CA108" s="27" t="str">
        <f>VLOOKUP($A108,'[1]Raw Data'!$A$3:$FB$285,82,FALSE)</f>
        <v/>
      </c>
      <c r="CB108" s="27" t="str">
        <f t="shared" si="15"/>
        <v/>
      </c>
      <c r="CC108" s="27" t="str">
        <f>VLOOKUP($A108,'[1]Raw Data'!$A$3:$FB$285,83,FALSE)</f>
        <v/>
      </c>
      <c r="CD108" s="27">
        <f>VLOOKUP($A108,'[1]Raw Data'!$A$3:$FB$285,84,FALSE)</f>
        <v>6952</v>
      </c>
      <c r="CE108" s="27" t="str">
        <f>VLOOKUP($A108,'[1]Raw Data'!$A$3:$FB$285,85,FALSE)</f>
        <v/>
      </c>
      <c r="CF108" s="27" t="str">
        <f t="shared" si="16"/>
        <v/>
      </c>
      <c r="CG108" s="27" t="str">
        <f>VLOOKUP($A108,'[1]Raw Data'!$A$3:$FB$285,86,FALSE)</f>
        <v/>
      </c>
      <c r="CH108" s="27">
        <f>VLOOKUP($A108,'[1]Raw Data'!$A$3:$FB$285,87,FALSE)</f>
        <v>204186</v>
      </c>
      <c r="CI108" s="27" t="str">
        <f>VLOOKUP($A108,'[1]Raw Data'!$A$3:$FB$285,88,FALSE)</f>
        <v/>
      </c>
      <c r="CJ108" s="27" t="str">
        <f t="shared" si="17"/>
        <v/>
      </c>
      <c r="CK108" s="27" t="str">
        <f>VLOOKUP($A108,'[1]Raw Data'!$A$3:$FB$285,89,FALSE)</f>
        <v/>
      </c>
      <c r="CL108" s="27" t="str">
        <f>VLOOKUP($A108,'[1]Raw Data'!$A$3:$FB$285,91,FALSE)</f>
        <v/>
      </c>
      <c r="CM108" s="27" t="str">
        <f>VLOOKUP($A108,'[1]Raw Data'!$A$3:$FB$285,93,FALSE)</f>
        <v/>
      </c>
      <c r="CN108" s="27" t="str">
        <f>VLOOKUP($A108,'[1]Raw Data'!$A$3:$FB$285,94,FALSE)</f>
        <v/>
      </c>
      <c r="CO108" s="27" t="str">
        <f>VLOOKUP($A108,'[1]Raw Data'!$A$3:$FB$285,95,FALSE)</f>
        <v/>
      </c>
      <c r="CP108" s="27" t="str">
        <f>VLOOKUP($A108,'[1]Raw Data'!$A$3:$FB$285,96,FALSE)</f>
        <v/>
      </c>
      <c r="CQ108" s="27" t="str">
        <f>VLOOKUP($A108,'[1]Raw Data'!$A$3:$FB$285,97,FALSE)</f>
        <v/>
      </c>
      <c r="CR108" s="27" t="str">
        <f>VLOOKUP($A108,'[1]Raw Data'!$A$3:$FB$285,98,FALSE)</f>
        <v/>
      </c>
      <c r="CS108" s="27" t="str">
        <f>VLOOKUP($A108,'[1]Raw Data'!$A$3:$FB$285,99,FALSE)</f>
        <v/>
      </c>
      <c r="CT108" s="27" t="str">
        <f>VLOOKUP($A108,'[1]Raw Data'!$A$3:$FB$285,101,FALSE)</f>
        <v>Bir Bahadur Lopchan</v>
      </c>
      <c r="CU108" s="27" t="s">
        <v>1124</v>
      </c>
      <c r="CV108" s="27" t="str">
        <f>VLOOKUP($A108,'[1]Raw Data'!$A$3:$FB$285,102,FALSE)</f>
        <v>Mayor</v>
      </c>
      <c r="CW108" s="27" t="s">
        <v>834</v>
      </c>
      <c r="CX108" s="27">
        <f>VLOOKUP($A108,'[1]Raw Data'!$A$3:$FB$285,103,FALSE)</f>
        <v>9841335585</v>
      </c>
      <c r="CY108" s="27" t="str">
        <f>VLOOKUP($A108,'[1]Raw Data'!$A$3:$FB$285,105,FALSE)</f>
        <v>Ranjana Ghimire</v>
      </c>
      <c r="CZ108" s="27" t="s">
        <v>1125</v>
      </c>
      <c r="DA108" s="27" t="str">
        <f>VLOOKUP($A108,'[1]Raw Data'!$A$3:$FB$285,106,FALSE)</f>
        <v>Deputy Mayor</v>
      </c>
      <c r="DB108" s="27" t="s">
        <v>888</v>
      </c>
      <c r="DC108" s="27">
        <f>VLOOKUP($A108,'[1]Raw Data'!$A$3:$FB$285,107,FALSE)</f>
        <v>9862258749</v>
      </c>
      <c r="DD108" s="27" t="str">
        <f>VLOOKUP($A108,'[1]Raw Data'!$A$3:$FB$285,109,FALSE)</f>
        <v>Yubaraj Acharya</v>
      </c>
      <c r="DE108" s="27" t="s">
        <v>1126</v>
      </c>
      <c r="DF108" s="27" t="str">
        <f>VLOOKUP($A108,'[1]Raw Data'!$A$3:$FB$285,110,FALSE)</f>
        <v>Adminstration Officer</v>
      </c>
      <c r="DG108" s="27" t="s">
        <v>880</v>
      </c>
      <c r="DH108" s="27">
        <f>VLOOKUP($A108,'[1]Raw Data'!$A$3:$FB$285,111,FALSE)</f>
        <v>9852040721</v>
      </c>
      <c r="DI108" s="27" t="str">
        <f>VLOOKUP($A108,'[1]Raw Data'!$A$3:$FB$285,121,FALSE)</f>
        <v>Milan Sharma</v>
      </c>
      <c r="DJ108" s="27" t="s">
        <v>1127</v>
      </c>
      <c r="DK108" s="27" t="str">
        <f>VLOOKUP($A108,'[1]Raw Data'!$A$3:$FB$285,122,FALSE)</f>
        <v>Focal Person</v>
      </c>
      <c r="DL108" s="27" t="s">
        <v>881</v>
      </c>
      <c r="DM108" s="27">
        <f>VLOOKUP($A108,'[1]Raw Data'!$A$3:$FB$285,123,FALSE)</f>
        <v>9851255900</v>
      </c>
      <c r="DN108" s="27" t="str">
        <f>VLOOKUP($A108,'[1]Raw Data'!$A$3:$FB$285,113,FALSE)</f>
        <v>Bir Bahadur Rawal</v>
      </c>
      <c r="DO108" s="27" t="s">
        <v>1128</v>
      </c>
      <c r="DP108" s="27" t="str">
        <f>VLOOKUP($A108,'[1]Raw Data'!$A$3:$FB$285,114,FALSE)</f>
        <v>NRA Chief-District</v>
      </c>
      <c r="DQ108" s="27" t="s">
        <v>882</v>
      </c>
      <c r="DR108" s="27">
        <f>VLOOKUP($A108,'[1]Raw Data'!$A$3:$FB$285,115,FALSE)</f>
        <v>9851201088</v>
      </c>
      <c r="DS108" s="27" t="str">
        <f>VLOOKUP($A108,'[1]Raw Data'!$A$3:$FB$285,117,FALSE)</f>
        <v>Chandra Kaji Gurung</v>
      </c>
      <c r="DT108" s="27" t="s">
        <v>1129</v>
      </c>
      <c r="DU108" s="27" t="str">
        <f>VLOOKUP($A108,'[1]Raw Data'!$A$3:$FB$285,118,FALSE)</f>
        <v>DUDBC.DLPIU Chief</v>
      </c>
      <c r="DV108" s="27" t="s">
        <v>883</v>
      </c>
      <c r="DW108" s="27">
        <f>VLOOKUP($A108,'[1]Raw Data'!$A$3:$FB$285,119,FALSE)</f>
        <v>9841576783</v>
      </c>
      <c r="DX108" s="27" t="s">
        <v>339</v>
      </c>
      <c r="DY108" s="27" t="str">
        <f>VLOOKUP($A108,'[1]Raw Data'!$A$3:$FB$285,124,FALSE)</f>
        <v/>
      </c>
      <c r="DZ108" s="27" t="s">
        <v>884</v>
      </c>
      <c r="EA108" s="27" t="str">
        <f>VLOOKUP($A108,'[1]Raw Data'!$A$3:$FB$285,125,FALSE)</f>
        <v/>
      </c>
      <c r="EB108" s="27" t="s">
        <v>341</v>
      </c>
      <c r="EC108" s="27" t="str">
        <f>VLOOKUP($A108,'[1]Raw Data'!$A$3:$FB$285,126,FALSE)</f>
        <v/>
      </c>
      <c r="ED108" t="s">
        <v>478</v>
      </c>
      <c r="EE108" s="27" t="str">
        <f>VLOOKUP($A108,'[1]Raw Data'!$A$3:$FB$285,127,FALSE)</f>
        <v/>
      </c>
      <c r="EF108" s="27" t="s">
        <v>343</v>
      </c>
      <c r="EG108" s="27" t="str">
        <f>VLOOKUP($A108,'[1]Raw Data'!$A$3:$FB$285,128,FALSE)</f>
        <v/>
      </c>
      <c r="EH108" t="s">
        <v>344</v>
      </c>
      <c r="EI108" s="27" t="str">
        <f>VLOOKUP($A108,'[1]Raw Data'!$A$3:$FB$285,129,FALSE)</f>
        <v/>
      </c>
      <c r="EM108" s="27" t="str">
        <f>VLOOKUP($A108,'[1]Raw Data'!$A$3:$FB$285,130,FALSE)</f>
        <v/>
      </c>
      <c r="EN108" s="27" t="str">
        <f>VLOOKUP($A108,'[1]Raw Data'!$A$3:$FB$285,131,FALSE)</f>
        <v/>
      </c>
      <c r="EO108" s="27" t="str">
        <f>VLOOKUP($A108,'[1]Raw Data'!$A$3:$FB$285,132,FALSE)</f>
        <v/>
      </c>
      <c r="EP108" s="27" t="str">
        <f>VLOOKUP($A108,'[1]Raw Data'!$A$3:$FB$285,133,FALSE)</f>
        <v/>
      </c>
      <c r="EQ108" s="27" t="str">
        <f>VLOOKUP($A108,'[1]Raw Data'!$A$3:$FB$285,134,FALSE)</f>
        <v/>
      </c>
      <c r="ER108" s="27" t="str">
        <f>VLOOKUP($A108,'[1]Raw Data'!$A$3:$FB$285,135,FALSE)</f>
        <v/>
      </c>
      <c r="ES108" s="27" t="str">
        <f>VLOOKUP($A108,'[1]Raw Data'!$A$3:$FB$285,136,FALSE)</f>
        <v/>
      </c>
      <c r="ET108" s="27" t="str">
        <f>VLOOKUP($A108,'[1]Raw Data'!$A$3:$FB$285,137,FALSE)</f>
        <v/>
      </c>
      <c r="EU108" s="27" t="str">
        <f>VLOOKUP($A108,'[1]Raw Data'!$A$3:$FB$285,138,FALSE)</f>
        <v>7</v>
      </c>
      <c r="EV108" s="27" t="str">
        <f>VLOOKUP($A108,'[1]Raw Data'!$A$3:$FB$285,139,FALSE)</f>
        <v/>
      </c>
      <c r="EW108" s="38">
        <f>VLOOKUP($A108,[1]Training!$A$2:$I$284,5,FALSE)</f>
        <v>259.23076923076923</v>
      </c>
      <c r="EX108" s="31">
        <f>VLOOKUP($A108,[1]Training!$A$2:$I$284,6,FALSE)</f>
        <v>351</v>
      </c>
      <c r="EY108" s="38">
        <f>VLOOKUP($A108,[1]Training!$A$2:$I$284,8,FALSE)</f>
        <v>130.59254562108083</v>
      </c>
      <c r="EZ108" s="31">
        <f>VLOOKUP($A108,[1]Training!$A$2:$I$284,9,FALSE)</f>
        <v>355</v>
      </c>
      <c r="FA108" s="27">
        <v>1</v>
      </c>
      <c r="FB108" s="27">
        <v>2</v>
      </c>
      <c r="FC108" s="27" t="str">
        <f>VLOOKUP($A108,'[1]Raw Data'!$A$3:$FB$285,148,FALSE)</f>
        <v>Ambika Amatya</v>
      </c>
      <c r="FD108" s="27" t="s">
        <v>1130</v>
      </c>
      <c r="FE108" s="27" t="str">
        <f>VLOOKUP($A108,'[1]Raw Data'!$A$3:$FB$285,149,FALSE)</f>
        <v>District Coordinator</v>
      </c>
      <c r="FF108" s="27" t="s">
        <v>885</v>
      </c>
      <c r="FG108" s="27">
        <f>VLOOKUP($A108,'[1]Raw Data'!$A$3:$FB$285,150,FALSE)</f>
        <v>9841356409</v>
      </c>
      <c r="FH108" s="27" t="str">
        <f>VLOOKUP($A108,'[1]Raw Data'!$A$3:$FB$285,156,FALSE)</f>
        <v/>
      </c>
      <c r="FJ108" s="27" t="str">
        <f>VLOOKUP($A108,'[1]Raw Data'!$A$3:$FB$285,157,FALSE)</f>
        <v>District Technical Officer</v>
      </c>
      <c r="FK108" s="27" t="s">
        <v>886</v>
      </c>
      <c r="FL108" s="27" t="str">
        <f>VLOOKUP($A108,'[1]Raw Data'!$A$3:$FB$285,158,FALSE)</f>
        <v/>
      </c>
      <c r="FM108" s="27" t="str">
        <f>VLOOKUP($A108,'[1]Raw Data'!$A$3:$FB$285,152,FALSE)</f>
        <v>Manisha Rai</v>
      </c>
      <c r="FN108" s="27" t="s">
        <v>1131</v>
      </c>
      <c r="FO108" s="27" t="str">
        <f>VLOOKUP($A108,'[1]Raw Data'!$A$3:$FB$285,153,FALSE)</f>
        <v>DIstrict Information Management Officer</v>
      </c>
      <c r="FP108" s="27" t="s">
        <v>887</v>
      </c>
      <c r="FQ108" s="27">
        <f>VLOOKUP($A108,'[1]Raw Data'!$A$3:$FB$285,154,FALSE)</f>
        <v>9842062006</v>
      </c>
    </row>
    <row r="109" spans="1:173" ht="24" x14ac:dyDescent="0.45">
      <c r="A109" s="27">
        <v>25002</v>
      </c>
      <c r="B109" s="36" t="str">
        <f ca="1">IFERROR(__xludf.DUMMYFUNCTION("""COMPUTED_VALUE"""),"Godawari Nagarpalika")</f>
        <v>Godawari Nagarpalika</v>
      </c>
      <c r="C109" s="37" t="s">
        <v>832</v>
      </c>
      <c r="D109" s="36" t="str">
        <f ca="1">IFERROR(__xludf.DUMMYFUNCTION("""COMPUTED_VALUE"""),"Lalitpur")</f>
        <v>Lalitpur</v>
      </c>
      <c r="E109" s="36"/>
      <c r="F109" s="27">
        <f>VLOOKUP(A109,'[1]Raw Data'!$A$3:$FB$285,4,FALSE)</f>
        <v>1140</v>
      </c>
      <c r="G109" s="27">
        <f>VLOOKUP(A109,'[1]Raw Data'!$A$3:$FB$285,5,FALSE)</f>
        <v>9810</v>
      </c>
      <c r="H109" s="27">
        <f>VLOOKUP(A109,'[1]Raw Data'!$A$3:$FB$285,6,FALSE)</f>
        <v>10950</v>
      </c>
      <c r="I109" s="27">
        <f>VLOOKUP($A109,'[1]Raw Data'!$A$3:$FB$285,8,FALSE)</f>
        <v>0.82</v>
      </c>
      <c r="J109" s="27">
        <f>VLOOKUP($A109,'[1]Raw Data'!$A$3:$FB$285,9,FALSE)</f>
        <v>0.6</v>
      </c>
      <c r="K109" s="27">
        <f>VLOOKUP($A109,'[1]Raw Data'!$A$3:$FB$285,11,FALSE)</f>
        <v>24.76</v>
      </c>
      <c r="L109" s="27">
        <f>VLOOKUP($A109,'[1]Raw Data'!$A$3:$FB$285,12,FALSE)</f>
        <v>39.28</v>
      </c>
      <c r="M109" s="27">
        <f>VLOOKUP($A109,'[1]Raw Data'!$A$3:$FB$285,14,FALSE)</f>
        <v>4.91</v>
      </c>
      <c r="N109" s="27">
        <f>VLOOKUP($A109,'[1]Raw Data'!$A$3:$FB$285,15,FALSE)</f>
        <v>4.51</v>
      </c>
      <c r="O109" s="27">
        <f>VLOOKUP($A109,'[1]Raw Data'!$A$3:$FB$285,17,FALSE)</f>
        <v>20.05</v>
      </c>
      <c r="P109" s="27">
        <f>VLOOKUP($A109,'[1]Raw Data'!$A$3:$FB$285,18,FALSE)</f>
        <v>18.14</v>
      </c>
      <c r="Q109" s="27">
        <f>VLOOKUP($A109,'[1]Raw Data'!$A$3:$FB$285,20,FALSE)</f>
        <v>2.92</v>
      </c>
      <c r="R109" s="27">
        <f>VLOOKUP($A109,'[1]Raw Data'!$A$3:$FB$285,21,FALSE)</f>
        <v>2.15</v>
      </c>
      <c r="S109" s="27">
        <f>VLOOKUP($A109,'[1]Raw Data'!$A$3:$FB$285,23,FALSE)</f>
        <v>0</v>
      </c>
      <c r="T109" s="27">
        <f>VLOOKUP($A109,'[1]Raw Data'!$A$3:$FB$285,24,FALSE)</f>
        <v>0</v>
      </c>
      <c r="U109" s="27">
        <f>VLOOKUP($A109,'[1]Raw Data'!$A$3:$FB$285,26,FALSE)</f>
        <v>0.03</v>
      </c>
      <c r="V109" s="27">
        <f>VLOOKUP($A109,'[1]Raw Data'!$A$3:$FB$285,27,FALSE)</f>
        <v>0.12</v>
      </c>
      <c r="W109" s="27">
        <f>VLOOKUP($A109,'[1]Raw Data'!$A$3:$FB$285,29,FALSE)</f>
        <v>0</v>
      </c>
      <c r="X109" s="27">
        <f>VLOOKUP($A109,'[1]Raw Data'!$A$3:$FB$285,30,FALSE)</f>
        <v>0</v>
      </c>
      <c r="Y109" s="27">
        <f>VLOOKUP($A109,'[1]Raw Data'!$A$3:$FB$285,32,FALSE)</f>
        <v>0.57999999999999996</v>
      </c>
      <c r="Z109" s="27">
        <f>VLOOKUP($A109,'[1]Raw Data'!$A$3:$FB$285,33,FALSE)</f>
        <v>0.31</v>
      </c>
      <c r="AA109" s="27">
        <f>VLOOKUP($A109,'[1]Raw Data'!$A$3:$FB$285,35,FALSE)</f>
        <v>45.83</v>
      </c>
      <c r="AB109" s="27">
        <f>VLOOKUP($A109,'[1]Raw Data'!$A$3:$FB$285,36,FALSE)</f>
        <v>34.86</v>
      </c>
      <c r="AC109" s="27">
        <f>VLOOKUP($A109,'[1]Raw Data'!$A$3:$FB$285,38,FALSE)</f>
        <v>0.08</v>
      </c>
      <c r="AD109" s="27">
        <f>VLOOKUP($A109,'[1]Raw Data'!$A$3:$FB$285,39,FALSE)</f>
        <v>0.04</v>
      </c>
      <c r="AE109" s="27">
        <f>VLOOKUP($A109,'[1]Raw Data'!$A$3:$FB$285,41,FALSE)</f>
        <v>0</v>
      </c>
      <c r="AF109" s="27">
        <f>VLOOKUP($A109,'[1]Raw Data'!$A$3:$FB$285,42,FALSE)</f>
        <v>0</v>
      </c>
      <c r="AG109" s="27">
        <f>VLOOKUP($A109,'[1]Raw Data'!$A$3:$FB$285,44,FALSE)</f>
        <v>0</v>
      </c>
      <c r="AH109" s="27">
        <f>VLOOKUP($A109,'[1]Raw Data'!$A$3:$FB$285,45,FALSE)</f>
        <v>0</v>
      </c>
      <c r="AI109" s="27">
        <f>VLOOKUP($A109,'[1]Raw Data'!$A$3:$FB$285,46,FALSE)</f>
        <v>9597</v>
      </c>
      <c r="AJ109" s="27">
        <f>VLOOKUP($A109,'[1]Raw Data'!$A$3:$FB$285,47,FALSE)</f>
        <v>7918</v>
      </c>
      <c r="AK109" s="27">
        <f>VLOOKUP($A109,'[1]Raw Data'!$A$3:$FB$285,48,FALSE)</f>
        <v>7843</v>
      </c>
      <c r="AL109" s="27">
        <f>VLOOKUP($A109,'[1]Raw Data'!$A$3:$FB$285,49,FALSE)</f>
        <v>2328</v>
      </c>
      <c r="AM109" s="27">
        <f>VLOOKUP($A109,'[1]Raw Data'!$A$3:$FB$285,50,FALSE)</f>
        <v>1833</v>
      </c>
      <c r="AN109" s="27">
        <f>VLOOKUP($A109,'[1]Raw Data'!$A$3:$FB$285,51,FALSE)</f>
        <v>0</v>
      </c>
      <c r="AO109" s="27" t="str">
        <f>VLOOKUP($A109,'[1]Raw Data'!$A$3:$FB$285,52,FALSE)</f>
        <v/>
      </c>
      <c r="AP109" s="27">
        <f>VLOOKUP($A109,'[1]Raw Data'!$A$3:$FB$285,53,FALSE)</f>
        <v>324</v>
      </c>
      <c r="AQ109" s="27">
        <f>VLOOKUP($A109,'[1]Raw Data'!$A$3:$FB$285,54,FALSE)</f>
        <v>68</v>
      </c>
      <c r="AR109" s="27">
        <f>VLOOKUP($A109,'[1]Raw Data'!$A$3:$FB$285,55,FALSE)</f>
        <v>67</v>
      </c>
      <c r="AS109" s="27">
        <f>VLOOKUP($A109,'[1]Raw Data'!$A$3:$FB$285,56,FALSE)</f>
        <v>0</v>
      </c>
      <c r="AT109" s="27">
        <f>VLOOKUP($A109,'[1]Raw Data'!$A$3:$FB$285,57,FALSE)</f>
        <v>2405</v>
      </c>
      <c r="AU109" s="27">
        <f>VLOOKUP($A109,'[1]Raw Data'!$A$3:$FB$285,58,FALSE)</f>
        <v>1777</v>
      </c>
      <c r="AV109" s="27" t="str">
        <f>VLOOKUP($A109,'[1]Raw Data'!$A$3:$FB$285,59,FALSE)</f>
        <v/>
      </c>
      <c r="AW109" s="27" t="str">
        <f>VLOOKUP($A109,'[1]Raw Data'!$A$3:$FB$285,60,FALSE)</f>
        <v/>
      </c>
      <c r="AX109" s="27" t="str">
        <f>VLOOKUP(A109,'[1]PO''s List'!A107:E389,4,FALSE)</f>
        <v/>
      </c>
      <c r="AZ109" s="27" t="str">
        <f>VLOOKUP(A109,'[1]PO''s List'!$A$3:$E$285,5,FALSE)</f>
        <v/>
      </c>
      <c r="BB109" s="27">
        <f>VLOOKUP($A109,'[1]Raw Data'!$A$3:$FB$285,63,FALSE)</f>
        <v>84240</v>
      </c>
      <c r="BC109" s="27" t="str">
        <f>VLOOKUP($A109,'[1]Raw Data'!$A$3:$FB$285,64,FALSE)</f>
        <v/>
      </c>
      <c r="BD109" s="27" t="str">
        <f t="shared" si="9"/>
        <v/>
      </c>
      <c r="BE109" s="27" t="str">
        <f>VLOOKUP($A109,'[1]Raw Data'!$A$3:$FB$285,65,FALSE)</f>
        <v/>
      </c>
      <c r="BF109" s="27">
        <f>VLOOKUP($A109,'[1]Raw Data'!$A$3:$FB$285,66,FALSE)</f>
        <v>78160</v>
      </c>
      <c r="BG109" s="27" t="str">
        <f>VLOOKUP($A109,'[1]Raw Data'!$A$3:$FB$285,67,FALSE)</f>
        <v/>
      </c>
      <c r="BH109" s="27" t="str">
        <f t="shared" si="10"/>
        <v/>
      </c>
      <c r="BI109" s="27" t="str">
        <f>VLOOKUP($A109,'[1]Raw Data'!$A$3:$FB$285,68,FALSE)</f>
        <v/>
      </c>
      <c r="BJ109" s="27">
        <f>VLOOKUP($A109,'[1]Raw Data'!$A$3:$FB$285,69,FALSE)</f>
        <v>8920</v>
      </c>
      <c r="BK109" s="27" t="str">
        <f>VLOOKUP($A109,'[1]Raw Data'!$A$3:$FB$285,70,FALSE)</f>
        <v/>
      </c>
      <c r="BL109" s="27" t="str">
        <f t="shared" si="11"/>
        <v/>
      </c>
      <c r="BM109" s="27" t="str">
        <f>VLOOKUP($A109,'[1]Raw Data'!$A$3:$FB$285,71,FALSE)</f>
        <v/>
      </c>
      <c r="BN109" s="27">
        <f>VLOOKUP($A109,'[1]Raw Data'!$A$3:$FB$285,72,FALSE)</f>
        <v>10018</v>
      </c>
      <c r="BO109" s="27" t="str">
        <f>VLOOKUP($A109,'[1]Raw Data'!$A$3:$FB$285,73,FALSE)</f>
        <v/>
      </c>
      <c r="BP109" s="27" t="str">
        <f t="shared" si="12"/>
        <v/>
      </c>
      <c r="BQ109" s="27" t="str">
        <f>VLOOKUP($A109,'[1]Raw Data'!$A$3:$FB$285,74,FALSE)</f>
        <v/>
      </c>
      <c r="BR109" s="27" t="str">
        <f>VLOOKUP($A109,'[1]Raw Data'!$A$3:$FB$285,75,FALSE)</f>
        <v/>
      </c>
      <c r="BS109" s="27" t="str">
        <f>VLOOKUP($A109,'[1]Raw Data'!$A$3:$FB$285,76,FALSE)</f>
        <v/>
      </c>
      <c r="BT109" s="27" t="str">
        <f t="shared" si="13"/>
        <v/>
      </c>
      <c r="BU109" s="27" t="str">
        <f>VLOOKUP($A109,'[1]Raw Data'!$A$3:$FB$285,77,FALSE)</f>
        <v/>
      </c>
      <c r="BV109" s="27">
        <f>VLOOKUP($A109,'[1]Raw Data'!$A$3:$FB$285,78,FALSE)</f>
        <v>261810</v>
      </c>
      <c r="BW109" s="27" t="str">
        <f>VLOOKUP($A109,'[1]Raw Data'!$A$3:$FB$285,79,FALSE)</f>
        <v/>
      </c>
      <c r="BX109" s="27" t="str">
        <f t="shared" si="14"/>
        <v/>
      </c>
      <c r="BY109" s="27" t="str">
        <f>VLOOKUP($A109,'[1]Raw Data'!$A$3:$FB$285,80,FALSE)</f>
        <v/>
      </c>
      <c r="BZ109" s="27">
        <f>VLOOKUP($A109,'[1]Raw Data'!$A$3:$FB$285,81,FALSE)</f>
        <v>927581</v>
      </c>
      <c r="CA109" s="27" t="str">
        <f>VLOOKUP($A109,'[1]Raw Data'!$A$3:$FB$285,82,FALSE)</f>
        <v/>
      </c>
      <c r="CB109" s="27" t="str">
        <f t="shared" si="15"/>
        <v/>
      </c>
      <c r="CC109" s="27" t="str">
        <f>VLOOKUP($A109,'[1]Raw Data'!$A$3:$FB$285,83,FALSE)</f>
        <v/>
      </c>
      <c r="CD109" s="27">
        <f>VLOOKUP($A109,'[1]Raw Data'!$A$3:$FB$285,84,FALSE)</f>
        <v>10696</v>
      </c>
      <c r="CE109" s="27" t="str">
        <f>VLOOKUP($A109,'[1]Raw Data'!$A$3:$FB$285,85,FALSE)</f>
        <v/>
      </c>
      <c r="CF109" s="27" t="str">
        <f t="shared" si="16"/>
        <v/>
      </c>
      <c r="CG109" s="27" t="str">
        <f>VLOOKUP($A109,'[1]Raw Data'!$A$3:$FB$285,86,FALSE)</f>
        <v/>
      </c>
      <c r="CH109" s="27">
        <f>VLOOKUP($A109,'[1]Raw Data'!$A$3:$FB$285,87,FALSE)</f>
        <v>1665441</v>
      </c>
      <c r="CI109" s="27" t="str">
        <f>VLOOKUP($A109,'[1]Raw Data'!$A$3:$FB$285,88,FALSE)</f>
        <v/>
      </c>
      <c r="CJ109" s="27" t="str">
        <f t="shared" si="17"/>
        <v/>
      </c>
      <c r="CK109" s="27" t="str">
        <f>VLOOKUP($A109,'[1]Raw Data'!$A$3:$FB$285,89,FALSE)</f>
        <v/>
      </c>
      <c r="CL109" s="27" t="str">
        <f>VLOOKUP($A109,'[1]Raw Data'!$A$3:$FB$285,91,FALSE)</f>
        <v/>
      </c>
      <c r="CM109" s="27" t="str">
        <f>VLOOKUP($A109,'[1]Raw Data'!$A$3:$FB$285,93,FALSE)</f>
        <v/>
      </c>
      <c r="CN109" s="27" t="str">
        <f>VLOOKUP($A109,'[1]Raw Data'!$A$3:$FB$285,94,FALSE)</f>
        <v/>
      </c>
      <c r="CO109" s="27" t="str">
        <f>VLOOKUP($A109,'[1]Raw Data'!$A$3:$FB$285,95,FALSE)</f>
        <v/>
      </c>
      <c r="CP109" s="27" t="str">
        <f>VLOOKUP($A109,'[1]Raw Data'!$A$3:$FB$285,96,FALSE)</f>
        <v/>
      </c>
      <c r="CQ109" s="27" t="str">
        <f>VLOOKUP($A109,'[1]Raw Data'!$A$3:$FB$285,97,FALSE)</f>
        <v/>
      </c>
      <c r="CR109" s="27" t="str">
        <f>VLOOKUP($A109,'[1]Raw Data'!$A$3:$FB$285,98,FALSE)</f>
        <v/>
      </c>
      <c r="CS109" s="27" t="str">
        <f>VLOOKUP($A109,'[1]Raw Data'!$A$3:$FB$285,99,FALSE)</f>
        <v/>
      </c>
      <c r="CT109" s="27" t="str">
        <f>VLOOKUP($A109,'[1]Raw Data'!$A$3:$FB$285,101,FALSE)</f>
        <v>Gajendra Maharjan</v>
      </c>
      <c r="CU109" s="27" t="s">
        <v>1132</v>
      </c>
      <c r="CV109" s="27" t="str">
        <f>VLOOKUP($A109,'[1]Raw Data'!$A$3:$FB$285,102,FALSE)</f>
        <v>Mayor</v>
      </c>
      <c r="CW109" s="27" t="s">
        <v>834</v>
      </c>
      <c r="CX109" s="27">
        <f>VLOOKUP($A109,'[1]Raw Data'!$A$3:$FB$285,103,FALSE)</f>
        <v>9851260016</v>
      </c>
      <c r="CY109" s="27" t="str">
        <f>VLOOKUP($A109,'[1]Raw Data'!$A$3:$FB$285,105,FALSE)</f>
        <v>Muna Adhikari</v>
      </c>
      <c r="CZ109" s="27" t="s">
        <v>1133</v>
      </c>
      <c r="DA109" s="27" t="str">
        <f>VLOOKUP($A109,'[1]Raw Data'!$A$3:$FB$285,106,FALSE)</f>
        <v>Deputy Mayor</v>
      </c>
      <c r="DB109" s="27" t="s">
        <v>888</v>
      </c>
      <c r="DC109" s="27">
        <f>VLOOKUP($A109,'[1]Raw Data'!$A$3:$FB$285,107,FALSE)</f>
        <v>9851235400</v>
      </c>
      <c r="DD109" s="27" t="str">
        <f>VLOOKUP($A109,'[1]Raw Data'!$A$3:$FB$285,109,FALSE)</f>
        <v>Krishna Prasad Jaisi</v>
      </c>
      <c r="DE109" s="27" t="s">
        <v>1134</v>
      </c>
      <c r="DF109" s="27" t="str">
        <f>VLOOKUP($A109,'[1]Raw Data'!$A$3:$FB$285,110,FALSE)</f>
        <v>Adminstration Officer</v>
      </c>
      <c r="DG109" s="27" t="s">
        <v>880</v>
      </c>
      <c r="DH109" s="27">
        <f>VLOOKUP($A109,'[1]Raw Data'!$A$3:$FB$285,111,FALSE)</f>
        <v>9851250016</v>
      </c>
      <c r="DI109" s="27" t="str">
        <f>VLOOKUP($A109,'[1]Raw Data'!$A$3:$FB$285,121,FALSE)</f>
        <v>Bimala Dangol</v>
      </c>
      <c r="DJ109" s="27" t="s">
        <v>1135</v>
      </c>
      <c r="DK109" s="27" t="str">
        <f>VLOOKUP($A109,'[1]Raw Data'!$A$3:$FB$285,122,FALSE)</f>
        <v>Focal Person</v>
      </c>
      <c r="DL109" s="27" t="s">
        <v>881</v>
      </c>
      <c r="DM109" s="27">
        <f>VLOOKUP($A109,'[1]Raw Data'!$A$3:$FB$285,123,FALSE)</f>
        <v>9841508890</v>
      </c>
      <c r="DN109" s="27" t="str">
        <f>VLOOKUP($A109,'[1]Raw Data'!$A$3:$FB$285,113,FALSE)</f>
        <v>Bir Bahadur Rawal</v>
      </c>
      <c r="DO109" s="27" t="s">
        <v>1128</v>
      </c>
      <c r="DP109" s="27" t="str">
        <f>VLOOKUP($A109,'[1]Raw Data'!$A$3:$FB$285,114,FALSE)</f>
        <v>NRA Chief-District</v>
      </c>
      <c r="DQ109" s="27" t="s">
        <v>882</v>
      </c>
      <c r="DR109" s="27">
        <f>VLOOKUP($A109,'[1]Raw Data'!$A$3:$FB$285,115,FALSE)</f>
        <v>9851201088</v>
      </c>
      <c r="DS109" s="27" t="str">
        <f>VLOOKUP($A109,'[1]Raw Data'!$A$3:$FB$285,117,FALSE)</f>
        <v>Chandra Kaji Gurung</v>
      </c>
      <c r="DT109" s="27" t="s">
        <v>1129</v>
      </c>
      <c r="DU109" s="27" t="str">
        <f>VLOOKUP($A109,'[1]Raw Data'!$A$3:$FB$285,118,FALSE)</f>
        <v>DUDBC.DLPIU Chief</v>
      </c>
      <c r="DV109" s="27" t="s">
        <v>883</v>
      </c>
      <c r="DW109" s="27">
        <f>VLOOKUP($A109,'[1]Raw Data'!$A$3:$FB$285,119,FALSE)</f>
        <v>9841576783</v>
      </c>
      <c r="DX109" s="27" t="s">
        <v>339</v>
      </c>
      <c r="DY109" s="27" t="str">
        <f>VLOOKUP($A109,'[1]Raw Data'!$A$3:$FB$285,124,FALSE)</f>
        <v/>
      </c>
      <c r="DZ109" s="27" t="s">
        <v>884</v>
      </c>
      <c r="EA109" s="27" t="str">
        <f>VLOOKUP($A109,'[1]Raw Data'!$A$3:$FB$285,125,FALSE)</f>
        <v/>
      </c>
      <c r="EB109" s="27" t="s">
        <v>341</v>
      </c>
      <c r="EC109" s="27" t="str">
        <f>VLOOKUP($A109,'[1]Raw Data'!$A$3:$FB$285,126,FALSE)</f>
        <v/>
      </c>
      <c r="ED109" t="s">
        <v>478</v>
      </c>
      <c r="EE109" s="27" t="str">
        <f>VLOOKUP($A109,'[1]Raw Data'!$A$3:$FB$285,127,FALSE)</f>
        <v/>
      </c>
      <c r="EF109" s="27" t="s">
        <v>343</v>
      </c>
      <c r="EG109" s="27" t="str">
        <f>VLOOKUP($A109,'[1]Raw Data'!$A$3:$FB$285,128,FALSE)</f>
        <v/>
      </c>
      <c r="EH109" t="s">
        <v>344</v>
      </c>
      <c r="EI109" s="27" t="str">
        <f>VLOOKUP($A109,'[1]Raw Data'!$A$3:$FB$285,129,FALSE)</f>
        <v/>
      </c>
      <c r="EM109" s="27" t="str">
        <f>VLOOKUP($A109,'[1]Raw Data'!$A$3:$FB$285,130,FALSE)</f>
        <v/>
      </c>
      <c r="EN109" s="27" t="str">
        <f>VLOOKUP($A109,'[1]Raw Data'!$A$3:$FB$285,131,FALSE)</f>
        <v/>
      </c>
      <c r="EO109" s="27" t="str">
        <f>VLOOKUP($A109,'[1]Raw Data'!$A$3:$FB$285,132,FALSE)</f>
        <v/>
      </c>
      <c r="EP109" s="27" t="str">
        <f>VLOOKUP($A109,'[1]Raw Data'!$A$3:$FB$285,133,FALSE)</f>
        <v/>
      </c>
      <c r="EQ109" s="27" t="str">
        <f>VLOOKUP($A109,'[1]Raw Data'!$A$3:$FB$285,134,FALSE)</f>
        <v/>
      </c>
      <c r="ER109" s="27" t="str">
        <f>VLOOKUP($A109,'[1]Raw Data'!$A$3:$FB$285,135,FALSE)</f>
        <v/>
      </c>
      <c r="ES109" s="27" t="str">
        <f>VLOOKUP($A109,'[1]Raw Data'!$A$3:$FB$285,136,FALSE)</f>
        <v/>
      </c>
      <c r="ET109" s="27" t="str">
        <f>VLOOKUP($A109,'[1]Raw Data'!$A$3:$FB$285,137,FALSE)</f>
        <v/>
      </c>
      <c r="EU109" s="27" t="str">
        <f>VLOOKUP($A109,'[1]Raw Data'!$A$3:$FB$285,138,FALSE)</f>
        <v/>
      </c>
      <c r="EV109" s="27" t="str">
        <f>VLOOKUP($A109,'[1]Raw Data'!$A$3:$FB$285,139,FALSE)</f>
        <v/>
      </c>
      <c r="EW109" s="38">
        <f>VLOOKUP($A109,[1]Training!$A$2:$I$284,5,FALSE)</f>
        <v>737.53846153846155</v>
      </c>
      <c r="EX109" s="31">
        <f>VLOOKUP($A109,[1]Training!$A$2:$I$284,6,FALSE)</f>
        <v>329</v>
      </c>
      <c r="EY109" s="38">
        <f>VLOOKUP($A109,[1]Training!$A$2:$I$284,8,FALSE)</f>
        <v>371.54935531600086</v>
      </c>
      <c r="EZ109" s="31">
        <f>VLOOKUP($A109,[1]Training!$A$2:$I$284,9,FALSE)</f>
        <v>150</v>
      </c>
      <c r="FA109" s="27">
        <v>1</v>
      </c>
      <c r="FB109" s="27">
        <v>2</v>
      </c>
      <c r="FC109" s="27" t="str">
        <f>VLOOKUP($A109,'[1]Raw Data'!$A$3:$FB$285,148,FALSE)</f>
        <v>Ambika Amatya</v>
      </c>
      <c r="FD109" s="27" t="s">
        <v>1130</v>
      </c>
      <c r="FE109" s="27" t="str">
        <f>VLOOKUP($A109,'[1]Raw Data'!$A$3:$FB$285,149,FALSE)</f>
        <v>District Coordinator</v>
      </c>
      <c r="FF109" s="27" t="s">
        <v>885</v>
      </c>
      <c r="FG109" s="27">
        <f>VLOOKUP($A109,'[1]Raw Data'!$A$3:$FB$285,150,FALSE)</f>
        <v>9841356409</v>
      </c>
      <c r="FH109" s="27" t="str">
        <f>VLOOKUP($A109,'[1]Raw Data'!$A$3:$FB$285,156,FALSE)</f>
        <v/>
      </c>
      <c r="FJ109" s="27" t="str">
        <f>VLOOKUP($A109,'[1]Raw Data'!$A$3:$FB$285,157,FALSE)</f>
        <v>District Technical Officer</v>
      </c>
      <c r="FK109" s="27" t="s">
        <v>886</v>
      </c>
      <c r="FL109" s="27" t="str">
        <f>VLOOKUP($A109,'[1]Raw Data'!$A$3:$FB$285,158,FALSE)</f>
        <v/>
      </c>
      <c r="FM109" s="27" t="str">
        <f>VLOOKUP($A109,'[1]Raw Data'!$A$3:$FB$285,152,FALSE)</f>
        <v>Manisha Rai</v>
      </c>
      <c r="FN109" s="27" t="s">
        <v>1131</v>
      </c>
      <c r="FO109" s="27" t="str">
        <f>VLOOKUP($A109,'[1]Raw Data'!$A$3:$FB$285,153,FALSE)</f>
        <v>DIstrict Information Management Officer</v>
      </c>
      <c r="FP109" s="27" t="s">
        <v>887</v>
      </c>
      <c r="FQ109" s="27">
        <f>VLOOKUP($A109,'[1]Raw Data'!$A$3:$FB$285,154,FALSE)</f>
        <v>9842062006</v>
      </c>
    </row>
    <row r="110" spans="1:173" ht="24" x14ac:dyDescent="0.45">
      <c r="A110" s="27">
        <v>25003</v>
      </c>
      <c r="B110" s="36" t="str">
        <f ca="1">IFERROR(__xludf.DUMMYFUNCTION("""COMPUTED_VALUE"""),"Konjyosom Gaunpalika")</f>
        <v>Konjyosom Gaunpalika</v>
      </c>
      <c r="C110" s="37" t="s">
        <v>833</v>
      </c>
      <c r="D110" s="36" t="str">
        <f ca="1">IFERROR(__xludf.DUMMYFUNCTION("""COMPUTED_VALUE"""),"Lalitpur")</f>
        <v>Lalitpur</v>
      </c>
      <c r="E110" s="36"/>
      <c r="F110" s="27">
        <f>VLOOKUP(A110,'[1]Raw Data'!$A$3:$FB$285,4,FALSE)</f>
        <v>183</v>
      </c>
      <c r="G110" s="27">
        <f>VLOOKUP(A110,'[1]Raw Data'!$A$3:$FB$285,5,FALSE)</f>
        <v>2397</v>
      </c>
      <c r="H110" s="27">
        <f>VLOOKUP(A110,'[1]Raw Data'!$A$3:$FB$285,6,FALSE)</f>
        <v>2580</v>
      </c>
      <c r="I110" s="27">
        <f>VLOOKUP($A110,'[1]Raw Data'!$A$3:$FB$285,8,FALSE)</f>
        <v>0.16</v>
      </c>
      <c r="J110" s="27">
        <f>VLOOKUP($A110,'[1]Raw Data'!$A$3:$FB$285,9,FALSE)</f>
        <v>0.6</v>
      </c>
      <c r="K110" s="27">
        <f>VLOOKUP($A110,'[1]Raw Data'!$A$3:$FB$285,11,FALSE)</f>
        <v>98.64</v>
      </c>
      <c r="L110" s="27">
        <f>VLOOKUP($A110,'[1]Raw Data'!$A$3:$FB$285,12,FALSE)</f>
        <v>39.28</v>
      </c>
      <c r="M110" s="27">
        <f>VLOOKUP($A110,'[1]Raw Data'!$A$3:$FB$285,14,FALSE)</f>
        <v>0.23</v>
      </c>
      <c r="N110" s="27">
        <f>VLOOKUP($A110,'[1]Raw Data'!$A$3:$FB$285,15,FALSE)</f>
        <v>4.51</v>
      </c>
      <c r="O110" s="27">
        <f>VLOOKUP($A110,'[1]Raw Data'!$A$3:$FB$285,17,FALSE)</f>
        <v>0.04</v>
      </c>
      <c r="P110" s="27">
        <f>VLOOKUP($A110,'[1]Raw Data'!$A$3:$FB$285,18,FALSE)</f>
        <v>18.14</v>
      </c>
      <c r="Q110" s="27">
        <f>VLOOKUP($A110,'[1]Raw Data'!$A$3:$FB$285,20,FALSE)</f>
        <v>0.39</v>
      </c>
      <c r="R110" s="27">
        <f>VLOOKUP($A110,'[1]Raw Data'!$A$3:$FB$285,21,FALSE)</f>
        <v>2.15</v>
      </c>
      <c r="S110" s="27">
        <f>VLOOKUP($A110,'[1]Raw Data'!$A$3:$FB$285,23,FALSE)</f>
        <v>0</v>
      </c>
      <c r="T110" s="27">
        <f>VLOOKUP($A110,'[1]Raw Data'!$A$3:$FB$285,24,FALSE)</f>
        <v>0</v>
      </c>
      <c r="U110" s="27">
        <f>VLOOKUP($A110,'[1]Raw Data'!$A$3:$FB$285,26,FALSE)</f>
        <v>0</v>
      </c>
      <c r="V110" s="27">
        <f>VLOOKUP($A110,'[1]Raw Data'!$A$3:$FB$285,27,FALSE)</f>
        <v>0.12</v>
      </c>
      <c r="W110" s="27">
        <f>VLOOKUP($A110,'[1]Raw Data'!$A$3:$FB$285,29,FALSE)</f>
        <v>0</v>
      </c>
      <c r="X110" s="27">
        <f>VLOOKUP($A110,'[1]Raw Data'!$A$3:$FB$285,30,FALSE)</f>
        <v>0</v>
      </c>
      <c r="Y110" s="27">
        <f>VLOOKUP($A110,'[1]Raw Data'!$A$3:$FB$285,32,FALSE)</f>
        <v>0.08</v>
      </c>
      <c r="Z110" s="27">
        <f>VLOOKUP($A110,'[1]Raw Data'!$A$3:$FB$285,33,FALSE)</f>
        <v>0.31</v>
      </c>
      <c r="AA110" s="27">
        <f>VLOOKUP($A110,'[1]Raw Data'!$A$3:$FB$285,35,FALSE)</f>
        <v>0.47</v>
      </c>
      <c r="AB110" s="27">
        <f>VLOOKUP($A110,'[1]Raw Data'!$A$3:$FB$285,36,FALSE)</f>
        <v>34.86</v>
      </c>
      <c r="AC110" s="27">
        <f>VLOOKUP($A110,'[1]Raw Data'!$A$3:$FB$285,38,FALSE)</f>
        <v>0</v>
      </c>
      <c r="AD110" s="27">
        <f>VLOOKUP($A110,'[1]Raw Data'!$A$3:$FB$285,39,FALSE)</f>
        <v>0.04</v>
      </c>
      <c r="AE110" s="27">
        <f>VLOOKUP($A110,'[1]Raw Data'!$A$3:$FB$285,41,FALSE)</f>
        <v>0</v>
      </c>
      <c r="AF110" s="27">
        <f>VLOOKUP($A110,'[1]Raw Data'!$A$3:$FB$285,42,FALSE)</f>
        <v>0</v>
      </c>
      <c r="AG110" s="27">
        <f>VLOOKUP($A110,'[1]Raw Data'!$A$3:$FB$285,44,FALSE)</f>
        <v>0</v>
      </c>
      <c r="AH110" s="27">
        <f>VLOOKUP($A110,'[1]Raw Data'!$A$3:$FB$285,45,FALSE)</f>
        <v>0</v>
      </c>
      <c r="AI110" s="27">
        <f>VLOOKUP($A110,'[1]Raw Data'!$A$3:$FB$285,46,FALSE)</f>
        <v>2154</v>
      </c>
      <c r="AJ110" s="27">
        <f>VLOOKUP($A110,'[1]Raw Data'!$A$3:$FB$285,47,FALSE)</f>
        <v>2050</v>
      </c>
      <c r="AK110" s="27">
        <f>VLOOKUP($A110,'[1]Raw Data'!$A$3:$FB$285,48,FALSE)</f>
        <v>2042</v>
      </c>
      <c r="AL110" s="27">
        <f>VLOOKUP($A110,'[1]Raw Data'!$A$3:$FB$285,49,FALSE)</f>
        <v>1700</v>
      </c>
      <c r="AM110" s="27">
        <f>VLOOKUP($A110,'[1]Raw Data'!$A$3:$FB$285,50,FALSE)</f>
        <v>1256</v>
      </c>
      <c r="AN110" s="27">
        <f>VLOOKUP($A110,'[1]Raw Data'!$A$3:$FB$285,51,FALSE)</f>
        <v>0</v>
      </c>
      <c r="AO110" s="27" t="str">
        <f>VLOOKUP($A110,'[1]Raw Data'!$A$3:$FB$285,52,FALSE)</f>
        <v/>
      </c>
      <c r="AP110" s="27">
        <f>VLOOKUP($A110,'[1]Raw Data'!$A$3:$FB$285,53,FALSE)</f>
        <v>372</v>
      </c>
      <c r="AQ110" s="27">
        <f>VLOOKUP($A110,'[1]Raw Data'!$A$3:$FB$285,54,FALSE)</f>
        <v>255</v>
      </c>
      <c r="AR110" s="27">
        <f>VLOOKUP($A110,'[1]Raw Data'!$A$3:$FB$285,55,FALSE)</f>
        <v>243</v>
      </c>
      <c r="AS110" s="27">
        <f>VLOOKUP($A110,'[1]Raw Data'!$A$3:$FB$285,56,FALSE)</f>
        <v>0</v>
      </c>
      <c r="AT110" s="27">
        <f>VLOOKUP($A110,'[1]Raw Data'!$A$3:$FB$285,57,FALSE)</f>
        <v>927</v>
      </c>
      <c r="AU110" s="27">
        <f>VLOOKUP($A110,'[1]Raw Data'!$A$3:$FB$285,58,FALSE)</f>
        <v>514</v>
      </c>
      <c r="AV110" s="27" t="str">
        <f>VLOOKUP($A110,'[1]Raw Data'!$A$3:$FB$285,59,FALSE)</f>
        <v/>
      </c>
      <c r="AW110" s="27" t="str">
        <f>VLOOKUP($A110,'[1]Raw Data'!$A$3:$FB$285,60,FALSE)</f>
        <v/>
      </c>
      <c r="AX110" s="27" t="str">
        <f>VLOOKUP(A110,'[1]PO''s List'!A108:E390,4,FALSE)</f>
        <v/>
      </c>
      <c r="AZ110" s="27" t="str">
        <f>VLOOKUP(A110,'[1]PO''s List'!$A$3:$E$285,5,FALSE)</f>
        <v/>
      </c>
      <c r="BB110" s="27">
        <f>VLOOKUP($A110,'[1]Raw Data'!$A$3:$FB$285,63,FALSE)</f>
        <v>39694</v>
      </c>
      <c r="BC110" s="27" t="str">
        <f>VLOOKUP($A110,'[1]Raw Data'!$A$3:$FB$285,64,FALSE)</f>
        <v/>
      </c>
      <c r="BD110" s="27" t="str">
        <f t="shared" si="9"/>
        <v/>
      </c>
      <c r="BE110" s="27" t="str">
        <f>VLOOKUP($A110,'[1]Raw Data'!$A$3:$FB$285,65,FALSE)</f>
        <v/>
      </c>
      <c r="BF110" s="27">
        <f>VLOOKUP($A110,'[1]Raw Data'!$A$3:$FB$285,66,FALSE)</f>
        <v>41032</v>
      </c>
      <c r="BG110" s="27" t="str">
        <f>VLOOKUP($A110,'[1]Raw Data'!$A$3:$FB$285,67,FALSE)</f>
        <v/>
      </c>
      <c r="BH110" s="27" t="str">
        <f t="shared" si="10"/>
        <v/>
      </c>
      <c r="BI110" s="27" t="str">
        <f>VLOOKUP($A110,'[1]Raw Data'!$A$3:$FB$285,68,FALSE)</f>
        <v/>
      </c>
      <c r="BJ110" s="27">
        <f>VLOOKUP($A110,'[1]Raw Data'!$A$3:$FB$285,69,FALSE)</f>
        <v>4242</v>
      </c>
      <c r="BK110" s="27" t="str">
        <f>VLOOKUP($A110,'[1]Raw Data'!$A$3:$FB$285,70,FALSE)</f>
        <v/>
      </c>
      <c r="BL110" s="27" t="str">
        <f t="shared" si="11"/>
        <v/>
      </c>
      <c r="BM110" s="27" t="str">
        <f>VLOOKUP($A110,'[1]Raw Data'!$A$3:$FB$285,71,FALSE)</f>
        <v/>
      </c>
      <c r="BN110" s="27">
        <f>VLOOKUP($A110,'[1]Raw Data'!$A$3:$FB$285,72,FALSE)</f>
        <v>4908</v>
      </c>
      <c r="BO110" s="27" t="str">
        <f>VLOOKUP($A110,'[1]Raw Data'!$A$3:$FB$285,73,FALSE)</f>
        <v/>
      </c>
      <c r="BP110" s="27" t="str">
        <f t="shared" si="12"/>
        <v/>
      </c>
      <c r="BQ110" s="27" t="str">
        <f>VLOOKUP($A110,'[1]Raw Data'!$A$3:$FB$285,74,FALSE)</f>
        <v/>
      </c>
      <c r="BR110" s="27" t="str">
        <f>VLOOKUP($A110,'[1]Raw Data'!$A$3:$FB$285,75,FALSE)</f>
        <v/>
      </c>
      <c r="BS110" s="27" t="str">
        <f>VLOOKUP($A110,'[1]Raw Data'!$A$3:$FB$285,76,FALSE)</f>
        <v/>
      </c>
      <c r="BT110" s="27" t="str">
        <f t="shared" si="13"/>
        <v/>
      </c>
      <c r="BU110" s="27" t="str">
        <f>VLOOKUP($A110,'[1]Raw Data'!$A$3:$FB$285,77,FALSE)</f>
        <v/>
      </c>
      <c r="BV110" s="27">
        <f>VLOOKUP($A110,'[1]Raw Data'!$A$3:$FB$285,78,FALSE)</f>
        <v>136308</v>
      </c>
      <c r="BW110" s="27" t="str">
        <f>VLOOKUP($A110,'[1]Raw Data'!$A$3:$FB$285,79,FALSE)</f>
        <v/>
      </c>
      <c r="BX110" s="27" t="str">
        <f t="shared" si="14"/>
        <v/>
      </c>
      <c r="BY110" s="27" t="str">
        <f>VLOOKUP($A110,'[1]Raw Data'!$A$3:$FB$285,80,FALSE)</f>
        <v/>
      </c>
      <c r="BZ110" s="27">
        <f>VLOOKUP($A110,'[1]Raw Data'!$A$3:$FB$285,81,FALSE)</f>
        <v>430355</v>
      </c>
      <c r="CA110" s="27" t="str">
        <f>VLOOKUP($A110,'[1]Raw Data'!$A$3:$FB$285,82,FALSE)</f>
        <v/>
      </c>
      <c r="CB110" s="27" t="str">
        <f t="shared" si="15"/>
        <v/>
      </c>
      <c r="CC110" s="27" t="str">
        <f>VLOOKUP($A110,'[1]Raw Data'!$A$3:$FB$285,83,FALSE)</f>
        <v/>
      </c>
      <c r="CD110" s="27">
        <f>VLOOKUP($A110,'[1]Raw Data'!$A$3:$FB$285,84,FALSE)</f>
        <v>5574</v>
      </c>
      <c r="CE110" s="27" t="str">
        <f>VLOOKUP($A110,'[1]Raw Data'!$A$3:$FB$285,85,FALSE)</f>
        <v/>
      </c>
      <c r="CF110" s="27" t="str">
        <f t="shared" si="16"/>
        <v/>
      </c>
      <c r="CG110" s="27" t="str">
        <f>VLOOKUP($A110,'[1]Raw Data'!$A$3:$FB$285,86,FALSE)</f>
        <v/>
      </c>
      <c r="CH110" s="27">
        <f>VLOOKUP($A110,'[1]Raw Data'!$A$3:$FB$285,87,FALSE)</f>
        <v>430901</v>
      </c>
      <c r="CI110" s="27" t="str">
        <f>VLOOKUP($A110,'[1]Raw Data'!$A$3:$FB$285,88,FALSE)</f>
        <v/>
      </c>
      <c r="CJ110" s="27" t="str">
        <f t="shared" si="17"/>
        <v/>
      </c>
      <c r="CK110" s="27" t="str">
        <f>VLOOKUP($A110,'[1]Raw Data'!$A$3:$FB$285,89,FALSE)</f>
        <v/>
      </c>
      <c r="CL110" s="27" t="str">
        <f>VLOOKUP($A110,'[1]Raw Data'!$A$3:$FB$285,91,FALSE)</f>
        <v/>
      </c>
      <c r="CM110" s="27" t="str">
        <f>VLOOKUP($A110,'[1]Raw Data'!$A$3:$FB$285,93,FALSE)</f>
        <v/>
      </c>
      <c r="CN110" s="27" t="str">
        <f>VLOOKUP($A110,'[1]Raw Data'!$A$3:$FB$285,94,FALSE)</f>
        <v/>
      </c>
      <c r="CO110" s="27" t="str">
        <f>VLOOKUP($A110,'[1]Raw Data'!$A$3:$FB$285,95,FALSE)</f>
        <v/>
      </c>
      <c r="CP110" s="27" t="str">
        <f>VLOOKUP($A110,'[1]Raw Data'!$A$3:$FB$285,96,FALSE)</f>
        <v/>
      </c>
      <c r="CQ110" s="27" t="str">
        <f>VLOOKUP($A110,'[1]Raw Data'!$A$3:$FB$285,97,FALSE)</f>
        <v/>
      </c>
      <c r="CR110" s="27" t="str">
        <f>VLOOKUP($A110,'[1]Raw Data'!$A$3:$FB$285,98,FALSE)</f>
        <v/>
      </c>
      <c r="CS110" s="27" t="str">
        <f>VLOOKUP($A110,'[1]Raw Data'!$A$3:$FB$285,99,FALSE)</f>
        <v/>
      </c>
      <c r="CT110" s="27" t="str">
        <f>VLOOKUP($A110,'[1]Raw Data'!$A$3:$FB$285,101,FALSE)</f>
        <v>Gopilal Singtan</v>
      </c>
      <c r="CU110" s="27" t="s">
        <v>1136</v>
      </c>
      <c r="CV110" s="27" t="str">
        <f>VLOOKUP($A110,'[1]Raw Data'!$A$3:$FB$285,102,FALSE)</f>
        <v>Mayor</v>
      </c>
      <c r="CW110" s="27" t="s">
        <v>834</v>
      </c>
      <c r="CX110" s="27">
        <f>VLOOKUP($A110,'[1]Raw Data'!$A$3:$FB$285,103,FALSE)</f>
        <v>9851168250</v>
      </c>
      <c r="CY110" s="27" t="str">
        <f>VLOOKUP($A110,'[1]Raw Data'!$A$3:$FB$285,105,FALSE)</f>
        <v>Mingma Tamang Lama</v>
      </c>
      <c r="CZ110" s="27" t="s">
        <v>1137</v>
      </c>
      <c r="DA110" s="27" t="str">
        <f>VLOOKUP($A110,'[1]Raw Data'!$A$3:$FB$285,106,FALSE)</f>
        <v>Deputy Mayor</v>
      </c>
      <c r="DB110" s="27" t="s">
        <v>888</v>
      </c>
      <c r="DC110" s="27">
        <f>VLOOKUP($A110,'[1]Raw Data'!$A$3:$FB$285,107,FALSE)</f>
        <v>9843835965</v>
      </c>
      <c r="DD110" s="27" t="str">
        <f>VLOOKUP($A110,'[1]Raw Data'!$A$3:$FB$285,109,FALSE)</f>
        <v>Rom Bahadur Mahara</v>
      </c>
      <c r="DE110" s="27" t="s">
        <v>1138</v>
      </c>
      <c r="DF110" s="27" t="str">
        <f>VLOOKUP($A110,'[1]Raw Data'!$A$3:$FB$285,110,FALSE)</f>
        <v>Adminstration Officer</v>
      </c>
      <c r="DG110" s="27" t="s">
        <v>880</v>
      </c>
      <c r="DH110" s="27">
        <f>VLOOKUP($A110,'[1]Raw Data'!$A$3:$FB$285,111,FALSE)</f>
        <v>9851164400</v>
      </c>
      <c r="DI110" s="27" t="str">
        <f>VLOOKUP($A110,'[1]Raw Data'!$A$3:$FB$285,121,FALSE)</f>
        <v>Kabel Ghalan</v>
      </c>
      <c r="DJ110" s="27" t="s">
        <v>1139</v>
      </c>
      <c r="DK110" s="27" t="str">
        <f>VLOOKUP($A110,'[1]Raw Data'!$A$3:$FB$285,122,FALSE)</f>
        <v>Focal Person</v>
      </c>
      <c r="DL110" s="27" t="s">
        <v>881</v>
      </c>
      <c r="DM110" s="27">
        <f>VLOOKUP($A110,'[1]Raw Data'!$A$3:$FB$285,123,FALSE)</f>
        <v>9843003955</v>
      </c>
      <c r="DN110" s="27" t="str">
        <f>VLOOKUP($A110,'[1]Raw Data'!$A$3:$FB$285,113,FALSE)</f>
        <v>Bir Bahadur Rawal</v>
      </c>
      <c r="DO110" s="27" t="s">
        <v>1128</v>
      </c>
      <c r="DP110" s="27" t="str">
        <f>VLOOKUP($A110,'[1]Raw Data'!$A$3:$FB$285,114,FALSE)</f>
        <v>NRA Chief-District</v>
      </c>
      <c r="DQ110" s="27" t="s">
        <v>882</v>
      </c>
      <c r="DR110" s="27">
        <f>VLOOKUP($A110,'[1]Raw Data'!$A$3:$FB$285,115,FALSE)</f>
        <v>9851201088</v>
      </c>
      <c r="DS110" s="27" t="str">
        <f>VLOOKUP($A110,'[1]Raw Data'!$A$3:$FB$285,117,FALSE)</f>
        <v>Chandra Kaji Gurung</v>
      </c>
      <c r="DT110" s="27" t="s">
        <v>1129</v>
      </c>
      <c r="DU110" s="27" t="str">
        <f>VLOOKUP($A110,'[1]Raw Data'!$A$3:$FB$285,118,FALSE)</f>
        <v>DUDBC.DLPIU Chief</v>
      </c>
      <c r="DV110" s="27" t="s">
        <v>883</v>
      </c>
      <c r="DW110" s="27">
        <f>VLOOKUP($A110,'[1]Raw Data'!$A$3:$FB$285,119,FALSE)</f>
        <v>9841576783</v>
      </c>
      <c r="DX110" s="27" t="s">
        <v>339</v>
      </c>
      <c r="DY110" s="27" t="str">
        <f>VLOOKUP($A110,'[1]Raw Data'!$A$3:$FB$285,124,FALSE)</f>
        <v/>
      </c>
      <c r="DZ110" s="27" t="s">
        <v>884</v>
      </c>
      <c r="EA110" s="27" t="str">
        <f>VLOOKUP($A110,'[1]Raw Data'!$A$3:$FB$285,125,FALSE)</f>
        <v/>
      </c>
      <c r="EB110" s="27" t="s">
        <v>341</v>
      </c>
      <c r="EC110" s="27" t="str">
        <f>VLOOKUP($A110,'[1]Raw Data'!$A$3:$FB$285,126,FALSE)</f>
        <v/>
      </c>
      <c r="ED110" t="s">
        <v>478</v>
      </c>
      <c r="EE110" s="27" t="str">
        <f>VLOOKUP($A110,'[1]Raw Data'!$A$3:$FB$285,127,FALSE)</f>
        <v/>
      </c>
      <c r="EF110" s="27" t="s">
        <v>343</v>
      </c>
      <c r="EG110" s="27" t="str">
        <f>VLOOKUP($A110,'[1]Raw Data'!$A$3:$FB$285,128,FALSE)</f>
        <v/>
      </c>
      <c r="EH110" t="s">
        <v>344</v>
      </c>
      <c r="EI110" s="27" t="str">
        <f>VLOOKUP($A110,'[1]Raw Data'!$A$3:$FB$285,129,FALSE)</f>
        <v/>
      </c>
      <c r="EM110" s="27" t="str">
        <f>VLOOKUP($A110,'[1]Raw Data'!$A$3:$FB$285,130,FALSE)</f>
        <v/>
      </c>
      <c r="EN110" s="27" t="str">
        <f>VLOOKUP($A110,'[1]Raw Data'!$A$3:$FB$285,131,FALSE)</f>
        <v/>
      </c>
      <c r="EO110" s="27" t="str">
        <f>VLOOKUP($A110,'[1]Raw Data'!$A$3:$FB$285,132,FALSE)</f>
        <v/>
      </c>
      <c r="EP110" s="27" t="str">
        <f>VLOOKUP($A110,'[1]Raw Data'!$A$3:$FB$285,133,FALSE)</f>
        <v/>
      </c>
      <c r="EQ110" s="27" t="str">
        <f>VLOOKUP($A110,'[1]Raw Data'!$A$3:$FB$285,134,FALSE)</f>
        <v/>
      </c>
      <c r="ER110" s="27" t="str">
        <f>VLOOKUP($A110,'[1]Raw Data'!$A$3:$FB$285,135,FALSE)</f>
        <v/>
      </c>
      <c r="ES110" s="27" t="str">
        <f>VLOOKUP($A110,'[1]Raw Data'!$A$3:$FB$285,136,FALSE)</f>
        <v/>
      </c>
      <c r="ET110" s="27" t="str">
        <f>VLOOKUP($A110,'[1]Raw Data'!$A$3:$FB$285,137,FALSE)</f>
        <v/>
      </c>
      <c r="EU110" s="27" t="str">
        <f>VLOOKUP($A110,'[1]Raw Data'!$A$3:$FB$285,138,FALSE)</f>
        <v>7</v>
      </c>
      <c r="EV110" s="27" t="str">
        <f>VLOOKUP($A110,'[1]Raw Data'!$A$3:$FB$285,139,FALSE)</f>
        <v/>
      </c>
      <c r="EW110" s="38">
        <f>VLOOKUP($A110,[1]Training!$A$2:$I$284,5,FALSE)</f>
        <v>165.69230769230768</v>
      </c>
      <c r="EX110" s="31">
        <f>VLOOKUP($A110,[1]Training!$A$2:$I$284,6,FALSE)</f>
        <v>192</v>
      </c>
      <c r="EY110" s="38">
        <f>VLOOKUP($A110,[1]Training!$A$2:$I$284,8,FALSE)</f>
        <v>83.470725005284294</v>
      </c>
      <c r="EZ110" s="31">
        <f>VLOOKUP($A110,[1]Training!$A$2:$I$284,9,FALSE)</f>
        <v>191</v>
      </c>
      <c r="FA110" s="27">
        <v>1</v>
      </c>
      <c r="FB110" s="27">
        <v>2</v>
      </c>
      <c r="FC110" s="27" t="str">
        <f>VLOOKUP($A110,'[1]Raw Data'!$A$3:$FB$285,148,FALSE)</f>
        <v>Ambika Amatya</v>
      </c>
      <c r="FD110" s="27" t="s">
        <v>1130</v>
      </c>
      <c r="FE110" s="27" t="str">
        <f>VLOOKUP($A110,'[1]Raw Data'!$A$3:$FB$285,149,FALSE)</f>
        <v>District Coordinator</v>
      </c>
      <c r="FF110" s="27" t="s">
        <v>885</v>
      </c>
      <c r="FG110" s="27">
        <f>VLOOKUP($A110,'[1]Raw Data'!$A$3:$FB$285,150,FALSE)</f>
        <v>9841356409</v>
      </c>
      <c r="FH110" s="27" t="str">
        <f>VLOOKUP($A110,'[1]Raw Data'!$A$3:$FB$285,156,FALSE)</f>
        <v/>
      </c>
      <c r="FJ110" s="27" t="str">
        <f>VLOOKUP($A110,'[1]Raw Data'!$A$3:$FB$285,157,FALSE)</f>
        <v>District Technical Officer</v>
      </c>
      <c r="FK110" s="27" t="s">
        <v>886</v>
      </c>
      <c r="FL110" s="27" t="str">
        <f>VLOOKUP($A110,'[1]Raw Data'!$A$3:$FB$285,158,FALSE)</f>
        <v/>
      </c>
      <c r="FM110" s="27" t="str">
        <f>VLOOKUP($A110,'[1]Raw Data'!$A$3:$FB$285,152,FALSE)</f>
        <v>Manisha Rai</v>
      </c>
      <c r="FN110" s="27" t="s">
        <v>1131</v>
      </c>
      <c r="FO110" s="27" t="str">
        <f>VLOOKUP($A110,'[1]Raw Data'!$A$3:$FB$285,153,FALSE)</f>
        <v>DIstrict Information Management Officer</v>
      </c>
      <c r="FP110" s="27" t="s">
        <v>887</v>
      </c>
      <c r="FQ110" s="27">
        <f>VLOOKUP($A110,'[1]Raw Data'!$A$3:$FB$285,154,FALSE)</f>
        <v>9842062006</v>
      </c>
    </row>
    <row r="111" spans="1:173" ht="24" x14ac:dyDescent="0.45">
      <c r="A111" s="27">
        <v>25004</v>
      </c>
      <c r="B111" s="36" t="str">
        <f ca="1">IFERROR(__xludf.DUMMYFUNCTION("""COMPUTED_VALUE"""),"Lalitpur Mahanagarpalika")</f>
        <v>Lalitpur Mahanagarpalika</v>
      </c>
      <c r="C111" s="37" t="str">
        <f>VLOOKUP(A111,'[1]Palika and District in Nepali '!$D$1:$F$283,3,FALSE)</f>
        <v>ललितपुर महानगरपालिका</v>
      </c>
      <c r="D111" s="36" t="str">
        <f ca="1">IFERROR(__xludf.DUMMYFUNCTION("""COMPUTED_VALUE"""),"Lalitpur")</f>
        <v>Lalitpur</v>
      </c>
      <c r="E111" s="36"/>
      <c r="F111" s="27">
        <f>VLOOKUP(A111,'[1]Raw Data'!$A$3:$FB$285,4,FALSE)</f>
        <v>689</v>
      </c>
      <c r="G111" s="27">
        <f>VLOOKUP(A111,'[1]Raw Data'!$A$3:$FB$285,5,FALSE)</f>
        <v>5905</v>
      </c>
      <c r="H111" s="27">
        <f>VLOOKUP(A111,'[1]Raw Data'!$A$3:$FB$285,6,FALSE)</f>
        <v>6594</v>
      </c>
      <c r="I111" s="27">
        <f>VLOOKUP($A111,'[1]Raw Data'!$A$3:$FB$285,8,FALSE)</f>
        <v>0.97</v>
      </c>
      <c r="J111" s="27">
        <f>VLOOKUP($A111,'[1]Raw Data'!$A$3:$FB$285,9,FALSE)</f>
        <v>0.6</v>
      </c>
      <c r="K111" s="27">
        <f>VLOOKUP($A111,'[1]Raw Data'!$A$3:$FB$285,11,FALSE)</f>
        <v>3.22</v>
      </c>
      <c r="L111" s="27">
        <f>VLOOKUP($A111,'[1]Raw Data'!$A$3:$FB$285,12,FALSE)</f>
        <v>39.28</v>
      </c>
      <c r="M111" s="27">
        <f>VLOOKUP($A111,'[1]Raw Data'!$A$3:$FB$285,14,FALSE)</f>
        <v>8.39</v>
      </c>
      <c r="N111" s="27">
        <f>VLOOKUP($A111,'[1]Raw Data'!$A$3:$FB$285,15,FALSE)</f>
        <v>4.51</v>
      </c>
      <c r="O111" s="27">
        <f>VLOOKUP($A111,'[1]Raw Data'!$A$3:$FB$285,17,FALSE)</f>
        <v>30.03</v>
      </c>
      <c r="P111" s="27">
        <f>VLOOKUP($A111,'[1]Raw Data'!$A$3:$FB$285,18,FALSE)</f>
        <v>18.14</v>
      </c>
      <c r="Q111" s="27">
        <f>VLOOKUP($A111,'[1]Raw Data'!$A$3:$FB$285,20,FALSE)</f>
        <v>2.34</v>
      </c>
      <c r="R111" s="27">
        <f>VLOOKUP($A111,'[1]Raw Data'!$A$3:$FB$285,21,FALSE)</f>
        <v>2.15</v>
      </c>
      <c r="S111" s="27">
        <f>VLOOKUP($A111,'[1]Raw Data'!$A$3:$FB$285,23,FALSE)</f>
        <v>0</v>
      </c>
      <c r="T111" s="27">
        <f>VLOOKUP($A111,'[1]Raw Data'!$A$3:$FB$285,24,FALSE)</f>
        <v>0</v>
      </c>
      <c r="U111" s="27">
        <f>VLOOKUP($A111,'[1]Raw Data'!$A$3:$FB$285,26,FALSE)</f>
        <v>0.02</v>
      </c>
      <c r="V111" s="27">
        <f>VLOOKUP($A111,'[1]Raw Data'!$A$3:$FB$285,27,FALSE)</f>
        <v>0.12</v>
      </c>
      <c r="W111" s="27">
        <f>VLOOKUP($A111,'[1]Raw Data'!$A$3:$FB$285,29,FALSE)</f>
        <v>0</v>
      </c>
      <c r="X111" s="27">
        <f>VLOOKUP($A111,'[1]Raw Data'!$A$3:$FB$285,30,FALSE)</f>
        <v>0</v>
      </c>
      <c r="Y111" s="27">
        <f>VLOOKUP($A111,'[1]Raw Data'!$A$3:$FB$285,32,FALSE)</f>
        <v>0.05</v>
      </c>
      <c r="Z111" s="27">
        <f>VLOOKUP($A111,'[1]Raw Data'!$A$3:$FB$285,33,FALSE)</f>
        <v>0.31</v>
      </c>
      <c r="AA111" s="27">
        <f>VLOOKUP($A111,'[1]Raw Data'!$A$3:$FB$285,35,FALSE)</f>
        <v>55</v>
      </c>
      <c r="AB111" s="27">
        <f>VLOOKUP($A111,'[1]Raw Data'!$A$3:$FB$285,36,FALSE)</f>
        <v>34.86</v>
      </c>
      <c r="AC111" s="27">
        <f>VLOOKUP($A111,'[1]Raw Data'!$A$3:$FB$285,38,FALSE)</f>
        <v>0</v>
      </c>
      <c r="AD111" s="27">
        <f>VLOOKUP($A111,'[1]Raw Data'!$A$3:$FB$285,39,FALSE)</f>
        <v>0.04</v>
      </c>
      <c r="AE111" s="27">
        <f>VLOOKUP($A111,'[1]Raw Data'!$A$3:$FB$285,41,FALSE)</f>
        <v>0</v>
      </c>
      <c r="AF111" s="27">
        <f>VLOOKUP($A111,'[1]Raw Data'!$A$3:$FB$285,42,FALSE)</f>
        <v>0</v>
      </c>
      <c r="AG111" s="27">
        <f>VLOOKUP($A111,'[1]Raw Data'!$A$3:$FB$285,44,FALSE)</f>
        <v>0</v>
      </c>
      <c r="AH111" s="27">
        <f>VLOOKUP($A111,'[1]Raw Data'!$A$3:$FB$285,45,FALSE)</f>
        <v>0</v>
      </c>
      <c r="AI111" s="27">
        <f>VLOOKUP($A111,'[1]Raw Data'!$A$3:$FB$285,46,FALSE)</f>
        <v>7373</v>
      </c>
      <c r="AJ111" s="27">
        <f>VLOOKUP($A111,'[1]Raw Data'!$A$3:$FB$285,47,FALSE)</f>
        <v>6316</v>
      </c>
      <c r="AK111" s="27">
        <f>VLOOKUP($A111,'[1]Raw Data'!$A$3:$FB$285,48,FALSE)</f>
        <v>6290</v>
      </c>
      <c r="AL111" s="27">
        <f>VLOOKUP($A111,'[1]Raw Data'!$A$3:$FB$285,49,FALSE)</f>
        <v>1174</v>
      </c>
      <c r="AM111" s="27">
        <f>VLOOKUP($A111,'[1]Raw Data'!$A$3:$FB$285,50,FALSE)</f>
        <v>732</v>
      </c>
      <c r="AN111" s="27">
        <f>VLOOKUP($A111,'[1]Raw Data'!$A$3:$FB$285,51,FALSE)</f>
        <v>0</v>
      </c>
      <c r="AO111" s="27" t="str">
        <f>VLOOKUP($A111,'[1]Raw Data'!$A$3:$FB$285,52,FALSE)</f>
        <v/>
      </c>
      <c r="AP111" s="27">
        <f>VLOOKUP($A111,'[1]Raw Data'!$A$3:$FB$285,53,FALSE)</f>
        <v>275</v>
      </c>
      <c r="AQ111" s="27">
        <f>VLOOKUP($A111,'[1]Raw Data'!$A$3:$FB$285,54,FALSE)</f>
        <v>121</v>
      </c>
      <c r="AR111" s="27">
        <f>VLOOKUP($A111,'[1]Raw Data'!$A$3:$FB$285,55,FALSE)</f>
        <v>117</v>
      </c>
      <c r="AS111" s="27">
        <f>VLOOKUP($A111,'[1]Raw Data'!$A$3:$FB$285,56,FALSE)</f>
        <v>0</v>
      </c>
      <c r="AT111" s="27">
        <f>VLOOKUP($A111,'[1]Raw Data'!$A$3:$FB$285,57,FALSE)</f>
        <v>3229</v>
      </c>
      <c r="AU111" s="27">
        <f>VLOOKUP($A111,'[1]Raw Data'!$A$3:$FB$285,58,FALSE)</f>
        <v>2296</v>
      </c>
      <c r="AV111" s="27" t="str">
        <f>VLOOKUP($A111,'[1]Raw Data'!$A$3:$FB$285,59,FALSE)</f>
        <v/>
      </c>
      <c r="AW111" s="27" t="str">
        <f>VLOOKUP($A111,'[1]Raw Data'!$A$3:$FB$285,60,FALSE)</f>
        <v/>
      </c>
      <c r="AX111" s="27" t="str">
        <f>VLOOKUP(A111,'[1]PO''s List'!A109:E391,4,FALSE)</f>
        <v>MCC(Health),NRCS(Livelihood,Education,Employment ,Health,Shelter,Health),NSET(Shelter)</v>
      </c>
      <c r="AZ111" s="27" t="str">
        <f>VLOOKUP(A111,'[1]PO''s List'!$A$3:$E$285,5,FALSE)</f>
        <v>AA(DRR,Education,Employment ,GESI),DCA(DRR,Education,Employment ,Health,Shelter,Health),NYF(Shelter),RoundT-N(Education),,WVIN(Education)</v>
      </c>
      <c r="BB111" s="27">
        <f>VLOOKUP($A111,'[1]Raw Data'!$A$3:$FB$285,63,FALSE)</f>
        <v>45288</v>
      </c>
      <c r="BC111" s="27" t="str">
        <f>VLOOKUP($A111,'[1]Raw Data'!$A$3:$FB$285,64,FALSE)</f>
        <v/>
      </c>
      <c r="BD111" s="27" t="str">
        <f t="shared" si="9"/>
        <v/>
      </c>
      <c r="BE111" s="27" t="str">
        <f>VLOOKUP($A111,'[1]Raw Data'!$A$3:$FB$285,65,FALSE)</f>
        <v/>
      </c>
      <c r="BF111" s="27">
        <f>VLOOKUP($A111,'[1]Raw Data'!$A$3:$FB$285,66,FALSE)</f>
        <v>38259</v>
      </c>
      <c r="BG111" s="27" t="str">
        <f>VLOOKUP($A111,'[1]Raw Data'!$A$3:$FB$285,67,FALSE)</f>
        <v/>
      </c>
      <c r="BH111" s="27" t="str">
        <f t="shared" si="10"/>
        <v/>
      </c>
      <c r="BI111" s="27" t="str">
        <f>VLOOKUP($A111,'[1]Raw Data'!$A$3:$FB$285,68,FALSE)</f>
        <v/>
      </c>
      <c r="BJ111" s="27">
        <f>VLOOKUP($A111,'[1]Raw Data'!$A$3:$FB$285,69,FALSE)</f>
        <v>4761</v>
      </c>
      <c r="BK111" s="27" t="str">
        <f>VLOOKUP($A111,'[1]Raw Data'!$A$3:$FB$285,70,FALSE)</f>
        <v/>
      </c>
      <c r="BL111" s="27" t="str">
        <f t="shared" si="11"/>
        <v/>
      </c>
      <c r="BM111" s="27" t="str">
        <f>VLOOKUP($A111,'[1]Raw Data'!$A$3:$FB$285,71,FALSE)</f>
        <v/>
      </c>
      <c r="BN111" s="27">
        <f>VLOOKUP($A111,'[1]Raw Data'!$A$3:$FB$285,72,FALSE)</f>
        <v>5221</v>
      </c>
      <c r="BO111" s="27" t="str">
        <f>VLOOKUP($A111,'[1]Raw Data'!$A$3:$FB$285,73,FALSE)</f>
        <v/>
      </c>
      <c r="BP111" s="27" t="str">
        <f t="shared" si="12"/>
        <v/>
      </c>
      <c r="BQ111" s="27" t="str">
        <f>VLOOKUP($A111,'[1]Raw Data'!$A$3:$FB$285,74,FALSE)</f>
        <v/>
      </c>
      <c r="BR111" s="27" t="str">
        <f>VLOOKUP($A111,'[1]Raw Data'!$A$3:$FB$285,75,FALSE)</f>
        <v/>
      </c>
      <c r="BS111" s="27" t="str">
        <f>VLOOKUP($A111,'[1]Raw Data'!$A$3:$FB$285,76,FALSE)</f>
        <v/>
      </c>
      <c r="BT111" s="27" t="str">
        <f t="shared" si="13"/>
        <v/>
      </c>
      <c r="BU111" s="27" t="str">
        <f>VLOOKUP($A111,'[1]Raw Data'!$A$3:$FB$285,77,FALSE)</f>
        <v/>
      </c>
      <c r="BV111" s="27">
        <f>VLOOKUP($A111,'[1]Raw Data'!$A$3:$FB$285,78,FALSE)</f>
        <v>129644</v>
      </c>
      <c r="BW111" s="27" t="str">
        <f>VLOOKUP($A111,'[1]Raw Data'!$A$3:$FB$285,79,FALSE)</f>
        <v/>
      </c>
      <c r="BX111" s="27" t="str">
        <f t="shared" si="14"/>
        <v/>
      </c>
      <c r="BY111" s="27" t="str">
        <f>VLOOKUP($A111,'[1]Raw Data'!$A$3:$FB$285,80,FALSE)</f>
        <v/>
      </c>
      <c r="BZ111" s="27">
        <f>VLOOKUP($A111,'[1]Raw Data'!$A$3:$FB$285,81,FALSE)</f>
        <v>505323</v>
      </c>
      <c r="CA111" s="27" t="str">
        <f>VLOOKUP($A111,'[1]Raw Data'!$A$3:$FB$285,82,FALSE)</f>
        <v/>
      </c>
      <c r="CB111" s="27" t="str">
        <f t="shared" si="15"/>
        <v/>
      </c>
      <c r="CC111" s="27" t="str">
        <f>VLOOKUP($A111,'[1]Raw Data'!$A$3:$FB$285,83,FALSE)</f>
        <v/>
      </c>
      <c r="CD111" s="27">
        <f>VLOOKUP($A111,'[1]Raw Data'!$A$3:$FB$285,84,FALSE)</f>
        <v>5295</v>
      </c>
      <c r="CE111" s="27" t="str">
        <f>VLOOKUP($A111,'[1]Raw Data'!$A$3:$FB$285,85,FALSE)</f>
        <v/>
      </c>
      <c r="CF111" s="27" t="str">
        <f t="shared" si="16"/>
        <v/>
      </c>
      <c r="CG111" s="27" t="str">
        <f>VLOOKUP($A111,'[1]Raw Data'!$A$3:$FB$285,86,FALSE)</f>
        <v/>
      </c>
      <c r="CH111" s="27">
        <f>VLOOKUP($A111,'[1]Raw Data'!$A$3:$FB$285,87,FALSE)</f>
        <v>1284568</v>
      </c>
      <c r="CI111" s="27" t="str">
        <f>VLOOKUP($A111,'[1]Raw Data'!$A$3:$FB$285,88,FALSE)</f>
        <v/>
      </c>
      <c r="CJ111" s="27" t="str">
        <f t="shared" si="17"/>
        <v/>
      </c>
      <c r="CK111" s="27" t="str">
        <f>VLOOKUP($A111,'[1]Raw Data'!$A$3:$FB$285,89,FALSE)</f>
        <v/>
      </c>
      <c r="CL111" s="27" t="str">
        <f>VLOOKUP($A111,'[1]Raw Data'!$A$3:$FB$285,91,FALSE)</f>
        <v/>
      </c>
      <c r="CM111" s="27" t="str">
        <f>VLOOKUP($A111,'[1]Raw Data'!$A$3:$FB$285,93,FALSE)</f>
        <v/>
      </c>
      <c r="CN111" s="27" t="str">
        <f>VLOOKUP($A111,'[1]Raw Data'!$A$3:$FB$285,94,FALSE)</f>
        <v/>
      </c>
      <c r="CO111" s="27" t="str">
        <f>VLOOKUP($A111,'[1]Raw Data'!$A$3:$FB$285,95,FALSE)</f>
        <v/>
      </c>
      <c r="CP111" s="27" t="str">
        <f>VLOOKUP($A111,'[1]Raw Data'!$A$3:$FB$285,96,FALSE)</f>
        <v/>
      </c>
      <c r="CQ111" s="27" t="str">
        <f>VLOOKUP($A111,'[1]Raw Data'!$A$3:$FB$285,97,FALSE)</f>
        <v/>
      </c>
      <c r="CR111" s="27" t="str">
        <f>VLOOKUP($A111,'[1]Raw Data'!$A$3:$FB$285,98,FALSE)</f>
        <v/>
      </c>
      <c r="CS111" s="27" t="str">
        <f>VLOOKUP($A111,'[1]Raw Data'!$A$3:$FB$285,99,FALSE)</f>
        <v/>
      </c>
      <c r="CT111" s="27" t="str">
        <f>VLOOKUP($A111,'[1]Raw Data'!$A$3:$FB$285,101,FALSE)</f>
        <v>Chiribabu Maharjan</v>
      </c>
      <c r="CU111" s="27" t="s">
        <v>1140</v>
      </c>
      <c r="CV111" s="27" t="str">
        <f>VLOOKUP($A111,'[1]Raw Data'!$A$3:$FB$285,102,FALSE)</f>
        <v>Mayor</v>
      </c>
      <c r="CW111" s="27" t="s">
        <v>834</v>
      </c>
      <c r="CX111" s="27">
        <f>VLOOKUP($A111,'[1]Raw Data'!$A$3:$FB$285,103,FALSE)</f>
        <v>9851022723</v>
      </c>
      <c r="CY111" s="27" t="str">
        <f>VLOOKUP($A111,'[1]Raw Data'!$A$3:$FB$285,105,FALSE)</f>
        <v>Geeta Satyal</v>
      </c>
      <c r="CZ111" s="27" t="s">
        <v>1141</v>
      </c>
      <c r="DA111" s="27" t="str">
        <f>VLOOKUP($A111,'[1]Raw Data'!$A$3:$FB$285,106,FALSE)</f>
        <v>Deputy Mayor</v>
      </c>
      <c r="DB111" s="27" t="s">
        <v>888</v>
      </c>
      <c r="DC111" s="27">
        <f>VLOOKUP($A111,'[1]Raw Data'!$A$3:$FB$285,107,FALSE)</f>
        <v>9851234440</v>
      </c>
      <c r="DD111" s="27" t="str">
        <f>VLOOKUP($A111,'[1]Raw Data'!$A$3:$FB$285,109,FALSE)</f>
        <v>Prem Prasad Bhattarai</v>
      </c>
      <c r="DE111" s="27" t="s">
        <v>1142</v>
      </c>
      <c r="DF111" s="27" t="str">
        <f>VLOOKUP($A111,'[1]Raw Data'!$A$3:$FB$285,110,FALSE)</f>
        <v>Adminstration Officer</v>
      </c>
      <c r="DG111" s="27" t="s">
        <v>880</v>
      </c>
      <c r="DH111" s="27">
        <f>VLOOKUP($A111,'[1]Raw Data'!$A$3:$FB$285,111,FALSE)</f>
        <v>9851250013</v>
      </c>
      <c r="DI111" s="27" t="str">
        <f>VLOOKUP($A111,'[1]Raw Data'!$A$3:$FB$285,121,FALSE)</f>
        <v>Harishchandra Lamichanne</v>
      </c>
      <c r="DJ111" s="27" t="s">
        <v>1143</v>
      </c>
      <c r="DK111" s="27" t="str">
        <f>VLOOKUP($A111,'[1]Raw Data'!$A$3:$FB$285,122,FALSE)</f>
        <v>Focal Person</v>
      </c>
      <c r="DL111" s="27" t="s">
        <v>881</v>
      </c>
      <c r="DM111" s="27">
        <f>VLOOKUP($A111,'[1]Raw Data'!$A$3:$FB$285,123,FALSE)</f>
        <v>9851052073</v>
      </c>
      <c r="DN111" s="27" t="str">
        <f>VLOOKUP($A111,'[1]Raw Data'!$A$3:$FB$285,113,FALSE)</f>
        <v>Bir Bahadur Rawal</v>
      </c>
      <c r="DO111" s="27" t="s">
        <v>1128</v>
      </c>
      <c r="DP111" s="27" t="str">
        <f>VLOOKUP($A111,'[1]Raw Data'!$A$3:$FB$285,114,FALSE)</f>
        <v>NRA Chief-District</v>
      </c>
      <c r="DQ111" s="27" t="s">
        <v>882</v>
      </c>
      <c r="DR111" s="27">
        <f>VLOOKUP($A111,'[1]Raw Data'!$A$3:$FB$285,115,FALSE)</f>
        <v>9851201088</v>
      </c>
      <c r="DS111" s="27" t="str">
        <f>VLOOKUP($A111,'[1]Raw Data'!$A$3:$FB$285,117,FALSE)</f>
        <v>Chandra Kaji Gurung</v>
      </c>
      <c r="DT111" s="27" t="s">
        <v>1129</v>
      </c>
      <c r="DU111" s="27" t="str">
        <f>VLOOKUP($A111,'[1]Raw Data'!$A$3:$FB$285,118,FALSE)</f>
        <v>DUDBC.DLPIU Chief</v>
      </c>
      <c r="DV111" s="27" t="s">
        <v>883</v>
      </c>
      <c r="DW111" s="27">
        <f>VLOOKUP($A111,'[1]Raw Data'!$A$3:$FB$285,119,FALSE)</f>
        <v>9841576783</v>
      </c>
      <c r="DX111" s="27" t="s">
        <v>339</v>
      </c>
      <c r="DY111" s="27" t="str">
        <f>VLOOKUP($A111,'[1]Raw Data'!$A$3:$FB$285,124,FALSE)</f>
        <v/>
      </c>
      <c r="DZ111" s="27" t="s">
        <v>884</v>
      </c>
      <c r="EA111" s="27" t="str">
        <f>VLOOKUP($A111,'[1]Raw Data'!$A$3:$FB$285,125,FALSE)</f>
        <v/>
      </c>
      <c r="EB111" s="27" t="s">
        <v>341</v>
      </c>
      <c r="EC111" s="27" t="str">
        <f>VLOOKUP($A111,'[1]Raw Data'!$A$3:$FB$285,126,FALSE)</f>
        <v/>
      </c>
      <c r="ED111" t="s">
        <v>478</v>
      </c>
      <c r="EE111" s="27" t="str">
        <f>VLOOKUP($A111,'[1]Raw Data'!$A$3:$FB$285,127,FALSE)</f>
        <v/>
      </c>
      <c r="EF111" s="27" t="s">
        <v>343</v>
      </c>
      <c r="EG111" s="27" t="str">
        <f>VLOOKUP($A111,'[1]Raw Data'!$A$3:$FB$285,128,FALSE)</f>
        <v/>
      </c>
      <c r="EH111" t="s">
        <v>344</v>
      </c>
      <c r="EI111" s="27" t="str">
        <f>VLOOKUP($A111,'[1]Raw Data'!$A$3:$FB$285,129,FALSE)</f>
        <v/>
      </c>
      <c r="EM111" s="27" t="str">
        <f>VLOOKUP($A111,'[1]Raw Data'!$A$3:$FB$285,130,FALSE)</f>
        <v/>
      </c>
      <c r="EN111" s="27" t="str">
        <f>VLOOKUP($A111,'[1]Raw Data'!$A$3:$FB$285,131,FALSE)</f>
        <v/>
      </c>
      <c r="EO111" s="27" t="str">
        <f>VLOOKUP($A111,'[1]Raw Data'!$A$3:$FB$285,132,FALSE)</f>
        <v/>
      </c>
      <c r="EP111" s="27" t="str">
        <f>VLOOKUP($A111,'[1]Raw Data'!$A$3:$FB$285,133,FALSE)</f>
        <v/>
      </c>
      <c r="EQ111" s="27" t="str">
        <f>VLOOKUP($A111,'[1]Raw Data'!$A$3:$FB$285,134,FALSE)</f>
        <v/>
      </c>
      <c r="ER111" s="27" t="str">
        <f>VLOOKUP($A111,'[1]Raw Data'!$A$3:$FB$285,135,FALSE)</f>
        <v/>
      </c>
      <c r="ES111" s="27" t="str">
        <f>VLOOKUP($A111,'[1]Raw Data'!$A$3:$FB$285,136,FALSE)</f>
        <v/>
      </c>
      <c r="ET111" s="27" t="str">
        <f>VLOOKUP($A111,'[1]Raw Data'!$A$3:$FB$285,137,FALSE)</f>
        <v/>
      </c>
      <c r="EU111" s="27" t="str">
        <f>VLOOKUP($A111,'[1]Raw Data'!$A$3:$FB$285,138,FALSE)</f>
        <v/>
      </c>
      <c r="EV111" s="27" t="str">
        <f>VLOOKUP($A111,'[1]Raw Data'!$A$3:$FB$285,139,FALSE)</f>
        <v/>
      </c>
      <c r="EW111" s="38">
        <f>VLOOKUP($A111,[1]Training!$A$2:$I$284,5,FALSE)</f>
        <v>565.38461538461536</v>
      </c>
      <c r="EX111" s="31">
        <f>VLOOKUP($A111,[1]Training!$A$2:$I$284,6,FALSE)</f>
        <v>327</v>
      </c>
      <c r="EY111" s="38">
        <f>VLOOKUP($A111,[1]Training!$A$2:$I$284,8,FALSE)</f>
        <v>284.82350454449374</v>
      </c>
      <c r="EZ111" s="31">
        <f>VLOOKUP($A111,[1]Training!$A$2:$I$284,9,FALSE)</f>
        <v>255</v>
      </c>
      <c r="FA111" s="27">
        <v>1</v>
      </c>
      <c r="FB111" s="27">
        <v>2</v>
      </c>
      <c r="FC111" s="27" t="str">
        <f>VLOOKUP($A111,'[1]Raw Data'!$A$3:$FB$285,148,FALSE)</f>
        <v>Ambika Amatya</v>
      </c>
      <c r="FD111" s="27" t="s">
        <v>1130</v>
      </c>
      <c r="FE111" s="27" t="str">
        <f>VLOOKUP($A111,'[1]Raw Data'!$A$3:$FB$285,149,FALSE)</f>
        <v>District Coordinator</v>
      </c>
      <c r="FF111" s="27" t="s">
        <v>885</v>
      </c>
      <c r="FG111" s="27">
        <f>VLOOKUP($A111,'[1]Raw Data'!$A$3:$FB$285,150,FALSE)</f>
        <v>9841356409</v>
      </c>
      <c r="FH111" s="27" t="str">
        <f>VLOOKUP($A111,'[1]Raw Data'!$A$3:$FB$285,156,FALSE)</f>
        <v/>
      </c>
      <c r="FJ111" s="27" t="str">
        <f>VLOOKUP($A111,'[1]Raw Data'!$A$3:$FB$285,157,FALSE)</f>
        <v>District Technical Officer</v>
      </c>
      <c r="FK111" s="27" t="s">
        <v>886</v>
      </c>
      <c r="FL111" s="27" t="str">
        <f>VLOOKUP($A111,'[1]Raw Data'!$A$3:$FB$285,158,FALSE)</f>
        <v/>
      </c>
      <c r="FM111" s="27" t="str">
        <f>VLOOKUP($A111,'[1]Raw Data'!$A$3:$FB$285,152,FALSE)</f>
        <v>Manisha Rai</v>
      </c>
      <c r="FN111" s="27" t="s">
        <v>1131</v>
      </c>
      <c r="FO111" s="27" t="str">
        <f>VLOOKUP($A111,'[1]Raw Data'!$A$3:$FB$285,153,FALSE)</f>
        <v>DIstrict Information Management Officer</v>
      </c>
      <c r="FP111" s="27" t="s">
        <v>887</v>
      </c>
      <c r="FQ111" s="27">
        <f>VLOOKUP($A111,'[1]Raw Data'!$A$3:$FB$285,154,FALSE)</f>
        <v>9842062006</v>
      </c>
    </row>
    <row r="112" spans="1:173" ht="24" x14ac:dyDescent="0.45">
      <c r="A112" s="27">
        <v>25005</v>
      </c>
      <c r="B112" s="36" t="str">
        <f ca="1">IFERROR(__xludf.DUMMYFUNCTION("""COMPUTED_VALUE"""),"Mahalaxmi Nagarpalika")</f>
        <v>Mahalaxmi Nagarpalika</v>
      </c>
      <c r="C112" s="37" t="str">
        <f>VLOOKUP(A112,'[1]Palika and District in Nepali '!$D$1:$F$283,3,FALSE)</f>
        <v>महालक्ष्मि नगरपालिका</v>
      </c>
      <c r="D112" s="36" t="str">
        <f ca="1">IFERROR(__xludf.DUMMYFUNCTION("""COMPUTED_VALUE"""),"Lalitpur")</f>
        <v>Lalitpur</v>
      </c>
      <c r="E112" s="36"/>
      <c r="F112" s="27">
        <f>VLOOKUP(A112,'[1]Raw Data'!$A$3:$FB$285,4,FALSE)</f>
        <v>463</v>
      </c>
      <c r="G112" s="27">
        <f>VLOOKUP(A112,'[1]Raw Data'!$A$3:$FB$285,5,FALSE)</f>
        <v>3946</v>
      </c>
      <c r="H112" s="27">
        <f>VLOOKUP(A112,'[1]Raw Data'!$A$3:$FB$285,6,FALSE)</f>
        <v>4409</v>
      </c>
      <c r="I112" s="27">
        <f>VLOOKUP($A112,'[1]Raw Data'!$A$3:$FB$285,8,FALSE)</f>
        <v>0.36</v>
      </c>
      <c r="J112" s="27">
        <f>VLOOKUP($A112,'[1]Raw Data'!$A$3:$FB$285,9,FALSE)</f>
        <v>0.6</v>
      </c>
      <c r="K112" s="27">
        <f>VLOOKUP($A112,'[1]Raw Data'!$A$3:$FB$285,11,FALSE)</f>
        <v>16.97</v>
      </c>
      <c r="L112" s="27">
        <f>VLOOKUP($A112,'[1]Raw Data'!$A$3:$FB$285,12,FALSE)</f>
        <v>39.28</v>
      </c>
      <c r="M112" s="27">
        <f>VLOOKUP($A112,'[1]Raw Data'!$A$3:$FB$285,14,FALSE)</f>
        <v>6.04</v>
      </c>
      <c r="N112" s="27">
        <f>VLOOKUP($A112,'[1]Raw Data'!$A$3:$FB$285,15,FALSE)</f>
        <v>4.51</v>
      </c>
      <c r="O112" s="27">
        <f>VLOOKUP($A112,'[1]Raw Data'!$A$3:$FB$285,17,FALSE)</f>
        <v>30.09</v>
      </c>
      <c r="P112" s="27">
        <f>VLOOKUP($A112,'[1]Raw Data'!$A$3:$FB$285,18,FALSE)</f>
        <v>18.14</v>
      </c>
      <c r="Q112" s="27">
        <f>VLOOKUP($A112,'[1]Raw Data'!$A$3:$FB$285,20,FALSE)</f>
        <v>3.77</v>
      </c>
      <c r="R112" s="27">
        <f>VLOOKUP($A112,'[1]Raw Data'!$A$3:$FB$285,21,FALSE)</f>
        <v>2.15</v>
      </c>
      <c r="S112" s="27">
        <f>VLOOKUP($A112,'[1]Raw Data'!$A$3:$FB$285,23,FALSE)</f>
        <v>0</v>
      </c>
      <c r="T112" s="27">
        <f>VLOOKUP($A112,'[1]Raw Data'!$A$3:$FB$285,24,FALSE)</f>
        <v>0</v>
      </c>
      <c r="U112" s="27">
        <f>VLOOKUP($A112,'[1]Raw Data'!$A$3:$FB$285,26,FALSE)</f>
        <v>7.0000000000000007E-2</v>
      </c>
      <c r="V112" s="27">
        <f>VLOOKUP($A112,'[1]Raw Data'!$A$3:$FB$285,27,FALSE)</f>
        <v>0.12</v>
      </c>
      <c r="W112" s="27">
        <f>VLOOKUP($A112,'[1]Raw Data'!$A$3:$FB$285,29,FALSE)</f>
        <v>0</v>
      </c>
      <c r="X112" s="27">
        <f>VLOOKUP($A112,'[1]Raw Data'!$A$3:$FB$285,30,FALSE)</f>
        <v>0</v>
      </c>
      <c r="Y112" s="27">
        <f>VLOOKUP($A112,'[1]Raw Data'!$A$3:$FB$285,32,FALSE)</f>
        <v>0.05</v>
      </c>
      <c r="Z112" s="27">
        <f>VLOOKUP($A112,'[1]Raw Data'!$A$3:$FB$285,33,FALSE)</f>
        <v>0.31</v>
      </c>
      <c r="AA112" s="27">
        <f>VLOOKUP($A112,'[1]Raw Data'!$A$3:$FB$285,35,FALSE)</f>
        <v>42.64</v>
      </c>
      <c r="AB112" s="27">
        <f>VLOOKUP($A112,'[1]Raw Data'!$A$3:$FB$285,36,FALSE)</f>
        <v>34.86</v>
      </c>
      <c r="AC112" s="27">
        <f>VLOOKUP($A112,'[1]Raw Data'!$A$3:$FB$285,38,FALSE)</f>
        <v>0.02</v>
      </c>
      <c r="AD112" s="27">
        <f>VLOOKUP($A112,'[1]Raw Data'!$A$3:$FB$285,39,FALSE)</f>
        <v>0.04</v>
      </c>
      <c r="AE112" s="27">
        <f>VLOOKUP($A112,'[1]Raw Data'!$A$3:$FB$285,41,FALSE)</f>
        <v>0</v>
      </c>
      <c r="AF112" s="27">
        <f>VLOOKUP($A112,'[1]Raw Data'!$A$3:$FB$285,42,FALSE)</f>
        <v>0</v>
      </c>
      <c r="AG112" s="27">
        <f>VLOOKUP($A112,'[1]Raw Data'!$A$3:$FB$285,44,FALSE)</f>
        <v>0</v>
      </c>
      <c r="AH112" s="27">
        <f>VLOOKUP($A112,'[1]Raw Data'!$A$3:$FB$285,45,FALSE)</f>
        <v>0</v>
      </c>
      <c r="AI112" s="27">
        <f>VLOOKUP($A112,'[1]Raw Data'!$A$3:$FB$285,46,FALSE)</f>
        <v>3662</v>
      </c>
      <c r="AJ112" s="27">
        <f>VLOOKUP($A112,'[1]Raw Data'!$A$3:$FB$285,47,FALSE)</f>
        <v>3070</v>
      </c>
      <c r="AK112" s="27">
        <f>VLOOKUP($A112,'[1]Raw Data'!$A$3:$FB$285,48,FALSE)</f>
        <v>3047</v>
      </c>
      <c r="AL112" s="27">
        <f>VLOOKUP($A112,'[1]Raw Data'!$A$3:$FB$285,49,FALSE)</f>
        <v>789</v>
      </c>
      <c r="AM112" s="27">
        <f>VLOOKUP($A112,'[1]Raw Data'!$A$3:$FB$285,50,FALSE)</f>
        <v>660</v>
      </c>
      <c r="AN112" s="27">
        <f>VLOOKUP($A112,'[1]Raw Data'!$A$3:$FB$285,51,FALSE)</f>
        <v>0</v>
      </c>
      <c r="AO112" s="27" t="str">
        <f>VLOOKUP($A112,'[1]Raw Data'!$A$3:$FB$285,52,FALSE)</f>
        <v/>
      </c>
      <c r="AP112" s="27">
        <f>VLOOKUP($A112,'[1]Raw Data'!$A$3:$FB$285,53,FALSE)</f>
        <v>90</v>
      </c>
      <c r="AQ112" s="27">
        <f>VLOOKUP($A112,'[1]Raw Data'!$A$3:$FB$285,54,FALSE)</f>
        <v>21</v>
      </c>
      <c r="AR112" s="27">
        <f>VLOOKUP($A112,'[1]Raw Data'!$A$3:$FB$285,55,FALSE)</f>
        <v>19</v>
      </c>
      <c r="AS112" s="27">
        <f>VLOOKUP($A112,'[1]Raw Data'!$A$3:$FB$285,56,FALSE)</f>
        <v>0</v>
      </c>
      <c r="AT112" s="27">
        <f>VLOOKUP($A112,'[1]Raw Data'!$A$3:$FB$285,57,FALSE)</f>
        <v>927</v>
      </c>
      <c r="AU112" s="27">
        <f>VLOOKUP($A112,'[1]Raw Data'!$A$3:$FB$285,58,FALSE)</f>
        <v>822</v>
      </c>
      <c r="AV112" s="27" t="str">
        <f>VLOOKUP($A112,'[1]Raw Data'!$A$3:$FB$285,59,FALSE)</f>
        <v/>
      </c>
      <c r="AW112" s="27" t="str">
        <f>VLOOKUP($A112,'[1]Raw Data'!$A$3:$FB$285,60,FALSE)</f>
        <v/>
      </c>
      <c r="AX112" s="27" t="str">
        <f>VLOOKUP(A112,'[1]PO''s List'!A110:E392,4,FALSE)</f>
        <v>NRCS(Livelihood,Education,Employment ,Health,Health)</v>
      </c>
      <c r="AZ112" s="27" t="str">
        <f>VLOOKUP(A112,'[1]PO''s List'!$A$3:$E$285,5,FALSE)</f>
        <v>DCA(DRR,Education,Employment ,Health,Shelter,Health),LUMANTI(Shelter,Health),OXFAM-GB(Shelter),PLAN(GESI)</v>
      </c>
      <c r="BB112" s="27">
        <f>VLOOKUP($A112,'[1]Raw Data'!$A$3:$FB$285,63,FALSE)</f>
        <v>19483</v>
      </c>
      <c r="BC112" s="27" t="str">
        <f>VLOOKUP($A112,'[1]Raw Data'!$A$3:$FB$285,64,FALSE)</f>
        <v/>
      </c>
      <c r="BD112" s="27" t="str">
        <f t="shared" si="9"/>
        <v/>
      </c>
      <c r="BE112" s="27" t="str">
        <f>VLOOKUP($A112,'[1]Raw Data'!$A$3:$FB$285,65,FALSE)</f>
        <v/>
      </c>
      <c r="BF112" s="27">
        <f>VLOOKUP($A112,'[1]Raw Data'!$A$3:$FB$285,66,FALSE)</f>
        <v>18875</v>
      </c>
      <c r="BG112" s="27" t="str">
        <f>VLOOKUP($A112,'[1]Raw Data'!$A$3:$FB$285,67,FALSE)</f>
        <v/>
      </c>
      <c r="BH112" s="27" t="str">
        <f t="shared" si="10"/>
        <v/>
      </c>
      <c r="BI112" s="27" t="str">
        <f>VLOOKUP($A112,'[1]Raw Data'!$A$3:$FB$285,68,FALSE)</f>
        <v/>
      </c>
      <c r="BJ112" s="27">
        <f>VLOOKUP($A112,'[1]Raw Data'!$A$3:$FB$285,69,FALSE)</f>
        <v>2070</v>
      </c>
      <c r="BK112" s="27" t="str">
        <f>VLOOKUP($A112,'[1]Raw Data'!$A$3:$FB$285,70,FALSE)</f>
        <v/>
      </c>
      <c r="BL112" s="27" t="str">
        <f t="shared" si="11"/>
        <v/>
      </c>
      <c r="BM112" s="27" t="str">
        <f>VLOOKUP($A112,'[1]Raw Data'!$A$3:$FB$285,71,FALSE)</f>
        <v/>
      </c>
      <c r="BN112" s="27">
        <f>VLOOKUP($A112,'[1]Raw Data'!$A$3:$FB$285,72,FALSE)</f>
        <v>2351</v>
      </c>
      <c r="BO112" s="27" t="str">
        <f>VLOOKUP($A112,'[1]Raw Data'!$A$3:$FB$285,73,FALSE)</f>
        <v/>
      </c>
      <c r="BP112" s="27" t="str">
        <f t="shared" si="12"/>
        <v/>
      </c>
      <c r="BQ112" s="27" t="str">
        <f>VLOOKUP($A112,'[1]Raw Data'!$A$3:$FB$285,74,FALSE)</f>
        <v/>
      </c>
      <c r="BR112" s="27" t="str">
        <f>VLOOKUP($A112,'[1]Raw Data'!$A$3:$FB$285,75,FALSE)</f>
        <v/>
      </c>
      <c r="BS112" s="27" t="str">
        <f>VLOOKUP($A112,'[1]Raw Data'!$A$3:$FB$285,76,FALSE)</f>
        <v/>
      </c>
      <c r="BT112" s="27" t="str">
        <f t="shared" si="13"/>
        <v/>
      </c>
      <c r="BU112" s="27" t="str">
        <f>VLOOKUP($A112,'[1]Raw Data'!$A$3:$FB$285,77,FALSE)</f>
        <v/>
      </c>
      <c r="BV112" s="27">
        <f>VLOOKUP($A112,'[1]Raw Data'!$A$3:$FB$285,78,FALSE)</f>
        <v>62796</v>
      </c>
      <c r="BW112" s="27" t="str">
        <f>VLOOKUP($A112,'[1]Raw Data'!$A$3:$FB$285,79,FALSE)</f>
        <v/>
      </c>
      <c r="BX112" s="27" t="str">
        <f t="shared" si="14"/>
        <v/>
      </c>
      <c r="BY112" s="27" t="str">
        <f>VLOOKUP($A112,'[1]Raw Data'!$A$3:$FB$285,80,FALSE)</f>
        <v/>
      </c>
      <c r="BZ112" s="27">
        <f>VLOOKUP($A112,'[1]Raw Data'!$A$3:$FB$285,81,FALSE)</f>
        <v>212964</v>
      </c>
      <c r="CA112" s="27" t="str">
        <f>VLOOKUP($A112,'[1]Raw Data'!$A$3:$FB$285,82,FALSE)</f>
        <v/>
      </c>
      <c r="CB112" s="27" t="str">
        <f t="shared" si="15"/>
        <v/>
      </c>
      <c r="CC112" s="27" t="str">
        <f>VLOOKUP($A112,'[1]Raw Data'!$A$3:$FB$285,83,FALSE)</f>
        <v/>
      </c>
      <c r="CD112" s="27">
        <f>VLOOKUP($A112,'[1]Raw Data'!$A$3:$FB$285,84,FALSE)</f>
        <v>2565</v>
      </c>
      <c r="CE112" s="27" t="str">
        <f>VLOOKUP($A112,'[1]Raw Data'!$A$3:$FB$285,85,FALSE)</f>
        <v/>
      </c>
      <c r="CF112" s="27" t="str">
        <f t="shared" si="16"/>
        <v/>
      </c>
      <c r="CG112" s="27" t="str">
        <f>VLOOKUP($A112,'[1]Raw Data'!$A$3:$FB$285,86,FALSE)</f>
        <v/>
      </c>
      <c r="CH112" s="27">
        <f>VLOOKUP($A112,'[1]Raw Data'!$A$3:$FB$285,87,FALSE)</f>
        <v>285121</v>
      </c>
      <c r="CI112" s="27" t="str">
        <f>VLOOKUP($A112,'[1]Raw Data'!$A$3:$FB$285,88,FALSE)</f>
        <v/>
      </c>
      <c r="CJ112" s="27" t="str">
        <f t="shared" si="17"/>
        <v/>
      </c>
      <c r="CK112" s="27" t="str">
        <f>VLOOKUP($A112,'[1]Raw Data'!$A$3:$FB$285,89,FALSE)</f>
        <v/>
      </c>
      <c r="CL112" s="27" t="str">
        <f>VLOOKUP($A112,'[1]Raw Data'!$A$3:$FB$285,91,FALSE)</f>
        <v/>
      </c>
      <c r="CM112" s="27" t="str">
        <f>VLOOKUP($A112,'[1]Raw Data'!$A$3:$FB$285,93,FALSE)</f>
        <v/>
      </c>
      <c r="CN112" s="27" t="str">
        <f>VLOOKUP($A112,'[1]Raw Data'!$A$3:$FB$285,94,FALSE)</f>
        <v/>
      </c>
      <c r="CO112" s="27" t="str">
        <f>VLOOKUP($A112,'[1]Raw Data'!$A$3:$FB$285,95,FALSE)</f>
        <v/>
      </c>
      <c r="CP112" s="27" t="str">
        <f>VLOOKUP($A112,'[1]Raw Data'!$A$3:$FB$285,96,FALSE)</f>
        <v/>
      </c>
      <c r="CQ112" s="27" t="str">
        <f>VLOOKUP($A112,'[1]Raw Data'!$A$3:$FB$285,97,FALSE)</f>
        <v/>
      </c>
      <c r="CR112" s="27" t="str">
        <f>VLOOKUP($A112,'[1]Raw Data'!$A$3:$FB$285,98,FALSE)</f>
        <v/>
      </c>
      <c r="CS112" s="27" t="str">
        <f>VLOOKUP($A112,'[1]Raw Data'!$A$3:$FB$285,99,FALSE)</f>
        <v/>
      </c>
      <c r="CT112" s="27" t="str">
        <f>VLOOKUP($A112,'[1]Raw Data'!$A$3:$FB$285,101,FALSE)</f>
        <v>Rameshwor Shrestha</v>
      </c>
      <c r="CU112" s="27" t="s">
        <v>1144</v>
      </c>
      <c r="CV112" s="27" t="str">
        <f>VLOOKUP($A112,'[1]Raw Data'!$A$3:$FB$285,102,FALSE)</f>
        <v>Mayor</v>
      </c>
      <c r="CW112" s="27" t="s">
        <v>834</v>
      </c>
      <c r="CX112" s="27">
        <f>VLOOKUP($A112,'[1]Raw Data'!$A$3:$FB$285,103,FALSE)</f>
        <v>9851201654</v>
      </c>
      <c r="CY112" s="27" t="str">
        <f>VLOOKUP($A112,'[1]Raw Data'!$A$3:$FB$285,105,FALSE)</f>
        <v>Nirmala Thapa</v>
      </c>
      <c r="CZ112" s="27" t="s">
        <v>1145</v>
      </c>
      <c r="DA112" s="27" t="str">
        <f>VLOOKUP($A112,'[1]Raw Data'!$A$3:$FB$285,106,FALSE)</f>
        <v>Deputy Mayor</v>
      </c>
      <c r="DB112" s="27" t="s">
        <v>888</v>
      </c>
      <c r="DC112" s="27">
        <f>VLOOKUP($A112,'[1]Raw Data'!$A$3:$FB$285,107,FALSE)</f>
        <v>9851202654</v>
      </c>
      <c r="DD112" s="27" t="str">
        <f>VLOOKUP($A112,'[1]Raw Data'!$A$3:$FB$285,109,FALSE)</f>
        <v>Laxmi Prasad Regmi</v>
      </c>
      <c r="DE112" s="27" t="s">
        <v>1146</v>
      </c>
      <c r="DF112" s="27" t="str">
        <f>VLOOKUP($A112,'[1]Raw Data'!$A$3:$FB$285,110,FALSE)</f>
        <v>Adminstration Officer</v>
      </c>
      <c r="DG112" s="27" t="s">
        <v>880</v>
      </c>
      <c r="DH112" s="27">
        <f>VLOOKUP($A112,'[1]Raw Data'!$A$3:$FB$285,111,FALSE)</f>
        <v>9851250015</v>
      </c>
      <c r="DI112" s="27" t="str">
        <f>VLOOKUP($A112,'[1]Raw Data'!$A$3:$FB$285,121,FALSE)</f>
        <v>Angana Shrestha</v>
      </c>
      <c r="DJ112" s="27" t="s">
        <v>1147</v>
      </c>
      <c r="DK112" s="27" t="str">
        <f>VLOOKUP($A112,'[1]Raw Data'!$A$3:$FB$285,122,FALSE)</f>
        <v>Focal Person</v>
      </c>
      <c r="DL112" s="27" t="s">
        <v>881</v>
      </c>
      <c r="DM112" s="27">
        <f>VLOOKUP($A112,'[1]Raw Data'!$A$3:$FB$285,123,FALSE)</f>
        <v>9841100837</v>
      </c>
      <c r="DN112" s="27" t="str">
        <f>VLOOKUP($A112,'[1]Raw Data'!$A$3:$FB$285,113,FALSE)</f>
        <v>Bir Bahadur Rawal</v>
      </c>
      <c r="DO112" s="27" t="s">
        <v>1128</v>
      </c>
      <c r="DP112" s="27" t="str">
        <f>VLOOKUP($A112,'[1]Raw Data'!$A$3:$FB$285,114,FALSE)</f>
        <v>NRA Chief-District</v>
      </c>
      <c r="DQ112" s="27" t="s">
        <v>882</v>
      </c>
      <c r="DR112" s="27">
        <f>VLOOKUP($A112,'[1]Raw Data'!$A$3:$FB$285,115,FALSE)</f>
        <v>9851201088</v>
      </c>
      <c r="DS112" s="27" t="str">
        <f>VLOOKUP($A112,'[1]Raw Data'!$A$3:$FB$285,117,FALSE)</f>
        <v>Chandra Kaji Gurung</v>
      </c>
      <c r="DT112" s="27" t="s">
        <v>1129</v>
      </c>
      <c r="DU112" s="27" t="str">
        <f>VLOOKUP($A112,'[1]Raw Data'!$A$3:$FB$285,118,FALSE)</f>
        <v>DUDBC.DLPIU Chief</v>
      </c>
      <c r="DV112" s="27" t="s">
        <v>883</v>
      </c>
      <c r="DW112" s="27">
        <f>VLOOKUP($A112,'[1]Raw Data'!$A$3:$FB$285,119,FALSE)</f>
        <v>9841576783</v>
      </c>
      <c r="DX112" s="27" t="s">
        <v>339</v>
      </c>
      <c r="DY112" s="27" t="str">
        <f>VLOOKUP($A112,'[1]Raw Data'!$A$3:$FB$285,124,FALSE)</f>
        <v/>
      </c>
      <c r="DZ112" s="27" t="s">
        <v>884</v>
      </c>
      <c r="EA112" s="27" t="str">
        <f>VLOOKUP($A112,'[1]Raw Data'!$A$3:$FB$285,125,FALSE)</f>
        <v/>
      </c>
      <c r="EB112" s="27" t="s">
        <v>341</v>
      </c>
      <c r="EC112" s="27" t="str">
        <f>VLOOKUP($A112,'[1]Raw Data'!$A$3:$FB$285,126,FALSE)</f>
        <v/>
      </c>
      <c r="ED112" t="s">
        <v>478</v>
      </c>
      <c r="EE112" s="27" t="str">
        <f>VLOOKUP($A112,'[1]Raw Data'!$A$3:$FB$285,127,FALSE)</f>
        <v/>
      </c>
      <c r="EF112" s="27" t="s">
        <v>343</v>
      </c>
      <c r="EG112" s="27" t="str">
        <f>VLOOKUP($A112,'[1]Raw Data'!$A$3:$FB$285,128,FALSE)</f>
        <v/>
      </c>
      <c r="EH112" t="s">
        <v>344</v>
      </c>
      <c r="EI112" s="27" t="str">
        <f>VLOOKUP($A112,'[1]Raw Data'!$A$3:$FB$285,129,FALSE)</f>
        <v/>
      </c>
      <c r="EM112" s="27" t="str">
        <f>VLOOKUP($A112,'[1]Raw Data'!$A$3:$FB$285,130,FALSE)</f>
        <v/>
      </c>
      <c r="EN112" s="27" t="str">
        <f>VLOOKUP($A112,'[1]Raw Data'!$A$3:$FB$285,131,FALSE)</f>
        <v/>
      </c>
      <c r="EO112" s="27" t="str">
        <f>VLOOKUP($A112,'[1]Raw Data'!$A$3:$FB$285,132,FALSE)</f>
        <v/>
      </c>
      <c r="EP112" s="27" t="str">
        <f>VLOOKUP($A112,'[1]Raw Data'!$A$3:$FB$285,133,FALSE)</f>
        <v/>
      </c>
      <c r="EQ112" s="27" t="str">
        <f>VLOOKUP($A112,'[1]Raw Data'!$A$3:$FB$285,134,FALSE)</f>
        <v/>
      </c>
      <c r="ER112" s="27" t="str">
        <f>VLOOKUP($A112,'[1]Raw Data'!$A$3:$FB$285,135,FALSE)</f>
        <v/>
      </c>
      <c r="ES112" s="27" t="str">
        <f>VLOOKUP($A112,'[1]Raw Data'!$A$3:$FB$285,136,FALSE)</f>
        <v/>
      </c>
      <c r="ET112" s="27" t="str">
        <f>VLOOKUP($A112,'[1]Raw Data'!$A$3:$FB$285,137,FALSE)</f>
        <v/>
      </c>
      <c r="EU112" s="27" t="str">
        <f>VLOOKUP($A112,'[1]Raw Data'!$A$3:$FB$285,138,FALSE)</f>
        <v>18</v>
      </c>
      <c r="EV112" s="27" t="str">
        <f>VLOOKUP($A112,'[1]Raw Data'!$A$3:$FB$285,139,FALSE)</f>
        <v/>
      </c>
      <c r="EW112" s="38">
        <f>VLOOKUP($A112,[1]Training!$A$2:$I$284,5,FALSE)</f>
        <v>281.30769230769232</v>
      </c>
      <c r="EX112" s="31">
        <f>VLOOKUP($A112,[1]Training!$A$2:$I$284,6,FALSE)</f>
        <v>106</v>
      </c>
      <c r="EY112" s="38">
        <f>VLOOKUP($A112,[1]Training!$A$2:$I$284,8,FALSE)</f>
        <v>141.714225322342</v>
      </c>
      <c r="EZ112" s="31">
        <f>VLOOKUP($A112,[1]Training!$A$2:$I$284,9,FALSE)</f>
        <v>54</v>
      </c>
      <c r="FA112" s="27">
        <v>1</v>
      </c>
      <c r="FB112" s="27">
        <v>2</v>
      </c>
      <c r="FC112" s="27" t="str">
        <f>VLOOKUP($A112,'[1]Raw Data'!$A$3:$FB$285,148,FALSE)</f>
        <v>Ambika Amatya</v>
      </c>
      <c r="FD112" s="27" t="s">
        <v>1130</v>
      </c>
      <c r="FE112" s="27" t="str">
        <f>VLOOKUP($A112,'[1]Raw Data'!$A$3:$FB$285,149,FALSE)</f>
        <v>District Coordinator</v>
      </c>
      <c r="FF112" s="27" t="s">
        <v>885</v>
      </c>
      <c r="FG112" s="27">
        <f>VLOOKUP($A112,'[1]Raw Data'!$A$3:$FB$285,150,FALSE)</f>
        <v>9841356409</v>
      </c>
      <c r="FH112" s="27" t="str">
        <f>VLOOKUP($A112,'[1]Raw Data'!$A$3:$FB$285,156,FALSE)</f>
        <v/>
      </c>
      <c r="FJ112" s="27" t="str">
        <f>VLOOKUP($A112,'[1]Raw Data'!$A$3:$FB$285,157,FALSE)</f>
        <v>District Technical Officer</v>
      </c>
      <c r="FK112" s="27" t="s">
        <v>886</v>
      </c>
      <c r="FL112" s="27" t="str">
        <f>VLOOKUP($A112,'[1]Raw Data'!$A$3:$FB$285,158,FALSE)</f>
        <v/>
      </c>
      <c r="FM112" s="27" t="str">
        <f>VLOOKUP($A112,'[1]Raw Data'!$A$3:$FB$285,152,FALSE)</f>
        <v>Manisha Rai</v>
      </c>
      <c r="FN112" s="27" t="s">
        <v>1131</v>
      </c>
      <c r="FO112" s="27" t="str">
        <f>VLOOKUP($A112,'[1]Raw Data'!$A$3:$FB$285,153,FALSE)</f>
        <v>DIstrict Information Management Officer</v>
      </c>
      <c r="FP112" s="27" t="s">
        <v>887</v>
      </c>
      <c r="FQ112" s="27">
        <f>VLOOKUP($A112,'[1]Raw Data'!$A$3:$FB$285,154,FALSE)</f>
        <v>9842062006</v>
      </c>
    </row>
    <row r="113" spans="1:173" ht="24" x14ac:dyDescent="0.45">
      <c r="A113" s="27">
        <v>25006</v>
      </c>
      <c r="B113" s="36" t="str">
        <f ca="1">IFERROR(__xludf.DUMMYFUNCTION("""COMPUTED_VALUE"""),"Mahankal Gaunpalika")</f>
        <v>Mahankal Gaunpalika</v>
      </c>
      <c r="C113" s="37" t="str">
        <f>VLOOKUP(A113,'[1]Palika and District in Nepali '!$D$1:$F$283,3,FALSE)</f>
        <v>महाकाल गाउँपालिका</v>
      </c>
      <c r="D113" s="36" t="str">
        <f ca="1">IFERROR(__xludf.DUMMYFUNCTION("""COMPUTED_VALUE"""),"Lalitpur")</f>
        <v>Lalitpur</v>
      </c>
      <c r="E113" s="36"/>
      <c r="F113" s="27">
        <f>VLOOKUP(A113,'[1]Raw Data'!$A$3:$FB$285,4,FALSE)</f>
        <v>161</v>
      </c>
      <c r="G113" s="27">
        <f>VLOOKUP(A113,'[1]Raw Data'!$A$3:$FB$285,5,FALSE)</f>
        <v>2290</v>
      </c>
      <c r="H113" s="27">
        <f>VLOOKUP(A113,'[1]Raw Data'!$A$3:$FB$285,6,FALSE)</f>
        <v>2451</v>
      </c>
      <c r="I113" s="27">
        <f>VLOOKUP($A113,'[1]Raw Data'!$A$3:$FB$285,8,FALSE)</f>
        <v>0.2</v>
      </c>
      <c r="J113" s="27">
        <f>VLOOKUP($A113,'[1]Raw Data'!$A$3:$FB$285,9,FALSE)</f>
        <v>0.6</v>
      </c>
      <c r="K113" s="27">
        <f>VLOOKUP($A113,'[1]Raw Data'!$A$3:$FB$285,11,FALSE)</f>
        <v>98.57</v>
      </c>
      <c r="L113" s="27">
        <f>VLOOKUP($A113,'[1]Raw Data'!$A$3:$FB$285,12,FALSE)</f>
        <v>39.28</v>
      </c>
      <c r="M113" s="27">
        <f>VLOOKUP($A113,'[1]Raw Data'!$A$3:$FB$285,14,FALSE)</f>
        <v>0.08</v>
      </c>
      <c r="N113" s="27">
        <f>VLOOKUP($A113,'[1]Raw Data'!$A$3:$FB$285,15,FALSE)</f>
        <v>4.51</v>
      </c>
      <c r="O113" s="27">
        <f>VLOOKUP($A113,'[1]Raw Data'!$A$3:$FB$285,17,FALSE)</f>
        <v>0.04</v>
      </c>
      <c r="P113" s="27">
        <f>VLOOKUP($A113,'[1]Raw Data'!$A$3:$FB$285,18,FALSE)</f>
        <v>18.14</v>
      </c>
      <c r="Q113" s="27">
        <f>VLOOKUP($A113,'[1]Raw Data'!$A$3:$FB$285,20,FALSE)</f>
        <v>0</v>
      </c>
      <c r="R113" s="27">
        <f>VLOOKUP($A113,'[1]Raw Data'!$A$3:$FB$285,21,FALSE)</f>
        <v>2.15</v>
      </c>
      <c r="S113" s="27">
        <f>VLOOKUP($A113,'[1]Raw Data'!$A$3:$FB$285,23,FALSE)</f>
        <v>0</v>
      </c>
      <c r="T113" s="27">
        <f>VLOOKUP($A113,'[1]Raw Data'!$A$3:$FB$285,24,FALSE)</f>
        <v>0</v>
      </c>
      <c r="U113" s="27">
        <f>VLOOKUP($A113,'[1]Raw Data'!$A$3:$FB$285,26,FALSE)</f>
        <v>0.69</v>
      </c>
      <c r="V113" s="27">
        <f>VLOOKUP($A113,'[1]Raw Data'!$A$3:$FB$285,27,FALSE)</f>
        <v>0.12</v>
      </c>
      <c r="W113" s="27">
        <f>VLOOKUP($A113,'[1]Raw Data'!$A$3:$FB$285,29,FALSE)</f>
        <v>0</v>
      </c>
      <c r="X113" s="27">
        <f>VLOOKUP($A113,'[1]Raw Data'!$A$3:$FB$285,30,FALSE)</f>
        <v>0</v>
      </c>
      <c r="Y113" s="27">
        <f>VLOOKUP($A113,'[1]Raw Data'!$A$3:$FB$285,32,FALSE)</f>
        <v>0.24</v>
      </c>
      <c r="Z113" s="27">
        <f>VLOOKUP($A113,'[1]Raw Data'!$A$3:$FB$285,33,FALSE)</f>
        <v>0.31</v>
      </c>
      <c r="AA113" s="27">
        <f>VLOOKUP($A113,'[1]Raw Data'!$A$3:$FB$285,35,FALSE)</f>
        <v>0.16</v>
      </c>
      <c r="AB113" s="27">
        <f>VLOOKUP($A113,'[1]Raw Data'!$A$3:$FB$285,36,FALSE)</f>
        <v>34.86</v>
      </c>
      <c r="AC113" s="27">
        <f>VLOOKUP($A113,'[1]Raw Data'!$A$3:$FB$285,38,FALSE)</f>
        <v>0</v>
      </c>
      <c r="AD113" s="27">
        <f>VLOOKUP($A113,'[1]Raw Data'!$A$3:$FB$285,39,FALSE)</f>
        <v>0.04</v>
      </c>
      <c r="AE113" s="27">
        <f>VLOOKUP($A113,'[1]Raw Data'!$A$3:$FB$285,41,FALSE)</f>
        <v>0</v>
      </c>
      <c r="AF113" s="27">
        <f>VLOOKUP($A113,'[1]Raw Data'!$A$3:$FB$285,42,FALSE)</f>
        <v>0</v>
      </c>
      <c r="AG113" s="27">
        <f>VLOOKUP($A113,'[1]Raw Data'!$A$3:$FB$285,44,FALSE)</f>
        <v>0</v>
      </c>
      <c r="AH113" s="27">
        <f>VLOOKUP($A113,'[1]Raw Data'!$A$3:$FB$285,45,FALSE)</f>
        <v>0</v>
      </c>
      <c r="AI113" s="27">
        <f>VLOOKUP($A113,'[1]Raw Data'!$A$3:$FB$285,46,FALSE)</f>
        <v>2271</v>
      </c>
      <c r="AJ113" s="27">
        <f>VLOOKUP($A113,'[1]Raw Data'!$A$3:$FB$285,47,FALSE)</f>
        <v>2236</v>
      </c>
      <c r="AK113" s="27">
        <f>VLOOKUP($A113,'[1]Raw Data'!$A$3:$FB$285,48,FALSE)</f>
        <v>2234</v>
      </c>
      <c r="AL113" s="27">
        <f>VLOOKUP($A113,'[1]Raw Data'!$A$3:$FB$285,49,FALSE)</f>
        <v>1672</v>
      </c>
      <c r="AM113" s="27">
        <f>VLOOKUP($A113,'[1]Raw Data'!$A$3:$FB$285,50,FALSE)</f>
        <v>942</v>
      </c>
      <c r="AN113" s="27">
        <f>VLOOKUP($A113,'[1]Raw Data'!$A$3:$FB$285,51,FALSE)</f>
        <v>0</v>
      </c>
      <c r="AO113" s="27" t="str">
        <f>VLOOKUP($A113,'[1]Raw Data'!$A$3:$FB$285,52,FALSE)</f>
        <v/>
      </c>
      <c r="AP113" s="27">
        <f>VLOOKUP($A113,'[1]Raw Data'!$A$3:$FB$285,53,FALSE)</f>
        <v>61</v>
      </c>
      <c r="AQ113" s="27">
        <f>VLOOKUP($A113,'[1]Raw Data'!$A$3:$FB$285,54,FALSE)</f>
        <v>52</v>
      </c>
      <c r="AR113" s="27">
        <f>VLOOKUP($A113,'[1]Raw Data'!$A$3:$FB$285,55,FALSE)</f>
        <v>51</v>
      </c>
      <c r="AS113" s="27">
        <f>VLOOKUP($A113,'[1]Raw Data'!$A$3:$FB$285,56,FALSE)</f>
        <v>0</v>
      </c>
      <c r="AT113" s="27">
        <f>VLOOKUP($A113,'[1]Raw Data'!$A$3:$FB$285,57,FALSE)</f>
        <v>551</v>
      </c>
      <c r="AU113" s="27">
        <f>VLOOKUP($A113,'[1]Raw Data'!$A$3:$FB$285,58,FALSE)</f>
        <v>296</v>
      </c>
      <c r="AV113" s="27" t="str">
        <f>VLOOKUP($A113,'[1]Raw Data'!$A$3:$FB$285,59,FALSE)</f>
        <v/>
      </c>
      <c r="AW113" s="27" t="str">
        <f>VLOOKUP($A113,'[1]Raw Data'!$A$3:$FB$285,60,FALSE)</f>
        <v/>
      </c>
      <c r="AX113" s="27" t="str">
        <f>VLOOKUP(A113,'[1]PO''s List'!A111:E393,4,FALSE)</f>
        <v/>
      </c>
      <c r="AZ113" s="27" t="str">
        <f>VLOOKUP(A113,'[1]PO''s List'!$A$3:$E$285,5,FALSE)</f>
        <v>FCA(Education),GON(Shelter)</v>
      </c>
      <c r="BB113" s="27">
        <f>VLOOKUP($A113,'[1]Raw Data'!$A$3:$FB$285,63,FALSE)</f>
        <v>37555</v>
      </c>
      <c r="BC113" s="27" t="str">
        <f>VLOOKUP($A113,'[1]Raw Data'!$A$3:$FB$285,64,FALSE)</f>
        <v/>
      </c>
      <c r="BD113" s="27" t="str">
        <f t="shared" si="9"/>
        <v/>
      </c>
      <c r="BE113" s="27" t="str">
        <f>VLOOKUP($A113,'[1]Raw Data'!$A$3:$FB$285,65,FALSE)</f>
        <v/>
      </c>
      <c r="BF113" s="27">
        <f>VLOOKUP($A113,'[1]Raw Data'!$A$3:$FB$285,66,FALSE)</f>
        <v>39137</v>
      </c>
      <c r="BG113" s="27" t="str">
        <f>VLOOKUP($A113,'[1]Raw Data'!$A$3:$FB$285,67,FALSE)</f>
        <v/>
      </c>
      <c r="BH113" s="27" t="str">
        <f t="shared" si="10"/>
        <v/>
      </c>
      <c r="BI113" s="27" t="str">
        <f>VLOOKUP($A113,'[1]Raw Data'!$A$3:$FB$285,68,FALSE)</f>
        <v/>
      </c>
      <c r="BJ113" s="27">
        <f>VLOOKUP($A113,'[1]Raw Data'!$A$3:$FB$285,69,FALSE)</f>
        <v>4016</v>
      </c>
      <c r="BK113" s="27" t="str">
        <f>VLOOKUP($A113,'[1]Raw Data'!$A$3:$FB$285,70,FALSE)</f>
        <v/>
      </c>
      <c r="BL113" s="27" t="str">
        <f t="shared" si="11"/>
        <v/>
      </c>
      <c r="BM113" s="27" t="str">
        <f>VLOOKUP($A113,'[1]Raw Data'!$A$3:$FB$285,71,FALSE)</f>
        <v/>
      </c>
      <c r="BN113" s="27">
        <f>VLOOKUP($A113,'[1]Raw Data'!$A$3:$FB$285,72,FALSE)</f>
        <v>4655</v>
      </c>
      <c r="BO113" s="27" t="str">
        <f>VLOOKUP($A113,'[1]Raw Data'!$A$3:$FB$285,73,FALSE)</f>
        <v/>
      </c>
      <c r="BP113" s="27" t="str">
        <f t="shared" si="12"/>
        <v/>
      </c>
      <c r="BQ113" s="27" t="str">
        <f>VLOOKUP($A113,'[1]Raw Data'!$A$3:$FB$285,74,FALSE)</f>
        <v/>
      </c>
      <c r="BR113" s="27" t="str">
        <f>VLOOKUP($A113,'[1]Raw Data'!$A$3:$FB$285,75,FALSE)</f>
        <v/>
      </c>
      <c r="BS113" s="27" t="str">
        <f>VLOOKUP($A113,'[1]Raw Data'!$A$3:$FB$285,76,FALSE)</f>
        <v/>
      </c>
      <c r="BT113" s="27" t="str">
        <f t="shared" si="13"/>
        <v/>
      </c>
      <c r="BU113" s="27" t="str">
        <f>VLOOKUP($A113,'[1]Raw Data'!$A$3:$FB$285,77,FALSE)</f>
        <v/>
      </c>
      <c r="BV113" s="27">
        <f>VLOOKUP($A113,'[1]Raw Data'!$A$3:$FB$285,78,FALSE)</f>
        <v>129516</v>
      </c>
      <c r="BW113" s="27" t="str">
        <f>VLOOKUP($A113,'[1]Raw Data'!$A$3:$FB$285,79,FALSE)</f>
        <v/>
      </c>
      <c r="BX113" s="27" t="str">
        <f t="shared" si="14"/>
        <v/>
      </c>
      <c r="BY113" s="27" t="str">
        <f>VLOOKUP($A113,'[1]Raw Data'!$A$3:$FB$285,80,FALSE)</f>
        <v/>
      </c>
      <c r="BZ113" s="27">
        <f>VLOOKUP($A113,'[1]Raw Data'!$A$3:$FB$285,81,FALSE)</f>
        <v>406100</v>
      </c>
      <c r="CA113" s="27" t="str">
        <f>VLOOKUP($A113,'[1]Raw Data'!$A$3:$FB$285,82,FALSE)</f>
        <v/>
      </c>
      <c r="CB113" s="27" t="str">
        <f t="shared" si="15"/>
        <v/>
      </c>
      <c r="CC113" s="27" t="str">
        <f>VLOOKUP($A113,'[1]Raw Data'!$A$3:$FB$285,83,FALSE)</f>
        <v/>
      </c>
      <c r="CD113" s="27">
        <f>VLOOKUP($A113,'[1]Raw Data'!$A$3:$FB$285,84,FALSE)</f>
        <v>5294</v>
      </c>
      <c r="CE113" s="27" t="str">
        <f>VLOOKUP($A113,'[1]Raw Data'!$A$3:$FB$285,85,FALSE)</f>
        <v/>
      </c>
      <c r="CF113" s="27" t="str">
        <f t="shared" si="16"/>
        <v/>
      </c>
      <c r="CG113" s="27" t="str">
        <f>VLOOKUP($A113,'[1]Raw Data'!$A$3:$FB$285,86,FALSE)</f>
        <v/>
      </c>
      <c r="CH113" s="27">
        <f>VLOOKUP($A113,'[1]Raw Data'!$A$3:$FB$285,87,FALSE)</f>
        <v>316894</v>
      </c>
      <c r="CI113" s="27" t="str">
        <f>VLOOKUP($A113,'[1]Raw Data'!$A$3:$FB$285,88,FALSE)</f>
        <v/>
      </c>
      <c r="CJ113" s="27" t="str">
        <f t="shared" si="17"/>
        <v/>
      </c>
      <c r="CK113" s="27" t="str">
        <f>VLOOKUP($A113,'[1]Raw Data'!$A$3:$FB$285,89,FALSE)</f>
        <v/>
      </c>
      <c r="CL113" s="27" t="str">
        <f>VLOOKUP($A113,'[1]Raw Data'!$A$3:$FB$285,91,FALSE)</f>
        <v/>
      </c>
      <c r="CM113" s="27" t="str">
        <f>VLOOKUP($A113,'[1]Raw Data'!$A$3:$FB$285,93,FALSE)</f>
        <v/>
      </c>
      <c r="CN113" s="27" t="str">
        <f>VLOOKUP($A113,'[1]Raw Data'!$A$3:$FB$285,94,FALSE)</f>
        <v/>
      </c>
      <c r="CO113" s="27" t="str">
        <f>VLOOKUP($A113,'[1]Raw Data'!$A$3:$FB$285,95,FALSE)</f>
        <v/>
      </c>
      <c r="CP113" s="27" t="str">
        <f>VLOOKUP($A113,'[1]Raw Data'!$A$3:$FB$285,96,FALSE)</f>
        <v/>
      </c>
      <c r="CQ113" s="27" t="str">
        <f>VLOOKUP($A113,'[1]Raw Data'!$A$3:$FB$285,97,FALSE)</f>
        <v/>
      </c>
      <c r="CR113" s="27" t="str">
        <f>VLOOKUP($A113,'[1]Raw Data'!$A$3:$FB$285,98,FALSE)</f>
        <v/>
      </c>
      <c r="CS113" s="27" t="str">
        <f>VLOOKUP($A113,'[1]Raw Data'!$A$3:$FB$285,99,FALSE)</f>
        <v/>
      </c>
      <c r="CT113" s="27" t="str">
        <f>VLOOKUP($A113,'[1]Raw Data'!$A$3:$FB$285,101,FALSE)</f>
        <v>Ram Chandra Dahal</v>
      </c>
      <c r="CU113" s="27" t="s">
        <v>1148</v>
      </c>
      <c r="CV113" s="27" t="str">
        <f>VLOOKUP($A113,'[1]Raw Data'!$A$3:$FB$285,102,FALSE)</f>
        <v>Mayor</v>
      </c>
      <c r="CW113" s="27" t="s">
        <v>834</v>
      </c>
      <c r="CX113" s="27">
        <f>VLOOKUP($A113,'[1]Raw Data'!$A$3:$FB$285,103,FALSE)</f>
        <v>9860013507</v>
      </c>
      <c r="CY113" s="27" t="str">
        <f>VLOOKUP($A113,'[1]Raw Data'!$A$3:$FB$285,105,FALSE)</f>
        <v>Kamala Lama Tamang</v>
      </c>
      <c r="CZ113" s="27" t="s">
        <v>1149</v>
      </c>
      <c r="DA113" s="27" t="str">
        <f>VLOOKUP($A113,'[1]Raw Data'!$A$3:$FB$285,106,FALSE)</f>
        <v>Deputy Mayor</v>
      </c>
      <c r="DB113" s="27" t="s">
        <v>888</v>
      </c>
      <c r="DC113" s="27">
        <f>VLOOKUP($A113,'[1]Raw Data'!$A$3:$FB$285,107,FALSE)</f>
        <v>9840143949</v>
      </c>
      <c r="DD113" s="27" t="str">
        <f>VLOOKUP($A113,'[1]Raw Data'!$A$3:$FB$285,109,FALSE)</f>
        <v>Purna Bahadur Sakhakarmi</v>
      </c>
      <c r="DE113" s="27" t="s">
        <v>1150</v>
      </c>
      <c r="DF113" s="27" t="str">
        <f>VLOOKUP($A113,'[1]Raw Data'!$A$3:$FB$285,110,FALSE)</f>
        <v>Adminstration Officer</v>
      </c>
      <c r="DG113" s="27" t="s">
        <v>880</v>
      </c>
      <c r="DH113" s="27">
        <f>VLOOKUP($A113,'[1]Raw Data'!$A$3:$FB$285,111,FALSE)</f>
        <v>9851227818</v>
      </c>
      <c r="DI113" s="27" t="str">
        <f>VLOOKUP($A113,'[1]Raw Data'!$A$3:$FB$285,121,FALSE)</f>
        <v>Abhinash Amar</v>
      </c>
      <c r="DJ113" s="27" t="s">
        <v>1151</v>
      </c>
      <c r="DK113" s="27" t="str">
        <f>VLOOKUP($A113,'[1]Raw Data'!$A$3:$FB$285,122,FALSE)</f>
        <v>Focal Person</v>
      </c>
      <c r="DL113" s="27" t="s">
        <v>881</v>
      </c>
      <c r="DM113" s="27">
        <f>VLOOKUP($A113,'[1]Raw Data'!$A$3:$FB$285,123,FALSE)</f>
        <v>9842931839</v>
      </c>
      <c r="DN113" s="27" t="str">
        <f>VLOOKUP($A113,'[1]Raw Data'!$A$3:$FB$285,113,FALSE)</f>
        <v>Bir Bahadur Rawal</v>
      </c>
      <c r="DO113" s="27" t="s">
        <v>1128</v>
      </c>
      <c r="DP113" s="27" t="str">
        <f>VLOOKUP($A113,'[1]Raw Data'!$A$3:$FB$285,114,FALSE)</f>
        <v>NRA Chief-District</v>
      </c>
      <c r="DQ113" s="27" t="s">
        <v>882</v>
      </c>
      <c r="DR113" s="27">
        <f>VLOOKUP($A113,'[1]Raw Data'!$A$3:$FB$285,115,FALSE)</f>
        <v>9851201088</v>
      </c>
      <c r="DS113" s="27" t="str">
        <f>VLOOKUP($A113,'[1]Raw Data'!$A$3:$FB$285,117,FALSE)</f>
        <v>Chandra Kaji Gurung</v>
      </c>
      <c r="DT113" s="27" t="s">
        <v>1129</v>
      </c>
      <c r="DU113" s="27" t="str">
        <f>VLOOKUP($A113,'[1]Raw Data'!$A$3:$FB$285,118,FALSE)</f>
        <v>DUDBC.DLPIU Chief</v>
      </c>
      <c r="DV113" s="27" t="s">
        <v>883</v>
      </c>
      <c r="DW113" s="27">
        <f>VLOOKUP($A113,'[1]Raw Data'!$A$3:$FB$285,119,FALSE)</f>
        <v>9841576783</v>
      </c>
      <c r="DX113" s="27" t="s">
        <v>339</v>
      </c>
      <c r="DY113" s="27" t="str">
        <f>VLOOKUP($A113,'[1]Raw Data'!$A$3:$FB$285,124,FALSE)</f>
        <v/>
      </c>
      <c r="DZ113" s="27" t="s">
        <v>884</v>
      </c>
      <c r="EA113" s="27" t="str">
        <f>VLOOKUP($A113,'[1]Raw Data'!$A$3:$FB$285,125,FALSE)</f>
        <v/>
      </c>
      <c r="EB113" s="27" t="s">
        <v>341</v>
      </c>
      <c r="EC113" s="27" t="str">
        <f>VLOOKUP($A113,'[1]Raw Data'!$A$3:$FB$285,126,FALSE)</f>
        <v/>
      </c>
      <c r="ED113" t="s">
        <v>478</v>
      </c>
      <c r="EE113" s="27" t="str">
        <f>VLOOKUP($A113,'[1]Raw Data'!$A$3:$FB$285,127,FALSE)</f>
        <v/>
      </c>
      <c r="EF113" s="27" t="s">
        <v>343</v>
      </c>
      <c r="EG113" s="27" t="str">
        <f>VLOOKUP($A113,'[1]Raw Data'!$A$3:$FB$285,128,FALSE)</f>
        <v/>
      </c>
      <c r="EH113" t="s">
        <v>344</v>
      </c>
      <c r="EI113" s="27" t="str">
        <f>VLOOKUP($A113,'[1]Raw Data'!$A$3:$FB$285,129,FALSE)</f>
        <v/>
      </c>
      <c r="EM113" s="27" t="str">
        <f>VLOOKUP($A113,'[1]Raw Data'!$A$3:$FB$285,130,FALSE)</f>
        <v/>
      </c>
      <c r="EN113" s="27" t="str">
        <f>VLOOKUP($A113,'[1]Raw Data'!$A$3:$FB$285,131,FALSE)</f>
        <v/>
      </c>
      <c r="EO113" s="27" t="str">
        <f>VLOOKUP($A113,'[1]Raw Data'!$A$3:$FB$285,132,FALSE)</f>
        <v/>
      </c>
      <c r="EP113" s="27" t="str">
        <f>VLOOKUP($A113,'[1]Raw Data'!$A$3:$FB$285,133,FALSE)</f>
        <v/>
      </c>
      <c r="EQ113" s="27" t="str">
        <f>VLOOKUP($A113,'[1]Raw Data'!$A$3:$FB$285,134,FALSE)</f>
        <v/>
      </c>
      <c r="ER113" s="27" t="str">
        <f>VLOOKUP($A113,'[1]Raw Data'!$A$3:$FB$285,135,FALSE)</f>
        <v/>
      </c>
      <c r="ES113" s="27" t="str">
        <f>VLOOKUP($A113,'[1]Raw Data'!$A$3:$FB$285,136,FALSE)</f>
        <v/>
      </c>
      <c r="ET113" s="27" t="str">
        <f>VLOOKUP($A113,'[1]Raw Data'!$A$3:$FB$285,137,FALSE)</f>
        <v/>
      </c>
      <c r="EU113" s="27" t="str">
        <f>VLOOKUP($A113,'[1]Raw Data'!$A$3:$FB$285,138,FALSE)</f>
        <v/>
      </c>
      <c r="EV113" s="27" t="str">
        <f>VLOOKUP($A113,'[1]Raw Data'!$A$3:$FB$285,139,FALSE)</f>
        <v/>
      </c>
      <c r="EW113" s="38">
        <f>VLOOKUP($A113,[1]Training!$A$2:$I$284,5,FALSE)</f>
        <v>174.38461538461539</v>
      </c>
      <c r="EX113" s="31">
        <f>VLOOKUP($A113,[1]Training!$A$2:$I$284,6,FALSE)</f>
        <v>124</v>
      </c>
      <c r="EY113" s="38">
        <f>VLOOKUP($A113,[1]Training!$A$2:$I$284,8,FALSE)</f>
        <v>87.849644190798287</v>
      </c>
      <c r="EZ113" s="31">
        <f>VLOOKUP($A113,[1]Training!$A$2:$I$284,9,FALSE)</f>
        <v>94</v>
      </c>
      <c r="FA113" s="27">
        <v>1</v>
      </c>
      <c r="FB113" s="27">
        <v>2</v>
      </c>
      <c r="FC113" s="27" t="str">
        <f>VLOOKUP($A113,'[1]Raw Data'!$A$3:$FB$285,148,FALSE)</f>
        <v>Ambika Amatya</v>
      </c>
      <c r="FD113" s="27" t="s">
        <v>1130</v>
      </c>
      <c r="FE113" s="27" t="str">
        <f>VLOOKUP($A113,'[1]Raw Data'!$A$3:$FB$285,149,FALSE)</f>
        <v>District Coordinator</v>
      </c>
      <c r="FF113" s="27" t="s">
        <v>885</v>
      </c>
      <c r="FG113" s="27">
        <f>VLOOKUP($A113,'[1]Raw Data'!$A$3:$FB$285,150,FALSE)</f>
        <v>9841356409</v>
      </c>
      <c r="FH113" s="27" t="str">
        <f>VLOOKUP($A113,'[1]Raw Data'!$A$3:$FB$285,156,FALSE)</f>
        <v/>
      </c>
      <c r="FJ113" s="27" t="str">
        <f>VLOOKUP($A113,'[1]Raw Data'!$A$3:$FB$285,157,FALSE)</f>
        <v>District Technical Officer</v>
      </c>
      <c r="FK113" s="27" t="s">
        <v>886</v>
      </c>
      <c r="FL113" s="27" t="str">
        <f>VLOOKUP($A113,'[1]Raw Data'!$A$3:$FB$285,158,FALSE)</f>
        <v/>
      </c>
      <c r="FM113" s="27" t="str">
        <f>VLOOKUP($A113,'[1]Raw Data'!$A$3:$FB$285,152,FALSE)</f>
        <v>Manisha Rai</v>
      </c>
      <c r="FN113" s="27" t="s">
        <v>1131</v>
      </c>
      <c r="FO113" s="27" t="str">
        <f>VLOOKUP($A113,'[1]Raw Data'!$A$3:$FB$285,153,FALSE)</f>
        <v>DIstrict Information Management Officer</v>
      </c>
      <c r="FP113" s="27" t="s">
        <v>887</v>
      </c>
      <c r="FQ113" s="27">
        <f>VLOOKUP($A113,'[1]Raw Data'!$A$3:$FB$285,154,FALSE)</f>
        <v>9842062006</v>
      </c>
    </row>
    <row r="114" spans="1:173" ht="24" x14ac:dyDescent="0.45">
      <c r="A114" s="27">
        <v>26001</v>
      </c>
      <c r="B114" s="36" t="str">
        <f ca="1">IFERROR(__xludf.DUMMYFUNCTION("""COMPUTED_VALUE"""),"Bhaktapur Nagarpalika")</f>
        <v>Bhaktapur Nagarpalika</v>
      </c>
      <c r="C114" s="37" t="str">
        <f>VLOOKUP(A114,'[1]Palika and District in Nepali '!$D$1:$F$283,3,FALSE)</f>
        <v>भक्तपुर नगरपालिका</v>
      </c>
      <c r="D114" s="36" t="str">
        <f ca="1">IFERROR(__xludf.DUMMYFUNCTION("""COMPUTED_VALUE"""),"Bhaktapur")</f>
        <v>Bhaktapur</v>
      </c>
      <c r="E114" s="36"/>
      <c r="F114" s="27">
        <f>VLOOKUP(A114,'[1]Raw Data'!$A$3:$FB$285,4,FALSE)</f>
        <v>747</v>
      </c>
      <c r="G114" s="27">
        <f>VLOOKUP(A114,'[1]Raw Data'!$A$3:$FB$285,5,FALSE)</f>
        <v>7428</v>
      </c>
      <c r="H114" s="27">
        <f>VLOOKUP(A114,'[1]Raw Data'!$A$3:$FB$285,6,FALSE)</f>
        <v>8175</v>
      </c>
      <c r="I114" s="27">
        <f>VLOOKUP($A114,'[1]Raw Data'!$A$3:$FB$285,8,FALSE)</f>
        <v>0.67</v>
      </c>
      <c r="J114" s="27">
        <f>VLOOKUP($A114,'[1]Raw Data'!$A$3:$FB$285,9,FALSE)</f>
        <v>0.46</v>
      </c>
      <c r="K114" s="27">
        <f>VLOOKUP($A114,'[1]Raw Data'!$A$3:$FB$285,11,FALSE)</f>
        <v>1.52</v>
      </c>
      <c r="L114" s="27">
        <f>VLOOKUP($A114,'[1]Raw Data'!$A$3:$FB$285,12,FALSE)</f>
        <v>11.68</v>
      </c>
      <c r="M114" s="27">
        <f>VLOOKUP($A114,'[1]Raw Data'!$A$3:$FB$285,14,FALSE)</f>
        <v>6.32</v>
      </c>
      <c r="N114" s="27">
        <f>VLOOKUP($A114,'[1]Raw Data'!$A$3:$FB$285,15,FALSE)</f>
        <v>4.96</v>
      </c>
      <c r="O114" s="27">
        <f>VLOOKUP($A114,'[1]Raw Data'!$A$3:$FB$285,17,FALSE)</f>
        <v>47.75</v>
      </c>
      <c r="P114" s="27">
        <f>VLOOKUP($A114,'[1]Raw Data'!$A$3:$FB$285,18,FALSE)</f>
        <v>21.7</v>
      </c>
      <c r="Q114" s="27">
        <f>VLOOKUP($A114,'[1]Raw Data'!$A$3:$FB$285,20,FALSE)</f>
        <v>4.58</v>
      </c>
      <c r="R114" s="27">
        <f>VLOOKUP($A114,'[1]Raw Data'!$A$3:$FB$285,21,FALSE)</f>
        <v>2.94</v>
      </c>
      <c r="S114" s="27">
        <f>VLOOKUP($A114,'[1]Raw Data'!$A$3:$FB$285,23,FALSE)</f>
        <v>0</v>
      </c>
      <c r="T114" s="27">
        <f>VLOOKUP($A114,'[1]Raw Data'!$A$3:$FB$285,24,FALSE)</f>
        <v>0</v>
      </c>
      <c r="U114" s="27">
        <f>VLOOKUP($A114,'[1]Raw Data'!$A$3:$FB$285,26,FALSE)</f>
        <v>0.01</v>
      </c>
      <c r="V114" s="27">
        <f>VLOOKUP($A114,'[1]Raw Data'!$A$3:$FB$285,27,FALSE)</f>
        <v>0.01</v>
      </c>
      <c r="W114" s="27">
        <f>VLOOKUP($A114,'[1]Raw Data'!$A$3:$FB$285,29,FALSE)</f>
        <v>0</v>
      </c>
      <c r="X114" s="27">
        <f>VLOOKUP($A114,'[1]Raw Data'!$A$3:$FB$285,30,FALSE)</f>
        <v>0</v>
      </c>
      <c r="Y114" s="27">
        <f>VLOOKUP($A114,'[1]Raw Data'!$A$3:$FB$285,32,FALSE)</f>
        <v>0.15</v>
      </c>
      <c r="Z114" s="27">
        <f>VLOOKUP($A114,'[1]Raw Data'!$A$3:$FB$285,33,FALSE)</f>
        <v>0.09</v>
      </c>
      <c r="AA114" s="27">
        <f>VLOOKUP($A114,'[1]Raw Data'!$A$3:$FB$285,35,FALSE)</f>
        <v>39</v>
      </c>
      <c r="AB114" s="27">
        <f>VLOOKUP($A114,'[1]Raw Data'!$A$3:$FB$285,36,FALSE)</f>
        <v>58.15</v>
      </c>
      <c r="AC114" s="27">
        <f>VLOOKUP($A114,'[1]Raw Data'!$A$3:$FB$285,38,FALSE)</f>
        <v>0</v>
      </c>
      <c r="AD114" s="27">
        <f>VLOOKUP($A114,'[1]Raw Data'!$A$3:$FB$285,39,FALSE)</f>
        <v>0.02</v>
      </c>
      <c r="AE114" s="27">
        <f>VLOOKUP($A114,'[1]Raw Data'!$A$3:$FB$285,41,FALSE)</f>
        <v>0</v>
      </c>
      <c r="AF114" s="27">
        <f>VLOOKUP($A114,'[1]Raw Data'!$A$3:$FB$285,42,FALSE)</f>
        <v>0</v>
      </c>
      <c r="AG114" s="27">
        <f>VLOOKUP($A114,'[1]Raw Data'!$A$3:$FB$285,44,FALSE)</f>
        <v>0</v>
      </c>
      <c r="AH114" s="27">
        <f>VLOOKUP($A114,'[1]Raw Data'!$A$3:$FB$285,45,FALSE)</f>
        <v>0</v>
      </c>
      <c r="AI114" s="27">
        <f>VLOOKUP($A114,'[1]Raw Data'!$A$3:$FB$285,46,FALSE)</f>
        <v>7622</v>
      </c>
      <c r="AJ114" s="27">
        <f>VLOOKUP($A114,'[1]Raw Data'!$A$3:$FB$285,47,FALSE)</f>
        <v>5604</v>
      </c>
      <c r="AK114" s="27">
        <f>VLOOKUP($A114,'[1]Raw Data'!$A$3:$FB$285,48,FALSE)</f>
        <v>5604</v>
      </c>
      <c r="AL114" s="27">
        <f>VLOOKUP($A114,'[1]Raw Data'!$A$3:$FB$285,49,FALSE)</f>
        <v>1547</v>
      </c>
      <c r="AM114" s="27">
        <f>VLOOKUP($A114,'[1]Raw Data'!$A$3:$FB$285,50,FALSE)</f>
        <v>1384</v>
      </c>
      <c r="AN114" s="27">
        <f>VLOOKUP($A114,'[1]Raw Data'!$A$3:$FB$285,51,FALSE)</f>
        <v>0</v>
      </c>
      <c r="AO114" s="27" t="str">
        <f>VLOOKUP($A114,'[1]Raw Data'!$A$3:$FB$285,52,FALSE)</f>
        <v/>
      </c>
      <c r="AP114" s="27">
        <f>VLOOKUP($A114,'[1]Raw Data'!$A$3:$FB$285,53,FALSE)</f>
        <v>148</v>
      </c>
      <c r="AQ114" s="27">
        <f>VLOOKUP($A114,'[1]Raw Data'!$A$3:$FB$285,54,FALSE)</f>
        <v>40</v>
      </c>
      <c r="AR114" s="27">
        <f>VLOOKUP($A114,'[1]Raw Data'!$A$3:$FB$285,55,FALSE)</f>
        <v>40</v>
      </c>
      <c r="AS114" s="27">
        <f>VLOOKUP($A114,'[1]Raw Data'!$A$3:$FB$285,56,FALSE)</f>
        <v>0</v>
      </c>
      <c r="AT114" s="27">
        <f>VLOOKUP($A114,'[1]Raw Data'!$A$3:$FB$285,57,FALSE)</f>
        <v>1592</v>
      </c>
      <c r="AU114" s="27">
        <f>VLOOKUP($A114,'[1]Raw Data'!$A$3:$FB$285,58,FALSE)</f>
        <v>1542</v>
      </c>
      <c r="AV114" s="27" t="str">
        <f>VLOOKUP($A114,'[1]Raw Data'!$A$3:$FB$285,59,FALSE)</f>
        <v/>
      </c>
      <c r="AW114" s="27" t="str">
        <f>VLOOKUP($A114,'[1]Raw Data'!$A$3:$FB$285,60,FALSE)</f>
        <v/>
      </c>
      <c r="AX114" s="27" t="str">
        <f>VLOOKUP(A114,'[1]PO''s List'!A112:E394,4,FALSE)</f>
        <v>NRCS(Health,Shelter)</v>
      </c>
      <c r="AZ114" s="27" t="str">
        <f>VLOOKUP(A114,'[1]PO''s List'!$A$3:$E$285,5,FALSE)</f>
        <v>SCI(Education)</v>
      </c>
      <c r="BB114" s="27">
        <f>VLOOKUP($A114,'[1]Raw Data'!$A$3:$FB$285,63,FALSE)</f>
        <v>53179</v>
      </c>
      <c r="BC114" s="27" t="str">
        <f>VLOOKUP($A114,'[1]Raw Data'!$A$3:$FB$285,64,FALSE)</f>
        <v/>
      </c>
      <c r="BD114" s="27" t="str">
        <f t="shared" si="9"/>
        <v/>
      </c>
      <c r="BE114" s="27" t="str">
        <f>VLOOKUP($A114,'[1]Raw Data'!$A$3:$FB$285,65,FALSE)</f>
        <v/>
      </c>
      <c r="BF114" s="27">
        <f>VLOOKUP($A114,'[1]Raw Data'!$A$3:$FB$285,66,FALSE)</f>
        <v>45780</v>
      </c>
      <c r="BG114" s="27" t="str">
        <f>VLOOKUP($A114,'[1]Raw Data'!$A$3:$FB$285,67,FALSE)</f>
        <v/>
      </c>
      <c r="BH114" s="27" t="str">
        <f t="shared" si="10"/>
        <v/>
      </c>
      <c r="BI114" s="27" t="str">
        <f>VLOOKUP($A114,'[1]Raw Data'!$A$3:$FB$285,68,FALSE)</f>
        <v/>
      </c>
      <c r="BJ114" s="27">
        <f>VLOOKUP($A114,'[1]Raw Data'!$A$3:$FB$285,69,FALSE)</f>
        <v>5598</v>
      </c>
      <c r="BK114" s="27" t="str">
        <f>VLOOKUP($A114,'[1]Raw Data'!$A$3:$FB$285,70,FALSE)</f>
        <v/>
      </c>
      <c r="BL114" s="27" t="str">
        <f t="shared" si="11"/>
        <v/>
      </c>
      <c r="BM114" s="27" t="str">
        <f>VLOOKUP($A114,'[1]Raw Data'!$A$3:$FB$285,71,FALSE)</f>
        <v/>
      </c>
      <c r="BN114" s="27">
        <f>VLOOKUP($A114,'[1]Raw Data'!$A$3:$FB$285,72,FALSE)</f>
        <v>6168</v>
      </c>
      <c r="BO114" s="27" t="str">
        <f>VLOOKUP($A114,'[1]Raw Data'!$A$3:$FB$285,73,FALSE)</f>
        <v/>
      </c>
      <c r="BP114" s="27" t="str">
        <f t="shared" si="12"/>
        <v/>
      </c>
      <c r="BQ114" s="27" t="str">
        <f>VLOOKUP($A114,'[1]Raw Data'!$A$3:$FB$285,74,FALSE)</f>
        <v/>
      </c>
      <c r="BR114" s="27" t="str">
        <f>VLOOKUP($A114,'[1]Raw Data'!$A$3:$FB$285,75,FALSE)</f>
        <v/>
      </c>
      <c r="BS114" s="27" t="str">
        <f>VLOOKUP($A114,'[1]Raw Data'!$A$3:$FB$285,76,FALSE)</f>
        <v/>
      </c>
      <c r="BT114" s="27" t="str">
        <f t="shared" si="13"/>
        <v/>
      </c>
      <c r="BU114" s="27" t="str">
        <f>VLOOKUP($A114,'[1]Raw Data'!$A$3:$FB$285,77,FALSE)</f>
        <v/>
      </c>
      <c r="BV114" s="27">
        <f>VLOOKUP($A114,'[1]Raw Data'!$A$3:$FB$285,78,FALSE)</f>
        <v>154585</v>
      </c>
      <c r="BW114" s="27" t="str">
        <f>VLOOKUP($A114,'[1]Raw Data'!$A$3:$FB$285,79,FALSE)</f>
        <v/>
      </c>
      <c r="BX114" s="27" t="str">
        <f t="shared" si="14"/>
        <v/>
      </c>
      <c r="BY114" s="27" t="str">
        <f>VLOOKUP($A114,'[1]Raw Data'!$A$3:$FB$285,80,FALSE)</f>
        <v/>
      </c>
      <c r="BZ114" s="27">
        <f>VLOOKUP($A114,'[1]Raw Data'!$A$3:$FB$285,81,FALSE)</f>
        <v>591632</v>
      </c>
      <c r="CA114" s="27" t="str">
        <f>VLOOKUP($A114,'[1]Raw Data'!$A$3:$FB$285,82,FALSE)</f>
        <v/>
      </c>
      <c r="CB114" s="27" t="str">
        <f t="shared" si="15"/>
        <v/>
      </c>
      <c r="CC114" s="27" t="str">
        <f>VLOOKUP($A114,'[1]Raw Data'!$A$3:$FB$285,83,FALSE)</f>
        <v/>
      </c>
      <c r="CD114" s="27">
        <f>VLOOKUP($A114,'[1]Raw Data'!$A$3:$FB$285,84,FALSE)</f>
        <v>6313</v>
      </c>
      <c r="CE114" s="27" t="str">
        <f>VLOOKUP($A114,'[1]Raw Data'!$A$3:$FB$285,85,FALSE)</f>
        <v/>
      </c>
      <c r="CF114" s="27" t="str">
        <f t="shared" si="16"/>
        <v/>
      </c>
      <c r="CG114" s="27" t="str">
        <f>VLOOKUP($A114,'[1]Raw Data'!$A$3:$FB$285,86,FALSE)</f>
        <v/>
      </c>
      <c r="CH114" s="27">
        <f>VLOOKUP($A114,'[1]Raw Data'!$A$3:$FB$285,87,FALSE)</f>
        <v>1393478</v>
      </c>
      <c r="CI114" s="27" t="str">
        <f>VLOOKUP($A114,'[1]Raw Data'!$A$3:$FB$285,88,FALSE)</f>
        <v/>
      </c>
      <c r="CJ114" s="27" t="str">
        <f t="shared" si="17"/>
        <v/>
      </c>
      <c r="CK114" s="27" t="str">
        <f>VLOOKUP($A114,'[1]Raw Data'!$A$3:$FB$285,89,FALSE)</f>
        <v/>
      </c>
      <c r="CL114" s="27" t="str">
        <f>VLOOKUP($A114,'[1]Raw Data'!$A$3:$FB$285,91,FALSE)</f>
        <v/>
      </c>
      <c r="CM114" s="27" t="str">
        <f>VLOOKUP($A114,'[1]Raw Data'!$A$3:$FB$285,93,FALSE)</f>
        <v/>
      </c>
      <c r="CN114" s="27" t="str">
        <f>VLOOKUP($A114,'[1]Raw Data'!$A$3:$FB$285,94,FALSE)</f>
        <v/>
      </c>
      <c r="CO114" s="27" t="str">
        <f>VLOOKUP($A114,'[1]Raw Data'!$A$3:$FB$285,95,FALSE)</f>
        <v/>
      </c>
      <c r="CP114" s="27" t="str">
        <f>VLOOKUP($A114,'[1]Raw Data'!$A$3:$FB$285,96,FALSE)</f>
        <v/>
      </c>
      <c r="CQ114" s="27" t="str">
        <f>VLOOKUP($A114,'[1]Raw Data'!$A$3:$FB$285,97,FALSE)</f>
        <v/>
      </c>
      <c r="CR114" s="27" t="str">
        <f>VLOOKUP($A114,'[1]Raw Data'!$A$3:$FB$285,98,FALSE)</f>
        <v/>
      </c>
      <c r="CS114" s="27" t="str">
        <f>VLOOKUP($A114,'[1]Raw Data'!$A$3:$FB$285,99,FALSE)</f>
        <v/>
      </c>
      <c r="CT114" s="27" t="str">
        <f>VLOOKUP($A114,'[1]Raw Data'!$A$3:$FB$285,101,FALSE)</f>
        <v>Sunil Prajapati</v>
      </c>
      <c r="CU114" s="27" t="s">
        <v>1152</v>
      </c>
      <c r="CV114" s="27" t="str">
        <f>VLOOKUP($A114,'[1]Raw Data'!$A$3:$FB$285,102,FALSE)</f>
        <v>Mayor</v>
      </c>
      <c r="CW114" s="27" t="s">
        <v>834</v>
      </c>
      <c r="CX114" s="27">
        <f>VLOOKUP($A114,'[1]Raw Data'!$A$3:$FB$285,103,FALSE)</f>
        <v>9851078885</v>
      </c>
      <c r="CY114" s="27" t="str">
        <f>VLOOKUP($A114,'[1]Raw Data'!$A$3:$FB$285,105,FALSE)</f>
        <v>Rajani Joshi</v>
      </c>
      <c r="CZ114" s="27" t="s">
        <v>1153</v>
      </c>
      <c r="DA114" s="27" t="str">
        <f>VLOOKUP($A114,'[1]Raw Data'!$A$3:$FB$285,106,FALSE)</f>
        <v>Deputy Mayor</v>
      </c>
      <c r="DB114" s="27" t="s">
        <v>888</v>
      </c>
      <c r="DC114" s="27">
        <f>VLOOKUP($A114,'[1]Raw Data'!$A$3:$FB$285,107,FALSE)</f>
        <v>9851177744</v>
      </c>
      <c r="DD114" s="27" t="str">
        <f>VLOOKUP($A114,'[1]Raw Data'!$A$3:$FB$285,109,FALSE)</f>
        <v>Rohit Raj Pokharel</v>
      </c>
      <c r="DE114" s="27" t="s">
        <v>1154</v>
      </c>
      <c r="DF114" s="27" t="str">
        <f>VLOOKUP($A114,'[1]Raw Data'!$A$3:$FB$285,110,FALSE)</f>
        <v>Adminstration Officer</v>
      </c>
      <c r="DG114" s="27" t="s">
        <v>880</v>
      </c>
      <c r="DH114" s="27">
        <f>VLOOKUP($A114,'[1]Raw Data'!$A$3:$FB$285,111,FALSE)</f>
        <v>9851275111</v>
      </c>
      <c r="DI114" s="27" t="str">
        <f>VLOOKUP($A114,'[1]Raw Data'!$A$3:$FB$285,121,FALSE)</f>
        <v>Samjhana Shrestha</v>
      </c>
      <c r="DJ114" s="27" t="s">
        <v>1155</v>
      </c>
      <c r="DK114" s="27" t="str">
        <f>VLOOKUP($A114,'[1]Raw Data'!$A$3:$FB$285,122,FALSE)</f>
        <v>Focal Person</v>
      </c>
      <c r="DL114" s="27" t="s">
        <v>881</v>
      </c>
      <c r="DM114" s="27">
        <f>VLOOKUP($A114,'[1]Raw Data'!$A$3:$FB$285,123,FALSE)</f>
        <v>9843011400</v>
      </c>
      <c r="DN114" s="27" t="str">
        <f>VLOOKUP($A114,'[1]Raw Data'!$A$3:$FB$285,113,FALSE)</f>
        <v>Dhruba Gaida</v>
      </c>
      <c r="DO114" s="27" t="s">
        <v>1156</v>
      </c>
      <c r="DP114" s="27" t="str">
        <f>VLOOKUP($A114,'[1]Raw Data'!$A$3:$FB$285,114,FALSE)</f>
        <v>NRA Chief-District</v>
      </c>
      <c r="DQ114" s="27" t="s">
        <v>882</v>
      </c>
      <c r="DR114" s="27">
        <f>VLOOKUP($A114,'[1]Raw Data'!$A$3:$FB$285,115,FALSE)</f>
        <v>9851221570</v>
      </c>
      <c r="DS114" s="27" t="str">
        <f>VLOOKUP($A114,'[1]Raw Data'!$A$3:$FB$285,117,FALSE)</f>
        <v>Mahalaxmi Joshi</v>
      </c>
      <c r="DT114" s="27" t="s">
        <v>1082</v>
      </c>
      <c r="DU114" s="27" t="str">
        <f>VLOOKUP($A114,'[1]Raw Data'!$A$3:$FB$285,118,FALSE)</f>
        <v>DUDBC.DLPIU Chief</v>
      </c>
      <c r="DV114" s="27" t="s">
        <v>883</v>
      </c>
      <c r="DW114" s="27">
        <f>VLOOKUP($A114,'[1]Raw Data'!$A$3:$FB$285,119,FALSE)</f>
        <v>9751090249</v>
      </c>
      <c r="DX114" s="27" t="s">
        <v>339</v>
      </c>
      <c r="DY114" s="27" t="str">
        <f>VLOOKUP($A114,'[1]Raw Data'!$A$3:$FB$285,124,FALSE)</f>
        <v/>
      </c>
      <c r="DZ114" s="27" t="s">
        <v>884</v>
      </c>
      <c r="EA114" s="27" t="str">
        <f>VLOOKUP($A114,'[1]Raw Data'!$A$3:$FB$285,125,FALSE)</f>
        <v/>
      </c>
      <c r="EB114" s="27" t="s">
        <v>341</v>
      </c>
      <c r="EC114" s="27" t="str">
        <f>VLOOKUP($A114,'[1]Raw Data'!$A$3:$FB$285,126,FALSE)</f>
        <v/>
      </c>
      <c r="ED114" t="s">
        <v>478</v>
      </c>
      <c r="EE114" s="27" t="str">
        <f>VLOOKUP($A114,'[1]Raw Data'!$A$3:$FB$285,127,FALSE)</f>
        <v/>
      </c>
      <c r="EF114" s="27" t="s">
        <v>343</v>
      </c>
      <c r="EG114" s="27" t="str">
        <f>VLOOKUP($A114,'[1]Raw Data'!$A$3:$FB$285,128,FALSE)</f>
        <v/>
      </c>
      <c r="EH114" t="s">
        <v>344</v>
      </c>
      <c r="EI114" s="27" t="str">
        <f>VLOOKUP($A114,'[1]Raw Data'!$A$3:$FB$285,129,FALSE)</f>
        <v/>
      </c>
      <c r="EM114" s="27" t="str">
        <f>VLOOKUP($A114,'[1]Raw Data'!$A$3:$FB$285,130,FALSE)</f>
        <v/>
      </c>
      <c r="EN114" s="27" t="str">
        <f>VLOOKUP($A114,'[1]Raw Data'!$A$3:$FB$285,131,FALSE)</f>
        <v/>
      </c>
      <c r="EO114" s="27" t="str">
        <f>VLOOKUP($A114,'[1]Raw Data'!$A$3:$FB$285,132,FALSE)</f>
        <v/>
      </c>
      <c r="EP114" s="27" t="str">
        <f>VLOOKUP($A114,'[1]Raw Data'!$A$3:$FB$285,133,FALSE)</f>
        <v/>
      </c>
      <c r="EQ114" s="27" t="str">
        <f>VLOOKUP($A114,'[1]Raw Data'!$A$3:$FB$285,134,FALSE)</f>
        <v/>
      </c>
      <c r="ER114" s="27" t="str">
        <f>VLOOKUP($A114,'[1]Raw Data'!$A$3:$FB$285,135,FALSE)</f>
        <v/>
      </c>
      <c r="ES114" s="27" t="str">
        <f>VLOOKUP($A114,'[1]Raw Data'!$A$3:$FB$285,136,FALSE)</f>
        <v/>
      </c>
      <c r="ET114" s="27" t="str">
        <f>VLOOKUP($A114,'[1]Raw Data'!$A$3:$FB$285,137,FALSE)</f>
        <v/>
      </c>
      <c r="EU114" s="27" t="str">
        <f>VLOOKUP($A114,'[1]Raw Data'!$A$3:$FB$285,138,FALSE)</f>
        <v/>
      </c>
      <c r="EV114" s="27" t="str">
        <f>VLOOKUP($A114,'[1]Raw Data'!$A$3:$FB$285,139,FALSE)</f>
        <v/>
      </c>
      <c r="EW114" s="38">
        <f>VLOOKUP($A114,[1]Training!$A$2:$I$284,5,FALSE)</f>
        <v>586.30769230769226</v>
      </c>
      <c r="EX114" s="31">
        <f>VLOOKUP($A114,[1]Training!$A$2:$I$284,6,FALSE)</f>
        <v>353</v>
      </c>
      <c r="EY114" s="38">
        <f>VLOOKUP($A114,[1]Training!$A$2:$I$284,8,FALSE)</f>
        <v>538.50501624982337</v>
      </c>
      <c r="EZ114" s="31">
        <f>VLOOKUP($A114,[1]Training!$A$2:$I$284,9,FALSE)</f>
        <v>0</v>
      </c>
      <c r="FA114" s="27">
        <v>1</v>
      </c>
      <c r="FB114" s="27">
        <v>2</v>
      </c>
      <c r="FC114" s="27" t="str">
        <f>VLOOKUP($A114,'[1]Raw Data'!$A$3:$FB$285,148,FALSE)</f>
        <v>Ambika Amatya</v>
      </c>
      <c r="FD114" s="27" t="s">
        <v>1130</v>
      </c>
      <c r="FE114" s="27" t="str">
        <f>VLOOKUP($A114,'[1]Raw Data'!$A$3:$FB$285,149,FALSE)</f>
        <v>District Coordinator</v>
      </c>
      <c r="FF114" s="27" t="s">
        <v>885</v>
      </c>
      <c r="FG114" s="27">
        <f>VLOOKUP($A114,'[1]Raw Data'!$A$3:$FB$285,150,FALSE)</f>
        <v>9841356409</v>
      </c>
      <c r="FH114" s="27" t="str">
        <f>VLOOKUP($A114,'[1]Raw Data'!$A$3:$FB$285,156,FALSE)</f>
        <v/>
      </c>
      <c r="FJ114" s="27" t="str">
        <f>VLOOKUP($A114,'[1]Raw Data'!$A$3:$FB$285,157,FALSE)</f>
        <v>District Technical Officer</v>
      </c>
      <c r="FK114" s="27" t="s">
        <v>886</v>
      </c>
      <c r="FL114" s="27" t="str">
        <f>VLOOKUP($A114,'[1]Raw Data'!$A$3:$FB$285,158,FALSE)</f>
        <v/>
      </c>
      <c r="FM114" s="27" t="str">
        <f>VLOOKUP($A114,'[1]Raw Data'!$A$3:$FB$285,152,FALSE)</f>
        <v>Manisha Rai</v>
      </c>
      <c r="FN114" s="27" t="s">
        <v>1131</v>
      </c>
      <c r="FO114" s="27" t="str">
        <f>VLOOKUP($A114,'[1]Raw Data'!$A$3:$FB$285,153,FALSE)</f>
        <v>DIstrict Information Management Officer</v>
      </c>
      <c r="FP114" s="27" t="s">
        <v>887</v>
      </c>
      <c r="FQ114" s="27">
        <f>VLOOKUP($A114,'[1]Raw Data'!$A$3:$FB$285,154,FALSE)</f>
        <v>9842062006</v>
      </c>
    </row>
    <row r="115" spans="1:173" ht="24" x14ac:dyDescent="0.45">
      <c r="A115" s="27">
        <v>26002</v>
      </c>
      <c r="B115" s="36" t="str">
        <f ca="1">IFERROR(__xludf.DUMMYFUNCTION("""COMPUTED_VALUE"""),"Changunarayan Nagarpalika")</f>
        <v>Changunarayan Nagarpalika</v>
      </c>
      <c r="C115" s="37" t="str">
        <f>VLOOKUP(A115,'[1]Palika and District in Nepali '!$D$1:$F$283,3,FALSE)</f>
        <v>चाँगुनारायण नगरपालिका</v>
      </c>
      <c r="D115" s="36" t="str">
        <f ca="1">IFERROR(__xludf.DUMMYFUNCTION("""COMPUTED_VALUE"""),"Bhaktapur")</f>
        <v>Bhaktapur</v>
      </c>
      <c r="E115" s="36"/>
      <c r="F115" s="27">
        <f>VLOOKUP(A115,'[1]Raw Data'!$A$3:$FB$285,4,FALSE)</f>
        <v>425</v>
      </c>
      <c r="G115" s="27">
        <f>VLOOKUP(A115,'[1]Raw Data'!$A$3:$FB$285,5,FALSE)</f>
        <v>10634</v>
      </c>
      <c r="H115" s="27">
        <f>VLOOKUP(A115,'[1]Raw Data'!$A$3:$FB$285,6,FALSE)</f>
        <v>11059</v>
      </c>
      <c r="I115" s="27">
        <f>VLOOKUP($A115,'[1]Raw Data'!$A$3:$FB$285,8,FALSE)</f>
        <v>0.21</v>
      </c>
      <c r="J115" s="27">
        <f>VLOOKUP($A115,'[1]Raw Data'!$A$3:$FB$285,9,FALSE)</f>
        <v>0.46</v>
      </c>
      <c r="K115" s="27">
        <f>VLOOKUP($A115,'[1]Raw Data'!$A$3:$FB$285,11,FALSE)</f>
        <v>21.26</v>
      </c>
      <c r="L115" s="27">
        <f>VLOOKUP($A115,'[1]Raw Data'!$A$3:$FB$285,12,FALSE)</f>
        <v>11.68</v>
      </c>
      <c r="M115" s="27">
        <f>VLOOKUP($A115,'[1]Raw Data'!$A$3:$FB$285,14,FALSE)</f>
        <v>2.74</v>
      </c>
      <c r="N115" s="27">
        <f>VLOOKUP($A115,'[1]Raw Data'!$A$3:$FB$285,15,FALSE)</f>
        <v>4.96</v>
      </c>
      <c r="O115" s="27">
        <f>VLOOKUP($A115,'[1]Raw Data'!$A$3:$FB$285,17,FALSE)</f>
        <v>5.69</v>
      </c>
      <c r="P115" s="27">
        <f>VLOOKUP($A115,'[1]Raw Data'!$A$3:$FB$285,18,FALSE)</f>
        <v>21.7</v>
      </c>
      <c r="Q115" s="27">
        <f>VLOOKUP($A115,'[1]Raw Data'!$A$3:$FB$285,20,FALSE)</f>
        <v>2.09</v>
      </c>
      <c r="R115" s="27">
        <f>VLOOKUP($A115,'[1]Raw Data'!$A$3:$FB$285,21,FALSE)</f>
        <v>2.94</v>
      </c>
      <c r="S115" s="27">
        <f>VLOOKUP($A115,'[1]Raw Data'!$A$3:$FB$285,23,FALSE)</f>
        <v>0</v>
      </c>
      <c r="T115" s="27">
        <f>VLOOKUP($A115,'[1]Raw Data'!$A$3:$FB$285,24,FALSE)</f>
        <v>0</v>
      </c>
      <c r="U115" s="27">
        <f>VLOOKUP($A115,'[1]Raw Data'!$A$3:$FB$285,26,FALSE)</f>
        <v>0.02</v>
      </c>
      <c r="V115" s="27">
        <f>VLOOKUP($A115,'[1]Raw Data'!$A$3:$FB$285,27,FALSE)</f>
        <v>0.01</v>
      </c>
      <c r="W115" s="27">
        <f>VLOOKUP($A115,'[1]Raw Data'!$A$3:$FB$285,29,FALSE)</f>
        <v>0</v>
      </c>
      <c r="X115" s="27">
        <f>VLOOKUP($A115,'[1]Raw Data'!$A$3:$FB$285,30,FALSE)</f>
        <v>0</v>
      </c>
      <c r="Y115" s="27">
        <f>VLOOKUP($A115,'[1]Raw Data'!$A$3:$FB$285,32,FALSE)</f>
        <v>0.09</v>
      </c>
      <c r="Z115" s="27">
        <f>VLOOKUP($A115,'[1]Raw Data'!$A$3:$FB$285,33,FALSE)</f>
        <v>0.09</v>
      </c>
      <c r="AA115" s="27">
        <f>VLOOKUP($A115,'[1]Raw Data'!$A$3:$FB$285,35,FALSE)</f>
        <v>67.88</v>
      </c>
      <c r="AB115" s="27">
        <f>VLOOKUP($A115,'[1]Raw Data'!$A$3:$FB$285,36,FALSE)</f>
        <v>58.15</v>
      </c>
      <c r="AC115" s="27">
        <f>VLOOKUP($A115,'[1]Raw Data'!$A$3:$FB$285,38,FALSE)</f>
        <v>0.03</v>
      </c>
      <c r="AD115" s="27">
        <f>VLOOKUP($A115,'[1]Raw Data'!$A$3:$FB$285,39,FALSE)</f>
        <v>0.02</v>
      </c>
      <c r="AE115" s="27">
        <f>VLOOKUP($A115,'[1]Raw Data'!$A$3:$FB$285,41,FALSE)</f>
        <v>0</v>
      </c>
      <c r="AF115" s="27">
        <f>VLOOKUP($A115,'[1]Raw Data'!$A$3:$FB$285,42,FALSE)</f>
        <v>0</v>
      </c>
      <c r="AG115" s="27">
        <f>VLOOKUP($A115,'[1]Raw Data'!$A$3:$FB$285,44,FALSE)</f>
        <v>0</v>
      </c>
      <c r="AH115" s="27">
        <f>VLOOKUP($A115,'[1]Raw Data'!$A$3:$FB$285,45,FALSE)</f>
        <v>0</v>
      </c>
      <c r="AI115" s="27">
        <f>VLOOKUP($A115,'[1]Raw Data'!$A$3:$FB$285,46,FALSE)</f>
        <v>10937</v>
      </c>
      <c r="AJ115" s="27">
        <f>VLOOKUP($A115,'[1]Raw Data'!$A$3:$FB$285,47,FALSE)</f>
        <v>9694</v>
      </c>
      <c r="AK115" s="27">
        <f>VLOOKUP($A115,'[1]Raw Data'!$A$3:$FB$285,48,FALSE)</f>
        <v>9694</v>
      </c>
      <c r="AL115" s="27">
        <f>VLOOKUP($A115,'[1]Raw Data'!$A$3:$FB$285,49,FALSE)</f>
        <v>2799</v>
      </c>
      <c r="AM115" s="27">
        <f>VLOOKUP($A115,'[1]Raw Data'!$A$3:$FB$285,50,FALSE)</f>
        <v>2654</v>
      </c>
      <c r="AN115" s="27">
        <f>VLOOKUP($A115,'[1]Raw Data'!$A$3:$FB$285,51,FALSE)</f>
        <v>0</v>
      </c>
      <c r="AO115" s="27" t="str">
        <f>VLOOKUP($A115,'[1]Raw Data'!$A$3:$FB$285,52,FALSE)</f>
        <v/>
      </c>
      <c r="AP115" s="27">
        <f>VLOOKUP($A115,'[1]Raw Data'!$A$3:$FB$285,53,FALSE)</f>
        <v>212</v>
      </c>
      <c r="AQ115" s="27">
        <f>VLOOKUP($A115,'[1]Raw Data'!$A$3:$FB$285,54,FALSE)</f>
        <v>86</v>
      </c>
      <c r="AR115" s="27">
        <f>VLOOKUP($A115,'[1]Raw Data'!$A$3:$FB$285,55,FALSE)</f>
        <v>86</v>
      </c>
      <c r="AS115" s="27">
        <f>VLOOKUP($A115,'[1]Raw Data'!$A$3:$FB$285,56,FALSE)</f>
        <v>0</v>
      </c>
      <c r="AT115" s="27">
        <f>VLOOKUP($A115,'[1]Raw Data'!$A$3:$FB$285,57,FALSE)</f>
        <v>2096</v>
      </c>
      <c r="AU115" s="27">
        <f>VLOOKUP($A115,'[1]Raw Data'!$A$3:$FB$285,58,FALSE)</f>
        <v>1692</v>
      </c>
      <c r="AV115" s="27" t="str">
        <f>VLOOKUP($A115,'[1]Raw Data'!$A$3:$FB$285,59,FALSE)</f>
        <v/>
      </c>
      <c r="AW115" s="27" t="str">
        <f>VLOOKUP($A115,'[1]Raw Data'!$A$3:$FB$285,60,FALSE)</f>
        <v/>
      </c>
      <c r="AX115" s="27" t="str">
        <f>VLOOKUP(A115,'[1]PO''s List'!A113:E395,4,FALSE)</f>
        <v>NRCS(Livelihood,Education,Employment ,Health,Health)</v>
      </c>
      <c r="AZ115" s="27" t="str">
        <f>VLOOKUP(A115,'[1]PO''s List'!$A$3:$E$285,5,FALSE)</f>
        <v>DCA(DRR,Education,Employment ,Shelter,Health),GON(Shelter),OXFAM-GB(Shelter),SCI(Education)</v>
      </c>
      <c r="BB115" s="27">
        <f>VLOOKUP($A115,'[1]Raw Data'!$A$3:$FB$285,63,FALSE)</f>
        <v>72457</v>
      </c>
      <c r="BC115" s="27" t="str">
        <f>VLOOKUP($A115,'[1]Raw Data'!$A$3:$FB$285,64,FALSE)</f>
        <v/>
      </c>
      <c r="BD115" s="27" t="str">
        <f t="shared" si="9"/>
        <v/>
      </c>
      <c r="BE115" s="27" t="str">
        <f>VLOOKUP($A115,'[1]Raw Data'!$A$3:$FB$285,65,FALSE)</f>
        <v/>
      </c>
      <c r="BF115" s="27">
        <f>VLOOKUP($A115,'[1]Raw Data'!$A$3:$FB$285,66,FALSE)</f>
        <v>70394</v>
      </c>
      <c r="BG115" s="27" t="str">
        <f>VLOOKUP($A115,'[1]Raw Data'!$A$3:$FB$285,67,FALSE)</f>
        <v/>
      </c>
      <c r="BH115" s="27" t="str">
        <f t="shared" si="10"/>
        <v/>
      </c>
      <c r="BI115" s="27" t="str">
        <f>VLOOKUP($A115,'[1]Raw Data'!$A$3:$FB$285,68,FALSE)</f>
        <v/>
      </c>
      <c r="BJ115" s="27">
        <f>VLOOKUP($A115,'[1]Raw Data'!$A$3:$FB$285,69,FALSE)</f>
        <v>7701</v>
      </c>
      <c r="BK115" s="27" t="str">
        <f>VLOOKUP($A115,'[1]Raw Data'!$A$3:$FB$285,70,FALSE)</f>
        <v/>
      </c>
      <c r="BL115" s="27" t="str">
        <f t="shared" si="11"/>
        <v/>
      </c>
      <c r="BM115" s="27" t="str">
        <f>VLOOKUP($A115,'[1]Raw Data'!$A$3:$FB$285,71,FALSE)</f>
        <v/>
      </c>
      <c r="BN115" s="27">
        <f>VLOOKUP($A115,'[1]Raw Data'!$A$3:$FB$285,72,FALSE)</f>
        <v>8757</v>
      </c>
      <c r="BO115" s="27" t="str">
        <f>VLOOKUP($A115,'[1]Raw Data'!$A$3:$FB$285,73,FALSE)</f>
        <v/>
      </c>
      <c r="BP115" s="27" t="str">
        <f t="shared" si="12"/>
        <v/>
      </c>
      <c r="BQ115" s="27" t="str">
        <f>VLOOKUP($A115,'[1]Raw Data'!$A$3:$FB$285,74,FALSE)</f>
        <v/>
      </c>
      <c r="BR115" s="27" t="str">
        <f>VLOOKUP($A115,'[1]Raw Data'!$A$3:$FB$285,75,FALSE)</f>
        <v/>
      </c>
      <c r="BS115" s="27" t="str">
        <f>VLOOKUP($A115,'[1]Raw Data'!$A$3:$FB$285,76,FALSE)</f>
        <v/>
      </c>
      <c r="BT115" s="27" t="str">
        <f t="shared" si="13"/>
        <v/>
      </c>
      <c r="BU115" s="27" t="str">
        <f>VLOOKUP($A115,'[1]Raw Data'!$A$3:$FB$285,77,FALSE)</f>
        <v/>
      </c>
      <c r="BV115" s="27">
        <f>VLOOKUP($A115,'[1]Raw Data'!$A$3:$FB$285,78,FALSE)</f>
        <v>234826</v>
      </c>
      <c r="BW115" s="27" t="str">
        <f>VLOOKUP($A115,'[1]Raw Data'!$A$3:$FB$285,79,FALSE)</f>
        <v/>
      </c>
      <c r="BX115" s="27" t="str">
        <f t="shared" si="14"/>
        <v/>
      </c>
      <c r="BY115" s="27" t="str">
        <f>VLOOKUP($A115,'[1]Raw Data'!$A$3:$FB$285,80,FALSE)</f>
        <v/>
      </c>
      <c r="BZ115" s="27">
        <f>VLOOKUP($A115,'[1]Raw Data'!$A$3:$FB$285,81,FALSE)</f>
        <v>792623</v>
      </c>
      <c r="CA115" s="27" t="str">
        <f>VLOOKUP($A115,'[1]Raw Data'!$A$3:$FB$285,82,FALSE)</f>
        <v/>
      </c>
      <c r="CB115" s="27" t="str">
        <f t="shared" si="15"/>
        <v/>
      </c>
      <c r="CC115" s="27" t="str">
        <f>VLOOKUP($A115,'[1]Raw Data'!$A$3:$FB$285,83,FALSE)</f>
        <v/>
      </c>
      <c r="CD115" s="27">
        <f>VLOOKUP($A115,'[1]Raw Data'!$A$3:$FB$285,84,FALSE)</f>
        <v>9597</v>
      </c>
      <c r="CE115" s="27" t="str">
        <f>VLOOKUP($A115,'[1]Raw Data'!$A$3:$FB$285,85,FALSE)</f>
        <v/>
      </c>
      <c r="CF115" s="27" t="str">
        <f t="shared" si="16"/>
        <v/>
      </c>
      <c r="CG115" s="27" t="str">
        <f>VLOOKUP($A115,'[1]Raw Data'!$A$3:$FB$285,86,FALSE)</f>
        <v/>
      </c>
      <c r="CH115" s="27">
        <f>VLOOKUP($A115,'[1]Raw Data'!$A$3:$FB$285,87,FALSE)</f>
        <v>1148492</v>
      </c>
      <c r="CI115" s="27" t="str">
        <f>VLOOKUP($A115,'[1]Raw Data'!$A$3:$FB$285,88,FALSE)</f>
        <v/>
      </c>
      <c r="CJ115" s="27" t="str">
        <f t="shared" si="17"/>
        <v/>
      </c>
      <c r="CK115" s="27" t="str">
        <f>VLOOKUP($A115,'[1]Raw Data'!$A$3:$FB$285,89,FALSE)</f>
        <v/>
      </c>
      <c r="CL115" s="27" t="str">
        <f>VLOOKUP($A115,'[1]Raw Data'!$A$3:$FB$285,91,FALSE)</f>
        <v/>
      </c>
      <c r="CM115" s="27" t="str">
        <f>VLOOKUP($A115,'[1]Raw Data'!$A$3:$FB$285,93,FALSE)</f>
        <v/>
      </c>
      <c r="CN115" s="27" t="str">
        <f>VLOOKUP($A115,'[1]Raw Data'!$A$3:$FB$285,94,FALSE)</f>
        <v/>
      </c>
      <c r="CO115" s="27" t="str">
        <f>VLOOKUP($A115,'[1]Raw Data'!$A$3:$FB$285,95,FALSE)</f>
        <v/>
      </c>
      <c r="CP115" s="27" t="str">
        <f>VLOOKUP($A115,'[1]Raw Data'!$A$3:$FB$285,96,FALSE)</f>
        <v/>
      </c>
      <c r="CQ115" s="27" t="str">
        <f>VLOOKUP($A115,'[1]Raw Data'!$A$3:$FB$285,97,FALSE)</f>
        <v/>
      </c>
      <c r="CR115" s="27" t="str">
        <f>VLOOKUP($A115,'[1]Raw Data'!$A$3:$FB$285,98,FALSE)</f>
        <v/>
      </c>
      <c r="CS115" s="27" t="str">
        <f>VLOOKUP($A115,'[1]Raw Data'!$A$3:$FB$285,99,FALSE)</f>
        <v/>
      </c>
      <c r="CT115" s="27" t="str">
        <f>VLOOKUP($A115,'[1]Raw Data'!$A$3:$FB$285,101,FALSE)</f>
        <v>Som Prasad Mishra</v>
      </c>
      <c r="CU115" s="27" t="s">
        <v>1157</v>
      </c>
      <c r="CV115" s="27" t="str">
        <f>VLOOKUP($A115,'[1]Raw Data'!$A$3:$FB$285,102,FALSE)</f>
        <v>Mayor</v>
      </c>
      <c r="CW115" s="27" t="s">
        <v>834</v>
      </c>
      <c r="CX115" s="27">
        <f>VLOOKUP($A115,'[1]Raw Data'!$A$3:$FB$285,103,FALSE)</f>
        <v>9751001744</v>
      </c>
      <c r="CY115" s="27" t="str">
        <f>VLOOKUP($A115,'[1]Raw Data'!$A$3:$FB$285,105,FALSE)</f>
        <v>Bina Bastola</v>
      </c>
      <c r="CZ115" s="27" t="s">
        <v>1158</v>
      </c>
      <c r="DA115" s="27" t="str">
        <f>VLOOKUP($A115,'[1]Raw Data'!$A$3:$FB$285,106,FALSE)</f>
        <v>Deputy Mayor</v>
      </c>
      <c r="DB115" s="27" t="s">
        <v>888</v>
      </c>
      <c r="DC115" s="27">
        <f>VLOOKUP($A115,'[1]Raw Data'!$A$3:$FB$285,107,FALSE)</f>
        <v>9841590313</v>
      </c>
      <c r="DD115" s="27" t="str">
        <f>VLOOKUP($A115,'[1]Raw Data'!$A$3:$FB$285,109,FALSE)</f>
        <v>Punya Prasad Luitel</v>
      </c>
      <c r="DE115" s="27" t="s">
        <v>1159</v>
      </c>
      <c r="DF115" s="27" t="str">
        <f>VLOOKUP($A115,'[1]Raw Data'!$A$3:$FB$285,110,FALSE)</f>
        <v>Adminstration Officer</v>
      </c>
      <c r="DG115" s="27" t="s">
        <v>880</v>
      </c>
      <c r="DH115" s="27">
        <f>VLOOKUP($A115,'[1]Raw Data'!$A$3:$FB$285,111,FALSE)</f>
        <v>9851191068</v>
      </c>
      <c r="DI115" s="27" t="str">
        <f>VLOOKUP($A115,'[1]Raw Data'!$A$3:$FB$285,121,FALSE)</f>
        <v>Sangita Chikanbanjar</v>
      </c>
      <c r="DJ115" s="27" t="s">
        <v>1160</v>
      </c>
      <c r="DK115" s="27" t="str">
        <f>VLOOKUP($A115,'[1]Raw Data'!$A$3:$FB$285,122,FALSE)</f>
        <v>Focal Person</v>
      </c>
      <c r="DL115" s="27" t="s">
        <v>881</v>
      </c>
      <c r="DM115" s="27">
        <f>VLOOKUP($A115,'[1]Raw Data'!$A$3:$FB$285,123,FALSE)</f>
        <v>9841131172</v>
      </c>
      <c r="DN115" s="27" t="str">
        <f>VLOOKUP($A115,'[1]Raw Data'!$A$3:$FB$285,113,FALSE)</f>
        <v>Dhruba Gaida</v>
      </c>
      <c r="DO115" s="27" t="s">
        <v>1156</v>
      </c>
      <c r="DP115" s="27" t="str">
        <f>VLOOKUP($A115,'[1]Raw Data'!$A$3:$FB$285,114,FALSE)</f>
        <v>NRA Chief-District</v>
      </c>
      <c r="DQ115" s="27" t="s">
        <v>882</v>
      </c>
      <c r="DR115" s="27">
        <f>VLOOKUP($A115,'[1]Raw Data'!$A$3:$FB$285,115,FALSE)</f>
        <v>9851221570</v>
      </c>
      <c r="DS115" s="27" t="str">
        <f>VLOOKUP($A115,'[1]Raw Data'!$A$3:$FB$285,117,FALSE)</f>
        <v>Mahalaxmi Joshi</v>
      </c>
      <c r="DT115" s="27" t="s">
        <v>1082</v>
      </c>
      <c r="DU115" s="27" t="str">
        <f>VLOOKUP($A115,'[1]Raw Data'!$A$3:$FB$285,118,FALSE)</f>
        <v>DUDBC.DLPIU Chief</v>
      </c>
      <c r="DV115" s="27" t="s">
        <v>883</v>
      </c>
      <c r="DW115" s="27">
        <f>VLOOKUP($A115,'[1]Raw Data'!$A$3:$FB$285,119,FALSE)</f>
        <v>9751090249</v>
      </c>
      <c r="DX115" s="27" t="s">
        <v>339</v>
      </c>
      <c r="DY115" s="27" t="str">
        <f>VLOOKUP($A115,'[1]Raw Data'!$A$3:$FB$285,124,FALSE)</f>
        <v/>
      </c>
      <c r="DZ115" s="27" t="s">
        <v>884</v>
      </c>
      <c r="EA115" s="27" t="str">
        <f>VLOOKUP($A115,'[1]Raw Data'!$A$3:$FB$285,125,FALSE)</f>
        <v/>
      </c>
      <c r="EB115" s="27" t="s">
        <v>341</v>
      </c>
      <c r="EC115" s="27" t="str">
        <f>VLOOKUP($A115,'[1]Raw Data'!$A$3:$FB$285,126,FALSE)</f>
        <v/>
      </c>
      <c r="ED115" t="s">
        <v>478</v>
      </c>
      <c r="EE115" s="27" t="str">
        <f>VLOOKUP($A115,'[1]Raw Data'!$A$3:$FB$285,127,FALSE)</f>
        <v/>
      </c>
      <c r="EF115" s="27" t="s">
        <v>343</v>
      </c>
      <c r="EG115" s="27" t="str">
        <f>VLOOKUP($A115,'[1]Raw Data'!$A$3:$FB$285,128,FALSE)</f>
        <v/>
      </c>
      <c r="EH115" t="s">
        <v>344</v>
      </c>
      <c r="EI115" s="27" t="str">
        <f>VLOOKUP($A115,'[1]Raw Data'!$A$3:$FB$285,129,FALSE)</f>
        <v/>
      </c>
      <c r="EM115" s="27" t="str">
        <f>VLOOKUP($A115,'[1]Raw Data'!$A$3:$FB$285,130,FALSE)</f>
        <v/>
      </c>
      <c r="EN115" s="27" t="str">
        <f>VLOOKUP($A115,'[1]Raw Data'!$A$3:$FB$285,131,FALSE)</f>
        <v/>
      </c>
      <c r="EO115" s="27" t="str">
        <f>VLOOKUP($A115,'[1]Raw Data'!$A$3:$FB$285,132,FALSE)</f>
        <v/>
      </c>
      <c r="EP115" s="27" t="str">
        <f>VLOOKUP($A115,'[1]Raw Data'!$A$3:$FB$285,133,FALSE)</f>
        <v/>
      </c>
      <c r="EQ115" s="27" t="str">
        <f>VLOOKUP($A115,'[1]Raw Data'!$A$3:$FB$285,134,FALSE)</f>
        <v/>
      </c>
      <c r="ER115" s="27" t="str">
        <f>VLOOKUP($A115,'[1]Raw Data'!$A$3:$FB$285,135,FALSE)</f>
        <v/>
      </c>
      <c r="ES115" s="27" t="str">
        <f>VLOOKUP($A115,'[1]Raw Data'!$A$3:$FB$285,136,FALSE)</f>
        <v/>
      </c>
      <c r="ET115" s="27" t="str">
        <f>VLOOKUP($A115,'[1]Raw Data'!$A$3:$FB$285,137,FALSE)</f>
        <v/>
      </c>
      <c r="EU115" s="27" t="str">
        <f>VLOOKUP($A115,'[1]Raw Data'!$A$3:$FB$285,138,FALSE)</f>
        <v/>
      </c>
      <c r="EV115" s="27" t="str">
        <f>VLOOKUP($A115,'[1]Raw Data'!$A$3:$FB$285,139,FALSE)</f>
        <v/>
      </c>
      <c r="EW115" s="38">
        <f>VLOOKUP($A115,[1]Training!$A$2:$I$284,5,FALSE)</f>
        <v>841.30769230769226</v>
      </c>
      <c r="EX115" s="31">
        <f>VLOOKUP($A115,[1]Training!$A$2:$I$284,6,FALSE)</f>
        <v>259</v>
      </c>
      <c r="EY115" s="38">
        <f>VLOOKUP($A115,[1]Training!$A$2:$I$284,8,FALSE)</f>
        <v>772.71442701709759</v>
      </c>
      <c r="EZ115" s="31">
        <f>VLOOKUP($A115,[1]Training!$A$2:$I$284,9,FALSE)</f>
        <v>131</v>
      </c>
      <c r="FA115" s="27">
        <v>1</v>
      </c>
      <c r="FB115" s="27">
        <v>2</v>
      </c>
      <c r="FC115" s="27" t="str">
        <f>VLOOKUP($A115,'[1]Raw Data'!$A$3:$FB$285,148,FALSE)</f>
        <v>Ambika Amatya</v>
      </c>
      <c r="FD115" s="27" t="s">
        <v>1130</v>
      </c>
      <c r="FE115" s="27" t="str">
        <f>VLOOKUP($A115,'[1]Raw Data'!$A$3:$FB$285,149,FALSE)</f>
        <v>District Coordinator</v>
      </c>
      <c r="FF115" s="27" t="s">
        <v>885</v>
      </c>
      <c r="FG115" s="27">
        <f>VLOOKUP($A115,'[1]Raw Data'!$A$3:$FB$285,150,FALSE)</f>
        <v>9841356409</v>
      </c>
      <c r="FH115" s="27" t="str">
        <f>VLOOKUP($A115,'[1]Raw Data'!$A$3:$FB$285,156,FALSE)</f>
        <v/>
      </c>
      <c r="FJ115" s="27" t="str">
        <f>VLOOKUP($A115,'[1]Raw Data'!$A$3:$FB$285,157,FALSE)</f>
        <v>District Technical Officer</v>
      </c>
      <c r="FK115" s="27" t="s">
        <v>886</v>
      </c>
      <c r="FL115" s="27" t="str">
        <f>VLOOKUP($A115,'[1]Raw Data'!$A$3:$FB$285,158,FALSE)</f>
        <v/>
      </c>
      <c r="FM115" s="27" t="str">
        <f>VLOOKUP($A115,'[1]Raw Data'!$A$3:$FB$285,152,FALSE)</f>
        <v>Manisha Rai</v>
      </c>
      <c r="FN115" s="27" t="s">
        <v>1131</v>
      </c>
      <c r="FO115" s="27" t="str">
        <f>VLOOKUP($A115,'[1]Raw Data'!$A$3:$FB$285,153,FALSE)</f>
        <v>DIstrict Information Management Officer</v>
      </c>
      <c r="FP115" s="27" t="s">
        <v>887</v>
      </c>
      <c r="FQ115" s="27">
        <f>VLOOKUP($A115,'[1]Raw Data'!$A$3:$FB$285,154,FALSE)</f>
        <v>9842062006</v>
      </c>
    </row>
    <row r="116" spans="1:173" ht="24" x14ac:dyDescent="0.45">
      <c r="A116" s="27">
        <v>26003</v>
      </c>
      <c r="B116" s="36" t="str">
        <f ca="1">IFERROR(__xludf.DUMMYFUNCTION("""COMPUTED_VALUE"""),"Madhyapur Thimi Nagarpalika")</f>
        <v>Madhyapur Thimi Nagarpalika</v>
      </c>
      <c r="C116" s="37" t="str">
        <f>VLOOKUP(A116,'[1]Palika and District in Nepali '!$D$1:$F$283,3,FALSE)</f>
        <v>मध्यपुर ठीमि नगरपालिका</v>
      </c>
      <c r="D116" s="36" t="str">
        <f ca="1">IFERROR(__xludf.DUMMYFUNCTION("""COMPUTED_VALUE"""),"Bhaktapur")</f>
        <v>Bhaktapur</v>
      </c>
      <c r="E116" s="36"/>
      <c r="F116" s="27">
        <f>VLOOKUP(A116,'[1]Raw Data'!$A$3:$FB$285,4,FALSE)</f>
        <v>347</v>
      </c>
      <c r="G116" s="27">
        <f>VLOOKUP(A116,'[1]Raw Data'!$A$3:$FB$285,5,FALSE)</f>
        <v>2668</v>
      </c>
      <c r="H116" s="27">
        <f>VLOOKUP(A116,'[1]Raw Data'!$A$3:$FB$285,6,FALSE)</f>
        <v>3015</v>
      </c>
      <c r="I116" s="27">
        <f>VLOOKUP($A116,'[1]Raw Data'!$A$3:$FB$285,8,FALSE)</f>
        <v>1.03</v>
      </c>
      <c r="J116" s="27">
        <f>VLOOKUP($A116,'[1]Raw Data'!$A$3:$FB$285,9,FALSE)</f>
        <v>0.46</v>
      </c>
      <c r="K116" s="27">
        <f>VLOOKUP($A116,'[1]Raw Data'!$A$3:$FB$285,11,FALSE)</f>
        <v>2.59</v>
      </c>
      <c r="L116" s="27">
        <f>VLOOKUP($A116,'[1]Raw Data'!$A$3:$FB$285,12,FALSE)</f>
        <v>11.68</v>
      </c>
      <c r="M116" s="27">
        <f>VLOOKUP($A116,'[1]Raw Data'!$A$3:$FB$285,14,FALSE)</f>
        <v>8.74</v>
      </c>
      <c r="N116" s="27">
        <f>VLOOKUP($A116,'[1]Raw Data'!$A$3:$FB$285,15,FALSE)</f>
        <v>4.96</v>
      </c>
      <c r="O116" s="27">
        <f>VLOOKUP($A116,'[1]Raw Data'!$A$3:$FB$285,17,FALSE)</f>
        <v>37.520000000000003</v>
      </c>
      <c r="P116" s="27">
        <f>VLOOKUP($A116,'[1]Raw Data'!$A$3:$FB$285,18,FALSE)</f>
        <v>21.7</v>
      </c>
      <c r="Q116" s="27">
        <f>VLOOKUP($A116,'[1]Raw Data'!$A$3:$FB$285,20,FALSE)</f>
        <v>3.16</v>
      </c>
      <c r="R116" s="27">
        <f>VLOOKUP($A116,'[1]Raw Data'!$A$3:$FB$285,21,FALSE)</f>
        <v>2.94</v>
      </c>
      <c r="S116" s="27">
        <f>VLOOKUP($A116,'[1]Raw Data'!$A$3:$FB$285,23,FALSE)</f>
        <v>0</v>
      </c>
      <c r="T116" s="27">
        <f>VLOOKUP($A116,'[1]Raw Data'!$A$3:$FB$285,24,FALSE)</f>
        <v>0</v>
      </c>
      <c r="U116" s="27">
        <f>VLOOKUP($A116,'[1]Raw Data'!$A$3:$FB$285,26,FALSE)</f>
        <v>0</v>
      </c>
      <c r="V116" s="27">
        <f>VLOOKUP($A116,'[1]Raw Data'!$A$3:$FB$285,27,FALSE)</f>
        <v>0.01</v>
      </c>
      <c r="W116" s="27">
        <f>VLOOKUP($A116,'[1]Raw Data'!$A$3:$FB$285,29,FALSE)</f>
        <v>0</v>
      </c>
      <c r="X116" s="27">
        <f>VLOOKUP($A116,'[1]Raw Data'!$A$3:$FB$285,30,FALSE)</f>
        <v>0</v>
      </c>
      <c r="Y116" s="27">
        <f>VLOOKUP($A116,'[1]Raw Data'!$A$3:$FB$285,32,FALSE)</f>
        <v>0.03</v>
      </c>
      <c r="Z116" s="27">
        <f>VLOOKUP($A116,'[1]Raw Data'!$A$3:$FB$285,33,FALSE)</f>
        <v>0.09</v>
      </c>
      <c r="AA116" s="27">
        <f>VLOOKUP($A116,'[1]Raw Data'!$A$3:$FB$285,35,FALSE)</f>
        <v>46.93</v>
      </c>
      <c r="AB116" s="27">
        <f>VLOOKUP($A116,'[1]Raw Data'!$A$3:$FB$285,36,FALSE)</f>
        <v>58.15</v>
      </c>
      <c r="AC116" s="27">
        <f>VLOOKUP($A116,'[1]Raw Data'!$A$3:$FB$285,38,FALSE)</f>
        <v>0</v>
      </c>
      <c r="AD116" s="27">
        <f>VLOOKUP($A116,'[1]Raw Data'!$A$3:$FB$285,39,FALSE)</f>
        <v>0.02</v>
      </c>
      <c r="AE116" s="27">
        <f>VLOOKUP($A116,'[1]Raw Data'!$A$3:$FB$285,41,FALSE)</f>
        <v>0</v>
      </c>
      <c r="AF116" s="27">
        <f>VLOOKUP($A116,'[1]Raw Data'!$A$3:$FB$285,42,FALSE)</f>
        <v>0</v>
      </c>
      <c r="AG116" s="27">
        <f>VLOOKUP($A116,'[1]Raw Data'!$A$3:$FB$285,44,FALSE)</f>
        <v>0</v>
      </c>
      <c r="AH116" s="27">
        <f>VLOOKUP($A116,'[1]Raw Data'!$A$3:$FB$285,45,FALSE)</f>
        <v>0</v>
      </c>
      <c r="AI116" s="27">
        <f>VLOOKUP($A116,'[1]Raw Data'!$A$3:$FB$285,46,FALSE)</f>
        <v>2333</v>
      </c>
      <c r="AJ116" s="27">
        <f>VLOOKUP($A116,'[1]Raw Data'!$A$3:$FB$285,47,FALSE)</f>
        <v>2056</v>
      </c>
      <c r="AK116" s="27">
        <f>VLOOKUP($A116,'[1]Raw Data'!$A$3:$FB$285,48,FALSE)</f>
        <v>2056</v>
      </c>
      <c r="AL116" s="27">
        <f>VLOOKUP($A116,'[1]Raw Data'!$A$3:$FB$285,49,FALSE)</f>
        <v>621</v>
      </c>
      <c r="AM116" s="27">
        <f>VLOOKUP($A116,'[1]Raw Data'!$A$3:$FB$285,50,FALSE)</f>
        <v>585</v>
      </c>
      <c r="AN116" s="27">
        <f>VLOOKUP($A116,'[1]Raw Data'!$A$3:$FB$285,51,FALSE)</f>
        <v>0</v>
      </c>
      <c r="AO116" s="27" t="str">
        <f>VLOOKUP($A116,'[1]Raw Data'!$A$3:$FB$285,52,FALSE)</f>
        <v/>
      </c>
      <c r="AP116" s="27">
        <f>VLOOKUP($A116,'[1]Raw Data'!$A$3:$FB$285,53,FALSE)</f>
        <v>101</v>
      </c>
      <c r="AQ116" s="27">
        <f>VLOOKUP($A116,'[1]Raw Data'!$A$3:$FB$285,54,FALSE)</f>
        <v>56</v>
      </c>
      <c r="AR116" s="27">
        <f>VLOOKUP($A116,'[1]Raw Data'!$A$3:$FB$285,55,FALSE)</f>
        <v>56</v>
      </c>
      <c r="AS116" s="27">
        <f>VLOOKUP($A116,'[1]Raw Data'!$A$3:$FB$285,56,FALSE)</f>
        <v>0</v>
      </c>
      <c r="AT116" s="27">
        <f>VLOOKUP($A116,'[1]Raw Data'!$A$3:$FB$285,57,FALSE)</f>
        <v>2407</v>
      </c>
      <c r="AU116" s="27">
        <f>VLOOKUP($A116,'[1]Raw Data'!$A$3:$FB$285,58,FALSE)</f>
        <v>1431</v>
      </c>
      <c r="AV116" s="27" t="str">
        <f>VLOOKUP($A116,'[1]Raw Data'!$A$3:$FB$285,59,FALSE)</f>
        <v/>
      </c>
      <c r="AW116" s="27" t="str">
        <f>VLOOKUP($A116,'[1]Raw Data'!$A$3:$FB$285,60,FALSE)</f>
        <v/>
      </c>
      <c r="AX116" s="27" t="str">
        <f>VLOOKUP(A116,'[1]PO''s List'!A114:E396,4,FALSE)</f>
        <v/>
      </c>
      <c r="AZ116" s="27" t="str">
        <f>VLOOKUP(A116,'[1]PO''s List'!$A$3:$E$285,5,FALSE)</f>
        <v>ISAP(Shelter)</v>
      </c>
      <c r="BB116" s="27">
        <f>VLOOKUP($A116,'[1]Raw Data'!$A$3:$FB$285,63,FALSE)</f>
        <v>40774</v>
      </c>
      <c r="BC116" s="27" t="str">
        <f>VLOOKUP($A116,'[1]Raw Data'!$A$3:$FB$285,64,FALSE)</f>
        <v/>
      </c>
      <c r="BD116" s="27" t="str">
        <f t="shared" si="9"/>
        <v/>
      </c>
      <c r="BE116" s="27" t="str">
        <f>VLOOKUP($A116,'[1]Raw Data'!$A$3:$FB$285,65,FALSE)</f>
        <v/>
      </c>
      <c r="BF116" s="27">
        <f>VLOOKUP($A116,'[1]Raw Data'!$A$3:$FB$285,66,FALSE)</f>
        <v>30870</v>
      </c>
      <c r="BG116" s="27" t="str">
        <f>VLOOKUP($A116,'[1]Raw Data'!$A$3:$FB$285,67,FALSE)</f>
        <v/>
      </c>
      <c r="BH116" s="27" t="str">
        <f t="shared" si="10"/>
        <v/>
      </c>
      <c r="BI116" s="27" t="str">
        <f>VLOOKUP($A116,'[1]Raw Data'!$A$3:$FB$285,68,FALSE)</f>
        <v/>
      </c>
      <c r="BJ116" s="27">
        <f>VLOOKUP($A116,'[1]Raw Data'!$A$3:$FB$285,69,FALSE)</f>
        <v>4251</v>
      </c>
      <c r="BK116" s="27" t="str">
        <f>VLOOKUP($A116,'[1]Raw Data'!$A$3:$FB$285,70,FALSE)</f>
        <v/>
      </c>
      <c r="BL116" s="27" t="str">
        <f t="shared" si="11"/>
        <v/>
      </c>
      <c r="BM116" s="27" t="str">
        <f>VLOOKUP($A116,'[1]Raw Data'!$A$3:$FB$285,71,FALSE)</f>
        <v/>
      </c>
      <c r="BN116" s="27">
        <f>VLOOKUP($A116,'[1]Raw Data'!$A$3:$FB$285,72,FALSE)</f>
        <v>4529</v>
      </c>
      <c r="BO116" s="27" t="str">
        <f>VLOOKUP($A116,'[1]Raw Data'!$A$3:$FB$285,73,FALSE)</f>
        <v/>
      </c>
      <c r="BP116" s="27" t="str">
        <f t="shared" si="12"/>
        <v/>
      </c>
      <c r="BQ116" s="27" t="str">
        <f>VLOOKUP($A116,'[1]Raw Data'!$A$3:$FB$285,74,FALSE)</f>
        <v/>
      </c>
      <c r="BR116" s="27" t="str">
        <f>VLOOKUP($A116,'[1]Raw Data'!$A$3:$FB$285,75,FALSE)</f>
        <v/>
      </c>
      <c r="BS116" s="27" t="str">
        <f>VLOOKUP($A116,'[1]Raw Data'!$A$3:$FB$285,76,FALSE)</f>
        <v/>
      </c>
      <c r="BT116" s="27" t="str">
        <f t="shared" si="13"/>
        <v/>
      </c>
      <c r="BU116" s="27" t="str">
        <f>VLOOKUP($A116,'[1]Raw Data'!$A$3:$FB$285,77,FALSE)</f>
        <v/>
      </c>
      <c r="BV116" s="27">
        <f>VLOOKUP($A116,'[1]Raw Data'!$A$3:$FB$285,78,FALSE)</f>
        <v>103667</v>
      </c>
      <c r="BW116" s="27" t="str">
        <f>VLOOKUP($A116,'[1]Raw Data'!$A$3:$FB$285,79,FALSE)</f>
        <v/>
      </c>
      <c r="BX116" s="27" t="str">
        <f t="shared" si="14"/>
        <v/>
      </c>
      <c r="BY116" s="27" t="str">
        <f>VLOOKUP($A116,'[1]Raw Data'!$A$3:$FB$285,80,FALSE)</f>
        <v/>
      </c>
      <c r="BZ116" s="27">
        <f>VLOOKUP($A116,'[1]Raw Data'!$A$3:$FB$285,81,FALSE)</f>
        <v>457939</v>
      </c>
      <c r="CA116" s="27" t="str">
        <f>VLOOKUP($A116,'[1]Raw Data'!$A$3:$FB$285,82,FALSE)</f>
        <v/>
      </c>
      <c r="CB116" s="27" t="str">
        <f t="shared" si="15"/>
        <v/>
      </c>
      <c r="CC116" s="27" t="str">
        <f>VLOOKUP($A116,'[1]Raw Data'!$A$3:$FB$285,83,FALSE)</f>
        <v/>
      </c>
      <c r="CD116" s="27">
        <f>VLOOKUP($A116,'[1]Raw Data'!$A$3:$FB$285,84,FALSE)</f>
        <v>4218</v>
      </c>
      <c r="CE116" s="27" t="str">
        <f>VLOOKUP($A116,'[1]Raw Data'!$A$3:$FB$285,85,FALSE)</f>
        <v/>
      </c>
      <c r="CF116" s="27" t="str">
        <f t="shared" si="16"/>
        <v/>
      </c>
      <c r="CG116" s="27" t="str">
        <f>VLOOKUP($A116,'[1]Raw Data'!$A$3:$FB$285,86,FALSE)</f>
        <v/>
      </c>
      <c r="CH116" s="27">
        <f>VLOOKUP($A116,'[1]Raw Data'!$A$3:$FB$285,87,FALSE)</f>
        <v>1144788</v>
      </c>
      <c r="CI116" s="27" t="str">
        <f>VLOOKUP($A116,'[1]Raw Data'!$A$3:$FB$285,88,FALSE)</f>
        <v/>
      </c>
      <c r="CJ116" s="27" t="str">
        <f t="shared" si="17"/>
        <v/>
      </c>
      <c r="CK116" s="27" t="str">
        <f>VLOOKUP($A116,'[1]Raw Data'!$A$3:$FB$285,89,FALSE)</f>
        <v/>
      </c>
      <c r="CL116" s="27" t="str">
        <f>VLOOKUP($A116,'[1]Raw Data'!$A$3:$FB$285,91,FALSE)</f>
        <v/>
      </c>
      <c r="CM116" s="27" t="str">
        <f>VLOOKUP($A116,'[1]Raw Data'!$A$3:$FB$285,93,FALSE)</f>
        <v/>
      </c>
      <c r="CN116" s="27" t="str">
        <f>VLOOKUP($A116,'[1]Raw Data'!$A$3:$FB$285,94,FALSE)</f>
        <v/>
      </c>
      <c r="CO116" s="27" t="str">
        <f>VLOOKUP($A116,'[1]Raw Data'!$A$3:$FB$285,95,FALSE)</f>
        <v/>
      </c>
      <c r="CP116" s="27" t="str">
        <f>VLOOKUP($A116,'[1]Raw Data'!$A$3:$FB$285,96,FALSE)</f>
        <v/>
      </c>
      <c r="CQ116" s="27" t="str">
        <f>VLOOKUP($A116,'[1]Raw Data'!$A$3:$FB$285,97,FALSE)</f>
        <v/>
      </c>
      <c r="CR116" s="27" t="str">
        <f>VLOOKUP($A116,'[1]Raw Data'!$A$3:$FB$285,98,FALSE)</f>
        <v/>
      </c>
      <c r="CS116" s="27" t="str">
        <f>VLOOKUP($A116,'[1]Raw Data'!$A$3:$FB$285,99,FALSE)</f>
        <v/>
      </c>
      <c r="CT116" s="27" t="str">
        <f>VLOOKUP($A116,'[1]Raw Data'!$A$3:$FB$285,101,FALSE)</f>
        <v>Madan Sundar Shrestha</v>
      </c>
      <c r="CU116" s="27" t="s">
        <v>1161</v>
      </c>
      <c r="CV116" s="27" t="str">
        <f>VLOOKUP($A116,'[1]Raw Data'!$A$3:$FB$285,102,FALSE)</f>
        <v>Mayor</v>
      </c>
      <c r="CW116" s="27" t="s">
        <v>834</v>
      </c>
      <c r="CX116" s="27">
        <f>VLOOKUP($A116,'[1]Raw Data'!$A$3:$FB$285,103,FALSE)</f>
        <v>9851201305</v>
      </c>
      <c r="CY116" s="27" t="str">
        <f>VLOOKUP($A116,'[1]Raw Data'!$A$3:$FB$285,105,FALSE)</f>
        <v>Anjana Devi Madhikarmi</v>
      </c>
      <c r="CZ116" s="27" t="s">
        <v>1162</v>
      </c>
      <c r="DA116" s="27" t="str">
        <f>VLOOKUP($A116,'[1]Raw Data'!$A$3:$FB$285,106,FALSE)</f>
        <v>Deputy Mayor</v>
      </c>
      <c r="DB116" s="27" t="s">
        <v>888</v>
      </c>
      <c r="DC116" s="27">
        <f>VLOOKUP($A116,'[1]Raw Data'!$A$3:$FB$285,107,FALSE)</f>
        <v>9851201304</v>
      </c>
      <c r="DD116" s="27" t="str">
        <f>VLOOKUP($A116,'[1]Raw Data'!$A$3:$FB$285,109,FALSE)</f>
        <v>Kamal Gnawali</v>
      </c>
      <c r="DE116" s="27" t="s">
        <v>1163</v>
      </c>
      <c r="DF116" s="27" t="str">
        <f>VLOOKUP($A116,'[1]Raw Data'!$A$3:$FB$285,110,FALSE)</f>
        <v>Adminstration Officer</v>
      </c>
      <c r="DG116" s="27" t="s">
        <v>880</v>
      </c>
      <c r="DH116" s="27">
        <f>VLOOKUP($A116,'[1]Raw Data'!$A$3:$FB$285,111,FALSE)</f>
        <v>9851027566</v>
      </c>
      <c r="DI116" s="27" t="str">
        <f>VLOOKUP($A116,'[1]Raw Data'!$A$3:$FB$285,121,FALSE)</f>
        <v>Anugya Pant</v>
      </c>
      <c r="DJ116" s="27" t="s">
        <v>1164</v>
      </c>
      <c r="DK116" s="27" t="str">
        <f>VLOOKUP($A116,'[1]Raw Data'!$A$3:$FB$285,122,FALSE)</f>
        <v>Focal Person</v>
      </c>
      <c r="DL116" s="27" t="s">
        <v>881</v>
      </c>
      <c r="DM116" s="27">
        <f>VLOOKUP($A116,'[1]Raw Data'!$A$3:$FB$285,123,FALSE)</f>
        <v>9841342353</v>
      </c>
      <c r="DN116" s="27" t="str">
        <f>VLOOKUP($A116,'[1]Raw Data'!$A$3:$FB$285,113,FALSE)</f>
        <v>Dhruba Gaida</v>
      </c>
      <c r="DO116" s="27" t="s">
        <v>1156</v>
      </c>
      <c r="DP116" s="27" t="str">
        <f>VLOOKUP($A116,'[1]Raw Data'!$A$3:$FB$285,114,FALSE)</f>
        <v>NRA Chief-District</v>
      </c>
      <c r="DQ116" s="27" t="s">
        <v>882</v>
      </c>
      <c r="DR116" s="27">
        <f>VLOOKUP($A116,'[1]Raw Data'!$A$3:$FB$285,115,FALSE)</f>
        <v>9851221570</v>
      </c>
      <c r="DS116" s="27" t="str">
        <f>VLOOKUP($A116,'[1]Raw Data'!$A$3:$FB$285,117,FALSE)</f>
        <v>Mahalaxmi Joshi</v>
      </c>
      <c r="DT116" s="27" t="s">
        <v>1082</v>
      </c>
      <c r="DU116" s="27" t="str">
        <f>VLOOKUP($A116,'[1]Raw Data'!$A$3:$FB$285,118,FALSE)</f>
        <v>DUDBC.DLPIU Chief</v>
      </c>
      <c r="DV116" s="27" t="s">
        <v>883</v>
      </c>
      <c r="DW116" s="27">
        <f>VLOOKUP($A116,'[1]Raw Data'!$A$3:$FB$285,119,FALSE)</f>
        <v>9751090249</v>
      </c>
      <c r="DX116" s="27" t="s">
        <v>339</v>
      </c>
      <c r="DY116" s="27" t="str">
        <f>VLOOKUP($A116,'[1]Raw Data'!$A$3:$FB$285,124,FALSE)</f>
        <v/>
      </c>
      <c r="DZ116" s="27" t="s">
        <v>884</v>
      </c>
      <c r="EA116" s="27" t="str">
        <f>VLOOKUP($A116,'[1]Raw Data'!$A$3:$FB$285,125,FALSE)</f>
        <v/>
      </c>
      <c r="EB116" s="27" t="s">
        <v>341</v>
      </c>
      <c r="EC116" s="27" t="str">
        <f>VLOOKUP($A116,'[1]Raw Data'!$A$3:$FB$285,126,FALSE)</f>
        <v/>
      </c>
      <c r="ED116" t="s">
        <v>478</v>
      </c>
      <c r="EE116" s="27" t="str">
        <f>VLOOKUP($A116,'[1]Raw Data'!$A$3:$FB$285,127,FALSE)</f>
        <v/>
      </c>
      <c r="EF116" s="27" t="s">
        <v>343</v>
      </c>
      <c r="EG116" s="27" t="str">
        <f>VLOOKUP($A116,'[1]Raw Data'!$A$3:$FB$285,128,FALSE)</f>
        <v/>
      </c>
      <c r="EH116" t="s">
        <v>344</v>
      </c>
      <c r="EI116" s="27" t="str">
        <f>VLOOKUP($A116,'[1]Raw Data'!$A$3:$FB$285,129,FALSE)</f>
        <v/>
      </c>
      <c r="EM116" s="27" t="str">
        <f>VLOOKUP($A116,'[1]Raw Data'!$A$3:$FB$285,130,FALSE)</f>
        <v/>
      </c>
      <c r="EN116" s="27" t="str">
        <f>VLOOKUP($A116,'[1]Raw Data'!$A$3:$FB$285,131,FALSE)</f>
        <v/>
      </c>
      <c r="EO116" s="27" t="str">
        <f>VLOOKUP($A116,'[1]Raw Data'!$A$3:$FB$285,132,FALSE)</f>
        <v/>
      </c>
      <c r="EP116" s="27" t="str">
        <f>VLOOKUP($A116,'[1]Raw Data'!$A$3:$FB$285,133,FALSE)</f>
        <v/>
      </c>
      <c r="EQ116" s="27" t="str">
        <f>VLOOKUP($A116,'[1]Raw Data'!$A$3:$FB$285,134,FALSE)</f>
        <v/>
      </c>
      <c r="ER116" s="27" t="str">
        <f>VLOOKUP($A116,'[1]Raw Data'!$A$3:$FB$285,135,FALSE)</f>
        <v/>
      </c>
      <c r="ES116" s="27" t="str">
        <f>VLOOKUP($A116,'[1]Raw Data'!$A$3:$FB$285,136,FALSE)</f>
        <v/>
      </c>
      <c r="ET116" s="27" t="str">
        <f>VLOOKUP($A116,'[1]Raw Data'!$A$3:$FB$285,137,FALSE)</f>
        <v/>
      </c>
      <c r="EU116" s="27" t="str">
        <f>VLOOKUP($A116,'[1]Raw Data'!$A$3:$FB$285,138,FALSE)</f>
        <v/>
      </c>
      <c r="EV116" s="27" t="str">
        <f>VLOOKUP($A116,'[1]Raw Data'!$A$3:$FB$285,139,FALSE)</f>
        <v/>
      </c>
      <c r="EW116" s="38">
        <f>VLOOKUP($A116,[1]Training!$A$2:$I$284,5,FALSE)</f>
        <v>179.46153846153845</v>
      </c>
      <c r="EX116" s="31">
        <f>VLOOKUP($A116,[1]Training!$A$2:$I$284,6,FALSE)</f>
        <v>56</v>
      </c>
      <c r="EY116" s="38">
        <f>VLOOKUP($A116,[1]Training!$A$2:$I$284,8,FALSE)</f>
        <v>164.82973011162923</v>
      </c>
      <c r="EZ116" s="31">
        <f>VLOOKUP($A116,[1]Training!$A$2:$I$284,9,FALSE)</f>
        <v>38</v>
      </c>
      <c r="FA116" s="27">
        <v>1</v>
      </c>
      <c r="FB116" s="27">
        <v>2</v>
      </c>
      <c r="FC116" s="27" t="str">
        <f>VLOOKUP($A116,'[1]Raw Data'!$A$3:$FB$285,148,FALSE)</f>
        <v>Ambika Amatya</v>
      </c>
      <c r="FD116" s="27" t="s">
        <v>1130</v>
      </c>
      <c r="FE116" s="27" t="str">
        <f>VLOOKUP($A116,'[1]Raw Data'!$A$3:$FB$285,149,FALSE)</f>
        <v>District Coordinator</v>
      </c>
      <c r="FF116" s="27" t="s">
        <v>885</v>
      </c>
      <c r="FG116" s="27">
        <f>VLOOKUP($A116,'[1]Raw Data'!$A$3:$FB$285,150,FALSE)</f>
        <v>9841356409</v>
      </c>
      <c r="FH116" s="27" t="str">
        <f>VLOOKUP($A116,'[1]Raw Data'!$A$3:$FB$285,156,FALSE)</f>
        <v/>
      </c>
      <c r="FJ116" s="27" t="str">
        <f>VLOOKUP($A116,'[1]Raw Data'!$A$3:$FB$285,157,FALSE)</f>
        <v>District Technical Officer</v>
      </c>
      <c r="FK116" s="27" t="s">
        <v>886</v>
      </c>
      <c r="FL116" s="27" t="str">
        <f>VLOOKUP($A116,'[1]Raw Data'!$A$3:$FB$285,158,FALSE)</f>
        <v/>
      </c>
      <c r="FM116" s="27" t="str">
        <f>VLOOKUP($A116,'[1]Raw Data'!$A$3:$FB$285,152,FALSE)</f>
        <v>Manisha Rai</v>
      </c>
      <c r="FN116" s="27" t="s">
        <v>1131</v>
      </c>
      <c r="FO116" s="27" t="str">
        <f>VLOOKUP($A116,'[1]Raw Data'!$A$3:$FB$285,153,FALSE)</f>
        <v>DIstrict Information Management Officer</v>
      </c>
      <c r="FP116" s="27" t="s">
        <v>887</v>
      </c>
      <c r="FQ116" s="27">
        <f>VLOOKUP($A116,'[1]Raw Data'!$A$3:$FB$285,154,FALSE)</f>
        <v>9842062006</v>
      </c>
    </row>
    <row r="117" spans="1:173" ht="24" x14ac:dyDescent="0.45">
      <c r="A117" s="27">
        <v>26004</v>
      </c>
      <c r="B117" s="36" t="str">
        <f ca="1">IFERROR(__xludf.DUMMYFUNCTION("""COMPUTED_VALUE"""),"Suryabinayak Nagarpalika")</f>
        <v>Suryabinayak Nagarpalika</v>
      </c>
      <c r="C117" s="37" t="str">
        <f>VLOOKUP(A117,'[1]Palika and District in Nepali '!$D$1:$F$283,3,FALSE)</f>
        <v>सुर्यविनायक नगरपालिका</v>
      </c>
      <c r="D117" s="36" t="str">
        <f ca="1">IFERROR(__xludf.DUMMYFUNCTION("""COMPUTED_VALUE"""),"Bhaktapur")</f>
        <v>Bhaktapur</v>
      </c>
      <c r="E117" s="36"/>
      <c r="F117" s="27">
        <f>VLOOKUP(A117,'[1]Raw Data'!$A$3:$FB$285,4,FALSE)</f>
        <v>586</v>
      </c>
      <c r="G117" s="27">
        <f>VLOOKUP(A117,'[1]Raw Data'!$A$3:$FB$285,5,FALSE)</f>
        <v>7362</v>
      </c>
      <c r="H117" s="27">
        <f>VLOOKUP(A117,'[1]Raw Data'!$A$3:$FB$285,6,FALSE)</f>
        <v>7948</v>
      </c>
      <c r="I117" s="27">
        <f>VLOOKUP($A117,'[1]Raw Data'!$A$3:$FB$285,8,FALSE)</f>
        <v>0.39</v>
      </c>
      <c r="J117" s="27">
        <f>VLOOKUP($A117,'[1]Raw Data'!$A$3:$FB$285,9,FALSE)</f>
        <v>0.46</v>
      </c>
      <c r="K117" s="27">
        <f>VLOOKUP($A117,'[1]Raw Data'!$A$3:$FB$285,11,FALSE)</f>
        <v>12.24</v>
      </c>
      <c r="L117" s="27">
        <f>VLOOKUP($A117,'[1]Raw Data'!$A$3:$FB$285,12,FALSE)</f>
        <v>11.68</v>
      </c>
      <c r="M117" s="27">
        <f>VLOOKUP($A117,'[1]Raw Data'!$A$3:$FB$285,14,FALSE)</f>
        <v>5.21</v>
      </c>
      <c r="N117" s="27">
        <f>VLOOKUP($A117,'[1]Raw Data'!$A$3:$FB$285,15,FALSE)</f>
        <v>4.96</v>
      </c>
      <c r="O117" s="27">
        <f>VLOOKUP($A117,'[1]Raw Data'!$A$3:$FB$285,17,FALSE)</f>
        <v>11.17</v>
      </c>
      <c r="P117" s="27">
        <f>VLOOKUP($A117,'[1]Raw Data'!$A$3:$FB$285,18,FALSE)</f>
        <v>21.7</v>
      </c>
      <c r="Q117" s="27">
        <f>VLOOKUP($A117,'[1]Raw Data'!$A$3:$FB$285,20,FALSE)</f>
        <v>2.37</v>
      </c>
      <c r="R117" s="27">
        <f>VLOOKUP($A117,'[1]Raw Data'!$A$3:$FB$285,21,FALSE)</f>
        <v>2.94</v>
      </c>
      <c r="S117" s="27">
        <f>VLOOKUP($A117,'[1]Raw Data'!$A$3:$FB$285,23,FALSE)</f>
        <v>0</v>
      </c>
      <c r="T117" s="27">
        <f>VLOOKUP($A117,'[1]Raw Data'!$A$3:$FB$285,24,FALSE)</f>
        <v>0</v>
      </c>
      <c r="U117" s="27">
        <f>VLOOKUP($A117,'[1]Raw Data'!$A$3:$FB$285,26,FALSE)</f>
        <v>0.01</v>
      </c>
      <c r="V117" s="27">
        <f>VLOOKUP($A117,'[1]Raw Data'!$A$3:$FB$285,27,FALSE)</f>
        <v>0.01</v>
      </c>
      <c r="W117" s="27">
        <f>VLOOKUP($A117,'[1]Raw Data'!$A$3:$FB$285,29,FALSE)</f>
        <v>0</v>
      </c>
      <c r="X117" s="27">
        <f>VLOOKUP($A117,'[1]Raw Data'!$A$3:$FB$285,30,FALSE)</f>
        <v>0</v>
      </c>
      <c r="Y117" s="27">
        <f>VLOOKUP($A117,'[1]Raw Data'!$A$3:$FB$285,32,FALSE)</f>
        <v>0.04</v>
      </c>
      <c r="Z117" s="27">
        <f>VLOOKUP($A117,'[1]Raw Data'!$A$3:$FB$285,33,FALSE)</f>
        <v>0.09</v>
      </c>
      <c r="AA117" s="27">
        <f>VLOOKUP($A117,'[1]Raw Data'!$A$3:$FB$285,35,FALSE)</f>
        <v>68.540000000000006</v>
      </c>
      <c r="AB117" s="27">
        <f>VLOOKUP($A117,'[1]Raw Data'!$A$3:$FB$285,36,FALSE)</f>
        <v>58.15</v>
      </c>
      <c r="AC117" s="27">
        <f>VLOOKUP($A117,'[1]Raw Data'!$A$3:$FB$285,38,FALSE)</f>
        <v>0.03</v>
      </c>
      <c r="AD117" s="27">
        <f>VLOOKUP($A117,'[1]Raw Data'!$A$3:$FB$285,39,FALSE)</f>
        <v>0.02</v>
      </c>
      <c r="AE117" s="27">
        <f>VLOOKUP($A117,'[1]Raw Data'!$A$3:$FB$285,41,FALSE)</f>
        <v>0</v>
      </c>
      <c r="AF117" s="27">
        <f>VLOOKUP($A117,'[1]Raw Data'!$A$3:$FB$285,42,FALSE)</f>
        <v>0</v>
      </c>
      <c r="AG117" s="27">
        <f>VLOOKUP($A117,'[1]Raw Data'!$A$3:$FB$285,44,FALSE)</f>
        <v>0</v>
      </c>
      <c r="AH117" s="27">
        <f>VLOOKUP($A117,'[1]Raw Data'!$A$3:$FB$285,45,FALSE)</f>
        <v>0</v>
      </c>
      <c r="AI117" s="27">
        <f>VLOOKUP($A117,'[1]Raw Data'!$A$3:$FB$285,46,FALSE)</f>
        <v>7416</v>
      </c>
      <c r="AJ117" s="27">
        <f>VLOOKUP($A117,'[1]Raw Data'!$A$3:$FB$285,47,FALSE)</f>
        <v>6959</v>
      </c>
      <c r="AK117" s="27">
        <f>VLOOKUP($A117,'[1]Raw Data'!$A$3:$FB$285,48,FALSE)</f>
        <v>6959</v>
      </c>
      <c r="AL117" s="27">
        <f>VLOOKUP($A117,'[1]Raw Data'!$A$3:$FB$285,49,FALSE)</f>
        <v>2310</v>
      </c>
      <c r="AM117" s="27">
        <f>VLOOKUP($A117,'[1]Raw Data'!$A$3:$FB$285,50,FALSE)</f>
        <v>2182</v>
      </c>
      <c r="AN117" s="27">
        <f>VLOOKUP($A117,'[1]Raw Data'!$A$3:$FB$285,51,FALSE)</f>
        <v>0</v>
      </c>
      <c r="AO117" s="27" t="str">
        <f>VLOOKUP($A117,'[1]Raw Data'!$A$3:$FB$285,52,FALSE)</f>
        <v/>
      </c>
      <c r="AP117" s="27">
        <f>VLOOKUP($A117,'[1]Raw Data'!$A$3:$FB$285,53,FALSE)</f>
        <v>233</v>
      </c>
      <c r="AQ117" s="27">
        <f>VLOOKUP($A117,'[1]Raw Data'!$A$3:$FB$285,54,FALSE)</f>
        <v>99</v>
      </c>
      <c r="AR117" s="27">
        <f>VLOOKUP($A117,'[1]Raw Data'!$A$3:$FB$285,55,FALSE)</f>
        <v>99</v>
      </c>
      <c r="AS117" s="27">
        <f>VLOOKUP($A117,'[1]Raw Data'!$A$3:$FB$285,56,FALSE)</f>
        <v>0</v>
      </c>
      <c r="AT117" s="27">
        <f>VLOOKUP($A117,'[1]Raw Data'!$A$3:$FB$285,57,FALSE)</f>
        <v>1926</v>
      </c>
      <c r="AU117" s="27">
        <f>VLOOKUP($A117,'[1]Raw Data'!$A$3:$FB$285,58,FALSE)</f>
        <v>1661</v>
      </c>
      <c r="AV117" s="27" t="str">
        <f>VLOOKUP($A117,'[1]Raw Data'!$A$3:$FB$285,59,FALSE)</f>
        <v/>
      </c>
      <c r="AW117" s="27" t="str">
        <f>VLOOKUP($A117,'[1]Raw Data'!$A$3:$FB$285,60,FALSE)</f>
        <v/>
      </c>
      <c r="AX117" s="27" t="str">
        <f>VLOOKUP(A117,'[1]PO''s List'!A115:E397,4,FALSE)</f>
        <v>NRCS(Livelihood,Education,Employment ,Health,Shelter,Health)</v>
      </c>
      <c r="AZ117" s="27" t="str">
        <f>VLOOKUP(A117,'[1]PO''s List'!$A$3:$E$285,5,FALSE)</f>
        <v/>
      </c>
      <c r="BB117" s="27">
        <f>VLOOKUP($A117,'[1]Raw Data'!$A$3:$FB$285,63,FALSE)</f>
        <v>52442</v>
      </c>
      <c r="BC117" s="27" t="str">
        <f>VLOOKUP($A117,'[1]Raw Data'!$A$3:$FB$285,64,FALSE)</f>
        <v/>
      </c>
      <c r="BD117" s="27" t="str">
        <f t="shared" si="9"/>
        <v/>
      </c>
      <c r="BE117" s="27" t="str">
        <f>VLOOKUP($A117,'[1]Raw Data'!$A$3:$FB$285,65,FALSE)</f>
        <v/>
      </c>
      <c r="BF117" s="27">
        <f>VLOOKUP($A117,'[1]Raw Data'!$A$3:$FB$285,66,FALSE)</f>
        <v>50180</v>
      </c>
      <c r="BG117" s="27" t="str">
        <f>VLOOKUP($A117,'[1]Raw Data'!$A$3:$FB$285,67,FALSE)</f>
        <v/>
      </c>
      <c r="BH117" s="27" t="str">
        <f t="shared" si="10"/>
        <v/>
      </c>
      <c r="BI117" s="27" t="str">
        <f>VLOOKUP($A117,'[1]Raw Data'!$A$3:$FB$285,68,FALSE)</f>
        <v/>
      </c>
      <c r="BJ117" s="27">
        <f>VLOOKUP($A117,'[1]Raw Data'!$A$3:$FB$285,69,FALSE)</f>
        <v>5567</v>
      </c>
      <c r="BK117" s="27" t="str">
        <f>VLOOKUP($A117,'[1]Raw Data'!$A$3:$FB$285,70,FALSE)</f>
        <v/>
      </c>
      <c r="BL117" s="27" t="str">
        <f t="shared" si="11"/>
        <v/>
      </c>
      <c r="BM117" s="27" t="str">
        <f>VLOOKUP($A117,'[1]Raw Data'!$A$3:$FB$285,71,FALSE)</f>
        <v/>
      </c>
      <c r="BN117" s="27">
        <f>VLOOKUP($A117,'[1]Raw Data'!$A$3:$FB$285,72,FALSE)</f>
        <v>6305</v>
      </c>
      <c r="BO117" s="27" t="str">
        <f>VLOOKUP($A117,'[1]Raw Data'!$A$3:$FB$285,73,FALSE)</f>
        <v/>
      </c>
      <c r="BP117" s="27" t="str">
        <f t="shared" si="12"/>
        <v/>
      </c>
      <c r="BQ117" s="27" t="str">
        <f>VLOOKUP($A117,'[1]Raw Data'!$A$3:$FB$285,74,FALSE)</f>
        <v/>
      </c>
      <c r="BR117" s="27" t="str">
        <f>VLOOKUP($A117,'[1]Raw Data'!$A$3:$FB$285,75,FALSE)</f>
        <v/>
      </c>
      <c r="BS117" s="27" t="str">
        <f>VLOOKUP($A117,'[1]Raw Data'!$A$3:$FB$285,76,FALSE)</f>
        <v/>
      </c>
      <c r="BT117" s="27" t="str">
        <f t="shared" si="13"/>
        <v/>
      </c>
      <c r="BU117" s="27" t="str">
        <f>VLOOKUP($A117,'[1]Raw Data'!$A$3:$FB$285,77,FALSE)</f>
        <v/>
      </c>
      <c r="BV117" s="27">
        <f>VLOOKUP($A117,'[1]Raw Data'!$A$3:$FB$285,78,FALSE)</f>
        <v>167815</v>
      </c>
      <c r="BW117" s="27" t="str">
        <f>VLOOKUP($A117,'[1]Raw Data'!$A$3:$FB$285,79,FALSE)</f>
        <v/>
      </c>
      <c r="BX117" s="27" t="str">
        <f t="shared" si="14"/>
        <v/>
      </c>
      <c r="BY117" s="27" t="str">
        <f>VLOOKUP($A117,'[1]Raw Data'!$A$3:$FB$285,80,FALSE)</f>
        <v/>
      </c>
      <c r="BZ117" s="27">
        <f>VLOOKUP($A117,'[1]Raw Data'!$A$3:$FB$285,81,FALSE)</f>
        <v>575206</v>
      </c>
      <c r="CA117" s="27" t="str">
        <f>VLOOKUP($A117,'[1]Raw Data'!$A$3:$FB$285,82,FALSE)</f>
        <v/>
      </c>
      <c r="CB117" s="27" t="str">
        <f t="shared" si="15"/>
        <v/>
      </c>
      <c r="CC117" s="27" t="str">
        <f>VLOOKUP($A117,'[1]Raw Data'!$A$3:$FB$285,83,FALSE)</f>
        <v/>
      </c>
      <c r="CD117" s="27">
        <f>VLOOKUP($A117,'[1]Raw Data'!$A$3:$FB$285,84,FALSE)</f>
        <v>6859</v>
      </c>
      <c r="CE117" s="27" t="str">
        <f>VLOOKUP($A117,'[1]Raw Data'!$A$3:$FB$285,85,FALSE)</f>
        <v/>
      </c>
      <c r="CF117" s="27" t="str">
        <f t="shared" si="16"/>
        <v/>
      </c>
      <c r="CG117" s="27" t="str">
        <f>VLOOKUP($A117,'[1]Raw Data'!$A$3:$FB$285,86,FALSE)</f>
        <v/>
      </c>
      <c r="CH117" s="27">
        <f>VLOOKUP($A117,'[1]Raw Data'!$A$3:$FB$285,87,FALSE)</f>
        <v>929949</v>
      </c>
      <c r="CI117" s="27" t="str">
        <f>VLOOKUP($A117,'[1]Raw Data'!$A$3:$FB$285,88,FALSE)</f>
        <v/>
      </c>
      <c r="CJ117" s="27" t="str">
        <f t="shared" si="17"/>
        <v/>
      </c>
      <c r="CK117" s="27" t="str">
        <f>VLOOKUP($A117,'[1]Raw Data'!$A$3:$FB$285,89,FALSE)</f>
        <v/>
      </c>
      <c r="CL117" s="27" t="str">
        <f>VLOOKUP($A117,'[1]Raw Data'!$A$3:$FB$285,91,FALSE)</f>
        <v/>
      </c>
      <c r="CM117" s="27" t="str">
        <f>VLOOKUP($A117,'[1]Raw Data'!$A$3:$FB$285,93,FALSE)</f>
        <v/>
      </c>
      <c r="CN117" s="27" t="str">
        <f>VLOOKUP($A117,'[1]Raw Data'!$A$3:$FB$285,94,FALSE)</f>
        <v/>
      </c>
      <c r="CO117" s="27" t="str">
        <f>VLOOKUP($A117,'[1]Raw Data'!$A$3:$FB$285,95,FALSE)</f>
        <v/>
      </c>
      <c r="CP117" s="27" t="str">
        <f>VLOOKUP($A117,'[1]Raw Data'!$A$3:$FB$285,96,FALSE)</f>
        <v/>
      </c>
      <c r="CQ117" s="27" t="str">
        <f>VLOOKUP($A117,'[1]Raw Data'!$A$3:$FB$285,97,FALSE)</f>
        <v/>
      </c>
      <c r="CR117" s="27" t="str">
        <f>VLOOKUP($A117,'[1]Raw Data'!$A$3:$FB$285,98,FALSE)</f>
        <v/>
      </c>
      <c r="CS117" s="27" t="str">
        <f>VLOOKUP($A117,'[1]Raw Data'!$A$3:$FB$285,99,FALSE)</f>
        <v/>
      </c>
      <c r="CT117" s="27" t="str">
        <f>VLOOKUP($A117,'[1]Raw Data'!$A$3:$FB$285,101,FALSE)</f>
        <v>Basudev Thapa</v>
      </c>
      <c r="CU117" s="27" t="s">
        <v>1165</v>
      </c>
      <c r="CV117" s="27" t="str">
        <f>VLOOKUP($A117,'[1]Raw Data'!$A$3:$FB$285,102,FALSE)</f>
        <v>Mayor</v>
      </c>
      <c r="CW117" s="27" t="s">
        <v>834</v>
      </c>
      <c r="CX117" s="27">
        <f>VLOOKUP($A117,'[1]Raw Data'!$A$3:$FB$285,103,FALSE)</f>
        <v>9851095646</v>
      </c>
      <c r="CY117" s="27" t="str">
        <f>VLOOKUP($A117,'[1]Raw Data'!$A$3:$FB$285,105,FALSE)</f>
        <v>Juna Basnet</v>
      </c>
      <c r="CZ117" s="27" t="s">
        <v>1166</v>
      </c>
      <c r="DA117" s="27" t="str">
        <f>VLOOKUP($A117,'[1]Raw Data'!$A$3:$FB$285,106,FALSE)</f>
        <v>Deputy Mayor</v>
      </c>
      <c r="DB117" s="27" t="s">
        <v>888</v>
      </c>
      <c r="DC117" s="27">
        <f>VLOOKUP($A117,'[1]Raw Data'!$A$3:$FB$285,107,FALSE)</f>
        <v>9841553979</v>
      </c>
      <c r="DD117" s="27" t="str">
        <f>VLOOKUP($A117,'[1]Raw Data'!$A$3:$FB$285,109,FALSE)</f>
        <v>Chiranjivi Timisina</v>
      </c>
      <c r="DE117" s="27" t="s">
        <v>1167</v>
      </c>
      <c r="DF117" s="27" t="str">
        <f>VLOOKUP($A117,'[1]Raw Data'!$A$3:$FB$285,110,FALSE)</f>
        <v>Adminstration Officer</v>
      </c>
      <c r="DG117" s="27" t="s">
        <v>880</v>
      </c>
      <c r="DH117" s="27">
        <f>VLOOKUP($A117,'[1]Raw Data'!$A$3:$FB$285,111,FALSE)</f>
        <v>9851277111</v>
      </c>
      <c r="DI117" s="27" t="str">
        <f>VLOOKUP($A117,'[1]Raw Data'!$A$3:$FB$285,121,FALSE)</f>
        <v/>
      </c>
      <c r="DK117" s="27" t="str">
        <f>VLOOKUP($A117,'[1]Raw Data'!$A$3:$FB$285,122,FALSE)</f>
        <v>Focal Person</v>
      </c>
      <c r="DL117" s="27" t="s">
        <v>881</v>
      </c>
      <c r="DM117" s="27" t="str">
        <f>VLOOKUP($A117,'[1]Raw Data'!$A$3:$FB$285,123,FALSE)</f>
        <v/>
      </c>
      <c r="DN117" s="27" t="str">
        <f>VLOOKUP($A117,'[1]Raw Data'!$A$3:$FB$285,113,FALSE)</f>
        <v>Dhruba Gaida</v>
      </c>
      <c r="DO117" s="27" t="s">
        <v>1156</v>
      </c>
      <c r="DP117" s="27" t="str">
        <f>VLOOKUP($A117,'[1]Raw Data'!$A$3:$FB$285,114,FALSE)</f>
        <v>NRA Chief-District</v>
      </c>
      <c r="DQ117" s="27" t="s">
        <v>882</v>
      </c>
      <c r="DR117" s="27">
        <f>VLOOKUP($A117,'[1]Raw Data'!$A$3:$FB$285,115,FALSE)</f>
        <v>9851221570</v>
      </c>
      <c r="DS117" s="27" t="str">
        <f>VLOOKUP($A117,'[1]Raw Data'!$A$3:$FB$285,117,FALSE)</f>
        <v>Mahalaxmi Joshi</v>
      </c>
      <c r="DT117" s="27" t="s">
        <v>1082</v>
      </c>
      <c r="DU117" s="27" t="str">
        <f>VLOOKUP($A117,'[1]Raw Data'!$A$3:$FB$285,118,FALSE)</f>
        <v>DUDBC.DLPIU Chief</v>
      </c>
      <c r="DV117" s="27" t="s">
        <v>883</v>
      </c>
      <c r="DW117" s="27">
        <f>VLOOKUP($A117,'[1]Raw Data'!$A$3:$FB$285,119,FALSE)</f>
        <v>9751090249</v>
      </c>
      <c r="DX117" s="27" t="s">
        <v>339</v>
      </c>
      <c r="DY117" s="27" t="str">
        <f>VLOOKUP($A117,'[1]Raw Data'!$A$3:$FB$285,124,FALSE)</f>
        <v/>
      </c>
      <c r="DZ117" s="27" t="s">
        <v>884</v>
      </c>
      <c r="EA117" s="27" t="str">
        <f>VLOOKUP($A117,'[1]Raw Data'!$A$3:$FB$285,125,FALSE)</f>
        <v/>
      </c>
      <c r="EB117" s="27" t="s">
        <v>341</v>
      </c>
      <c r="EC117" s="27" t="str">
        <f>VLOOKUP($A117,'[1]Raw Data'!$A$3:$FB$285,126,FALSE)</f>
        <v/>
      </c>
      <c r="ED117" t="s">
        <v>478</v>
      </c>
      <c r="EE117" s="27" t="str">
        <f>VLOOKUP($A117,'[1]Raw Data'!$A$3:$FB$285,127,FALSE)</f>
        <v/>
      </c>
      <c r="EF117" s="27" t="s">
        <v>343</v>
      </c>
      <c r="EG117" s="27" t="str">
        <f>VLOOKUP($A117,'[1]Raw Data'!$A$3:$FB$285,128,FALSE)</f>
        <v/>
      </c>
      <c r="EH117" t="s">
        <v>344</v>
      </c>
      <c r="EI117" s="27" t="str">
        <f>VLOOKUP($A117,'[1]Raw Data'!$A$3:$FB$285,129,FALSE)</f>
        <v/>
      </c>
      <c r="EM117" s="27" t="str">
        <f>VLOOKUP($A117,'[1]Raw Data'!$A$3:$FB$285,130,FALSE)</f>
        <v/>
      </c>
      <c r="EN117" s="27" t="str">
        <f>VLOOKUP($A117,'[1]Raw Data'!$A$3:$FB$285,131,FALSE)</f>
        <v/>
      </c>
      <c r="EO117" s="27" t="str">
        <f>VLOOKUP($A117,'[1]Raw Data'!$A$3:$FB$285,132,FALSE)</f>
        <v/>
      </c>
      <c r="EP117" s="27" t="str">
        <f>VLOOKUP($A117,'[1]Raw Data'!$A$3:$FB$285,133,FALSE)</f>
        <v/>
      </c>
      <c r="EQ117" s="27" t="str">
        <f>VLOOKUP($A117,'[1]Raw Data'!$A$3:$FB$285,134,FALSE)</f>
        <v/>
      </c>
      <c r="ER117" s="27" t="str">
        <f>VLOOKUP($A117,'[1]Raw Data'!$A$3:$FB$285,135,FALSE)</f>
        <v/>
      </c>
      <c r="ES117" s="27" t="str">
        <f>VLOOKUP($A117,'[1]Raw Data'!$A$3:$FB$285,136,FALSE)</f>
        <v/>
      </c>
      <c r="ET117" s="27" t="str">
        <f>VLOOKUP($A117,'[1]Raw Data'!$A$3:$FB$285,137,FALSE)</f>
        <v/>
      </c>
      <c r="EU117" s="27" t="str">
        <f>VLOOKUP($A117,'[1]Raw Data'!$A$3:$FB$285,138,FALSE)</f>
        <v/>
      </c>
      <c r="EV117" s="27" t="str">
        <f>VLOOKUP($A117,'[1]Raw Data'!$A$3:$FB$285,139,FALSE)</f>
        <v/>
      </c>
      <c r="EW117" s="38">
        <f>VLOOKUP($A117,[1]Training!$A$2:$I$284,5,FALSE)</f>
        <v>570.46153846153845</v>
      </c>
      <c r="EX117" s="31">
        <f>VLOOKUP($A117,[1]Training!$A$2:$I$284,6,FALSE)</f>
        <v>0</v>
      </c>
      <c r="EY117" s="38">
        <f>VLOOKUP($A117,[1]Training!$A$2:$I$284,8,FALSE)</f>
        <v>523.95082662144978</v>
      </c>
      <c r="EZ117" s="31">
        <f>VLOOKUP($A117,[1]Training!$A$2:$I$284,9,FALSE)</f>
        <v>0</v>
      </c>
      <c r="FA117" s="27">
        <v>1</v>
      </c>
      <c r="FB117" s="27">
        <v>2</v>
      </c>
      <c r="FC117" s="27" t="str">
        <f>VLOOKUP($A117,'[1]Raw Data'!$A$3:$FB$285,148,FALSE)</f>
        <v>Ambika Amatya</v>
      </c>
      <c r="FD117" s="27" t="s">
        <v>1130</v>
      </c>
      <c r="FE117" s="27" t="str">
        <f>VLOOKUP($A117,'[1]Raw Data'!$A$3:$FB$285,149,FALSE)</f>
        <v>District Coordinator</v>
      </c>
      <c r="FF117" s="27" t="s">
        <v>885</v>
      </c>
      <c r="FG117" s="27">
        <f>VLOOKUP($A117,'[1]Raw Data'!$A$3:$FB$285,150,FALSE)</f>
        <v>9841356409</v>
      </c>
      <c r="FH117" s="27" t="str">
        <f>VLOOKUP($A117,'[1]Raw Data'!$A$3:$FB$285,156,FALSE)</f>
        <v/>
      </c>
      <c r="FJ117" s="27" t="str">
        <f>VLOOKUP($A117,'[1]Raw Data'!$A$3:$FB$285,157,FALSE)</f>
        <v>District Technical Officer</v>
      </c>
      <c r="FK117" s="27" t="s">
        <v>886</v>
      </c>
      <c r="FL117" s="27" t="str">
        <f>VLOOKUP($A117,'[1]Raw Data'!$A$3:$FB$285,158,FALSE)</f>
        <v/>
      </c>
      <c r="FM117" s="27" t="str">
        <f>VLOOKUP($A117,'[1]Raw Data'!$A$3:$FB$285,152,FALSE)</f>
        <v>Manisha Rai</v>
      </c>
      <c r="FN117" s="27" t="s">
        <v>1131</v>
      </c>
      <c r="FO117" s="27" t="str">
        <f>VLOOKUP($A117,'[1]Raw Data'!$A$3:$FB$285,153,FALSE)</f>
        <v>DIstrict Information Management Officer</v>
      </c>
      <c r="FP117" s="27" t="s">
        <v>887</v>
      </c>
      <c r="FQ117" s="27">
        <f>VLOOKUP($A117,'[1]Raw Data'!$A$3:$FB$285,154,FALSE)</f>
        <v>9842062006</v>
      </c>
    </row>
    <row r="118" spans="1:173" ht="24" x14ac:dyDescent="0.45">
      <c r="A118" s="27">
        <v>27001</v>
      </c>
      <c r="B118" s="36" t="str">
        <f ca="1">IFERROR(__xludf.DUMMYFUNCTION("""COMPUTED_VALUE"""),"Budhanilakantha Nagarpalika")</f>
        <v>Budhanilakantha Nagarpalika</v>
      </c>
      <c r="C118" s="37" t="str">
        <f>VLOOKUP(A118,'[1]Palika and District in Nepali '!$D$1:$F$283,3,FALSE)</f>
        <v>बुढानीलकण्ढ नगरपलिका</v>
      </c>
      <c r="D118" s="36" t="str">
        <f ca="1">IFERROR(__xludf.DUMMYFUNCTION("""COMPUTED_VALUE"""),"Kathmandu")</f>
        <v>Kathmandu</v>
      </c>
      <c r="E118" s="36"/>
      <c r="F118" s="27">
        <f>VLOOKUP(A118,'[1]Raw Data'!$A$3:$FB$285,4,FALSE)</f>
        <v>98</v>
      </c>
      <c r="G118" s="27">
        <f>VLOOKUP(A118,'[1]Raw Data'!$A$3:$FB$285,5,FALSE)</f>
        <v>2642</v>
      </c>
      <c r="H118" s="27">
        <f>VLOOKUP(A118,'[1]Raw Data'!$A$3:$FB$285,6,FALSE)</f>
        <v>2740</v>
      </c>
      <c r="I118" s="27">
        <f>VLOOKUP($A118,'[1]Raw Data'!$A$3:$FB$285,8,FALSE)</f>
        <v>0.37</v>
      </c>
      <c r="J118" s="27">
        <f>VLOOKUP($A118,'[1]Raw Data'!$A$3:$FB$285,9,FALSE)</f>
        <v>0.96</v>
      </c>
      <c r="K118" s="27">
        <f>VLOOKUP($A118,'[1]Raw Data'!$A$3:$FB$285,11,FALSE)</f>
        <v>4.5599999999999996</v>
      </c>
      <c r="L118" s="27">
        <f>VLOOKUP($A118,'[1]Raw Data'!$A$3:$FB$285,12,FALSE)</f>
        <v>26.47</v>
      </c>
      <c r="M118" s="27">
        <f>VLOOKUP($A118,'[1]Raw Data'!$A$3:$FB$285,14,FALSE)</f>
        <v>12.86</v>
      </c>
      <c r="N118" s="27">
        <f>VLOOKUP($A118,'[1]Raw Data'!$A$3:$FB$285,15,FALSE)</f>
        <v>7.99</v>
      </c>
      <c r="O118" s="27">
        <f>VLOOKUP($A118,'[1]Raw Data'!$A$3:$FB$285,17,FALSE)</f>
        <v>27.74</v>
      </c>
      <c r="P118" s="27">
        <f>VLOOKUP($A118,'[1]Raw Data'!$A$3:$FB$285,18,FALSE)</f>
        <v>15.92</v>
      </c>
      <c r="Q118" s="27">
        <f>VLOOKUP($A118,'[1]Raw Data'!$A$3:$FB$285,20,FALSE)</f>
        <v>1.25</v>
      </c>
      <c r="R118" s="27">
        <f>VLOOKUP($A118,'[1]Raw Data'!$A$3:$FB$285,21,FALSE)</f>
        <v>3.8</v>
      </c>
      <c r="S118" s="27">
        <f>VLOOKUP($A118,'[1]Raw Data'!$A$3:$FB$285,23,FALSE)</f>
        <v>0</v>
      </c>
      <c r="T118" s="27">
        <f>VLOOKUP($A118,'[1]Raw Data'!$A$3:$FB$285,24,FALSE)</f>
        <v>0</v>
      </c>
      <c r="U118" s="27">
        <f>VLOOKUP($A118,'[1]Raw Data'!$A$3:$FB$285,26,FALSE)</f>
        <v>0.15</v>
      </c>
      <c r="V118" s="27">
        <f>VLOOKUP($A118,'[1]Raw Data'!$A$3:$FB$285,27,FALSE)</f>
        <v>0.03</v>
      </c>
      <c r="W118" s="27">
        <f>VLOOKUP($A118,'[1]Raw Data'!$A$3:$FB$285,29,FALSE)</f>
        <v>0</v>
      </c>
      <c r="X118" s="27">
        <f>VLOOKUP($A118,'[1]Raw Data'!$A$3:$FB$285,30,FALSE)</f>
        <v>0</v>
      </c>
      <c r="Y118" s="27">
        <f>VLOOKUP($A118,'[1]Raw Data'!$A$3:$FB$285,32,FALSE)</f>
        <v>0</v>
      </c>
      <c r="Z118" s="27">
        <f>VLOOKUP($A118,'[1]Raw Data'!$A$3:$FB$285,33,FALSE)</f>
        <v>0.36</v>
      </c>
      <c r="AA118" s="27">
        <f>VLOOKUP($A118,'[1]Raw Data'!$A$3:$FB$285,35,FALSE)</f>
        <v>52.98</v>
      </c>
      <c r="AB118" s="27">
        <f>VLOOKUP($A118,'[1]Raw Data'!$A$3:$FB$285,36,FALSE)</f>
        <v>44.43</v>
      </c>
      <c r="AC118" s="27">
        <f>VLOOKUP($A118,'[1]Raw Data'!$A$3:$FB$285,38,FALSE)</f>
        <v>0.11</v>
      </c>
      <c r="AD118" s="27">
        <f>VLOOKUP($A118,'[1]Raw Data'!$A$3:$FB$285,39,FALSE)</f>
        <v>0.05</v>
      </c>
      <c r="AE118" s="27">
        <f>VLOOKUP($A118,'[1]Raw Data'!$A$3:$FB$285,41,FALSE)</f>
        <v>0</v>
      </c>
      <c r="AF118" s="27">
        <f>VLOOKUP($A118,'[1]Raw Data'!$A$3:$FB$285,42,FALSE)</f>
        <v>0</v>
      </c>
      <c r="AG118" s="27">
        <f>VLOOKUP($A118,'[1]Raw Data'!$A$3:$FB$285,44,FALSE)</f>
        <v>0</v>
      </c>
      <c r="AH118" s="27">
        <f>VLOOKUP($A118,'[1]Raw Data'!$A$3:$FB$285,45,FALSE)</f>
        <v>0</v>
      </c>
      <c r="AI118" s="27">
        <f>VLOOKUP($A118,'[1]Raw Data'!$A$3:$FB$285,46,FALSE)</f>
        <v>2693</v>
      </c>
      <c r="AJ118" s="27">
        <f>VLOOKUP($A118,'[1]Raw Data'!$A$3:$FB$285,47,FALSE)</f>
        <v>2060</v>
      </c>
      <c r="AK118" s="27">
        <f>VLOOKUP($A118,'[1]Raw Data'!$A$3:$FB$285,48,FALSE)</f>
        <v>2060</v>
      </c>
      <c r="AL118" s="27">
        <f>VLOOKUP($A118,'[1]Raw Data'!$A$3:$FB$285,49,FALSE)</f>
        <v>986</v>
      </c>
      <c r="AM118" s="27">
        <f>VLOOKUP($A118,'[1]Raw Data'!$A$3:$FB$285,50,FALSE)</f>
        <v>726</v>
      </c>
      <c r="AN118" s="27" t="str">
        <f>VLOOKUP($A118,'[1]Raw Data'!$A$3:$FB$285,51,FALSE)</f>
        <v/>
      </c>
      <c r="AO118" s="27" t="str">
        <f>VLOOKUP($A118,'[1]Raw Data'!$A$3:$FB$285,52,FALSE)</f>
        <v/>
      </c>
      <c r="AP118" s="27">
        <f>VLOOKUP($A118,'[1]Raw Data'!$A$3:$FB$285,53,FALSE)</f>
        <v>11</v>
      </c>
      <c r="AQ118" s="27">
        <f>VLOOKUP($A118,'[1]Raw Data'!$A$3:$FB$285,54,FALSE)</f>
        <v>2</v>
      </c>
      <c r="AR118" s="27">
        <f>VLOOKUP($A118,'[1]Raw Data'!$A$3:$FB$285,55,FALSE)</f>
        <v>0</v>
      </c>
      <c r="AS118" s="27">
        <f>VLOOKUP($A118,'[1]Raw Data'!$A$3:$FB$285,56,FALSE)</f>
        <v>0</v>
      </c>
      <c r="AT118" s="27">
        <f>VLOOKUP($A118,'[1]Raw Data'!$A$3:$FB$285,57,FALSE)</f>
        <v>553</v>
      </c>
      <c r="AU118" s="27">
        <f>VLOOKUP($A118,'[1]Raw Data'!$A$3:$FB$285,58,FALSE)</f>
        <v>546</v>
      </c>
      <c r="AV118" s="27" t="str">
        <f>VLOOKUP($A118,'[1]Raw Data'!$A$3:$FB$285,59,FALSE)</f>
        <v/>
      </c>
      <c r="AW118" s="27" t="str">
        <f>VLOOKUP($A118,'[1]Raw Data'!$A$3:$FB$285,60,FALSE)</f>
        <v/>
      </c>
      <c r="AX118" s="27" t="str">
        <f>VLOOKUP(A118,'[1]PO''s List'!A116:E398,4,FALSE)</f>
        <v/>
      </c>
      <c r="AZ118" s="27" t="str">
        <f>VLOOKUP(A118,'[1]PO''s List'!$A$3:$E$285,5,FALSE)</f>
        <v/>
      </c>
      <c r="BB118" s="27">
        <f>VLOOKUP($A118,'[1]Raw Data'!$A$3:$FB$285,63,FALSE)</f>
        <v>23438</v>
      </c>
      <c r="BC118" s="27" t="str">
        <f>VLOOKUP($A118,'[1]Raw Data'!$A$3:$FB$285,64,FALSE)</f>
        <v/>
      </c>
      <c r="BD118" s="27" t="str">
        <f t="shared" si="9"/>
        <v/>
      </c>
      <c r="BE118" s="27" t="str">
        <f>VLOOKUP($A118,'[1]Raw Data'!$A$3:$FB$285,65,FALSE)</f>
        <v/>
      </c>
      <c r="BF118" s="27">
        <f>VLOOKUP($A118,'[1]Raw Data'!$A$3:$FB$285,66,FALSE)</f>
        <v>18866</v>
      </c>
      <c r="BG118" s="27" t="str">
        <f>VLOOKUP($A118,'[1]Raw Data'!$A$3:$FB$285,67,FALSE)</f>
        <v/>
      </c>
      <c r="BH118" s="27" t="str">
        <f t="shared" si="10"/>
        <v/>
      </c>
      <c r="BI118" s="27" t="str">
        <f>VLOOKUP($A118,'[1]Raw Data'!$A$3:$FB$285,68,FALSE)</f>
        <v/>
      </c>
      <c r="BJ118" s="27">
        <f>VLOOKUP($A118,'[1]Raw Data'!$A$3:$FB$285,69,FALSE)</f>
        <v>2457</v>
      </c>
      <c r="BK118" s="27" t="str">
        <f>VLOOKUP($A118,'[1]Raw Data'!$A$3:$FB$285,70,FALSE)</f>
        <v/>
      </c>
      <c r="BL118" s="27" t="str">
        <f t="shared" si="11"/>
        <v/>
      </c>
      <c r="BM118" s="27" t="str">
        <f>VLOOKUP($A118,'[1]Raw Data'!$A$3:$FB$285,71,FALSE)</f>
        <v/>
      </c>
      <c r="BN118" s="27">
        <f>VLOOKUP($A118,'[1]Raw Data'!$A$3:$FB$285,72,FALSE)</f>
        <v>2669</v>
      </c>
      <c r="BO118" s="27" t="str">
        <f>VLOOKUP($A118,'[1]Raw Data'!$A$3:$FB$285,73,FALSE)</f>
        <v/>
      </c>
      <c r="BP118" s="27" t="str">
        <f t="shared" si="12"/>
        <v/>
      </c>
      <c r="BQ118" s="27" t="str">
        <f>VLOOKUP($A118,'[1]Raw Data'!$A$3:$FB$285,74,FALSE)</f>
        <v/>
      </c>
      <c r="BR118" s="27" t="str">
        <f>VLOOKUP($A118,'[1]Raw Data'!$A$3:$FB$285,75,FALSE)</f>
        <v/>
      </c>
      <c r="BS118" s="27" t="str">
        <f>VLOOKUP($A118,'[1]Raw Data'!$A$3:$FB$285,76,FALSE)</f>
        <v/>
      </c>
      <c r="BT118" s="27" t="str">
        <f t="shared" si="13"/>
        <v/>
      </c>
      <c r="BU118" s="27" t="str">
        <f>VLOOKUP($A118,'[1]Raw Data'!$A$3:$FB$285,77,FALSE)</f>
        <v/>
      </c>
      <c r="BV118" s="27">
        <f>VLOOKUP($A118,'[1]Raw Data'!$A$3:$FB$285,78,FALSE)</f>
        <v>65447</v>
      </c>
      <c r="BW118" s="27" t="str">
        <f>VLOOKUP($A118,'[1]Raw Data'!$A$3:$FB$285,79,FALSE)</f>
        <v/>
      </c>
      <c r="BX118" s="27" t="str">
        <f t="shared" si="14"/>
        <v/>
      </c>
      <c r="BY118" s="27" t="str">
        <f>VLOOKUP($A118,'[1]Raw Data'!$A$3:$FB$285,80,FALSE)</f>
        <v/>
      </c>
      <c r="BZ118" s="27">
        <f>VLOOKUP($A118,'[1]Raw Data'!$A$3:$FB$285,81,FALSE)</f>
        <v>264659</v>
      </c>
      <c r="CA118" s="27" t="str">
        <f>VLOOKUP($A118,'[1]Raw Data'!$A$3:$FB$285,82,FALSE)</f>
        <v/>
      </c>
      <c r="CB118" s="27" t="str">
        <f t="shared" si="15"/>
        <v/>
      </c>
      <c r="CC118" s="27" t="str">
        <f>VLOOKUP($A118,'[1]Raw Data'!$A$3:$FB$285,83,FALSE)</f>
        <v/>
      </c>
      <c r="CD118" s="27">
        <f>VLOOKUP($A118,'[1]Raw Data'!$A$3:$FB$285,84,FALSE)</f>
        <v>2679</v>
      </c>
      <c r="CE118" s="27" t="str">
        <f>VLOOKUP($A118,'[1]Raw Data'!$A$3:$FB$285,85,FALSE)</f>
        <v/>
      </c>
      <c r="CF118" s="27" t="str">
        <f t="shared" si="16"/>
        <v/>
      </c>
      <c r="CG118" s="27" t="str">
        <f>VLOOKUP($A118,'[1]Raw Data'!$A$3:$FB$285,86,FALSE)</f>
        <v/>
      </c>
      <c r="CH118" s="27">
        <f>VLOOKUP($A118,'[1]Raw Data'!$A$3:$FB$285,87,FALSE)</f>
        <v>931466</v>
      </c>
      <c r="CI118" s="27" t="str">
        <f>VLOOKUP($A118,'[1]Raw Data'!$A$3:$FB$285,88,FALSE)</f>
        <v/>
      </c>
      <c r="CJ118" s="27" t="str">
        <f t="shared" si="17"/>
        <v/>
      </c>
      <c r="CK118" s="27" t="str">
        <f>VLOOKUP($A118,'[1]Raw Data'!$A$3:$FB$285,89,FALSE)</f>
        <v/>
      </c>
      <c r="CL118" s="27" t="str">
        <f>VLOOKUP($A118,'[1]Raw Data'!$A$3:$FB$285,91,FALSE)</f>
        <v/>
      </c>
      <c r="CM118" s="27" t="str">
        <f>VLOOKUP($A118,'[1]Raw Data'!$A$3:$FB$285,93,FALSE)</f>
        <v/>
      </c>
      <c r="CN118" s="27" t="str">
        <f>VLOOKUP($A118,'[1]Raw Data'!$A$3:$FB$285,94,FALSE)</f>
        <v/>
      </c>
      <c r="CO118" s="27" t="str">
        <f>VLOOKUP($A118,'[1]Raw Data'!$A$3:$FB$285,95,FALSE)</f>
        <v/>
      </c>
      <c r="CP118" s="27" t="str">
        <f>VLOOKUP($A118,'[1]Raw Data'!$A$3:$FB$285,96,FALSE)</f>
        <v/>
      </c>
      <c r="CQ118" s="27" t="str">
        <f>VLOOKUP($A118,'[1]Raw Data'!$A$3:$FB$285,97,FALSE)</f>
        <v/>
      </c>
      <c r="CR118" s="27" t="str">
        <f>VLOOKUP($A118,'[1]Raw Data'!$A$3:$FB$285,98,FALSE)</f>
        <v/>
      </c>
      <c r="CS118" s="27" t="str">
        <f>VLOOKUP($A118,'[1]Raw Data'!$A$3:$FB$285,99,FALSE)</f>
        <v/>
      </c>
      <c r="CT118" s="27" t="str">
        <f>VLOOKUP($A118,'[1]Raw Data'!$A$3:$FB$285,101,FALSE)</f>
        <v>Uddhav Prasad Kharel</v>
      </c>
      <c r="CU118" s="27" t="s">
        <v>1168</v>
      </c>
      <c r="CV118" s="27" t="str">
        <f>VLOOKUP($A118,'[1]Raw Data'!$A$3:$FB$285,102,FALSE)</f>
        <v>Mayor</v>
      </c>
      <c r="CW118" s="27" t="s">
        <v>834</v>
      </c>
      <c r="CX118" s="27">
        <f>VLOOKUP($A118,'[1]Raw Data'!$A$3:$FB$285,103,FALSE)</f>
        <v>9851269111</v>
      </c>
      <c r="CY118" s="27" t="str">
        <f>VLOOKUP($A118,'[1]Raw Data'!$A$3:$FB$285,105,FALSE)</f>
        <v>Rama Devi Rai</v>
      </c>
      <c r="CZ118" s="27" t="s">
        <v>1169</v>
      </c>
      <c r="DA118" s="27" t="str">
        <f>VLOOKUP($A118,'[1]Raw Data'!$A$3:$FB$285,106,FALSE)</f>
        <v>Deputy Mayor</v>
      </c>
      <c r="DB118" s="27" t="s">
        <v>888</v>
      </c>
      <c r="DC118" s="27">
        <f>VLOOKUP($A118,'[1]Raw Data'!$A$3:$FB$285,107,FALSE)</f>
        <v>9841355402</v>
      </c>
      <c r="DD118" s="27" t="str">
        <f>VLOOKUP($A118,'[1]Raw Data'!$A$3:$FB$285,109,FALSE)</f>
        <v>Pradip Poudel</v>
      </c>
      <c r="DE118" s="27" t="s">
        <v>1170</v>
      </c>
      <c r="DF118" s="27" t="str">
        <f>VLOOKUP($A118,'[1]Raw Data'!$A$3:$FB$285,110,FALSE)</f>
        <v>Adminstration Officer</v>
      </c>
      <c r="DG118" s="27" t="s">
        <v>880</v>
      </c>
      <c r="DH118" s="27" t="str">
        <f>VLOOKUP($A118,'[1]Raw Data'!$A$3:$FB$285,111,FALSE)</f>
        <v/>
      </c>
      <c r="DI118" s="27" t="str">
        <f>VLOOKUP($A118,'[1]Raw Data'!$A$3:$FB$285,121,FALSE)</f>
        <v>Khagendra Shrestha</v>
      </c>
      <c r="DJ118" s="27" t="s">
        <v>1171</v>
      </c>
      <c r="DK118" s="27" t="str">
        <f>VLOOKUP($A118,'[1]Raw Data'!$A$3:$FB$285,122,FALSE)</f>
        <v>Focal Person</v>
      </c>
      <c r="DL118" s="27" t="s">
        <v>881</v>
      </c>
      <c r="DM118" s="27">
        <f>VLOOKUP($A118,'[1]Raw Data'!$A$3:$FB$285,123,FALSE)</f>
        <v>9841921866</v>
      </c>
      <c r="DN118" s="27" t="str">
        <f>VLOOKUP($A118,'[1]Raw Data'!$A$3:$FB$285,113,FALSE)</f>
        <v>Samar Bahadur Khanal</v>
      </c>
      <c r="DO118" s="27" t="s">
        <v>1172</v>
      </c>
      <c r="DP118" s="27" t="str">
        <f>VLOOKUP($A118,'[1]Raw Data'!$A$3:$FB$285,114,FALSE)</f>
        <v>NRA Chief-District</v>
      </c>
      <c r="DQ118" s="27" t="s">
        <v>882</v>
      </c>
      <c r="DR118" s="27">
        <f>VLOOKUP($A118,'[1]Raw Data'!$A$3:$FB$285,115,FALSE)</f>
        <v>9851209362</v>
      </c>
      <c r="DS118" s="27" t="str">
        <f>VLOOKUP($A118,'[1]Raw Data'!$A$3:$FB$285,117,FALSE)</f>
        <v>Chandra Kaji Gurung</v>
      </c>
      <c r="DT118" s="27" t="s">
        <v>1129</v>
      </c>
      <c r="DU118" s="27" t="str">
        <f>VLOOKUP($A118,'[1]Raw Data'!$A$3:$FB$285,118,FALSE)</f>
        <v>DUDBC.DLPIU Chief</v>
      </c>
      <c r="DV118" s="27" t="s">
        <v>883</v>
      </c>
      <c r="DW118" s="27">
        <f>VLOOKUP($A118,'[1]Raw Data'!$A$3:$FB$285,119,FALSE)</f>
        <v>9841576783</v>
      </c>
      <c r="DX118" s="27" t="s">
        <v>339</v>
      </c>
      <c r="DY118" s="27" t="str">
        <f>VLOOKUP($A118,'[1]Raw Data'!$A$3:$FB$285,124,FALSE)</f>
        <v/>
      </c>
      <c r="DZ118" s="27" t="s">
        <v>884</v>
      </c>
      <c r="EA118" s="27" t="str">
        <f>VLOOKUP($A118,'[1]Raw Data'!$A$3:$FB$285,125,FALSE)</f>
        <v/>
      </c>
      <c r="EB118" s="27" t="s">
        <v>341</v>
      </c>
      <c r="EC118" s="27" t="str">
        <f>VLOOKUP($A118,'[1]Raw Data'!$A$3:$FB$285,126,FALSE)</f>
        <v/>
      </c>
      <c r="ED118" t="s">
        <v>478</v>
      </c>
      <c r="EE118" s="27" t="str">
        <f>VLOOKUP($A118,'[1]Raw Data'!$A$3:$FB$285,127,FALSE)</f>
        <v/>
      </c>
      <c r="EF118" s="27" t="s">
        <v>343</v>
      </c>
      <c r="EG118" s="27" t="str">
        <f>VLOOKUP($A118,'[1]Raw Data'!$A$3:$FB$285,128,FALSE)</f>
        <v/>
      </c>
      <c r="EH118" t="s">
        <v>344</v>
      </c>
      <c r="EI118" s="27" t="str">
        <f>VLOOKUP($A118,'[1]Raw Data'!$A$3:$FB$285,129,FALSE)</f>
        <v/>
      </c>
      <c r="EM118" s="27" t="str">
        <f>VLOOKUP($A118,'[1]Raw Data'!$A$3:$FB$285,130,FALSE)</f>
        <v/>
      </c>
      <c r="EN118" s="27" t="str">
        <f>VLOOKUP($A118,'[1]Raw Data'!$A$3:$FB$285,131,FALSE)</f>
        <v/>
      </c>
      <c r="EO118" s="27" t="str">
        <f>VLOOKUP($A118,'[1]Raw Data'!$A$3:$FB$285,132,FALSE)</f>
        <v/>
      </c>
      <c r="EP118" s="27" t="str">
        <f>VLOOKUP($A118,'[1]Raw Data'!$A$3:$FB$285,133,FALSE)</f>
        <v/>
      </c>
      <c r="EQ118" s="27" t="str">
        <f>VLOOKUP($A118,'[1]Raw Data'!$A$3:$FB$285,134,FALSE)</f>
        <v/>
      </c>
      <c r="ER118" s="27" t="str">
        <f>VLOOKUP($A118,'[1]Raw Data'!$A$3:$FB$285,135,FALSE)</f>
        <v/>
      </c>
      <c r="ES118" s="27" t="str">
        <f>VLOOKUP($A118,'[1]Raw Data'!$A$3:$FB$285,136,FALSE)</f>
        <v/>
      </c>
      <c r="ET118" s="27" t="str">
        <f>VLOOKUP($A118,'[1]Raw Data'!$A$3:$FB$285,137,FALSE)</f>
        <v/>
      </c>
      <c r="EU118" s="27" t="str">
        <f>VLOOKUP($A118,'[1]Raw Data'!$A$3:$FB$285,138,FALSE)</f>
        <v/>
      </c>
      <c r="EV118" s="27" t="str">
        <f>VLOOKUP($A118,'[1]Raw Data'!$A$3:$FB$285,139,FALSE)</f>
        <v/>
      </c>
      <c r="EW118" s="38">
        <f>VLOOKUP($A118,[1]Training!$A$2:$I$284,5,FALSE)</f>
        <v>207.15384615384616</v>
      </c>
      <c r="EX118" s="31">
        <f>VLOOKUP($A118,[1]Training!$A$2:$I$284,6,FALSE)</f>
        <v>26</v>
      </c>
      <c r="EY118" s="38">
        <f>VLOOKUP($A118,[1]Training!$A$2:$I$284,8,FALSE)</f>
        <v>112.6801815937572</v>
      </c>
      <c r="EZ118" s="31">
        <f>VLOOKUP($A118,[1]Training!$A$2:$I$284,9,FALSE)</f>
        <v>60</v>
      </c>
      <c r="FA118" s="27">
        <v>1</v>
      </c>
      <c r="FB118" s="27">
        <v>2</v>
      </c>
      <c r="FC118" s="27" t="str">
        <f>VLOOKUP($A118,'[1]Raw Data'!$A$3:$FB$285,148,FALSE)</f>
        <v>Ambika Amatya</v>
      </c>
      <c r="FD118" s="27" t="s">
        <v>1130</v>
      </c>
      <c r="FE118" s="27" t="str">
        <f>VLOOKUP($A118,'[1]Raw Data'!$A$3:$FB$285,149,FALSE)</f>
        <v>District Coordinator</v>
      </c>
      <c r="FF118" s="27" t="s">
        <v>885</v>
      </c>
      <c r="FG118" s="27">
        <f>VLOOKUP($A118,'[1]Raw Data'!$A$3:$FB$285,150,FALSE)</f>
        <v>9841356409</v>
      </c>
      <c r="FH118" s="27" t="str">
        <f>VLOOKUP($A118,'[1]Raw Data'!$A$3:$FB$285,156,FALSE)</f>
        <v/>
      </c>
      <c r="FJ118" s="27" t="str">
        <f>VLOOKUP($A118,'[1]Raw Data'!$A$3:$FB$285,157,FALSE)</f>
        <v>District Technical Officer</v>
      </c>
      <c r="FK118" s="27" t="s">
        <v>886</v>
      </c>
      <c r="FL118" s="27" t="str">
        <f>VLOOKUP($A118,'[1]Raw Data'!$A$3:$FB$285,158,FALSE)</f>
        <v/>
      </c>
      <c r="FM118" s="27" t="str">
        <f>VLOOKUP($A118,'[1]Raw Data'!$A$3:$FB$285,152,FALSE)</f>
        <v>Manisha Rai</v>
      </c>
      <c r="FN118" s="27" t="s">
        <v>1131</v>
      </c>
      <c r="FO118" s="27" t="str">
        <f>VLOOKUP($A118,'[1]Raw Data'!$A$3:$FB$285,153,FALSE)</f>
        <v>DIstrict Information Management Officer</v>
      </c>
      <c r="FP118" s="27" t="s">
        <v>887</v>
      </c>
      <c r="FQ118" s="27">
        <f>VLOOKUP($A118,'[1]Raw Data'!$A$3:$FB$285,154,FALSE)</f>
        <v>9842062006</v>
      </c>
    </row>
    <row r="119" spans="1:173" ht="24" x14ac:dyDescent="0.45">
      <c r="A119" s="27">
        <v>27002</v>
      </c>
      <c r="B119" s="36" t="str">
        <f ca="1">IFERROR(__xludf.DUMMYFUNCTION("""COMPUTED_VALUE"""),"Chandragiri Nagarpalika")</f>
        <v>Chandragiri Nagarpalika</v>
      </c>
      <c r="C119" s="37" t="str">
        <f>VLOOKUP(A119,'[1]Palika and District in Nepali '!$D$1:$F$283,3,FALSE)</f>
        <v>चन्द्रगीरी नगरपालिका</v>
      </c>
      <c r="D119" s="36" t="str">
        <f ca="1">IFERROR(__xludf.DUMMYFUNCTION("""COMPUTED_VALUE"""),"Kathmandu")</f>
        <v>Kathmandu</v>
      </c>
      <c r="E119" s="36"/>
      <c r="F119" s="27">
        <f>VLOOKUP(A119,'[1]Raw Data'!$A$3:$FB$285,4,FALSE)</f>
        <v>720</v>
      </c>
      <c r="G119" s="27">
        <f>VLOOKUP(A119,'[1]Raw Data'!$A$3:$FB$285,5,FALSE)</f>
        <v>5694</v>
      </c>
      <c r="H119" s="27">
        <f>VLOOKUP(A119,'[1]Raw Data'!$A$3:$FB$285,6,FALSE)</f>
        <v>6414</v>
      </c>
      <c r="I119" s="27">
        <f>VLOOKUP($A119,'[1]Raw Data'!$A$3:$FB$285,8,FALSE)</f>
        <v>1.9</v>
      </c>
      <c r="J119" s="27">
        <f>VLOOKUP($A119,'[1]Raw Data'!$A$3:$FB$285,9,FALSE)</f>
        <v>0.96</v>
      </c>
      <c r="K119" s="27">
        <f>VLOOKUP($A119,'[1]Raw Data'!$A$3:$FB$285,11,FALSE)</f>
        <v>39.659999999999997</v>
      </c>
      <c r="L119" s="27">
        <f>VLOOKUP($A119,'[1]Raw Data'!$A$3:$FB$285,12,FALSE)</f>
        <v>26.47</v>
      </c>
      <c r="M119" s="27">
        <f>VLOOKUP($A119,'[1]Raw Data'!$A$3:$FB$285,14,FALSE)</f>
        <v>6.8</v>
      </c>
      <c r="N119" s="27">
        <f>VLOOKUP($A119,'[1]Raw Data'!$A$3:$FB$285,15,FALSE)</f>
        <v>7.99</v>
      </c>
      <c r="O119" s="27">
        <f>VLOOKUP($A119,'[1]Raw Data'!$A$3:$FB$285,17,FALSE)</f>
        <v>16.59</v>
      </c>
      <c r="P119" s="27">
        <f>VLOOKUP($A119,'[1]Raw Data'!$A$3:$FB$285,18,FALSE)</f>
        <v>15.92</v>
      </c>
      <c r="Q119" s="27">
        <f>VLOOKUP($A119,'[1]Raw Data'!$A$3:$FB$285,20,FALSE)</f>
        <v>4.7699999999999996</v>
      </c>
      <c r="R119" s="27">
        <f>VLOOKUP($A119,'[1]Raw Data'!$A$3:$FB$285,21,FALSE)</f>
        <v>3.8</v>
      </c>
      <c r="S119" s="27">
        <f>VLOOKUP($A119,'[1]Raw Data'!$A$3:$FB$285,23,FALSE)</f>
        <v>0</v>
      </c>
      <c r="T119" s="27">
        <f>VLOOKUP($A119,'[1]Raw Data'!$A$3:$FB$285,24,FALSE)</f>
        <v>0</v>
      </c>
      <c r="U119" s="27">
        <f>VLOOKUP($A119,'[1]Raw Data'!$A$3:$FB$285,26,FALSE)</f>
        <v>0</v>
      </c>
      <c r="V119" s="27">
        <f>VLOOKUP($A119,'[1]Raw Data'!$A$3:$FB$285,27,FALSE)</f>
        <v>0.03</v>
      </c>
      <c r="W119" s="27">
        <f>VLOOKUP($A119,'[1]Raw Data'!$A$3:$FB$285,29,FALSE)</f>
        <v>0</v>
      </c>
      <c r="X119" s="27">
        <f>VLOOKUP($A119,'[1]Raw Data'!$A$3:$FB$285,30,FALSE)</f>
        <v>0</v>
      </c>
      <c r="Y119" s="27">
        <f>VLOOKUP($A119,'[1]Raw Data'!$A$3:$FB$285,32,FALSE)</f>
        <v>0.11</v>
      </c>
      <c r="Z119" s="27">
        <f>VLOOKUP($A119,'[1]Raw Data'!$A$3:$FB$285,33,FALSE)</f>
        <v>0.36</v>
      </c>
      <c r="AA119" s="27">
        <f>VLOOKUP($A119,'[1]Raw Data'!$A$3:$FB$285,35,FALSE)</f>
        <v>30.14</v>
      </c>
      <c r="AB119" s="27">
        <f>VLOOKUP($A119,'[1]Raw Data'!$A$3:$FB$285,36,FALSE)</f>
        <v>44.43</v>
      </c>
      <c r="AC119" s="27">
        <f>VLOOKUP($A119,'[1]Raw Data'!$A$3:$FB$285,38,FALSE)</f>
        <v>0.03</v>
      </c>
      <c r="AD119" s="27">
        <f>VLOOKUP($A119,'[1]Raw Data'!$A$3:$FB$285,39,FALSE)</f>
        <v>0.05</v>
      </c>
      <c r="AE119" s="27">
        <f>VLOOKUP($A119,'[1]Raw Data'!$A$3:$FB$285,41,FALSE)</f>
        <v>0</v>
      </c>
      <c r="AF119" s="27">
        <f>VLOOKUP($A119,'[1]Raw Data'!$A$3:$FB$285,42,FALSE)</f>
        <v>0</v>
      </c>
      <c r="AG119" s="27">
        <f>VLOOKUP($A119,'[1]Raw Data'!$A$3:$FB$285,44,FALSE)</f>
        <v>0</v>
      </c>
      <c r="AH119" s="27">
        <f>VLOOKUP($A119,'[1]Raw Data'!$A$3:$FB$285,45,FALSE)</f>
        <v>0</v>
      </c>
      <c r="AI119" s="27">
        <f>VLOOKUP($A119,'[1]Raw Data'!$A$3:$FB$285,46,FALSE)</f>
        <v>5695</v>
      </c>
      <c r="AJ119" s="27">
        <f>VLOOKUP($A119,'[1]Raw Data'!$A$3:$FB$285,47,FALSE)</f>
        <v>4739</v>
      </c>
      <c r="AK119" s="27">
        <f>VLOOKUP($A119,'[1]Raw Data'!$A$3:$FB$285,48,FALSE)</f>
        <v>5007</v>
      </c>
      <c r="AL119" s="27">
        <f>VLOOKUP($A119,'[1]Raw Data'!$A$3:$FB$285,49,FALSE)</f>
        <v>1434</v>
      </c>
      <c r="AM119" s="27">
        <f>VLOOKUP($A119,'[1]Raw Data'!$A$3:$FB$285,50,FALSE)</f>
        <v>1042</v>
      </c>
      <c r="AN119" s="27" t="str">
        <f>VLOOKUP($A119,'[1]Raw Data'!$A$3:$FB$285,51,FALSE)</f>
        <v/>
      </c>
      <c r="AO119" s="27" t="str">
        <f>VLOOKUP($A119,'[1]Raw Data'!$A$3:$FB$285,52,FALSE)</f>
        <v/>
      </c>
      <c r="AP119" s="27">
        <f>VLOOKUP($A119,'[1]Raw Data'!$A$3:$FB$285,53,FALSE)</f>
        <v>128</v>
      </c>
      <c r="AQ119" s="27">
        <f>VLOOKUP($A119,'[1]Raw Data'!$A$3:$FB$285,54,FALSE)</f>
        <v>46</v>
      </c>
      <c r="AR119" s="27">
        <f>VLOOKUP($A119,'[1]Raw Data'!$A$3:$FB$285,55,FALSE)</f>
        <v>46</v>
      </c>
      <c r="AS119" s="27">
        <f>VLOOKUP($A119,'[1]Raw Data'!$A$3:$FB$285,56,FALSE)</f>
        <v>0</v>
      </c>
      <c r="AT119" s="27">
        <f>VLOOKUP($A119,'[1]Raw Data'!$A$3:$FB$285,57,FALSE)</f>
        <v>1291</v>
      </c>
      <c r="AU119" s="27">
        <f>VLOOKUP($A119,'[1]Raw Data'!$A$3:$FB$285,58,FALSE)</f>
        <v>695</v>
      </c>
      <c r="AV119" s="27" t="str">
        <f>VLOOKUP($A119,'[1]Raw Data'!$A$3:$FB$285,59,FALSE)</f>
        <v/>
      </c>
      <c r="AW119" s="27" t="str">
        <f>VLOOKUP($A119,'[1]Raw Data'!$A$3:$FB$285,60,FALSE)</f>
        <v/>
      </c>
      <c r="AX119" s="27" t="str">
        <f>VLOOKUP(A119,'[1]PO''s List'!A117:E399,4,FALSE)</f>
        <v/>
      </c>
      <c r="AZ119" s="27" t="str">
        <f>VLOOKUP(A119,'[1]PO''s List'!$A$3:$E$285,5,FALSE)</f>
        <v>LUMANTI(Shelter,Shelter,Health),OXFAM-GB(Shelter)</v>
      </c>
      <c r="BB119" s="27">
        <f>VLOOKUP($A119,'[1]Raw Data'!$A$3:$FB$285,63,FALSE)</f>
        <v>36579</v>
      </c>
      <c r="BC119" s="27" t="str">
        <f>VLOOKUP($A119,'[1]Raw Data'!$A$3:$FB$285,64,FALSE)</f>
        <v/>
      </c>
      <c r="BD119" s="27" t="str">
        <f t="shared" si="9"/>
        <v/>
      </c>
      <c r="BE119" s="27" t="str">
        <f>VLOOKUP($A119,'[1]Raw Data'!$A$3:$FB$285,65,FALSE)</f>
        <v/>
      </c>
      <c r="BF119" s="27">
        <f>VLOOKUP($A119,'[1]Raw Data'!$A$3:$FB$285,66,FALSE)</f>
        <v>33500</v>
      </c>
      <c r="BG119" s="27" t="str">
        <f>VLOOKUP($A119,'[1]Raw Data'!$A$3:$FB$285,67,FALSE)</f>
        <v/>
      </c>
      <c r="BH119" s="27" t="str">
        <f t="shared" si="10"/>
        <v/>
      </c>
      <c r="BI119" s="27" t="str">
        <f>VLOOKUP($A119,'[1]Raw Data'!$A$3:$FB$285,68,FALSE)</f>
        <v/>
      </c>
      <c r="BJ119" s="27">
        <f>VLOOKUP($A119,'[1]Raw Data'!$A$3:$FB$285,69,FALSE)</f>
        <v>3871</v>
      </c>
      <c r="BK119" s="27" t="str">
        <f>VLOOKUP($A119,'[1]Raw Data'!$A$3:$FB$285,70,FALSE)</f>
        <v/>
      </c>
      <c r="BL119" s="27" t="str">
        <f t="shared" si="11"/>
        <v/>
      </c>
      <c r="BM119" s="27" t="str">
        <f>VLOOKUP($A119,'[1]Raw Data'!$A$3:$FB$285,71,FALSE)</f>
        <v/>
      </c>
      <c r="BN119" s="27">
        <f>VLOOKUP($A119,'[1]Raw Data'!$A$3:$FB$285,72,FALSE)</f>
        <v>4339</v>
      </c>
      <c r="BO119" s="27" t="str">
        <f>VLOOKUP($A119,'[1]Raw Data'!$A$3:$FB$285,73,FALSE)</f>
        <v/>
      </c>
      <c r="BP119" s="27" t="str">
        <f t="shared" si="12"/>
        <v/>
      </c>
      <c r="BQ119" s="27" t="str">
        <f>VLOOKUP($A119,'[1]Raw Data'!$A$3:$FB$285,74,FALSE)</f>
        <v/>
      </c>
      <c r="BR119" s="27" t="str">
        <f>VLOOKUP($A119,'[1]Raw Data'!$A$3:$FB$285,75,FALSE)</f>
        <v/>
      </c>
      <c r="BS119" s="27" t="str">
        <f>VLOOKUP($A119,'[1]Raw Data'!$A$3:$FB$285,76,FALSE)</f>
        <v/>
      </c>
      <c r="BT119" s="27" t="str">
        <f t="shared" si="13"/>
        <v/>
      </c>
      <c r="BU119" s="27" t="str">
        <f>VLOOKUP($A119,'[1]Raw Data'!$A$3:$FB$285,77,FALSE)</f>
        <v/>
      </c>
      <c r="BV119" s="27">
        <f>VLOOKUP($A119,'[1]Raw Data'!$A$3:$FB$285,78,FALSE)</f>
        <v>113566</v>
      </c>
      <c r="BW119" s="27" t="str">
        <f>VLOOKUP($A119,'[1]Raw Data'!$A$3:$FB$285,79,FALSE)</f>
        <v/>
      </c>
      <c r="BX119" s="27" t="str">
        <f t="shared" si="14"/>
        <v/>
      </c>
      <c r="BY119" s="27" t="str">
        <f>VLOOKUP($A119,'[1]Raw Data'!$A$3:$FB$285,80,FALSE)</f>
        <v/>
      </c>
      <c r="BZ119" s="27">
        <f>VLOOKUP($A119,'[1]Raw Data'!$A$3:$FB$285,81,FALSE)</f>
        <v>405142</v>
      </c>
      <c r="CA119" s="27" t="str">
        <f>VLOOKUP($A119,'[1]Raw Data'!$A$3:$FB$285,82,FALSE)</f>
        <v/>
      </c>
      <c r="CB119" s="27" t="str">
        <f t="shared" si="15"/>
        <v/>
      </c>
      <c r="CC119" s="27" t="str">
        <f>VLOOKUP($A119,'[1]Raw Data'!$A$3:$FB$285,83,FALSE)</f>
        <v/>
      </c>
      <c r="CD119" s="27">
        <f>VLOOKUP($A119,'[1]Raw Data'!$A$3:$FB$285,84,FALSE)</f>
        <v>4647</v>
      </c>
      <c r="CE119" s="27" t="str">
        <f>VLOOKUP($A119,'[1]Raw Data'!$A$3:$FB$285,85,FALSE)</f>
        <v/>
      </c>
      <c r="CF119" s="27" t="str">
        <f t="shared" si="16"/>
        <v/>
      </c>
      <c r="CG119" s="27" t="str">
        <f>VLOOKUP($A119,'[1]Raw Data'!$A$3:$FB$285,86,FALSE)</f>
        <v/>
      </c>
      <c r="CH119" s="27">
        <f>VLOOKUP($A119,'[1]Raw Data'!$A$3:$FB$285,87,FALSE)</f>
        <v>949332</v>
      </c>
      <c r="CI119" s="27" t="str">
        <f>VLOOKUP($A119,'[1]Raw Data'!$A$3:$FB$285,88,FALSE)</f>
        <v/>
      </c>
      <c r="CJ119" s="27" t="str">
        <f t="shared" si="17"/>
        <v/>
      </c>
      <c r="CK119" s="27" t="str">
        <f>VLOOKUP($A119,'[1]Raw Data'!$A$3:$FB$285,89,FALSE)</f>
        <v/>
      </c>
      <c r="CL119" s="27" t="str">
        <f>VLOOKUP($A119,'[1]Raw Data'!$A$3:$FB$285,91,FALSE)</f>
        <v/>
      </c>
      <c r="CM119" s="27" t="str">
        <f>VLOOKUP($A119,'[1]Raw Data'!$A$3:$FB$285,93,FALSE)</f>
        <v/>
      </c>
      <c r="CN119" s="27" t="str">
        <f>VLOOKUP($A119,'[1]Raw Data'!$A$3:$FB$285,94,FALSE)</f>
        <v/>
      </c>
      <c r="CO119" s="27" t="str">
        <f>VLOOKUP($A119,'[1]Raw Data'!$A$3:$FB$285,95,FALSE)</f>
        <v/>
      </c>
      <c r="CP119" s="27" t="str">
        <f>VLOOKUP($A119,'[1]Raw Data'!$A$3:$FB$285,96,FALSE)</f>
        <v/>
      </c>
      <c r="CQ119" s="27" t="str">
        <f>VLOOKUP($A119,'[1]Raw Data'!$A$3:$FB$285,97,FALSE)</f>
        <v/>
      </c>
      <c r="CR119" s="27" t="str">
        <f>VLOOKUP($A119,'[1]Raw Data'!$A$3:$FB$285,98,FALSE)</f>
        <v/>
      </c>
      <c r="CS119" s="27" t="str">
        <f>VLOOKUP($A119,'[1]Raw Data'!$A$3:$FB$285,99,FALSE)</f>
        <v/>
      </c>
      <c r="CT119" s="27" t="str">
        <f>VLOOKUP($A119,'[1]Raw Data'!$A$3:$FB$285,101,FALSE)</f>
        <v>Ghanshyam Giri</v>
      </c>
      <c r="CU119" s="27" t="s">
        <v>1173</v>
      </c>
      <c r="CV119" s="27" t="str">
        <f>VLOOKUP($A119,'[1]Raw Data'!$A$3:$FB$285,102,FALSE)</f>
        <v>Mayor</v>
      </c>
      <c r="CW119" s="27" t="s">
        <v>834</v>
      </c>
      <c r="CX119" s="27">
        <f>VLOOKUP($A119,'[1]Raw Data'!$A$3:$FB$285,103,FALSE)</f>
        <v>9851254006</v>
      </c>
      <c r="CY119" s="27" t="str">
        <f>VLOOKUP($A119,'[1]Raw Data'!$A$3:$FB$285,105,FALSE)</f>
        <v>Lisa Nakarmi</v>
      </c>
      <c r="CZ119" s="27" t="s">
        <v>1174</v>
      </c>
      <c r="DA119" s="27" t="str">
        <f>VLOOKUP($A119,'[1]Raw Data'!$A$3:$FB$285,106,FALSE)</f>
        <v>Deputy Mayor</v>
      </c>
      <c r="DB119" s="27" t="s">
        <v>888</v>
      </c>
      <c r="DC119" s="27">
        <f>VLOOKUP($A119,'[1]Raw Data'!$A$3:$FB$285,107,FALSE)</f>
        <v>9851254005</v>
      </c>
      <c r="DD119" s="27" t="str">
        <f>VLOOKUP($A119,'[1]Raw Data'!$A$3:$FB$285,109,FALSE)</f>
        <v>Yubraj Poudel</v>
      </c>
      <c r="DE119" s="27" t="s">
        <v>1175</v>
      </c>
      <c r="DF119" s="27" t="str">
        <f>VLOOKUP($A119,'[1]Raw Data'!$A$3:$FB$285,110,FALSE)</f>
        <v>Adminstration Officer</v>
      </c>
      <c r="DG119" s="27" t="s">
        <v>880</v>
      </c>
      <c r="DH119" s="27">
        <f>VLOOKUP($A119,'[1]Raw Data'!$A$3:$FB$285,111,FALSE)</f>
        <v>9851265111</v>
      </c>
      <c r="DI119" s="27" t="str">
        <f>VLOOKUP($A119,'[1]Raw Data'!$A$3:$FB$285,121,FALSE)</f>
        <v>Pramila Gelal</v>
      </c>
      <c r="DJ119" s="27" t="s">
        <v>1176</v>
      </c>
      <c r="DK119" s="27" t="str">
        <f>VLOOKUP($A119,'[1]Raw Data'!$A$3:$FB$285,122,FALSE)</f>
        <v>Focal Person</v>
      </c>
      <c r="DL119" s="27" t="s">
        <v>881</v>
      </c>
      <c r="DM119" s="27">
        <f>VLOOKUP($A119,'[1]Raw Data'!$A$3:$FB$285,123,FALSE)</f>
        <v>9841637311</v>
      </c>
      <c r="DN119" s="27" t="str">
        <f>VLOOKUP($A119,'[1]Raw Data'!$A$3:$FB$285,113,FALSE)</f>
        <v>Samar Bahadur Khanal</v>
      </c>
      <c r="DO119" s="27" t="s">
        <v>1172</v>
      </c>
      <c r="DP119" s="27" t="str">
        <f>VLOOKUP($A119,'[1]Raw Data'!$A$3:$FB$285,114,FALSE)</f>
        <v>NRA Chief-District</v>
      </c>
      <c r="DQ119" s="27" t="s">
        <v>882</v>
      </c>
      <c r="DR119" s="27">
        <f>VLOOKUP($A119,'[1]Raw Data'!$A$3:$FB$285,115,FALSE)</f>
        <v>9851209362</v>
      </c>
      <c r="DS119" s="27" t="str">
        <f>VLOOKUP($A119,'[1]Raw Data'!$A$3:$FB$285,117,FALSE)</f>
        <v>Chandra Kaji Gurung</v>
      </c>
      <c r="DT119" s="27" t="s">
        <v>1129</v>
      </c>
      <c r="DU119" s="27" t="str">
        <f>VLOOKUP($A119,'[1]Raw Data'!$A$3:$FB$285,118,FALSE)</f>
        <v>DUDBC.DLPIU Chief</v>
      </c>
      <c r="DV119" s="27" t="s">
        <v>883</v>
      </c>
      <c r="DW119" s="27">
        <f>VLOOKUP($A119,'[1]Raw Data'!$A$3:$FB$285,119,FALSE)</f>
        <v>9841576783</v>
      </c>
      <c r="DX119" s="27" t="s">
        <v>339</v>
      </c>
      <c r="DY119" s="27" t="str">
        <f>VLOOKUP($A119,'[1]Raw Data'!$A$3:$FB$285,124,FALSE)</f>
        <v/>
      </c>
      <c r="DZ119" s="27" t="s">
        <v>884</v>
      </c>
      <c r="EA119" s="27" t="str">
        <f>VLOOKUP($A119,'[1]Raw Data'!$A$3:$FB$285,125,FALSE)</f>
        <v/>
      </c>
      <c r="EB119" s="27" t="s">
        <v>341</v>
      </c>
      <c r="EC119" s="27" t="str">
        <f>VLOOKUP($A119,'[1]Raw Data'!$A$3:$FB$285,126,FALSE)</f>
        <v/>
      </c>
      <c r="ED119" t="s">
        <v>478</v>
      </c>
      <c r="EE119" s="27" t="str">
        <f>VLOOKUP($A119,'[1]Raw Data'!$A$3:$FB$285,127,FALSE)</f>
        <v/>
      </c>
      <c r="EF119" s="27" t="s">
        <v>343</v>
      </c>
      <c r="EG119" s="27" t="str">
        <f>VLOOKUP($A119,'[1]Raw Data'!$A$3:$FB$285,128,FALSE)</f>
        <v/>
      </c>
      <c r="EH119" t="s">
        <v>344</v>
      </c>
      <c r="EI119" s="27" t="str">
        <f>VLOOKUP($A119,'[1]Raw Data'!$A$3:$FB$285,129,FALSE)</f>
        <v/>
      </c>
      <c r="EM119" s="27" t="str">
        <f>VLOOKUP($A119,'[1]Raw Data'!$A$3:$FB$285,130,FALSE)</f>
        <v/>
      </c>
      <c r="EN119" s="27" t="str">
        <f>VLOOKUP($A119,'[1]Raw Data'!$A$3:$FB$285,131,FALSE)</f>
        <v/>
      </c>
      <c r="EO119" s="27" t="str">
        <f>VLOOKUP($A119,'[1]Raw Data'!$A$3:$FB$285,132,FALSE)</f>
        <v/>
      </c>
      <c r="EP119" s="27" t="str">
        <f>VLOOKUP($A119,'[1]Raw Data'!$A$3:$FB$285,133,FALSE)</f>
        <v/>
      </c>
      <c r="EQ119" s="27" t="str">
        <f>VLOOKUP($A119,'[1]Raw Data'!$A$3:$FB$285,134,FALSE)</f>
        <v/>
      </c>
      <c r="ER119" s="27" t="str">
        <f>VLOOKUP($A119,'[1]Raw Data'!$A$3:$FB$285,135,FALSE)</f>
        <v/>
      </c>
      <c r="ES119" s="27" t="str">
        <f>VLOOKUP($A119,'[1]Raw Data'!$A$3:$FB$285,136,FALSE)</f>
        <v/>
      </c>
      <c r="ET119" s="27" t="str">
        <f>VLOOKUP($A119,'[1]Raw Data'!$A$3:$FB$285,137,FALSE)</f>
        <v/>
      </c>
      <c r="EU119" s="27" t="str">
        <f>VLOOKUP($A119,'[1]Raw Data'!$A$3:$FB$285,138,FALSE)</f>
        <v/>
      </c>
      <c r="EV119" s="27" t="str">
        <f>VLOOKUP($A119,'[1]Raw Data'!$A$3:$FB$285,139,FALSE)</f>
        <v/>
      </c>
      <c r="EW119" s="38">
        <f>VLOOKUP($A119,[1]Training!$A$2:$I$284,5,FALSE)</f>
        <v>438.07692307692309</v>
      </c>
      <c r="EX119" s="31">
        <f>VLOOKUP($A119,[1]Training!$A$2:$I$284,6,FALSE)</f>
        <v>61</v>
      </c>
      <c r="EY119" s="38">
        <f>VLOOKUP($A119,[1]Training!$A$2:$I$284,8,FALSE)</f>
        <v>238.28950396451808</v>
      </c>
      <c r="EZ119" s="31">
        <f>VLOOKUP($A119,[1]Training!$A$2:$I$284,9,FALSE)</f>
        <v>300</v>
      </c>
      <c r="FA119" s="27">
        <v>1</v>
      </c>
      <c r="FB119" s="27">
        <v>2</v>
      </c>
      <c r="FC119" s="27" t="str">
        <f>VLOOKUP($A119,'[1]Raw Data'!$A$3:$FB$285,148,FALSE)</f>
        <v>Ambika Amatya</v>
      </c>
      <c r="FD119" s="27" t="s">
        <v>1130</v>
      </c>
      <c r="FE119" s="27" t="str">
        <f>VLOOKUP($A119,'[1]Raw Data'!$A$3:$FB$285,149,FALSE)</f>
        <v>District Coordinator</v>
      </c>
      <c r="FF119" s="27" t="s">
        <v>885</v>
      </c>
      <c r="FG119" s="27">
        <f>VLOOKUP($A119,'[1]Raw Data'!$A$3:$FB$285,150,FALSE)</f>
        <v>9841356409</v>
      </c>
      <c r="FH119" s="27" t="str">
        <f>VLOOKUP($A119,'[1]Raw Data'!$A$3:$FB$285,156,FALSE)</f>
        <v/>
      </c>
      <c r="FJ119" s="27" t="str">
        <f>VLOOKUP($A119,'[1]Raw Data'!$A$3:$FB$285,157,FALSE)</f>
        <v>District Technical Officer</v>
      </c>
      <c r="FK119" s="27" t="s">
        <v>886</v>
      </c>
      <c r="FL119" s="27" t="str">
        <f>VLOOKUP($A119,'[1]Raw Data'!$A$3:$FB$285,158,FALSE)</f>
        <v/>
      </c>
      <c r="FM119" s="27" t="str">
        <f>VLOOKUP($A119,'[1]Raw Data'!$A$3:$FB$285,152,FALSE)</f>
        <v>Manisha Rai</v>
      </c>
      <c r="FN119" s="27" t="s">
        <v>1131</v>
      </c>
      <c r="FO119" s="27" t="str">
        <f>VLOOKUP($A119,'[1]Raw Data'!$A$3:$FB$285,153,FALSE)</f>
        <v>DIstrict Information Management Officer</v>
      </c>
      <c r="FP119" s="27" t="s">
        <v>887</v>
      </c>
      <c r="FQ119" s="27">
        <f>VLOOKUP($A119,'[1]Raw Data'!$A$3:$FB$285,154,FALSE)</f>
        <v>9842062006</v>
      </c>
    </row>
    <row r="120" spans="1:173" ht="24" x14ac:dyDescent="0.45">
      <c r="A120" s="27">
        <v>27003</v>
      </c>
      <c r="B120" s="36" t="str">
        <f ca="1">IFERROR(__xludf.DUMMYFUNCTION("""COMPUTED_VALUE"""),"Dakshinkali Nagarpalika")</f>
        <v>Dakshinkali Nagarpalika</v>
      </c>
      <c r="C120" s="37" t="str">
        <f>VLOOKUP(A120,'[1]Palika and District in Nepali '!$D$1:$F$283,3,FALSE)</f>
        <v>दक्षिणकाली नगरपलिका</v>
      </c>
      <c r="D120" s="36" t="str">
        <f ca="1">IFERROR(__xludf.DUMMYFUNCTION("""COMPUTED_VALUE"""),"Kathmandu")</f>
        <v>Kathmandu</v>
      </c>
      <c r="E120" s="36"/>
      <c r="F120" s="27">
        <f>VLOOKUP(A120,'[1]Raw Data'!$A$3:$FB$285,4,FALSE)</f>
        <v>96</v>
      </c>
      <c r="G120" s="27">
        <f>VLOOKUP(A120,'[1]Raw Data'!$A$3:$FB$285,5,FALSE)</f>
        <v>3446</v>
      </c>
      <c r="H120" s="27">
        <f>VLOOKUP(A120,'[1]Raw Data'!$A$3:$FB$285,6,FALSE)</f>
        <v>3542</v>
      </c>
      <c r="I120" s="27">
        <f>VLOOKUP($A120,'[1]Raw Data'!$A$3:$FB$285,8,FALSE)</f>
        <v>0.88</v>
      </c>
      <c r="J120" s="27">
        <f>VLOOKUP($A120,'[1]Raw Data'!$A$3:$FB$285,9,FALSE)</f>
        <v>0.96</v>
      </c>
      <c r="K120" s="27">
        <f>VLOOKUP($A120,'[1]Raw Data'!$A$3:$FB$285,11,FALSE)</f>
        <v>66.44</v>
      </c>
      <c r="L120" s="27">
        <f>VLOOKUP($A120,'[1]Raw Data'!$A$3:$FB$285,12,FALSE)</f>
        <v>26.47</v>
      </c>
      <c r="M120" s="27">
        <f>VLOOKUP($A120,'[1]Raw Data'!$A$3:$FB$285,14,FALSE)</f>
        <v>1.5</v>
      </c>
      <c r="N120" s="27">
        <f>VLOOKUP($A120,'[1]Raw Data'!$A$3:$FB$285,15,FALSE)</f>
        <v>7.99</v>
      </c>
      <c r="O120" s="27">
        <f>VLOOKUP($A120,'[1]Raw Data'!$A$3:$FB$285,17,FALSE)</f>
        <v>9.58</v>
      </c>
      <c r="P120" s="27">
        <f>VLOOKUP($A120,'[1]Raw Data'!$A$3:$FB$285,18,FALSE)</f>
        <v>15.92</v>
      </c>
      <c r="Q120" s="27">
        <f>VLOOKUP($A120,'[1]Raw Data'!$A$3:$FB$285,20,FALSE)</f>
        <v>0.4</v>
      </c>
      <c r="R120" s="27">
        <f>VLOOKUP($A120,'[1]Raw Data'!$A$3:$FB$285,21,FALSE)</f>
        <v>3.8</v>
      </c>
      <c r="S120" s="27">
        <f>VLOOKUP($A120,'[1]Raw Data'!$A$3:$FB$285,23,FALSE)</f>
        <v>0</v>
      </c>
      <c r="T120" s="27">
        <f>VLOOKUP($A120,'[1]Raw Data'!$A$3:$FB$285,24,FALSE)</f>
        <v>0</v>
      </c>
      <c r="U120" s="27">
        <f>VLOOKUP($A120,'[1]Raw Data'!$A$3:$FB$285,26,FALSE)</f>
        <v>0.06</v>
      </c>
      <c r="V120" s="27">
        <f>VLOOKUP($A120,'[1]Raw Data'!$A$3:$FB$285,27,FALSE)</f>
        <v>0.03</v>
      </c>
      <c r="W120" s="27">
        <f>VLOOKUP($A120,'[1]Raw Data'!$A$3:$FB$285,29,FALSE)</f>
        <v>0</v>
      </c>
      <c r="X120" s="27">
        <f>VLOOKUP($A120,'[1]Raw Data'!$A$3:$FB$285,30,FALSE)</f>
        <v>0</v>
      </c>
      <c r="Y120" s="27">
        <f>VLOOKUP($A120,'[1]Raw Data'!$A$3:$FB$285,32,FALSE)</f>
        <v>0.23</v>
      </c>
      <c r="Z120" s="27">
        <f>VLOOKUP($A120,'[1]Raw Data'!$A$3:$FB$285,33,FALSE)</f>
        <v>0.36</v>
      </c>
      <c r="AA120" s="27">
        <f>VLOOKUP($A120,'[1]Raw Data'!$A$3:$FB$285,35,FALSE)</f>
        <v>20.76</v>
      </c>
      <c r="AB120" s="27">
        <f>VLOOKUP($A120,'[1]Raw Data'!$A$3:$FB$285,36,FALSE)</f>
        <v>44.43</v>
      </c>
      <c r="AC120" s="27">
        <f>VLOOKUP($A120,'[1]Raw Data'!$A$3:$FB$285,38,FALSE)</f>
        <v>0.17</v>
      </c>
      <c r="AD120" s="27">
        <f>VLOOKUP($A120,'[1]Raw Data'!$A$3:$FB$285,39,FALSE)</f>
        <v>0.05</v>
      </c>
      <c r="AE120" s="27">
        <f>VLOOKUP($A120,'[1]Raw Data'!$A$3:$FB$285,41,FALSE)</f>
        <v>0</v>
      </c>
      <c r="AF120" s="27">
        <f>VLOOKUP($A120,'[1]Raw Data'!$A$3:$FB$285,42,FALSE)</f>
        <v>0</v>
      </c>
      <c r="AG120" s="27">
        <f>VLOOKUP($A120,'[1]Raw Data'!$A$3:$FB$285,44,FALSE)</f>
        <v>0</v>
      </c>
      <c r="AH120" s="27">
        <f>VLOOKUP($A120,'[1]Raw Data'!$A$3:$FB$285,45,FALSE)</f>
        <v>0</v>
      </c>
      <c r="AI120" s="27">
        <f>VLOOKUP($A120,'[1]Raw Data'!$A$3:$FB$285,46,FALSE)</f>
        <v>4085</v>
      </c>
      <c r="AJ120" s="27">
        <f>VLOOKUP($A120,'[1]Raw Data'!$A$3:$FB$285,47,FALSE)</f>
        <v>3784</v>
      </c>
      <c r="AK120" s="27">
        <f>VLOOKUP($A120,'[1]Raw Data'!$A$3:$FB$285,48,FALSE)</f>
        <v>3758</v>
      </c>
      <c r="AL120" s="27">
        <f>VLOOKUP($A120,'[1]Raw Data'!$A$3:$FB$285,49,FALSE)</f>
        <v>1377</v>
      </c>
      <c r="AM120" s="27">
        <f>VLOOKUP($A120,'[1]Raw Data'!$A$3:$FB$285,50,FALSE)</f>
        <v>874</v>
      </c>
      <c r="AN120" s="27" t="str">
        <f>VLOOKUP($A120,'[1]Raw Data'!$A$3:$FB$285,51,FALSE)</f>
        <v/>
      </c>
      <c r="AO120" s="27" t="str">
        <f>VLOOKUP($A120,'[1]Raw Data'!$A$3:$FB$285,52,FALSE)</f>
        <v/>
      </c>
      <c r="AP120" s="27">
        <f>VLOOKUP($A120,'[1]Raw Data'!$A$3:$FB$285,53,FALSE)</f>
        <v>52</v>
      </c>
      <c r="AQ120" s="27">
        <f>VLOOKUP($A120,'[1]Raw Data'!$A$3:$FB$285,54,FALSE)</f>
        <v>30</v>
      </c>
      <c r="AR120" s="27">
        <f>VLOOKUP($A120,'[1]Raw Data'!$A$3:$FB$285,55,FALSE)</f>
        <v>29</v>
      </c>
      <c r="AS120" s="27">
        <f>VLOOKUP($A120,'[1]Raw Data'!$A$3:$FB$285,56,FALSE)</f>
        <v>0</v>
      </c>
      <c r="AT120" s="27">
        <f>VLOOKUP($A120,'[1]Raw Data'!$A$3:$FB$285,57,FALSE)</f>
        <v>1096</v>
      </c>
      <c r="AU120" s="27">
        <f>VLOOKUP($A120,'[1]Raw Data'!$A$3:$FB$285,58,FALSE)</f>
        <v>753</v>
      </c>
      <c r="AV120" s="27" t="str">
        <f>VLOOKUP($A120,'[1]Raw Data'!$A$3:$FB$285,59,FALSE)</f>
        <v/>
      </c>
      <c r="AW120" s="27" t="str">
        <f>VLOOKUP($A120,'[1]Raw Data'!$A$3:$FB$285,60,FALSE)</f>
        <v/>
      </c>
      <c r="AX120" s="27" t="str">
        <f>VLOOKUP(A120,'[1]PO''s List'!A118:E400,4,FALSE)</f>
        <v/>
      </c>
      <c r="AZ120" s="27" t="str">
        <f>VLOOKUP(A120,'[1]PO''s List'!$A$3:$E$285,5,FALSE)</f>
        <v>OXFAM-GB(Shelter)</v>
      </c>
      <c r="BB120" s="27">
        <f>VLOOKUP($A120,'[1]Raw Data'!$A$3:$FB$285,63,FALSE)</f>
        <v>30168</v>
      </c>
      <c r="BC120" s="27" t="str">
        <f>VLOOKUP($A120,'[1]Raw Data'!$A$3:$FB$285,64,FALSE)</f>
        <v/>
      </c>
      <c r="BD120" s="27" t="str">
        <f t="shared" si="9"/>
        <v/>
      </c>
      <c r="BE120" s="27" t="str">
        <f>VLOOKUP($A120,'[1]Raw Data'!$A$3:$FB$285,65,FALSE)</f>
        <v/>
      </c>
      <c r="BF120" s="27">
        <f>VLOOKUP($A120,'[1]Raw Data'!$A$3:$FB$285,66,FALSE)</f>
        <v>30142</v>
      </c>
      <c r="BG120" s="27" t="str">
        <f>VLOOKUP($A120,'[1]Raw Data'!$A$3:$FB$285,67,FALSE)</f>
        <v/>
      </c>
      <c r="BH120" s="27" t="str">
        <f t="shared" si="10"/>
        <v/>
      </c>
      <c r="BI120" s="27" t="str">
        <f>VLOOKUP($A120,'[1]Raw Data'!$A$3:$FB$285,68,FALSE)</f>
        <v/>
      </c>
      <c r="BJ120" s="27">
        <f>VLOOKUP($A120,'[1]Raw Data'!$A$3:$FB$285,69,FALSE)</f>
        <v>3215</v>
      </c>
      <c r="BK120" s="27" t="str">
        <f>VLOOKUP($A120,'[1]Raw Data'!$A$3:$FB$285,70,FALSE)</f>
        <v/>
      </c>
      <c r="BL120" s="27" t="str">
        <f t="shared" si="11"/>
        <v/>
      </c>
      <c r="BM120" s="27" t="str">
        <f>VLOOKUP($A120,'[1]Raw Data'!$A$3:$FB$285,71,FALSE)</f>
        <v/>
      </c>
      <c r="BN120" s="27">
        <f>VLOOKUP($A120,'[1]Raw Data'!$A$3:$FB$285,72,FALSE)</f>
        <v>3689</v>
      </c>
      <c r="BO120" s="27" t="str">
        <f>VLOOKUP($A120,'[1]Raw Data'!$A$3:$FB$285,73,FALSE)</f>
        <v/>
      </c>
      <c r="BP120" s="27" t="str">
        <f t="shared" si="12"/>
        <v/>
      </c>
      <c r="BQ120" s="27" t="str">
        <f>VLOOKUP($A120,'[1]Raw Data'!$A$3:$FB$285,74,FALSE)</f>
        <v/>
      </c>
      <c r="BR120" s="27" t="str">
        <f>VLOOKUP($A120,'[1]Raw Data'!$A$3:$FB$285,75,FALSE)</f>
        <v/>
      </c>
      <c r="BS120" s="27" t="str">
        <f>VLOOKUP($A120,'[1]Raw Data'!$A$3:$FB$285,76,FALSE)</f>
        <v/>
      </c>
      <c r="BT120" s="27" t="str">
        <f t="shared" si="13"/>
        <v/>
      </c>
      <c r="BU120" s="27" t="str">
        <f>VLOOKUP($A120,'[1]Raw Data'!$A$3:$FB$285,77,FALSE)</f>
        <v/>
      </c>
      <c r="BV120" s="27">
        <f>VLOOKUP($A120,'[1]Raw Data'!$A$3:$FB$285,78,FALSE)</f>
        <v>101201</v>
      </c>
      <c r="BW120" s="27" t="str">
        <f>VLOOKUP($A120,'[1]Raw Data'!$A$3:$FB$285,79,FALSE)</f>
        <v/>
      </c>
      <c r="BX120" s="27" t="str">
        <f t="shared" si="14"/>
        <v/>
      </c>
      <c r="BY120" s="27" t="str">
        <f>VLOOKUP($A120,'[1]Raw Data'!$A$3:$FB$285,80,FALSE)</f>
        <v/>
      </c>
      <c r="BZ120" s="27">
        <f>VLOOKUP($A120,'[1]Raw Data'!$A$3:$FB$285,81,FALSE)</f>
        <v>329836</v>
      </c>
      <c r="CA120" s="27" t="str">
        <f>VLOOKUP($A120,'[1]Raw Data'!$A$3:$FB$285,82,FALSE)</f>
        <v/>
      </c>
      <c r="CB120" s="27" t="str">
        <f t="shared" si="15"/>
        <v/>
      </c>
      <c r="CC120" s="27" t="str">
        <f>VLOOKUP($A120,'[1]Raw Data'!$A$3:$FB$285,83,FALSE)</f>
        <v/>
      </c>
      <c r="CD120" s="27">
        <f>VLOOKUP($A120,'[1]Raw Data'!$A$3:$FB$285,84,FALSE)</f>
        <v>4142</v>
      </c>
      <c r="CE120" s="27" t="str">
        <f>VLOOKUP($A120,'[1]Raw Data'!$A$3:$FB$285,85,FALSE)</f>
        <v/>
      </c>
      <c r="CF120" s="27" t="str">
        <f t="shared" si="16"/>
        <v/>
      </c>
      <c r="CG120" s="27" t="str">
        <f>VLOOKUP($A120,'[1]Raw Data'!$A$3:$FB$285,86,FALSE)</f>
        <v/>
      </c>
      <c r="CH120" s="27">
        <f>VLOOKUP($A120,'[1]Raw Data'!$A$3:$FB$285,87,FALSE)</f>
        <v>540137</v>
      </c>
      <c r="CI120" s="27" t="str">
        <f>VLOOKUP($A120,'[1]Raw Data'!$A$3:$FB$285,88,FALSE)</f>
        <v/>
      </c>
      <c r="CJ120" s="27" t="str">
        <f t="shared" si="17"/>
        <v/>
      </c>
      <c r="CK120" s="27" t="str">
        <f>VLOOKUP($A120,'[1]Raw Data'!$A$3:$FB$285,89,FALSE)</f>
        <v/>
      </c>
      <c r="CL120" s="27" t="str">
        <f>VLOOKUP($A120,'[1]Raw Data'!$A$3:$FB$285,91,FALSE)</f>
        <v/>
      </c>
      <c r="CM120" s="27" t="str">
        <f>VLOOKUP($A120,'[1]Raw Data'!$A$3:$FB$285,93,FALSE)</f>
        <v/>
      </c>
      <c r="CN120" s="27" t="str">
        <f>VLOOKUP($A120,'[1]Raw Data'!$A$3:$FB$285,94,FALSE)</f>
        <v/>
      </c>
      <c r="CO120" s="27" t="str">
        <f>VLOOKUP($A120,'[1]Raw Data'!$A$3:$FB$285,95,FALSE)</f>
        <v/>
      </c>
      <c r="CP120" s="27" t="str">
        <f>VLOOKUP($A120,'[1]Raw Data'!$A$3:$FB$285,96,FALSE)</f>
        <v/>
      </c>
      <c r="CQ120" s="27" t="str">
        <f>VLOOKUP($A120,'[1]Raw Data'!$A$3:$FB$285,97,FALSE)</f>
        <v/>
      </c>
      <c r="CR120" s="27" t="str">
        <f>VLOOKUP($A120,'[1]Raw Data'!$A$3:$FB$285,98,FALSE)</f>
        <v/>
      </c>
      <c r="CS120" s="27" t="str">
        <f>VLOOKUP($A120,'[1]Raw Data'!$A$3:$FB$285,99,FALSE)</f>
        <v/>
      </c>
      <c r="CT120" s="27" t="str">
        <f>VLOOKUP($A120,'[1]Raw Data'!$A$3:$FB$285,101,FALSE)</f>
        <v>Mohan Basnet</v>
      </c>
      <c r="CU120" s="27" t="s">
        <v>1177</v>
      </c>
      <c r="CV120" s="27" t="str">
        <f>VLOOKUP($A120,'[1]Raw Data'!$A$3:$FB$285,102,FALSE)</f>
        <v>Mayor</v>
      </c>
      <c r="CW120" s="27" t="s">
        <v>834</v>
      </c>
      <c r="CX120" s="27">
        <f>VLOOKUP($A120,'[1]Raw Data'!$A$3:$FB$285,103,FALSE)</f>
        <v>9841615262</v>
      </c>
      <c r="CY120" s="27" t="str">
        <f>VLOOKUP($A120,'[1]Raw Data'!$A$3:$FB$285,105,FALSE)</f>
        <v>Basanti Tamang Dangol</v>
      </c>
      <c r="CZ120" s="27" t="s">
        <v>1178</v>
      </c>
      <c r="DA120" s="27" t="str">
        <f>VLOOKUP($A120,'[1]Raw Data'!$A$3:$FB$285,106,FALSE)</f>
        <v>Deputy Mayor</v>
      </c>
      <c r="DB120" s="27" t="s">
        <v>888</v>
      </c>
      <c r="DC120" s="27">
        <f>VLOOKUP($A120,'[1]Raw Data'!$A$3:$FB$285,107,FALSE)</f>
        <v>9841079893</v>
      </c>
      <c r="DD120" s="27" t="str">
        <f>VLOOKUP($A120,'[1]Raw Data'!$A$3:$FB$285,109,FALSE)</f>
        <v>Tikaram Gnawali</v>
      </c>
      <c r="DE120" s="27" t="s">
        <v>1179</v>
      </c>
      <c r="DF120" s="27" t="str">
        <f>VLOOKUP($A120,'[1]Raw Data'!$A$3:$FB$285,110,FALSE)</f>
        <v>Adminstration Officer</v>
      </c>
      <c r="DG120" s="27" t="s">
        <v>880</v>
      </c>
      <c r="DH120" s="27">
        <f>VLOOKUP($A120,'[1]Raw Data'!$A$3:$FB$285,111,FALSE)</f>
        <v>9851262111</v>
      </c>
      <c r="DI120" s="27" t="str">
        <f>VLOOKUP($A120,'[1]Raw Data'!$A$3:$FB$285,121,FALSE)</f>
        <v>Manoj Budhathoki</v>
      </c>
      <c r="DJ120" s="27" t="s">
        <v>1180</v>
      </c>
      <c r="DK120" s="27" t="str">
        <f>VLOOKUP($A120,'[1]Raw Data'!$A$3:$FB$285,122,FALSE)</f>
        <v>Focal Person</v>
      </c>
      <c r="DL120" s="27" t="s">
        <v>881</v>
      </c>
      <c r="DM120" s="27">
        <f>VLOOKUP($A120,'[1]Raw Data'!$A$3:$FB$285,123,FALSE)</f>
        <v>9860205133</v>
      </c>
      <c r="DN120" s="27" t="str">
        <f>VLOOKUP($A120,'[1]Raw Data'!$A$3:$FB$285,113,FALSE)</f>
        <v>Samar Bahadur Khanal</v>
      </c>
      <c r="DO120" s="27" t="s">
        <v>1172</v>
      </c>
      <c r="DP120" s="27" t="str">
        <f>VLOOKUP($A120,'[1]Raw Data'!$A$3:$FB$285,114,FALSE)</f>
        <v>NRA Chief-District</v>
      </c>
      <c r="DQ120" s="27" t="s">
        <v>882</v>
      </c>
      <c r="DR120" s="27">
        <f>VLOOKUP($A120,'[1]Raw Data'!$A$3:$FB$285,115,FALSE)</f>
        <v>9851209362</v>
      </c>
      <c r="DS120" s="27" t="str">
        <f>VLOOKUP($A120,'[1]Raw Data'!$A$3:$FB$285,117,FALSE)</f>
        <v>Chandra Kaji Gurung</v>
      </c>
      <c r="DT120" s="27" t="s">
        <v>1129</v>
      </c>
      <c r="DU120" s="27" t="str">
        <f>VLOOKUP($A120,'[1]Raw Data'!$A$3:$FB$285,118,FALSE)</f>
        <v>DUDBC.DLPIU Chief</v>
      </c>
      <c r="DV120" s="27" t="s">
        <v>883</v>
      </c>
      <c r="DW120" s="27">
        <f>VLOOKUP($A120,'[1]Raw Data'!$A$3:$FB$285,119,FALSE)</f>
        <v>9841576783</v>
      </c>
      <c r="DX120" s="27" t="s">
        <v>339</v>
      </c>
      <c r="DY120" s="27" t="str">
        <f>VLOOKUP($A120,'[1]Raw Data'!$A$3:$FB$285,124,FALSE)</f>
        <v/>
      </c>
      <c r="DZ120" s="27" t="s">
        <v>884</v>
      </c>
      <c r="EA120" s="27" t="str">
        <f>VLOOKUP($A120,'[1]Raw Data'!$A$3:$FB$285,125,FALSE)</f>
        <v/>
      </c>
      <c r="EB120" s="27" t="s">
        <v>341</v>
      </c>
      <c r="EC120" s="27" t="str">
        <f>VLOOKUP($A120,'[1]Raw Data'!$A$3:$FB$285,126,FALSE)</f>
        <v/>
      </c>
      <c r="ED120" t="s">
        <v>478</v>
      </c>
      <c r="EE120" s="27" t="str">
        <f>VLOOKUP($A120,'[1]Raw Data'!$A$3:$FB$285,127,FALSE)</f>
        <v/>
      </c>
      <c r="EF120" s="27" t="s">
        <v>343</v>
      </c>
      <c r="EG120" s="27" t="str">
        <f>VLOOKUP($A120,'[1]Raw Data'!$A$3:$FB$285,128,FALSE)</f>
        <v/>
      </c>
      <c r="EH120" t="s">
        <v>344</v>
      </c>
      <c r="EI120" s="27" t="str">
        <f>VLOOKUP($A120,'[1]Raw Data'!$A$3:$FB$285,129,FALSE)</f>
        <v/>
      </c>
      <c r="EM120" s="27" t="str">
        <f>VLOOKUP($A120,'[1]Raw Data'!$A$3:$FB$285,130,FALSE)</f>
        <v/>
      </c>
      <c r="EN120" s="27" t="str">
        <f>VLOOKUP($A120,'[1]Raw Data'!$A$3:$FB$285,131,FALSE)</f>
        <v/>
      </c>
      <c r="EO120" s="27" t="str">
        <f>VLOOKUP($A120,'[1]Raw Data'!$A$3:$FB$285,132,FALSE)</f>
        <v/>
      </c>
      <c r="EP120" s="27" t="str">
        <f>VLOOKUP($A120,'[1]Raw Data'!$A$3:$FB$285,133,FALSE)</f>
        <v/>
      </c>
      <c r="EQ120" s="27" t="str">
        <f>VLOOKUP($A120,'[1]Raw Data'!$A$3:$FB$285,134,FALSE)</f>
        <v/>
      </c>
      <c r="ER120" s="27" t="str">
        <f>VLOOKUP($A120,'[1]Raw Data'!$A$3:$FB$285,135,FALSE)</f>
        <v/>
      </c>
      <c r="ES120" s="27" t="str">
        <f>VLOOKUP($A120,'[1]Raw Data'!$A$3:$FB$285,136,FALSE)</f>
        <v/>
      </c>
      <c r="ET120" s="27" t="str">
        <f>VLOOKUP($A120,'[1]Raw Data'!$A$3:$FB$285,137,FALSE)</f>
        <v/>
      </c>
      <c r="EU120" s="27" t="str">
        <f>VLOOKUP($A120,'[1]Raw Data'!$A$3:$FB$285,138,FALSE)</f>
        <v/>
      </c>
      <c r="EV120" s="27" t="str">
        <f>VLOOKUP($A120,'[1]Raw Data'!$A$3:$FB$285,139,FALSE)</f>
        <v/>
      </c>
      <c r="EW120" s="38">
        <f>VLOOKUP($A120,[1]Training!$A$2:$I$284,5,FALSE)</f>
        <v>314.23076923076923</v>
      </c>
      <c r="EX120" s="31">
        <f>VLOOKUP($A120,[1]Training!$A$2:$I$284,6,FALSE)</f>
        <v>45</v>
      </c>
      <c r="EY120" s="38">
        <f>VLOOKUP($A120,[1]Training!$A$2:$I$284,8,FALSE)</f>
        <v>170.92407790957969</v>
      </c>
      <c r="EZ120" s="31">
        <f>VLOOKUP($A120,[1]Training!$A$2:$I$284,9,FALSE)</f>
        <v>382</v>
      </c>
      <c r="FA120" s="27">
        <v>1</v>
      </c>
      <c r="FB120" s="27">
        <v>2</v>
      </c>
      <c r="FC120" s="27" t="str">
        <f>VLOOKUP($A120,'[1]Raw Data'!$A$3:$FB$285,148,FALSE)</f>
        <v>Ambika Amatya</v>
      </c>
      <c r="FD120" s="27" t="s">
        <v>1130</v>
      </c>
      <c r="FE120" s="27" t="str">
        <f>VLOOKUP($A120,'[1]Raw Data'!$A$3:$FB$285,149,FALSE)</f>
        <v>District Coordinator</v>
      </c>
      <c r="FF120" s="27" t="s">
        <v>885</v>
      </c>
      <c r="FG120" s="27">
        <f>VLOOKUP($A120,'[1]Raw Data'!$A$3:$FB$285,150,FALSE)</f>
        <v>9841356409</v>
      </c>
      <c r="FH120" s="27" t="str">
        <f>VLOOKUP($A120,'[1]Raw Data'!$A$3:$FB$285,156,FALSE)</f>
        <v/>
      </c>
      <c r="FJ120" s="27" t="str">
        <f>VLOOKUP($A120,'[1]Raw Data'!$A$3:$FB$285,157,FALSE)</f>
        <v>District Technical Officer</v>
      </c>
      <c r="FK120" s="27" t="s">
        <v>886</v>
      </c>
      <c r="FL120" s="27" t="str">
        <f>VLOOKUP($A120,'[1]Raw Data'!$A$3:$FB$285,158,FALSE)</f>
        <v/>
      </c>
      <c r="FM120" s="27" t="str">
        <f>VLOOKUP($A120,'[1]Raw Data'!$A$3:$FB$285,152,FALSE)</f>
        <v>Manisha Rai</v>
      </c>
      <c r="FN120" s="27" t="s">
        <v>1131</v>
      </c>
      <c r="FO120" s="27" t="str">
        <f>VLOOKUP($A120,'[1]Raw Data'!$A$3:$FB$285,153,FALSE)</f>
        <v>DIstrict Information Management Officer</v>
      </c>
      <c r="FP120" s="27" t="s">
        <v>887</v>
      </c>
      <c r="FQ120" s="27">
        <f>VLOOKUP($A120,'[1]Raw Data'!$A$3:$FB$285,154,FALSE)</f>
        <v>9842062006</v>
      </c>
    </row>
    <row r="121" spans="1:173" ht="24" x14ac:dyDescent="0.45">
      <c r="A121" s="27">
        <v>27004</v>
      </c>
      <c r="B121" s="36" t="str">
        <f ca="1">IFERROR(__xludf.DUMMYFUNCTION("""COMPUTED_VALUE"""),"Gokarneshwor Nagarpalika")</f>
        <v>Gokarneshwor Nagarpalika</v>
      </c>
      <c r="C121" s="37" t="str">
        <f>VLOOKUP(A121,'[1]Palika and District in Nepali '!$D$1:$F$283,3,FALSE)</f>
        <v>गोकर्णेश्वर नगरपलिका</v>
      </c>
      <c r="D121" s="36" t="str">
        <f ca="1">IFERROR(__xludf.DUMMYFUNCTION("""COMPUTED_VALUE"""),"Kathmandu")</f>
        <v>Kathmandu</v>
      </c>
      <c r="E121" s="36"/>
      <c r="F121" s="27">
        <f>VLOOKUP(A121,'[1]Raw Data'!$A$3:$FB$285,4,FALSE)</f>
        <v>136</v>
      </c>
      <c r="G121" s="27">
        <f>VLOOKUP(A121,'[1]Raw Data'!$A$3:$FB$285,5,FALSE)</f>
        <v>2734</v>
      </c>
      <c r="H121" s="27">
        <f>VLOOKUP(A121,'[1]Raw Data'!$A$3:$FB$285,6,FALSE)</f>
        <v>2870</v>
      </c>
      <c r="I121" s="27">
        <f>VLOOKUP($A121,'[1]Raw Data'!$A$3:$FB$285,8,FALSE)</f>
        <v>0.42</v>
      </c>
      <c r="J121" s="27">
        <f>VLOOKUP($A121,'[1]Raw Data'!$A$3:$FB$285,9,FALSE)</f>
        <v>0.96</v>
      </c>
      <c r="K121" s="27">
        <f>VLOOKUP($A121,'[1]Raw Data'!$A$3:$FB$285,11,FALSE)</f>
        <v>23.58</v>
      </c>
      <c r="L121" s="27">
        <f>VLOOKUP($A121,'[1]Raw Data'!$A$3:$FB$285,12,FALSE)</f>
        <v>26.47</v>
      </c>
      <c r="M121" s="27">
        <f>VLOOKUP($A121,'[1]Raw Data'!$A$3:$FB$285,14,FALSE)</f>
        <v>6.46</v>
      </c>
      <c r="N121" s="27">
        <f>VLOOKUP($A121,'[1]Raw Data'!$A$3:$FB$285,15,FALSE)</f>
        <v>7.99</v>
      </c>
      <c r="O121" s="27">
        <f>VLOOKUP($A121,'[1]Raw Data'!$A$3:$FB$285,17,FALSE)</f>
        <v>7.16</v>
      </c>
      <c r="P121" s="27">
        <f>VLOOKUP($A121,'[1]Raw Data'!$A$3:$FB$285,18,FALSE)</f>
        <v>15.92</v>
      </c>
      <c r="Q121" s="27">
        <f>VLOOKUP($A121,'[1]Raw Data'!$A$3:$FB$285,20,FALSE)</f>
        <v>1.78</v>
      </c>
      <c r="R121" s="27">
        <f>VLOOKUP($A121,'[1]Raw Data'!$A$3:$FB$285,21,FALSE)</f>
        <v>3.8</v>
      </c>
      <c r="S121" s="27">
        <f>VLOOKUP($A121,'[1]Raw Data'!$A$3:$FB$285,23,FALSE)</f>
        <v>0</v>
      </c>
      <c r="T121" s="27">
        <f>VLOOKUP($A121,'[1]Raw Data'!$A$3:$FB$285,24,FALSE)</f>
        <v>0</v>
      </c>
      <c r="U121" s="27">
        <f>VLOOKUP($A121,'[1]Raw Data'!$A$3:$FB$285,26,FALSE)</f>
        <v>0</v>
      </c>
      <c r="V121" s="27">
        <f>VLOOKUP($A121,'[1]Raw Data'!$A$3:$FB$285,27,FALSE)</f>
        <v>0.03</v>
      </c>
      <c r="W121" s="27">
        <f>VLOOKUP($A121,'[1]Raw Data'!$A$3:$FB$285,29,FALSE)</f>
        <v>0</v>
      </c>
      <c r="X121" s="27">
        <f>VLOOKUP($A121,'[1]Raw Data'!$A$3:$FB$285,30,FALSE)</f>
        <v>0</v>
      </c>
      <c r="Y121" s="27">
        <f>VLOOKUP($A121,'[1]Raw Data'!$A$3:$FB$285,32,FALSE)</f>
        <v>0.24</v>
      </c>
      <c r="Z121" s="27">
        <f>VLOOKUP($A121,'[1]Raw Data'!$A$3:$FB$285,33,FALSE)</f>
        <v>0.36</v>
      </c>
      <c r="AA121" s="27">
        <f>VLOOKUP($A121,'[1]Raw Data'!$A$3:$FB$285,35,FALSE)</f>
        <v>60.32</v>
      </c>
      <c r="AB121" s="27">
        <f>VLOOKUP($A121,'[1]Raw Data'!$A$3:$FB$285,36,FALSE)</f>
        <v>44.43</v>
      </c>
      <c r="AC121" s="27">
        <f>VLOOKUP($A121,'[1]Raw Data'!$A$3:$FB$285,38,FALSE)</f>
        <v>0.03</v>
      </c>
      <c r="AD121" s="27">
        <f>VLOOKUP($A121,'[1]Raw Data'!$A$3:$FB$285,39,FALSE)</f>
        <v>0.05</v>
      </c>
      <c r="AE121" s="27">
        <f>VLOOKUP($A121,'[1]Raw Data'!$A$3:$FB$285,41,FALSE)</f>
        <v>0</v>
      </c>
      <c r="AF121" s="27">
        <f>VLOOKUP($A121,'[1]Raw Data'!$A$3:$FB$285,42,FALSE)</f>
        <v>0</v>
      </c>
      <c r="AG121" s="27">
        <f>VLOOKUP($A121,'[1]Raw Data'!$A$3:$FB$285,44,FALSE)</f>
        <v>0</v>
      </c>
      <c r="AH121" s="27">
        <f>VLOOKUP($A121,'[1]Raw Data'!$A$3:$FB$285,45,FALSE)</f>
        <v>0</v>
      </c>
      <c r="AI121" s="27">
        <f>VLOOKUP($A121,'[1]Raw Data'!$A$3:$FB$285,46,FALSE)</f>
        <v>2935</v>
      </c>
      <c r="AJ121" s="27">
        <f>VLOOKUP($A121,'[1]Raw Data'!$A$3:$FB$285,47,FALSE)</f>
        <v>2523</v>
      </c>
      <c r="AK121" s="27">
        <f>VLOOKUP($A121,'[1]Raw Data'!$A$3:$FB$285,48,FALSE)</f>
        <v>2516</v>
      </c>
      <c r="AL121" s="27">
        <f>VLOOKUP($A121,'[1]Raw Data'!$A$3:$FB$285,49,FALSE)</f>
        <v>1332</v>
      </c>
      <c r="AM121" s="27">
        <f>VLOOKUP($A121,'[1]Raw Data'!$A$3:$FB$285,50,FALSE)</f>
        <v>1044</v>
      </c>
      <c r="AN121" s="27" t="str">
        <f>VLOOKUP($A121,'[1]Raw Data'!$A$3:$FB$285,51,FALSE)</f>
        <v/>
      </c>
      <c r="AO121" s="27" t="str">
        <f>VLOOKUP($A121,'[1]Raw Data'!$A$3:$FB$285,52,FALSE)</f>
        <v/>
      </c>
      <c r="AP121" s="27">
        <f>VLOOKUP($A121,'[1]Raw Data'!$A$3:$FB$285,53,FALSE)</f>
        <v>20</v>
      </c>
      <c r="AQ121" s="27">
        <f>VLOOKUP($A121,'[1]Raw Data'!$A$3:$FB$285,54,FALSE)</f>
        <v>7</v>
      </c>
      <c r="AR121" s="27">
        <f>VLOOKUP($A121,'[1]Raw Data'!$A$3:$FB$285,55,FALSE)</f>
        <v>7</v>
      </c>
      <c r="AS121" s="27">
        <f>VLOOKUP($A121,'[1]Raw Data'!$A$3:$FB$285,56,FALSE)</f>
        <v>0</v>
      </c>
      <c r="AT121" s="27">
        <f>VLOOKUP($A121,'[1]Raw Data'!$A$3:$FB$285,57,FALSE)</f>
        <v>1962</v>
      </c>
      <c r="AU121" s="27">
        <f>VLOOKUP($A121,'[1]Raw Data'!$A$3:$FB$285,58,FALSE)</f>
        <v>1158</v>
      </c>
      <c r="AV121" s="27" t="str">
        <f>VLOOKUP($A121,'[1]Raw Data'!$A$3:$FB$285,59,FALSE)</f>
        <v/>
      </c>
      <c r="AW121" s="27" t="str">
        <f>VLOOKUP($A121,'[1]Raw Data'!$A$3:$FB$285,60,FALSE)</f>
        <v/>
      </c>
      <c r="AX121" s="27" t="str">
        <f>VLOOKUP(A121,'[1]PO''s List'!A119:E401,4,FALSE)</f>
        <v/>
      </c>
      <c r="AZ121" s="27" t="str">
        <f>VLOOKUP(A121,'[1]PO''s List'!$A$3:$E$285,5,FALSE)</f>
        <v>PLAN(Education)</v>
      </c>
      <c r="BB121" s="27">
        <f>VLOOKUP($A121,'[1]Raw Data'!$A$3:$FB$285,63,FALSE)</f>
        <v>29650</v>
      </c>
      <c r="BC121" s="27" t="str">
        <f>VLOOKUP($A121,'[1]Raw Data'!$A$3:$FB$285,64,FALSE)</f>
        <v/>
      </c>
      <c r="BD121" s="27" t="str">
        <f t="shared" si="9"/>
        <v/>
      </c>
      <c r="BE121" s="27" t="str">
        <f>VLOOKUP($A121,'[1]Raw Data'!$A$3:$FB$285,65,FALSE)</f>
        <v/>
      </c>
      <c r="BF121" s="27">
        <f>VLOOKUP($A121,'[1]Raw Data'!$A$3:$FB$285,66,FALSE)</f>
        <v>23941</v>
      </c>
      <c r="BG121" s="27" t="str">
        <f>VLOOKUP($A121,'[1]Raw Data'!$A$3:$FB$285,67,FALSE)</f>
        <v/>
      </c>
      <c r="BH121" s="27" t="str">
        <f t="shared" si="10"/>
        <v/>
      </c>
      <c r="BI121" s="27" t="str">
        <f>VLOOKUP($A121,'[1]Raw Data'!$A$3:$FB$285,68,FALSE)</f>
        <v/>
      </c>
      <c r="BJ121" s="27">
        <f>VLOOKUP($A121,'[1]Raw Data'!$A$3:$FB$285,69,FALSE)</f>
        <v>3108</v>
      </c>
      <c r="BK121" s="27" t="str">
        <f>VLOOKUP($A121,'[1]Raw Data'!$A$3:$FB$285,70,FALSE)</f>
        <v/>
      </c>
      <c r="BL121" s="27" t="str">
        <f t="shared" si="11"/>
        <v/>
      </c>
      <c r="BM121" s="27" t="str">
        <f>VLOOKUP($A121,'[1]Raw Data'!$A$3:$FB$285,71,FALSE)</f>
        <v/>
      </c>
      <c r="BN121" s="27">
        <f>VLOOKUP($A121,'[1]Raw Data'!$A$3:$FB$285,72,FALSE)</f>
        <v>3375</v>
      </c>
      <c r="BO121" s="27" t="str">
        <f>VLOOKUP($A121,'[1]Raw Data'!$A$3:$FB$285,73,FALSE)</f>
        <v/>
      </c>
      <c r="BP121" s="27" t="str">
        <f t="shared" si="12"/>
        <v/>
      </c>
      <c r="BQ121" s="27" t="str">
        <f>VLOOKUP($A121,'[1]Raw Data'!$A$3:$FB$285,74,FALSE)</f>
        <v/>
      </c>
      <c r="BR121" s="27" t="str">
        <f>VLOOKUP($A121,'[1]Raw Data'!$A$3:$FB$285,75,FALSE)</f>
        <v/>
      </c>
      <c r="BS121" s="27" t="str">
        <f>VLOOKUP($A121,'[1]Raw Data'!$A$3:$FB$285,76,FALSE)</f>
        <v/>
      </c>
      <c r="BT121" s="27" t="str">
        <f t="shared" si="13"/>
        <v/>
      </c>
      <c r="BU121" s="27" t="str">
        <f>VLOOKUP($A121,'[1]Raw Data'!$A$3:$FB$285,77,FALSE)</f>
        <v/>
      </c>
      <c r="BV121" s="27">
        <f>VLOOKUP($A121,'[1]Raw Data'!$A$3:$FB$285,78,FALSE)</f>
        <v>82441</v>
      </c>
      <c r="BW121" s="27" t="str">
        <f>VLOOKUP($A121,'[1]Raw Data'!$A$3:$FB$285,79,FALSE)</f>
        <v/>
      </c>
      <c r="BX121" s="27" t="str">
        <f t="shared" si="14"/>
        <v/>
      </c>
      <c r="BY121" s="27" t="str">
        <f>VLOOKUP($A121,'[1]Raw Data'!$A$3:$FB$285,80,FALSE)</f>
        <v/>
      </c>
      <c r="BZ121" s="27">
        <f>VLOOKUP($A121,'[1]Raw Data'!$A$3:$FB$285,81,FALSE)</f>
        <v>333912</v>
      </c>
      <c r="CA121" s="27" t="str">
        <f>VLOOKUP($A121,'[1]Raw Data'!$A$3:$FB$285,82,FALSE)</f>
        <v/>
      </c>
      <c r="CB121" s="27" t="str">
        <f t="shared" si="15"/>
        <v/>
      </c>
      <c r="CC121" s="27" t="str">
        <f>VLOOKUP($A121,'[1]Raw Data'!$A$3:$FB$285,83,FALSE)</f>
        <v/>
      </c>
      <c r="CD121" s="27">
        <f>VLOOKUP($A121,'[1]Raw Data'!$A$3:$FB$285,84,FALSE)</f>
        <v>3372</v>
      </c>
      <c r="CE121" s="27" t="str">
        <f>VLOOKUP($A121,'[1]Raw Data'!$A$3:$FB$285,85,FALSE)</f>
        <v/>
      </c>
      <c r="CF121" s="27" t="str">
        <f t="shared" si="16"/>
        <v/>
      </c>
      <c r="CG121" s="27" t="str">
        <f>VLOOKUP($A121,'[1]Raw Data'!$A$3:$FB$285,86,FALSE)</f>
        <v/>
      </c>
      <c r="CH121" s="27">
        <f>VLOOKUP($A121,'[1]Raw Data'!$A$3:$FB$285,87,FALSE)</f>
        <v>1083140</v>
      </c>
      <c r="CI121" s="27" t="str">
        <f>VLOOKUP($A121,'[1]Raw Data'!$A$3:$FB$285,88,FALSE)</f>
        <v/>
      </c>
      <c r="CJ121" s="27" t="str">
        <f t="shared" si="17"/>
        <v/>
      </c>
      <c r="CK121" s="27" t="str">
        <f>VLOOKUP($A121,'[1]Raw Data'!$A$3:$FB$285,89,FALSE)</f>
        <v/>
      </c>
      <c r="CL121" s="27" t="str">
        <f>VLOOKUP($A121,'[1]Raw Data'!$A$3:$FB$285,91,FALSE)</f>
        <v/>
      </c>
      <c r="CM121" s="27" t="str">
        <f>VLOOKUP($A121,'[1]Raw Data'!$A$3:$FB$285,93,FALSE)</f>
        <v/>
      </c>
      <c r="CN121" s="27" t="str">
        <f>VLOOKUP($A121,'[1]Raw Data'!$A$3:$FB$285,94,FALSE)</f>
        <v/>
      </c>
      <c r="CO121" s="27" t="str">
        <f>VLOOKUP($A121,'[1]Raw Data'!$A$3:$FB$285,95,FALSE)</f>
        <v/>
      </c>
      <c r="CP121" s="27" t="str">
        <f>VLOOKUP($A121,'[1]Raw Data'!$A$3:$FB$285,96,FALSE)</f>
        <v/>
      </c>
      <c r="CQ121" s="27" t="str">
        <f>VLOOKUP($A121,'[1]Raw Data'!$A$3:$FB$285,97,FALSE)</f>
        <v/>
      </c>
      <c r="CR121" s="27" t="str">
        <f>VLOOKUP($A121,'[1]Raw Data'!$A$3:$FB$285,98,FALSE)</f>
        <v/>
      </c>
      <c r="CS121" s="27" t="str">
        <f>VLOOKUP($A121,'[1]Raw Data'!$A$3:$FB$285,99,FALSE)</f>
        <v/>
      </c>
      <c r="CT121" s="27" t="str">
        <f>VLOOKUP($A121,'[1]Raw Data'!$A$3:$FB$285,101,FALSE)</f>
        <v>Santosh Chalise</v>
      </c>
      <c r="CU121" s="27" t="s">
        <v>1181</v>
      </c>
      <c r="CV121" s="27" t="str">
        <f>VLOOKUP($A121,'[1]Raw Data'!$A$3:$FB$285,102,FALSE)</f>
        <v>Mayor</v>
      </c>
      <c r="CW121" s="27" t="s">
        <v>834</v>
      </c>
      <c r="CX121" s="27">
        <f>VLOOKUP($A121,'[1]Raw Data'!$A$3:$FB$285,103,FALSE)</f>
        <v>9841211933</v>
      </c>
      <c r="CY121" s="27" t="str">
        <f>VLOOKUP($A121,'[1]Raw Data'!$A$3:$FB$285,105,FALSE)</f>
        <v>Shanti Nepali</v>
      </c>
      <c r="CZ121" s="27" t="s">
        <v>1182</v>
      </c>
      <c r="DA121" s="27" t="str">
        <f>VLOOKUP($A121,'[1]Raw Data'!$A$3:$FB$285,106,FALSE)</f>
        <v>Deputy Mayor</v>
      </c>
      <c r="DB121" s="27" t="s">
        <v>888</v>
      </c>
      <c r="DC121" s="27">
        <f>VLOOKUP($A121,'[1]Raw Data'!$A$3:$FB$285,107,FALSE)</f>
        <v>9849236414</v>
      </c>
      <c r="DD121" s="27" t="str">
        <f>VLOOKUP($A121,'[1]Raw Data'!$A$3:$FB$285,109,FALSE)</f>
        <v>Shishir Koirala</v>
      </c>
      <c r="DE121" s="27" t="s">
        <v>1183</v>
      </c>
      <c r="DF121" s="27" t="str">
        <f>VLOOKUP($A121,'[1]Raw Data'!$A$3:$FB$285,110,FALSE)</f>
        <v>Adminstration Officer</v>
      </c>
      <c r="DG121" s="27" t="s">
        <v>880</v>
      </c>
      <c r="DH121" s="27">
        <f>VLOOKUP($A121,'[1]Raw Data'!$A$3:$FB$285,111,FALSE)</f>
        <v>9851078288</v>
      </c>
      <c r="DI121" s="27" t="str">
        <f>VLOOKUP($A121,'[1]Raw Data'!$A$3:$FB$285,121,FALSE)</f>
        <v>Kusum Deo</v>
      </c>
      <c r="DJ121" s="27" t="s">
        <v>1184</v>
      </c>
      <c r="DK121" s="27" t="str">
        <f>VLOOKUP($A121,'[1]Raw Data'!$A$3:$FB$285,122,FALSE)</f>
        <v>Focal Person</v>
      </c>
      <c r="DL121" s="27" t="s">
        <v>881</v>
      </c>
      <c r="DM121" s="27">
        <f>VLOOKUP($A121,'[1]Raw Data'!$A$3:$FB$285,123,FALSE)</f>
        <v>9860292093</v>
      </c>
      <c r="DN121" s="27" t="str">
        <f>VLOOKUP($A121,'[1]Raw Data'!$A$3:$FB$285,113,FALSE)</f>
        <v>Samar Bahadur Khanal</v>
      </c>
      <c r="DO121" s="27" t="s">
        <v>1172</v>
      </c>
      <c r="DP121" s="27" t="str">
        <f>VLOOKUP($A121,'[1]Raw Data'!$A$3:$FB$285,114,FALSE)</f>
        <v>NRA Chief-District</v>
      </c>
      <c r="DQ121" s="27" t="s">
        <v>882</v>
      </c>
      <c r="DR121" s="27">
        <f>VLOOKUP($A121,'[1]Raw Data'!$A$3:$FB$285,115,FALSE)</f>
        <v>9851209362</v>
      </c>
      <c r="DS121" s="27" t="str">
        <f>VLOOKUP($A121,'[1]Raw Data'!$A$3:$FB$285,117,FALSE)</f>
        <v>Chandra Kaji Gurung</v>
      </c>
      <c r="DT121" s="27" t="s">
        <v>1129</v>
      </c>
      <c r="DU121" s="27" t="str">
        <f>VLOOKUP($A121,'[1]Raw Data'!$A$3:$FB$285,118,FALSE)</f>
        <v>DUDBC.DLPIU Chief</v>
      </c>
      <c r="DV121" s="27" t="s">
        <v>883</v>
      </c>
      <c r="DW121" s="27">
        <f>VLOOKUP($A121,'[1]Raw Data'!$A$3:$FB$285,119,FALSE)</f>
        <v>9841576783</v>
      </c>
      <c r="DX121" s="27" t="s">
        <v>339</v>
      </c>
      <c r="DY121" s="27" t="str">
        <f>VLOOKUP($A121,'[1]Raw Data'!$A$3:$FB$285,124,FALSE)</f>
        <v/>
      </c>
      <c r="DZ121" s="27" t="s">
        <v>884</v>
      </c>
      <c r="EA121" s="27" t="str">
        <f>VLOOKUP($A121,'[1]Raw Data'!$A$3:$FB$285,125,FALSE)</f>
        <v/>
      </c>
      <c r="EB121" s="27" t="s">
        <v>341</v>
      </c>
      <c r="EC121" s="27" t="str">
        <f>VLOOKUP($A121,'[1]Raw Data'!$A$3:$FB$285,126,FALSE)</f>
        <v/>
      </c>
      <c r="ED121" t="s">
        <v>478</v>
      </c>
      <c r="EE121" s="27" t="str">
        <f>VLOOKUP($A121,'[1]Raw Data'!$A$3:$FB$285,127,FALSE)</f>
        <v/>
      </c>
      <c r="EF121" s="27" t="s">
        <v>343</v>
      </c>
      <c r="EG121" s="27" t="str">
        <f>VLOOKUP($A121,'[1]Raw Data'!$A$3:$FB$285,128,FALSE)</f>
        <v/>
      </c>
      <c r="EH121" t="s">
        <v>344</v>
      </c>
      <c r="EI121" s="27" t="str">
        <f>VLOOKUP($A121,'[1]Raw Data'!$A$3:$FB$285,129,FALSE)</f>
        <v/>
      </c>
      <c r="EM121" s="27" t="str">
        <f>VLOOKUP($A121,'[1]Raw Data'!$A$3:$FB$285,130,FALSE)</f>
        <v/>
      </c>
      <c r="EN121" s="27" t="str">
        <f>VLOOKUP($A121,'[1]Raw Data'!$A$3:$FB$285,131,FALSE)</f>
        <v/>
      </c>
      <c r="EO121" s="27" t="str">
        <f>VLOOKUP($A121,'[1]Raw Data'!$A$3:$FB$285,132,FALSE)</f>
        <v/>
      </c>
      <c r="EP121" s="27" t="str">
        <f>VLOOKUP($A121,'[1]Raw Data'!$A$3:$FB$285,133,FALSE)</f>
        <v/>
      </c>
      <c r="EQ121" s="27" t="str">
        <f>VLOOKUP($A121,'[1]Raw Data'!$A$3:$FB$285,134,FALSE)</f>
        <v/>
      </c>
      <c r="ER121" s="27" t="str">
        <f>VLOOKUP($A121,'[1]Raw Data'!$A$3:$FB$285,135,FALSE)</f>
        <v/>
      </c>
      <c r="ES121" s="27" t="str">
        <f>VLOOKUP($A121,'[1]Raw Data'!$A$3:$FB$285,136,FALSE)</f>
        <v/>
      </c>
      <c r="ET121" s="27" t="str">
        <f>VLOOKUP($A121,'[1]Raw Data'!$A$3:$FB$285,137,FALSE)</f>
        <v/>
      </c>
      <c r="EU121" s="27" t="str">
        <f>VLOOKUP($A121,'[1]Raw Data'!$A$3:$FB$285,138,FALSE)</f>
        <v/>
      </c>
      <c r="EV121" s="27" t="str">
        <f>VLOOKUP($A121,'[1]Raw Data'!$A$3:$FB$285,139,FALSE)</f>
        <v/>
      </c>
      <c r="EW121" s="38">
        <f>VLOOKUP($A121,[1]Training!$A$2:$I$284,5,FALSE)</f>
        <v>225.76923076923077</v>
      </c>
      <c r="EX121" s="31">
        <f>VLOOKUP($A121,[1]Training!$A$2:$I$284,6,FALSE)</f>
        <v>62</v>
      </c>
      <c r="EY121" s="38">
        <f>VLOOKUP($A121,[1]Training!$A$2:$I$284,8,FALSE)</f>
        <v>122.80591644176657</v>
      </c>
      <c r="EZ121" s="31">
        <f>VLOOKUP($A121,[1]Training!$A$2:$I$284,9,FALSE)</f>
        <v>89</v>
      </c>
      <c r="FA121" s="27">
        <v>1</v>
      </c>
      <c r="FB121" s="27">
        <v>2</v>
      </c>
      <c r="FC121" s="27" t="str">
        <f>VLOOKUP($A121,'[1]Raw Data'!$A$3:$FB$285,148,FALSE)</f>
        <v>Ambika Amatya</v>
      </c>
      <c r="FD121" s="27" t="s">
        <v>1130</v>
      </c>
      <c r="FE121" s="27" t="str">
        <f>VLOOKUP($A121,'[1]Raw Data'!$A$3:$FB$285,149,FALSE)</f>
        <v>District Coordinator</v>
      </c>
      <c r="FF121" s="27" t="s">
        <v>885</v>
      </c>
      <c r="FG121" s="27">
        <f>VLOOKUP($A121,'[1]Raw Data'!$A$3:$FB$285,150,FALSE)</f>
        <v>9841356409</v>
      </c>
      <c r="FH121" s="27" t="str">
        <f>VLOOKUP($A121,'[1]Raw Data'!$A$3:$FB$285,156,FALSE)</f>
        <v/>
      </c>
      <c r="FJ121" s="27" t="str">
        <f>VLOOKUP($A121,'[1]Raw Data'!$A$3:$FB$285,157,FALSE)</f>
        <v>District Technical Officer</v>
      </c>
      <c r="FK121" s="27" t="s">
        <v>886</v>
      </c>
      <c r="FL121" s="27" t="str">
        <f>VLOOKUP($A121,'[1]Raw Data'!$A$3:$FB$285,158,FALSE)</f>
        <v/>
      </c>
      <c r="FM121" s="27" t="str">
        <f>VLOOKUP($A121,'[1]Raw Data'!$A$3:$FB$285,152,FALSE)</f>
        <v>Manisha Rai</v>
      </c>
      <c r="FN121" s="27" t="s">
        <v>1131</v>
      </c>
      <c r="FO121" s="27" t="str">
        <f>VLOOKUP($A121,'[1]Raw Data'!$A$3:$FB$285,153,FALSE)</f>
        <v>DIstrict Information Management Officer</v>
      </c>
      <c r="FP121" s="27" t="s">
        <v>887</v>
      </c>
      <c r="FQ121" s="27">
        <f>VLOOKUP($A121,'[1]Raw Data'!$A$3:$FB$285,154,FALSE)</f>
        <v>9842062006</v>
      </c>
    </row>
    <row r="122" spans="1:173" ht="24" x14ac:dyDescent="0.45">
      <c r="A122" s="27">
        <v>27005</v>
      </c>
      <c r="B122" s="36" t="str">
        <f ca="1">IFERROR(__xludf.DUMMYFUNCTION("""COMPUTED_VALUE"""),"Kageshwori Manahora Nagarpalika")</f>
        <v>Kageshwori Manahora Nagarpalika</v>
      </c>
      <c r="C122" s="37" t="str">
        <f>VLOOKUP(A122,'[1]Palika and District in Nepali '!$D$1:$F$283,3,FALSE)</f>
        <v>कागेश्वरी मनोहरा नगरपालिका</v>
      </c>
      <c r="D122" s="36" t="str">
        <f ca="1">IFERROR(__xludf.DUMMYFUNCTION("""COMPUTED_VALUE"""),"Kathmandu")</f>
        <v>Kathmandu</v>
      </c>
      <c r="E122" s="36"/>
      <c r="F122" s="27">
        <f>VLOOKUP(A122,'[1]Raw Data'!$A$3:$FB$285,4,FALSE)</f>
        <v>257</v>
      </c>
      <c r="G122" s="27">
        <f>VLOOKUP(A122,'[1]Raw Data'!$A$3:$FB$285,5,FALSE)</f>
        <v>3484</v>
      </c>
      <c r="H122" s="27">
        <f>VLOOKUP(A122,'[1]Raw Data'!$A$3:$FB$285,6,FALSE)</f>
        <v>3741</v>
      </c>
      <c r="I122" s="27">
        <f>VLOOKUP($A122,'[1]Raw Data'!$A$3:$FB$285,8,FALSE)</f>
        <v>0.4</v>
      </c>
      <c r="J122" s="27">
        <f>VLOOKUP($A122,'[1]Raw Data'!$A$3:$FB$285,9,FALSE)</f>
        <v>0.96</v>
      </c>
      <c r="K122" s="27">
        <f>VLOOKUP($A122,'[1]Raw Data'!$A$3:$FB$285,11,FALSE)</f>
        <v>4.68</v>
      </c>
      <c r="L122" s="27">
        <f>VLOOKUP($A122,'[1]Raw Data'!$A$3:$FB$285,12,FALSE)</f>
        <v>26.47</v>
      </c>
      <c r="M122" s="27">
        <f>VLOOKUP($A122,'[1]Raw Data'!$A$3:$FB$285,14,FALSE)</f>
        <v>6.93</v>
      </c>
      <c r="N122" s="27">
        <f>VLOOKUP($A122,'[1]Raw Data'!$A$3:$FB$285,15,FALSE)</f>
        <v>7.99</v>
      </c>
      <c r="O122" s="27">
        <f>VLOOKUP($A122,'[1]Raw Data'!$A$3:$FB$285,17,FALSE)</f>
        <v>5.75</v>
      </c>
      <c r="P122" s="27">
        <f>VLOOKUP($A122,'[1]Raw Data'!$A$3:$FB$285,18,FALSE)</f>
        <v>15.92</v>
      </c>
      <c r="Q122" s="27">
        <f>VLOOKUP($A122,'[1]Raw Data'!$A$3:$FB$285,20,FALSE)</f>
        <v>2.78</v>
      </c>
      <c r="R122" s="27">
        <f>VLOOKUP($A122,'[1]Raw Data'!$A$3:$FB$285,21,FALSE)</f>
        <v>3.8</v>
      </c>
      <c r="S122" s="27">
        <f>VLOOKUP($A122,'[1]Raw Data'!$A$3:$FB$285,23,FALSE)</f>
        <v>0</v>
      </c>
      <c r="T122" s="27">
        <f>VLOOKUP($A122,'[1]Raw Data'!$A$3:$FB$285,24,FALSE)</f>
        <v>0</v>
      </c>
      <c r="U122" s="27">
        <f>VLOOKUP($A122,'[1]Raw Data'!$A$3:$FB$285,26,FALSE)</f>
        <v>0</v>
      </c>
      <c r="V122" s="27">
        <f>VLOOKUP($A122,'[1]Raw Data'!$A$3:$FB$285,27,FALSE)</f>
        <v>0.03</v>
      </c>
      <c r="W122" s="27">
        <f>VLOOKUP($A122,'[1]Raw Data'!$A$3:$FB$285,29,FALSE)</f>
        <v>0</v>
      </c>
      <c r="X122" s="27">
        <f>VLOOKUP($A122,'[1]Raw Data'!$A$3:$FB$285,30,FALSE)</f>
        <v>0</v>
      </c>
      <c r="Y122" s="27">
        <f>VLOOKUP($A122,'[1]Raw Data'!$A$3:$FB$285,32,FALSE)</f>
        <v>0</v>
      </c>
      <c r="Z122" s="27">
        <f>VLOOKUP($A122,'[1]Raw Data'!$A$3:$FB$285,33,FALSE)</f>
        <v>0.36</v>
      </c>
      <c r="AA122" s="27">
        <f>VLOOKUP($A122,'[1]Raw Data'!$A$3:$FB$285,35,FALSE)</f>
        <v>79.459999999999994</v>
      </c>
      <c r="AB122" s="27">
        <f>VLOOKUP($A122,'[1]Raw Data'!$A$3:$FB$285,36,FALSE)</f>
        <v>44.43</v>
      </c>
      <c r="AC122" s="27">
        <f>VLOOKUP($A122,'[1]Raw Data'!$A$3:$FB$285,38,FALSE)</f>
        <v>0</v>
      </c>
      <c r="AD122" s="27">
        <f>VLOOKUP($A122,'[1]Raw Data'!$A$3:$FB$285,39,FALSE)</f>
        <v>0.05</v>
      </c>
      <c r="AE122" s="27">
        <f>VLOOKUP($A122,'[1]Raw Data'!$A$3:$FB$285,41,FALSE)</f>
        <v>0</v>
      </c>
      <c r="AF122" s="27">
        <f>VLOOKUP($A122,'[1]Raw Data'!$A$3:$FB$285,42,FALSE)</f>
        <v>0</v>
      </c>
      <c r="AG122" s="27">
        <f>VLOOKUP($A122,'[1]Raw Data'!$A$3:$FB$285,44,FALSE)</f>
        <v>0</v>
      </c>
      <c r="AH122" s="27">
        <f>VLOOKUP($A122,'[1]Raw Data'!$A$3:$FB$285,45,FALSE)</f>
        <v>0</v>
      </c>
      <c r="AI122" s="27">
        <f>VLOOKUP($A122,'[1]Raw Data'!$A$3:$FB$285,46,FALSE)</f>
        <v>3667</v>
      </c>
      <c r="AJ122" s="27">
        <f>VLOOKUP($A122,'[1]Raw Data'!$A$3:$FB$285,47,FALSE)</f>
        <v>3279</v>
      </c>
      <c r="AK122" s="27">
        <f>VLOOKUP($A122,'[1]Raw Data'!$A$3:$FB$285,48,FALSE)</f>
        <v>3257</v>
      </c>
      <c r="AL122" s="27">
        <f>VLOOKUP($A122,'[1]Raw Data'!$A$3:$FB$285,49,FALSE)</f>
        <v>1651</v>
      </c>
      <c r="AM122" s="27">
        <f>VLOOKUP($A122,'[1]Raw Data'!$A$3:$FB$285,50,FALSE)</f>
        <v>967</v>
      </c>
      <c r="AN122" s="27" t="str">
        <f>VLOOKUP($A122,'[1]Raw Data'!$A$3:$FB$285,51,FALSE)</f>
        <v/>
      </c>
      <c r="AO122" s="27" t="str">
        <f>VLOOKUP($A122,'[1]Raw Data'!$A$3:$FB$285,52,FALSE)</f>
        <v/>
      </c>
      <c r="AP122" s="27">
        <f>VLOOKUP($A122,'[1]Raw Data'!$A$3:$FB$285,53,FALSE)</f>
        <v>75</v>
      </c>
      <c r="AQ122" s="27">
        <f>VLOOKUP($A122,'[1]Raw Data'!$A$3:$FB$285,54,FALSE)</f>
        <v>23</v>
      </c>
      <c r="AR122" s="27">
        <f>VLOOKUP($A122,'[1]Raw Data'!$A$3:$FB$285,55,FALSE)</f>
        <v>23</v>
      </c>
      <c r="AS122" s="27">
        <f>VLOOKUP($A122,'[1]Raw Data'!$A$3:$FB$285,56,FALSE)</f>
        <v>0</v>
      </c>
      <c r="AT122" s="27">
        <f>VLOOKUP($A122,'[1]Raw Data'!$A$3:$FB$285,57,FALSE)</f>
        <v>813</v>
      </c>
      <c r="AU122" s="27">
        <f>VLOOKUP($A122,'[1]Raw Data'!$A$3:$FB$285,58,FALSE)</f>
        <v>775</v>
      </c>
      <c r="AV122" s="27" t="str">
        <f>VLOOKUP($A122,'[1]Raw Data'!$A$3:$FB$285,59,FALSE)</f>
        <v/>
      </c>
      <c r="AW122" s="27" t="str">
        <f>VLOOKUP($A122,'[1]Raw Data'!$A$3:$FB$285,60,FALSE)</f>
        <v/>
      </c>
      <c r="AX122" s="27" t="str">
        <f>VLOOKUP(A122,'[1]PO''s List'!A120:E402,4,FALSE)</f>
        <v>NRCS(Health),NSET(Shelter)</v>
      </c>
      <c r="AZ122" s="27" t="str">
        <f>VLOOKUP(A122,'[1]PO''s List'!$A$3:$E$285,5,FALSE)</f>
        <v/>
      </c>
      <c r="BB122" s="27">
        <f>VLOOKUP($A122,'[1]Raw Data'!$A$3:$FB$285,63,FALSE)</f>
        <v>32322</v>
      </c>
      <c r="BC122" s="27" t="str">
        <f>VLOOKUP($A122,'[1]Raw Data'!$A$3:$FB$285,64,FALSE)</f>
        <v/>
      </c>
      <c r="BD122" s="27" t="str">
        <f t="shared" si="9"/>
        <v/>
      </c>
      <c r="BE122" s="27" t="str">
        <f>VLOOKUP($A122,'[1]Raw Data'!$A$3:$FB$285,65,FALSE)</f>
        <v/>
      </c>
      <c r="BF122" s="27">
        <f>VLOOKUP($A122,'[1]Raw Data'!$A$3:$FB$285,66,FALSE)</f>
        <v>29687</v>
      </c>
      <c r="BG122" s="27" t="str">
        <f>VLOOKUP($A122,'[1]Raw Data'!$A$3:$FB$285,67,FALSE)</f>
        <v/>
      </c>
      <c r="BH122" s="27" t="str">
        <f t="shared" si="10"/>
        <v/>
      </c>
      <c r="BI122" s="27" t="str">
        <f>VLOOKUP($A122,'[1]Raw Data'!$A$3:$FB$285,68,FALSE)</f>
        <v/>
      </c>
      <c r="BJ122" s="27">
        <f>VLOOKUP($A122,'[1]Raw Data'!$A$3:$FB$285,69,FALSE)</f>
        <v>3420</v>
      </c>
      <c r="BK122" s="27" t="str">
        <f>VLOOKUP($A122,'[1]Raw Data'!$A$3:$FB$285,70,FALSE)</f>
        <v/>
      </c>
      <c r="BL122" s="27" t="str">
        <f t="shared" si="11"/>
        <v/>
      </c>
      <c r="BM122" s="27" t="str">
        <f>VLOOKUP($A122,'[1]Raw Data'!$A$3:$FB$285,71,FALSE)</f>
        <v/>
      </c>
      <c r="BN122" s="27">
        <f>VLOOKUP($A122,'[1]Raw Data'!$A$3:$FB$285,72,FALSE)</f>
        <v>3833</v>
      </c>
      <c r="BO122" s="27" t="str">
        <f>VLOOKUP($A122,'[1]Raw Data'!$A$3:$FB$285,73,FALSE)</f>
        <v/>
      </c>
      <c r="BP122" s="27" t="str">
        <f t="shared" si="12"/>
        <v/>
      </c>
      <c r="BQ122" s="27" t="str">
        <f>VLOOKUP($A122,'[1]Raw Data'!$A$3:$FB$285,74,FALSE)</f>
        <v/>
      </c>
      <c r="BR122" s="27" t="str">
        <f>VLOOKUP($A122,'[1]Raw Data'!$A$3:$FB$285,75,FALSE)</f>
        <v/>
      </c>
      <c r="BS122" s="27" t="str">
        <f>VLOOKUP($A122,'[1]Raw Data'!$A$3:$FB$285,76,FALSE)</f>
        <v/>
      </c>
      <c r="BT122" s="27" t="str">
        <f t="shared" si="13"/>
        <v/>
      </c>
      <c r="BU122" s="27" t="str">
        <f>VLOOKUP($A122,'[1]Raw Data'!$A$3:$FB$285,77,FALSE)</f>
        <v/>
      </c>
      <c r="BV122" s="27">
        <f>VLOOKUP($A122,'[1]Raw Data'!$A$3:$FB$285,78,FALSE)</f>
        <v>99985</v>
      </c>
      <c r="BW122" s="27" t="str">
        <f>VLOOKUP($A122,'[1]Raw Data'!$A$3:$FB$285,79,FALSE)</f>
        <v/>
      </c>
      <c r="BX122" s="27" t="str">
        <f t="shared" si="14"/>
        <v/>
      </c>
      <c r="BY122" s="27" t="str">
        <f>VLOOKUP($A122,'[1]Raw Data'!$A$3:$FB$285,80,FALSE)</f>
        <v/>
      </c>
      <c r="BZ122" s="27">
        <f>VLOOKUP($A122,'[1]Raw Data'!$A$3:$FB$285,81,FALSE)</f>
        <v>357003</v>
      </c>
      <c r="CA122" s="27" t="str">
        <f>VLOOKUP($A122,'[1]Raw Data'!$A$3:$FB$285,82,FALSE)</f>
        <v/>
      </c>
      <c r="CB122" s="27" t="str">
        <f t="shared" si="15"/>
        <v/>
      </c>
      <c r="CC122" s="27" t="str">
        <f>VLOOKUP($A122,'[1]Raw Data'!$A$3:$FB$285,83,FALSE)</f>
        <v/>
      </c>
      <c r="CD122" s="27">
        <f>VLOOKUP($A122,'[1]Raw Data'!$A$3:$FB$285,84,FALSE)</f>
        <v>4087</v>
      </c>
      <c r="CE122" s="27" t="str">
        <f>VLOOKUP($A122,'[1]Raw Data'!$A$3:$FB$285,85,FALSE)</f>
        <v/>
      </c>
      <c r="CF122" s="27" t="str">
        <f t="shared" si="16"/>
        <v/>
      </c>
      <c r="CG122" s="27" t="str">
        <f>VLOOKUP($A122,'[1]Raw Data'!$A$3:$FB$285,86,FALSE)</f>
        <v/>
      </c>
      <c r="CH122" s="27">
        <f>VLOOKUP($A122,'[1]Raw Data'!$A$3:$FB$285,87,FALSE)</f>
        <v>735058</v>
      </c>
      <c r="CI122" s="27" t="str">
        <f>VLOOKUP($A122,'[1]Raw Data'!$A$3:$FB$285,88,FALSE)</f>
        <v/>
      </c>
      <c r="CJ122" s="27" t="str">
        <f t="shared" si="17"/>
        <v/>
      </c>
      <c r="CK122" s="27" t="str">
        <f>VLOOKUP($A122,'[1]Raw Data'!$A$3:$FB$285,89,FALSE)</f>
        <v/>
      </c>
      <c r="CL122" s="27" t="str">
        <f>VLOOKUP($A122,'[1]Raw Data'!$A$3:$FB$285,91,FALSE)</f>
        <v/>
      </c>
      <c r="CM122" s="27" t="str">
        <f>VLOOKUP($A122,'[1]Raw Data'!$A$3:$FB$285,93,FALSE)</f>
        <v/>
      </c>
      <c r="CN122" s="27" t="str">
        <f>VLOOKUP($A122,'[1]Raw Data'!$A$3:$FB$285,94,FALSE)</f>
        <v/>
      </c>
      <c r="CO122" s="27" t="str">
        <f>VLOOKUP($A122,'[1]Raw Data'!$A$3:$FB$285,95,FALSE)</f>
        <v/>
      </c>
      <c r="CP122" s="27" t="str">
        <f>VLOOKUP($A122,'[1]Raw Data'!$A$3:$FB$285,96,FALSE)</f>
        <v/>
      </c>
      <c r="CQ122" s="27" t="str">
        <f>VLOOKUP($A122,'[1]Raw Data'!$A$3:$FB$285,97,FALSE)</f>
        <v/>
      </c>
      <c r="CR122" s="27" t="str">
        <f>VLOOKUP($A122,'[1]Raw Data'!$A$3:$FB$285,98,FALSE)</f>
        <v/>
      </c>
      <c r="CS122" s="27" t="str">
        <f>VLOOKUP($A122,'[1]Raw Data'!$A$3:$FB$285,99,FALSE)</f>
        <v/>
      </c>
      <c r="CT122" s="27" t="str">
        <f>VLOOKUP($A122,'[1]Raw Data'!$A$3:$FB$285,101,FALSE)</f>
        <v>Krishnahari Thapa</v>
      </c>
      <c r="CU122" s="27" t="s">
        <v>1185</v>
      </c>
      <c r="CV122" s="27" t="str">
        <f>VLOOKUP($A122,'[1]Raw Data'!$A$3:$FB$285,102,FALSE)</f>
        <v>Mayor</v>
      </c>
      <c r="CW122" s="27" t="s">
        <v>834</v>
      </c>
      <c r="CX122" s="27">
        <f>VLOOKUP($A122,'[1]Raw Data'!$A$3:$FB$285,103,FALSE)</f>
        <v>9851027121</v>
      </c>
      <c r="CY122" s="27" t="str">
        <f>VLOOKUP($A122,'[1]Raw Data'!$A$3:$FB$285,105,FALSE)</f>
        <v>Bindu Pudasaini (Simkhada)</v>
      </c>
      <c r="CZ122" s="27" t="s">
        <v>1186</v>
      </c>
      <c r="DA122" s="27" t="str">
        <f>VLOOKUP($A122,'[1]Raw Data'!$A$3:$FB$285,106,FALSE)</f>
        <v>Deputy Mayor</v>
      </c>
      <c r="DB122" s="27" t="s">
        <v>888</v>
      </c>
      <c r="DC122" s="27">
        <f>VLOOKUP($A122,'[1]Raw Data'!$A$3:$FB$285,107,FALSE)</f>
        <v>9843015799</v>
      </c>
      <c r="DD122" s="27" t="str">
        <f>VLOOKUP($A122,'[1]Raw Data'!$A$3:$FB$285,109,FALSE)</f>
        <v>Indra Gautam</v>
      </c>
      <c r="DE122" s="27" t="s">
        <v>1187</v>
      </c>
      <c r="DF122" s="27" t="str">
        <f>VLOOKUP($A122,'[1]Raw Data'!$A$3:$FB$285,110,FALSE)</f>
        <v>Adminstration Officer</v>
      </c>
      <c r="DG122" s="27" t="s">
        <v>880</v>
      </c>
      <c r="DH122" s="27">
        <f>VLOOKUP($A122,'[1]Raw Data'!$A$3:$FB$285,111,FALSE)</f>
        <v>9851250014</v>
      </c>
      <c r="DI122" s="27" t="str">
        <f>VLOOKUP($A122,'[1]Raw Data'!$A$3:$FB$285,121,FALSE)</f>
        <v>Deepa Karki</v>
      </c>
      <c r="DJ122" s="27" t="s">
        <v>1188</v>
      </c>
      <c r="DK122" s="27" t="str">
        <f>VLOOKUP($A122,'[1]Raw Data'!$A$3:$FB$285,122,FALSE)</f>
        <v>Focal Person</v>
      </c>
      <c r="DL122" s="27" t="s">
        <v>881</v>
      </c>
      <c r="DM122" s="27">
        <f>VLOOKUP($A122,'[1]Raw Data'!$A$3:$FB$285,123,FALSE)</f>
        <v>9860478843</v>
      </c>
      <c r="DN122" s="27" t="str">
        <f>VLOOKUP($A122,'[1]Raw Data'!$A$3:$FB$285,113,FALSE)</f>
        <v>Samar Bahadur Khanal</v>
      </c>
      <c r="DO122" s="27" t="s">
        <v>1172</v>
      </c>
      <c r="DP122" s="27" t="str">
        <f>VLOOKUP($A122,'[1]Raw Data'!$A$3:$FB$285,114,FALSE)</f>
        <v>NRA Chief-District</v>
      </c>
      <c r="DQ122" s="27" t="s">
        <v>882</v>
      </c>
      <c r="DR122" s="27">
        <f>VLOOKUP($A122,'[1]Raw Data'!$A$3:$FB$285,115,FALSE)</f>
        <v>9851209362</v>
      </c>
      <c r="DS122" s="27" t="str">
        <f>VLOOKUP($A122,'[1]Raw Data'!$A$3:$FB$285,117,FALSE)</f>
        <v>Chandra Kaji Gurung</v>
      </c>
      <c r="DT122" s="27" t="s">
        <v>1129</v>
      </c>
      <c r="DU122" s="27" t="str">
        <f>VLOOKUP($A122,'[1]Raw Data'!$A$3:$FB$285,118,FALSE)</f>
        <v>DUDBC.DLPIU Chief</v>
      </c>
      <c r="DV122" s="27" t="s">
        <v>883</v>
      </c>
      <c r="DW122" s="27">
        <f>VLOOKUP($A122,'[1]Raw Data'!$A$3:$FB$285,119,FALSE)</f>
        <v>9841576783</v>
      </c>
      <c r="DX122" s="27" t="s">
        <v>339</v>
      </c>
      <c r="DY122" s="27" t="str">
        <f>VLOOKUP($A122,'[1]Raw Data'!$A$3:$FB$285,124,FALSE)</f>
        <v/>
      </c>
      <c r="DZ122" s="27" t="s">
        <v>884</v>
      </c>
      <c r="EA122" s="27" t="str">
        <f>VLOOKUP($A122,'[1]Raw Data'!$A$3:$FB$285,125,FALSE)</f>
        <v/>
      </c>
      <c r="EB122" s="27" t="s">
        <v>341</v>
      </c>
      <c r="EC122" s="27" t="str">
        <f>VLOOKUP($A122,'[1]Raw Data'!$A$3:$FB$285,126,FALSE)</f>
        <v/>
      </c>
      <c r="ED122" t="s">
        <v>478</v>
      </c>
      <c r="EE122" s="27" t="str">
        <f>VLOOKUP($A122,'[1]Raw Data'!$A$3:$FB$285,127,FALSE)</f>
        <v/>
      </c>
      <c r="EF122" s="27" t="s">
        <v>343</v>
      </c>
      <c r="EG122" s="27" t="str">
        <f>VLOOKUP($A122,'[1]Raw Data'!$A$3:$FB$285,128,FALSE)</f>
        <v/>
      </c>
      <c r="EH122" t="s">
        <v>344</v>
      </c>
      <c r="EI122" s="27" t="str">
        <f>VLOOKUP($A122,'[1]Raw Data'!$A$3:$FB$285,129,FALSE)</f>
        <v/>
      </c>
      <c r="EM122" s="27" t="str">
        <f>VLOOKUP($A122,'[1]Raw Data'!$A$3:$FB$285,130,FALSE)</f>
        <v/>
      </c>
      <c r="EN122" s="27" t="str">
        <f>VLOOKUP($A122,'[1]Raw Data'!$A$3:$FB$285,131,FALSE)</f>
        <v/>
      </c>
      <c r="EO122" s="27" t="str">
        <f>VLOOKUP($A122,'[1]Raw Data'!$A$3:$FB$285,132,FALSE)</f>
        <v/>
      </c>
      <c r="EP122" s="27" t="str">
        <f>VLOOKUP($A122,'[1]Raw Data'!$A$3:$FB$285,133,FALSE)</f>
        <v/>
      </c>
      <c r="EQ122" s="27" t="str">
        <f>VLOOKUP($A122,'[1]Raw Data'!$A$3:$FB$285,134,FALSE)</f>
        <v/>
      </c>
      <c r="ER122" s="27" t="str">
        <f>VLOOKUP($A122,'[1]Raw Data'!$A$3:$FB$285,135,FALSE)</f>
        <v/>
      </c>
      <c r="ES122" s="27" t="str">
        <f>VLOOKUP($A122,'[1]Raw Data'!$A$3:$FB$285,136,FALSE)</f>
        <v/>
      </c>
      <c r="ET122" s="27" t="str">
        <f>VLOOKUP($A122,'[1]Raw Data'!$A$3:$FB$285,137,FALSE)</f>
        <v/>
      </c>
      <c r="EU122" s="27" t="str">
        <f>VLOOKUP($A122,'[1]Raw Data'!$A$3:$FB$285,138,FALSE)</f>
        <v/>
      </c>
      <c r="EV122" s="27" t="str">
        <f>VLOOKUP($A122,'[1]Raw Data'!$A$3:$FB$285,139,FALSE)</f>
        <v/>
      </c>
      <c r="EW122" s="38">
        <f>VLOOKUP($A122,[1]Training!$A$2:$I$284,5,FALSE)</f>
        <v>282.07692307692309</v>
      </c>
      <c r="EX122" s="31">
        <f>VLOOKUP($A122,[1]Training!$A$2:$I$284,6,FALSE)</f>
        <v>211</v>
      </c>
      <c r="EY122" s="38">
        <f>VLOOKUP($A122,[1]Training!$A$2:$I$284,8,FALSE)</f>
        <v>153.43417226301807</v>
      </c>
      <c r="EZ122" s="31">
        <f>VLOOKUP($A122,[1]Training!$A$2:$I$284,9,FALSE)</f>
        <v>163</v>
      </c>
      <c r="FA122" s="27">
        <v>1</v>
      </c>
      <c r="FB122" s="27">
        <v>2</v>
      </c>
      <c r="FC122" s="27" t="str">
        <f>VLOOKUP($A122,'[1]Raw Data'!$A$3:$FB$285,148,FALSE)</f>
        <v>Ambika Amatya</v>
      </c>
      <c r="FD122" s="27" t="s">
        <v>1130</v>
      </c>
      <c r="FE122" s="27" t="str">
        <f>VLOOKUP($A122,'[1]Raw Data'!$A$3:$FB$285,149,FALSE)</f>
        <v>District Coordinator</v>
      </c>
      <c r="FF122" s="27" t="s">
        <v>885</v>
      </c>
      <c r="FG122" s="27">
        <f>VLOOKUP($A122,'[1]Raw Data'!$A$3:$FB$285,150,FALSE)</f>
        <v>9841356409</v>
      </c>
      <c r="FH122" s="27" t="str">
        <f>VLOOKUP($A122,'[1]Raw Data'!$A$3:$FB$285,156,FALSE)</f>
        <v/>
      </c>
      <c r="FJ122" s="27" t="str">
        <f>VLOOKUP($A122,'[1]Raw Data'!$A$3:$FB$285,157,FALSE)</f>
        <v>District Technical Officer</v>
      </c>
      <c r="FK122" s="27" t="s">
        <v>886</v>
      </c>
      <c r="FL122" s="27" t="str">
        <f>VLOOKUP($A122,'[1]Raw Data'!$A$3:$FB$285,158,FALSE)</f>
        <v/>
      </c>
      <c r="FM122" s="27" t="str">
        <f>VLOOKUP($A122,'[1]Raw Data'!$A$3:$FB$285,152,FALSE)</f>
        <v>Manisha Rai</v>
      </c>
      <c r="FN122" s="27" t="s">
        <v>1131</v>
      </c>
      <c r="FO122" s="27" t="str">
        <f>VLOOKUP($A122,'[1]Raw Data'!$A$3:$FB$285,153,FALSE)</f>
        <v>DIstrict Information Management Officer</v>
      </c>
      <c r="FP122" s="27" t="s">
        <v>887</v>
      </c>
      <c r="FQ122" s="27">
        <f>VLOOKUP($A122,'[1]Raw Data'!$A$3:$FB$285,154,FALSE)</f>
        <v>9842062006</v>
      </c>
    </row>
    <row r="123" spans="1:173" ht="24" x14ac:dyDescent="0.45">
      <c r="A123" s="27">
        <v>27006</v>
      </c>
      <c r="B123" s="36" t="str">
        <f ca="1">IFERROR(__xludf.DUMMYFUNCTION("""COMPUTED_VALUE"""),"Kathmandu Mahanagarpalika")</f>
        <v>Kathmandu Mahanagarpalika</v>
      </c>
      <c r="C123" s="37" t="str">
        <f>VLOOKUP(A123,'[1]Palika and District in Nepali '!$D$1:$F$283,3,FALSE)</f>
        <v>काठमाण्डौ महानगरपालिका</v>
      </c>
      <c r="D123" s="36" t="str">
        <f ca="1">IFERROR(__xludf.DUMMYFUNCTION("""COMPUTED_VALUE"""),"Kathmandu")</f>
        <v>Kathmandu</v>
      </c>
      <c r="E123" s="36"/>
      <c r="F123" s="27">
        <f>VLOOKUP(A123,'[1]Raw Data'!$A$3:$FB$285,4,FALSE)</f>
        <v>917</v>
      </c>
      <c r="G123" s="27">
        <f>VLOOKUP(A123,'[1]Raw Data'!$A$3:$FB$285,5,FALSE)</f>
        <v>7821</v>
      </c>
      <c r="H123" s="27">
        <f>VLOOKUP(A123,'[1]Raw Data'!$A$3:$FB$285,6,FALSE)</f>
        <v>8738</v>
      </c>
      <c r="I123" s="27">
        <f>VLOOKUP($A123,'[1]Raw Data'!$A$3:$FB$285,8,FALSE)</f>
        <v>1.52</v>
      </c>
      <c r="J123" s="27">
        <f>VLOOKUP($A123,'[1]Raw Data'!$A$3:$FB$285,9,FALSE)</f>
        <v>0.96</v>
      </c>
      <c r="K123" s="27">
        <f>VLOOKUP($A123,'[1]Raw Data'!$A$3:$FB$285,11,FALSE)</f>
        <v>4.3499999999999996</v>
      </c>
      <c r="L123" s="27">
        <f>VLOOKUP($A123,'[1]Raw Data'!$A$3:$FB$285,12,FALSE)</f>
        <v>26.47</v>
      </c>
      <c r="M123" s="27">
        <f>VLOOKUP($A123,'[1]Raw Data'!$A$3:$FB$285,14,FALSE)</f>
        <v>12.83</v>
      </c>
      <c r="N123" s="27">
        <f>VLOOKUP($A123,'[1]Raw Data'!$A$3:$FB$285,15,FALSE)</f>
        <v>7.99</v>
      </c>
      <c r="O123" s="27">
        <f>VLOOKUP($A123,'[1]Raw Data'!$A$3:$FB$285,17,FALSE)</f>
        <v>34.69</v>
      </c>
      <c r="P123" s="27">
        <f>VLOOKUP($A123,'[1]Raw Data'!$A$3:$FB$285,18,FALSE)</f>
        <v>15.92</v>
      </c>
      <c r="Q123" s="27">
        <f>VLOOKUP($A123,'[1]Raw Data'!$A$3:$FB$285,20,FALSE)</f>
        <v>5.2</v>
      </c>
      <c r="R123" s="27">
        <f>VLOOKUP($A123,'[1]Raw Data'!$A$3:$FB$285,21,FALSE)</f>
        <v>3.8</v>
      </c>
      <c r="S123" s="27">
        <f>VLOOKUP($A123,'[1]Raw Data'!$A$3:$FB$285,23,FALSE)</f>
        <v>0</v>
      </c>
      <c r="T123" s="27">
        <f>VLOOKUP($A123,'[1]Raw Data'!$A$3:$FB$285,24,FALSE)</f>
        <v>0</v>
      </c>
      <c r="U123" s="27">
        <f>VLOOKUP($A123,'[1]Raw Data'!$A$3:$FB$285,26,FALSE)</f>
        <v>0.03</v>
      </c>
      <c r="V123" s="27">
        <f>VLOOKUP($A123,'[1]Raw Data'!$A$3:$FB$285,27,FALSE)</f>
        <v>0.03</v>
      </c>
      <c r="W123" s="27">
        <f>VLOOKUP($A123,'[1]Raw Data'!$A$3:$FB$285,29,FALSE)</f>
        <v>0</v>
      </c>
      <c r="X123" s="27">
        <f>VLOOKUP($A123,'[1]Raw Data'!$A$3:$FB$285,30,FALSE)</f>
        <v>0</v>
      </c>
      <c r="Y123" s="27">
        <f>VLOOKUP($A123,'[1]Raw Data'!$A$3:$FB$285,32,FALSE)</f>
        <v>0.09</v>
      </c>
      <c r="Z123" s="27">
        <f>VLOOKUP($A123,'[1]Raw Data'!$A$3:$FB$285,33,FALSE)</f>
        <v>0.36</v>
      </c>
      <c r="AA123" s="27">
        <f>VLOOKUP($A123,'[1]Raw Data'!$A$3:$FB$285,35,FALSE)</f>
        <v>41.27</v>
      </c>
      <c r="AB123" s="27">
        <f>VLOOKUP($A123,'[1]Raw Data'!$A$3:$FB$285,36,FALSE)</f>
        <v>44.43</v>
      </c>
      <c r="AC123" s="27">
        <f>VLOOKUP($A123,'[1]Raw Data'!$A$3:$FB$285,38,FALSE)</f>
        <v>0.02</v>
      </c>
      <c r="AD123" s="27">
        <f>VLOOKUP($A123,'[1]Raw Data'!$A$3:$FB$285,39,FALSE)</f>
        <v>0.05</v>
      </c>
      <c r="AE123" s="27">
        <f>VLOOKUP($A123,'[1]Raw Data'!$A$3:$FB$285,41,FALSE)</f>
        <v>0</v>
      </c>
      <c r="AF123" s="27">
        <f>VLOOKUP($A123,'[1]Raw Data'!$A$3:$FB$285,42,FALSE)</f>
        <v>0</v>
      </c>
      <c r="AG123" s="27">
        <f>VLOOKUP($A123,'[1]Raw Data'!$A$3:$FB$285,44,FALSE)</f>
        <v>0</v>
      </c>
      <c r="AH123" s="27">
        <f>VLOOKUP($A123,'[1]Raw Data'!$A$3:$FB$285,45,FALSE)</f>
        <v>0</v>
      </c>
      <c r="AI123" s="27">
        <f>VLOOKUP($A123,'[1]Raw Data'!$A$3:$FB$285,46,FALSE)</f>
        <v>7496</v>
      </c>
      <c r="AJ123" s="27">
        <f>VLOOKUP($A123,'[1]Raw Data'!$A$3:$FB$285,47,FALSE)</f>
        <v>5973</v>
      </c>
      <c r="AK123" s="27">
        <f>VLOOKUP($A123,'[1]Raw Data'!$A$3:$FB$285,48,FALSE)</f>
        <v>5944</v>
      </c>
      <c r="AL123" s="27">
        <f>VLOOKUP($A123,'[1]Raw Data'!$A$3:$FB$285,49,FALSE)</f>
        <v>1378</v>
      </c>
      <c r="AM123" s="27">
        <f>VLOOKUP($A123,'[1]Raw Data'!$A$3:$FB$285,50,FALSE)</f>
        <v>1095</v>
      </c>
      <c r="AN123" s="27" t="str">
        <f>VLOOKUP($A123,'[1]Raw Data'!$A$3:$FB$285,51,FALSE)</f>
        <v/>
      </c>
      <c r="AO123" s="27" t="str">
        <f>VLOOKUP($A123,'[1]Raw Data'!$A$3:$FB$285,52,FALSE)</f>
        <v/>
      </c>
      <c r="AP123" s="27">
        <f>VLOOKUP($A123,'[1]Raw Data'!$A$3:$FB$285,53,FALSE)</f>
        <v>173</v>
      </c>
      <c r="AQ123" s="27">
        <f>VLOOKUP($A123,'[1]Raw Data'!$A$3:$FB$285,54,FALSE)</f>
        <v>30</v>
      </c>
      <c r="AR123" s="27">
        <f>VLOOKUP($A123,'[1]Raw Data'!$A$3:$FB$285,55,FALSE)</f>
        <v>30</v>
      </c>
      <c r="AS123" s="27">
        <f>VLOOKUP($A123,'[1]Raw Data'!$A$3:$FB$285,56,FALSE)</f>
        <v>0</v>
      </c>
      <c r="AT123" s="27" t="str">
        <f>VLOOKUP($A123,'[1]Raw Data'!$A$3:$FB$285,57,FALSE)</f>
        <v/>
      </c>
      <c r="AU123" s="27" t="str">
        <f>VLOOKUP($A123,'[1]Raw Data'!$A$3:$FB$285,58,FALSE)</f>
        <v/>
      </c>
      <c r="AV123" s="27" t="str">
        <f>VLOOKUP($A123,'[1]Raw Data'!$A$3:$FB$285,59,FALSE)</f>
        <v/>
      </c>
      <c r="AW123" s="27" t="str">
        <f>VLOOKUP($A123,'[1]Raw Data'!$A$3:$FB$285,60,FALSE)</f>
        <v/>
      </c>
      <c r="AX123" s="27" t="str">
        <f>VLOOKUP(A123,'[1]PO''s List'!A121:E403,4,FALSE)</f>
        <v>NRCS(Livelihood,Education,Employment ,Health,Shelter,Health),NSET(Shelter)</v>
      </c>
      <c r="AZ123" s="27" t="str">
        <f>VLOOKUP(A123,'[1]PO''s List'!$A$3:$E$285,5,FALSE)</f>
        <v>AATWIN(Social Protection),MIDSON(Health),Miyamoto(Heritage),</v>
      </c>
      <c r="BB123" s="27">
        <f>VLOOKUP($A123,'[1]Raw Data'!$A$3:$FB$285,63,FALSE)</f>
        <v>48450</v>
      </c>
      <c r="BC123" s="27" t="str">
        <f>VLOOKUP($A123,'[1]Raw Data'!$A$3:$FB$285,64,FALSE)</f>
        <v/>
      </c>
      <c r="BD123" s="27" t="str">
        <f t="shared" si="9"/>
        <v/>
      </c>
      <c r="BE123" s="27" t="str">
        <f>VLOOKUP($A123,'[1]Raw Data'!$A$3:$FB$285,65,FALSE)</f>
        <v/>
      </c>
      <c r="BF123" s="27">
        <f>VLOOKUP($A123,'[1]Raw Data'!$A$3:$FB$285,66,FALSE)</f>
        <v>33118</v>
      </c>
      <c r="BG123" s="27" t="str">
        <f>VLOOKUP($A123,'[1]Raw Data'!$A$3:$FB$285,67,FALSE)</f>
        <v/>
      </c>
      <c r="BH123" s="27" t="str">
        <f t="shared" si="10"/>
        <v/>
      </c>
      <c r="BI123" s="27" t="str">
        <f>VLOOKUP($A123,'[1]Raw Data'!$A$3:$FB$285,68,FALSE)</f>
        <v/>
      </c>
      <c r="BJ123" s="27">
        <f>VLOOKUP($A123,'[1]Raw Data'!$A$3:$FB$285,69,FALSE)</f>
        <v>5024</v>
      </c>
      <c r="BK123" s="27" t="str">
        <f>VLOOKUP($A123,'[1]Raw Data'!$A$3:$FB$285,70,FALSE)</f>
        <v/>
      </c>
      <c r="BL123" s="27" t="str">
        <f t="shared" si="11"/>
        <v/>
      </c>
      <c r="BM123" s="27" t="str">
        <f>VLOOKUP($A123,'[1]Raw Data'!$A$3:$FB$285,71,FALSE)</f>
        <v/>
      </c>
      <c r="BN123" s="27">
        <f>VLOOKUP($A123,'[1]Raw Data'!$A$3:$FB$285,72,FALSE)</f>
        <v>5247</v>
      </c>
      <c r="BO123" s="27" t="str">
        <f>VLOOKUP($A123,'[1]Raw Data'!$A$3:$FB$285,73,FALSE)</f>
        <v/>
      </c>
      <c r="BP123" s="27" t="str">
        <f t="shared" si="12"/>
        <v/>
      </c>
      <c r="BQ123" s="27" t="str">
        <f>VLOOKUP($A123,'[1]Raw Data'!$A$3:$FB$285,74,FALSE)</f>
        <v/>
      </c>
      <c r="BR123" s="27" t="str">
        <f>VLOOKUP($A123,'[1]Raw Data'!$A$3:$FB$285,75,FALSE)</f>
        <v/>
      </c>
      <c r="BS123" s="27" t="str">
        <f>VLOOKUP($A123,'[1]Raw Data'!$A$3:$FB$285,76,FALSE)</f>
        <v/>
      </c>
      <c r="BT123" s="27" t="str">
        <f t="shared" si="13"/>
        <v/>
      </c>
      <c r="BU123" s="27" t="str">
        <f>VLOOKUP($A123,'[1]Raw Data'!$A$3:$FB$285,77,FALSE)</f>
        <v/>
      </c>
      <c r="BV123" s="27">
        <f>VLOOKUP($A123,'[1]Raw Data'!$A$3:$FB$285,78,FALSE)</f>
        <v>116057</v>
      </c>
      <c r="BW123" s="27" t="str">
        <f>VLOOKUP($A123,'[1]Raw Data'!$A$3:$FB$285,79,FALSE)</f>
        <v/>
      </c>
      <c r="BX123" s="27" t="str">
        <f t="shared" si="14"/>
        <v/>
      </c>
      <c r="BY123" s="27" t="str">
        <f>VLOOKUP($A123,'[1]Raw Data'!$A$3:$FB$285,80,FALSE)</f>
        <v/>
      </c>
      <c r="BZ123" s="27">
        <f>VLOOKUP($A123,'[1]Raw Data'!$A$3:$FB$285,81,FALSE)</f>
        <v>555007</v>
      </c>
      <c r="CA123" s="27" t="str">
        <f>VLOOKUP($A123,'[1]Raw Data'!$A$3:$FB$285,82,FALSE)</f>
        <v/>
      </c>
      <c r="CB123" s="27" t="str">
        <f t="shared" si="15"/>
        <v/>
      </c>
      <c r="CC123" s="27" t="str">
        <f>VLOOKUP($A123,'[1]Raw Data'!$A$3:$FB$285,83,FALSE)</f>
        <v/>
      </c>
      <c r="CD123" s="27">
        <f>VLOOKUP($A123,'[1]Raw Data'!$A$3:$FB$285,84,FALSE)</f>
        <v>4740</v>
      </c>
      <c r="CE123" s="27" t="str">
        <f>VLOOKUP($A123,'[1]Raw Data'!$A$3:$FB$285,85,FALSE)</f>
        <v/>
      </c>
      <c r="CF123" s="27" t="str">
        <f t="shared" si="16"/>
        <v/>
      </c>
      <c r="CG123" s="27" t="str">
        <f>VLOOKUP($A123,'[1]Raw Data'!$A$3:$FB$285,86,FALSE)</f>
        <v/>
      </c>
      <c r="CH123" s="27">
        <f>VLOOKUP($A123,'[1]Raw Data'!$A$3:$FB$285,87,FALSE)</f>
        <v>2249336</v>
      </c>
      <c r="CI123" s="27" t="str">
        <f>VLOOKUP($A123,'[1]Raw Data'!$A$3:$FB$285,88,FALSE)</f>
        <v/>
      </c>
      <c r="CJ123" s="27" t="str">
        <f t="shared" si="17"/>
        <v/>
      </c>
      <c r="CK123" s="27" t="str">
        <f>VLOOKUP($A123,'[1]Raw Data'!$A$3:$FB$285,89,FALSE)</f>
        <v/>
      </c>
      <c r="CL123" s="27" t="str">
        <f>VLOOKUP($A123,'[1]Raw Data'!$A$3:$FB$285,91,FALSE)</f>
        <v/>
      </c>
      <c r="CM123" s="27" t="str">
        <f>VLOOKUP($A123,'[1]Raw Data'!$A$3:$FB$285,93,FALSE)</f>
        <v/>
      </c>
      <c r="CN123" s="27" t="str">
        <f>VLOOKUP($A123,'[1]Raw Data'!$A$3:$FB$285,94,FALSE)</f>
        <v/>
      </c>
      <c r="CO123" s="27" t="str">
        <f>VLOOKUP($A123,'[1]Raw Data'!$A$3:$FB$285,95,FALSE)</f>
        <v/>
      </c>
      <c r="CP123" s="27" t="str">
        <f>VLOOKUP($A123,'[1]Raw Data'!$A$3:$FB$285,96,FALSE)</f>
        <v/>
      </c>
      <c r="CQ123" s="27" t="str">
        <f>VLOOKUP($A123,'[1]Raw Data'!$A$3:$FB$285,97,FALSE)</f>
        <v/>
      </c>
      <c r="CR123" s="27" t="str">
        <f>VLOOKUP($A123,'[1]Raw Data'!$A$3:$FB$285,98,FALSE)</f>
        <v/>
      </c>
      <c r="CS123" s="27" t="str">
        <f>VLOOKUP($A123,'[1]Raw Data'!$A$3:$FB$285,99,FALSE)</f>
        <v/>
      </c>
      <c r="CT123" s="27" t="str">
        <f>VLOOKUP($A123,'[1]Raw Data'!$A$3:$FB$285,101,FALSE)</f>
        <v>Bidhya Sundar Shakya</v>
      </c>
      <c r="CU123" s="27" t="s">
        <v>1189</v>
      </c>
      <c r="CV123" s="27" t="str">
        <f>VLOOKUP($A123,'[1]Raw Data'!$A$3:$FB$285,102,FALSE)</f>
        <v>Mayor</v>
      </c>
      <c r="CW123" s="27" t="s">
        <v>834</v>
      </c>
      <c r="CX123" s="27" t="str">
        <f>VLOOKUP($A123,'[1]Raw Data'!$A$3:$FB$285,103,FALSE)</f>
        <v/>
      </c>
      <c r="CY123" s="27" t="str">
        <f>VLOOKUP($A123,'[1]Raw Data'!$A$3:$FB$285,105,FALSE)</f>
        <v>Hari Prabha Khagdi Shrestha</v>
      </c>
      <c r="CZ123" s="27" t="s">
        <v>1190</v>
      </c>
      <c r="DA123" s="27" t="str">
        <f>VLOOKUP($A123,'[1]Raw Data'!$A$3:$FB$285,106,FALSE)</f>
        <v>Deputy Mayor</v>
      </c>
      <c r="DB123" s="27" t="s">
        <v>888</v>
      </c>
      <c r="DC123" s="27" t="str">
        <f>VLOOKUP($A123,'[1]Raw Data'!$A$3:$FB$285,107,FALSE)</f>
        <v/>
      </c>
      <c r="DD123" s="27" t="str">
        <f>VLOOKUP($A123,'[1]Raw Data'!$A$3:$FB$285,109,FALSE)</f>
        <v>Yadab Prasad Koirala</v>
      </c>
      <c r="DE123" s="27" t="s">
        <v>1191</v>
      </c>
      <c r="DF123" s="27" t="str">
        <f>VLOOKUP($A123,'[1]Raw Data'!$A$3:$FB$285,110,FALSE)</f>
        <v>Adminstration Officer</v>
      </c>
      <c r="DG123" s="27" t="s">
        <v>880</v>
      </c>
      <c r="DH123" s="27" t="str">
        <f>VLOOKUP($A123,'[1]Raw Data'!$A$3:$FB$285,111,FALSE)</f>
        <v/>
      </c>
      <c r="DI123" s="27" t="str">
        <f>VLOOKUP($A123,'[1]Raw Data'!$A$3:$FB$285,121,FALSE)</f>
        <v>Kanta Majgaiya</v>
      </c>
      <c r="DJ123" s="27" t="s">
        <v>1192</v>
      </c>
      <c r="DK123" s="27" t="str">
        <f>VLOOKUP($A123,'[1]Raw Data'!$A$3:$FB$285,122,FALSE)</f>
        <v>Focal Person</v>
      </c>
      <c r="DL123" s="27" t="s">
        <v>881</v>
      </c>
      <c r="DM123" s="27">
        <f>VLOOKUP($A123,'[1]Raw Data'!$A$3:$FB$285,123,FALSE)</f>
        <v>9841623825</v>
      </c>
      <c r="DN123" s="27" t="str">
        <f>VLOOKUP($A123,'[1]Raw Data'!$A$3:$FB$285,113,FALSE)</f>
        <v>Samar Bahadur Khanal</v>
      </c>
      <c r="DO123" s="27" t="s">
        <v>1172</v>
      </c>
      <c r="DP123" s="27" t="str">
        <f>VLOOKUP($A123,'[1]Raw Data'!$A$3:$FB$285,114,FALSE)</f>
        <v>NRA Chief-District</v>
      </c>
      <c r="DQ123" s="27" t="s">
        <v>882</v>
      </c>
      <c r="DR123" s="27">
        <f>VLOOKUP($A123,'[1]Raw Data'!$A$3:$FB$285,115,FALSE)</f>
        <v>9851209362</v>
      </c>
      <c r="DS123" s="27" t="str">
        <f>VLOOKUP($A123,'[1]Raw Data'!$A$3:$FB$285,117,FALSE)</f>
        <v>Chandra Kaji Gurung</v>
      </c>
      <c r="DT123" s="27" t="s">
        <v>1129</v>
      </c>
      <c r="DU123" s="27" t="str">
        <f>VLOOKUP($A123,'[1]Raw Data'!$A$3:$FB$285,118,FALSE)</f>
        <v>DUDBC.DLPIU Chief</v>
      </c>
      <c r="DV123" s="27" t="s">
        <v>883</v>
      </c>
      <c r="DW123" s="27">
        <f>VLOOKUP($A123,'[1]Raw Data'!$A$3:$FB$285,119,FALSE)</f>
        <v>9841576783</v>
      </c>
      <c r="DX123" s="27" t="s">
        <v>339</v>
      </c>
      <c r="DY123" s="27" t="str">
        <f>VLOOKUP($A123,'[1]Raw Data'!$A$3:$FB$285,124,FALSE)</f>
        <v/>
      </c>
      <c r="DZ123" s="27" t="s">
        <v>884</v>
      </c>
      <c r="EA123" s="27" t="str">
        <f>VLOOKUP($A123,'[1]Raw Data'!$A$3:$FB$285,125,FALSE)</f>
        <v/>
      </c>
      <c r="EB123" s="27" t="s">
        <v>341</v>
      </c>
      <c r="EC123" s="27" t="str">
        <f>VLOOKUP($A123,'[1]Raw Data'!$A$3:$FB$285,126,FALSE)</f>
        <v/>
      </c>
      <c r="ED123" t="s">
        <v>478</v>
      </c>
      <c r="EE123" s="27" t="str">
        <f>VLOOKUP($A123,'[1]Raw Data'!$A$3:$FB$285,127,FALSE)</f>
        <v/>
      </c>
      <c r="EF123" s="27" t="s">
        <v>343</v>
      </c>
      <c r="EG123" s="27" t="str">
        <f>VLOOKUP($A123,'[1]Raw Data'!$A$3:$FB$285,128,FALSE)</f>
        <v/>
      </c>
      <c r="EH123" t="s">
        <v>344</v>
      </c>
      <c r="EI123" s="27" t="str">
        <f>VLOOKUP($A123,'[1]Raw Data'!$A$3:$FB$285,129,FALSE)</f>
        <v/>
      </c>
      <c r="EM123" s="27" t="str">
        <f>VLOOKUP($A123,'[1]Raw Data'!$A$3:$FB$285,130,FALSE)</f>
        <v/>
      </c>
      <c r="EN123" s="27" t="str">
        <f>VLOOKUP($A123,'[1]Raw Data'!$A$3:$FB$285,131,FALSE)</f>
        <v/>
      </c>
      <c r="EO123" s="27" t="str">
        <f>VLOOKUP($A123,'[1]Raw Data'!$A$3:$FB$285,132,FALSE)</f>
        <v/>
      </c>
      <c r="EP123" s="27" t="str">
        <f>VLOOKUP($A123,'[1]Raw Data'!$A$3:$FB$285,133,FALSE)</f>
        <v/>
      </c>
      <c r="EQ123" s="27" t="str">
        <f>VLOOKUP($A123,'[1]Raw Data'!$A$3:$FB$285,134,FALSE)</f>
        <v/>
      </c>
      <c r="ER123" s="27" t="str">
        <f>VLOOKUP($A123,'[1]Raw Data'!$A$3:$FB$285,135,FALSE)</f>
        <v/>
      </c>
      <c r="ES123" s="27" t="str">
        <f>VLOOKUP($A123,'[1]Raw Data'!$A$3:$FB$285,136,FALSE)</f>
        <v/>
      </c>
      <c r="ET123" s="27" t="str">
        <f>VLOOKUP($A123,'[1]Raw Data'!$A$3:$FB$285,137,FALSE)</f>
        <v/>
      </c>
      <c r="EU123" s="27" t="str">
        <f>VLOOKUP($A123,'[1]Raw Data'!$A$3:$FB$285,138,FALSE)</f>
        <v/>
      </c>
      <c r="EV123" s="27" t="str">
        <f>VLOOKUP($A123,'[1]Raw Data'!$A$3:$FB$285,139,FALSE)</f>
        <v/>
      </c>
      <c r="EW123" s="38">
        <f>VLOOKUP($A123,[1]Training!$A$2:$I$284,5,FALSE)</f>
        <v>576.61538461538464</v>
      </c>
      <c r="EX123" s="31">
        <f>VLOOKUP($A123,[1]Training!$A$2:$I$284,6,FALSE)</f>
        <v>310</v>
      </c>
      <c r="EY123" s="38">
        <f>VLOOKUP($A123,[1]Training!$A$2:$I$284,8,FALSE)</f>
        <v>313.64672901106718</v>
      </c>
      <c r="EZ123" s="31">
        <f>VLOOKUP($A123,[1]Training!$A$2:$I$284,9,FALSE)</f>
        <v>0</v>
      </c>
      <c r="FA123" s="27">
        <v>1</v>
      </c>
      <c r="FB123" s="27">
        <v>2</v>
      </c>
      <c r="FC123" s="27" t="str">
        <f>VLOOKUP($A123,'[1]Raw Data'!$A$3:$FB$285,148,FALSE)</f>
        <v>Ambika Amatya</v>
      </c>
      <c r="FD123" s="27" t="s">
        <v>1130</v>
      </c>
      <c r="FE123" s="27" t="str">
        <f>VLOOKUP($A123,'[1]Raw Data'!$A$3:$FB$285,149,FALSE)</f>
        <v>District Coordinator</v>
      </c>
      <c r="FF123" s="27" t="s">
        <v>885</v>
      </c>
      <c r="FG123" s="27">
        <f>VLOOKUP($A123,'[1]Raw Data'!$A$3:$FB$285,150,FALSE)</f>
        <v>9841356409</v>
      </c>
      <c r="FH123" s="27" t="str">
        <f>VLOOKUP($A123,'[1]Raw Data'!$A$3:$FB$285,156,FALSE)</f>
        <v/>
      </c>
      <c r="FJ123" s="27" t="str">
        <f>VLOOKUP($A123,'[1]Raw Data'!$A$3:$FB$285,157,FALSE)</f>
        <v>District Technical Officer</v>
      </c>
      <c r="FK123" s="27" t="s">
        <v>886</v>
      </c>
      <c r="FL123" s="27" t="str">
        <f>VLOOKUP($A123,'[1]Raw Data'!$A$3:$FB$285,158,FALSE)</f>
        <v/>
      </c>
      <c r="FM123" s="27" t="str">
        <f>VLOOKUP($A123,'[1]Raw Data'!$A$3:$FB$285,152,FALSE)</f>
        <v>Manisha Rai</v>
      </c>
      <c r="FN123" s="27" t="s">
        <v>1131</v>
      </c>
      <c r="FO123" s="27" t="str">
        <f>VLOOKUP($A123,'[1]Raw Data'!$A$3:$FB$285,153,FALSE)</f>
        <v>DIstrict Information Management Officer</v>
      </c>
      <c r="FP123" s="27" t="s">
        <v>887</v>
      </c>
      <c r="FQ123" s="27">
        <f>VLOOKUP($A123,'[1]Raw Data'!$A$3:$FB$285,154,FALSE)</f>
        <v>9842062006</v>
      </c>
    </row>
    <row r="124" spans="1:173" ht="24" x14ac:dyDescent="0.45">
      <c r="A124" s="27">
        <v>27007</v>
      </c>
      <c r="B124" s="36" t="str">
        <f ca="1">IFERROR(__xludf.DUMMYFUNCTION("""COMPUTED_VALUE"""),"Kirtipur Nagarpalika")</f>
        <v>Kirtipur Nagarpalika</v>
      </c>
      <c r="C124" s="37" t="str">
        <f>VLOOKUP(A124,'[1]Palika and District in Nepali '!$D$1:$F$283,3,FALSE)</f>
        <v>किर्तिपुर नगरपालिका</v>
      </c>
      <c r="D124" s="36" t="str">
        <f ca="1">IFERROR(__xludf.DUMMYFUNCTION("""COMPUTED_VALUE"""),"Kathmandu")</f>
        <v>Kathmandu</v>
      </c>
      <c r="E124" s="36"/>
      <c r="F124" s="27">
        <f>VLOOKUP(A124,'[1]Raw Data'!$A$3:$FB$285,4,FALSE)</f>
        <v>433</v>
      </c>
      <c r="G124" s="27">
        <f>VLOOKUP(A124,'[1]Raw Data'!$A$3:$FB$285,5,FALSE)</f>
        <v>3325</v>
      </c>
      <c r="H124" s="27">
        <f>VLOOKUP(A124,'[1]Raw Data'!$A$3:$FB$285,6,FALSE)</f>
        <v>3758</v>
      </c>
      <c r="I124" s="27">
        <f>VLOOKUP($A124,'[1]Raw Data'!$A$3:$FB$285,8,FALSE)</f>
        <v>0.67</v>
      </c>
      <c r="J124" s="27">
        <f>VLOOKUP($A124,'[1]Raw Data'!$A$3:$FB$285,9,FALSE)</f>
        <v>0.96</v>
      </c>
      <c r="K124" s="27">
        <f>VLOOKUP($A124,'[1]Raw Data'!$A$3:$FB$285,11,FALSE)</f>
        <v>19.72</v>
      </c>
      <c r="L124" s="27">
        <f>VLOOKUP($A124,'[1]Raw Data'!$A$3:$FB$285,12,FALSE)</f>
        <v>26.47</v>
      </c>
      <c r="M124" s="27">
        <f>VLOOKUP($A124,'[1]Raw Data'!$A$3:$FB$285,14,FALSE)</f>
        <v>8.59</v>
      </c>
      <c r="N124" s="27">
        <f>VLOOKUP($A124,'[1]Raw Data'!$A$3:$FB$285,15,FALSE)</f>
        <v>7.99</v>
      </c>
      <c r="O124" s="27">
        <f>VLOOKUP($A124,'[1]Raw Data'!$A$3:$FB$285,17,FALSE)</f>
        <v>20.38</v>
      </c>
      <c r="P124" s="27">
        <f>VLOOKUP($A124,'[1]Raw Data'!$A$3:$FB$285,18,FALSE)</f>
        <v>15.92</v>
      </c>
      <c r="Q124" s="27">
        <f>VLOOKUP($A124,'[1]Raw Data'!$A$3:$FB$285,20,FALSE)</f>
        <v>3.86</v>
      </c>
      <c r="R124" s="27">
        <f>VLOOKUP($A124,'[1]Raw Data'!$A$3:$FB$285,21,FALSE)</f>
        <v>3.8</v>
      </c>
      <c r="S124" s="27">
        <f>VLOOKUP($A124,'[1]Raw Data'!$A$3:$FB$285,23,FALSE)</f>
        <v>0</v>
      </c>
      <c r="T124" s="27">
        <f>VLOOKUP($A124,'[1]Raw Data'!$A$3:$FB$285,24,FALSE)</f>
        <v>0</v>
      </c>
      <c r="U124" s="27">
        <f>VLOOKUP($A124,'[1]Raw Data'!$A$3:$FB$285,26,FALSE)</f>
        <v>0</v>
      </c>
      <c r="V124" s="27">
        <f>VLOOKUP($A124,'[1]Raw Data'!$A$3:$FB$285,27,FALSE)</f>
        <v>0.03</v>
      </c>
      <c r="W124" s="27">
        <f>VLOOKUP($A124,'[1]Raw Data'!$A$3:$FB$285,29,FALSE)</f>
        <v>0</v>
      </c>
      <c r="X124" s="27">
        <f>VLOOKUP($A124,'[1]Raw Data'!$A$3:$FB$285,30,FALSE)</f>
        <v>0</v>
      </c>
      <c r="Y124" s="27">
        <f>VLOOKUP($A124,'[1]Raw Data'!$A$3:$FB$285,32,FALSE)</f>
        <v>0.05</v>
      </c>
      <c r="Z124" s="27">
        <f>VLOOKUP($A124,'[1]Raw Data'!$A$3:$FB$285,33,FALSE)</f>
        <v>0.36</v>
      </c>
      <c r="AA124" s="27">
        <f>VLOOKUP($A124,'[1]Raw Data'!$A$3:$FB$285,35,FALSE)</f>
        <v>46.67</v>
      </c>
      <c r="AB124" s="27">
        <f>VLOOKUP($A124,'[1]Raw Data'!$A$3:$FB$285,36,FALSE)</f>
        <v>44.43</v>
      </c>
      <c r="AC124" s="27">
        <f>VLOOKUP($A124,'[1]Raw Data'!$A$3:$FB$285,38,FALSE)</f>
        <v>0.05</v>
      </c>
      <c r="AD124" s="27">
        <f>VLOOKUP($A124,'[1]Raw Data'!$A$3:$FB$285,39,FALSE)</f>
        <v>0.05</v>
      </c>
      <c r="AE124" s="27">
        <f>VLOOKUP($A124,'[1]Raw Data'!$A$3:$FB$285,41,FALSE)</f>
        <v>0</v>
      </c>
      <c r="AF124" s="27">
        <f>VLOOKUP($A124,'[1]Raw Data'!$A$3:$FB$285,42,FALSE)</f>
        <v>0</v>
      </c>
      <c r="AG124" s="27">
        <f>VLOOKUP($A124,'[1]Raw Data'!$A$3:$FB$285,44,FALSE)</f>
        <v>0</v>
      </c>
      <c r="AH124" s="27">
        <f>VLOOKUP($A124,'[1]Raw Data'!$A$3:$FB$285,45,FALSE)</f>
        <v>0</v>
      </c>
      <c r="AI124" s="27">
        <f>VLOOKUP($A124,'[1]Raw Data'!$A$3:$FB$285,46,FALSE)</f>
        <v>2935</v>
      </c>
      <c r="AJ124" s="27">
        <f>VLOOKUP($A124,'[1]Raw Data'!$A$3:$FB$285,47,FALSE)</f>
        <v>2475</v>
      </c>
      <c r="AK124" s="27">
        <f>VLOOKUP($A124,'[1]Raw Data'!$A$3:$FB$285,48,FALSE)</f>
        <v>2460</v>
      </c>
      <c r="AL124" s="27">
        <f>VLOOKUP($A124,'[1]Raw Data'!$A$3:$FB$285,49,FALSE)</f>
        <v>912</v>
      </c>
      <c r="AM124" s="27">
        <f>VLOOKUP($A124,'[1]Raw Data'!$A$3:$FB$285,50,FALSE)</f>
        <v>722</v>
      </c>
      <c r="AN124" s="27" t="str">
        <f>VLOOKUP($A124,'[1]Raw Data'!$A$3:$FB$285,51,FALSE)</f>
        <v/>
      </c>
      <c r="AO124" s="27" t="str">
        <f>VLOOKUP($A124,'[1]Raw Data'!$A$3:$FB$285,52,FALSE)</f>
        <v/>
      </c>
      <c r="AP124" s="27">
        <f>VLOOKUP($A124,'[1]Raw Data'!$A$3:$FB$285,53,FALSE)</f>
        <v>44</v>
      </c>
      <c r="AQ124" s="27">
        <f>VLOOKUP($A124,'[1]Raw Data'!$A$3:$FB$285,54,FALSE)</f>
        <v>16</v>
      </c>
      <c r="AR124" s="27">
        <f>VLOOKUP($A124,'[1]Raw Data'!$A$3:$FB$285,55,FALSE)</f>
        <v>16</v>
      </c>
      <c r="AS124" s="27">
        <f>VLOOKUP($A124,'[1]Raw Data'!$A$3:$FB$285,56,FALSE)</f>
        <v>0</v>
      </c>
      <c r="AT124" s="27">
        <f>VLOOKUP($A124,'[1]Raw Data'!$A$3:$FB$285,57,FALSE)</f>
        <v>1275</v>
      </c>
      <c r="AU124" s="27">
        <f>VLOOKUP($A124,'[1]Raw Data'!$A$3:$FB$285,58,FALSE)</f>
        <v>208</v>
      </c>
      <c r="AV124" s="27" t="str">
        <f>VLOOKUP($A124,'[1]Raw Data'!$A$3:$FB$285,59,FALSE)</f>
        <v/>
      </c>
      <c r="AW124" s="27" t="str">
        <f>VLOOKUP($A124,'[1]Raw Data'!$A$3:$FB$285,60,FALSE)</f>
        <v/>
      </c>
      <c r="AX124" s="27" t="str">
        <f>VLOOKUP(A124,'[1]PO''s List'!A122:E404,4,FALSE)</f>
        <v/>
      </c>
      <c r="AZ124" s="27" t="str">
        <f>VLOOKUP(A124,'[1]PO''s List'!$A$3:$E$285,5,FALSE)</f>
        <v>AA(DRR,Education,Employment ,GESI),OXFAM-GB(Shelter),PLAN(GESI)</v>
      </c>
      <c r="BB124" s="27">
        <f>VLOOKUP($A124,'[1]Raw Data'!$A$3:$FB$285,63,FALSE)</f>
        <v>31533</v>
      </c>
      <c r="BC124" s="27" t="str">
        <f>VLOOKUP($A124,'[1]Raw Data'!$A$3:$FB$285,64,FALSE)</f>
        <v/>
      </c>
      <c r="BD124" s="27" t="str">
        <f t="shared" si="9"/>
        <v/>
      </c>
      <c r="BE124" s="27" t="str">
        <f>VLOOKUP($A124,'[1]Raw Data'!$A$3:$FB$285,65,FALSE)</f>
        <v/>
      </c>
      <c r="BF124" s="27">
        <f>VLOOKUP($A124,'[1]Raw Data'!$A$3:$FB$285,66,FALSE)</f>
        <v>28910</v>
      </c>
      <c r="BG124" s="27" t="str">
        <f>VLOOKUP($A124,'[1]Raw Data'!$A$3:$FB$285,67,FALSE)</f>
        <v/>
      </c>
      <c r="BH124" s="27" t="str">
        <f t="shared" si="10"/>
        <v/>
      </c>
      <c r="BI124" s="27" t="str">
        <f>VLOOKUP($A124,'[1]Raw Data'!$A$3:$FB$285,68,FALSE)</f>
        <v/>
      </c>
      <c r="BJ124" s="27">
        <f>VLOOKUP($A124,'[1]Raw Data'!$A$3:$FB$285,69,FALSE)</f>
        <v>3336</v>
      </c>
      <c r="BK124" s="27" t="str">
        <f>VLOOKUP($A124,'[1]Raw Data'!$A$3:$FB$285,70,FALSE)</f>
        <v/>
      </c>
      <c r="BL124" s="27" t="str">
        <f t="shared" si="11"/>
        <v/>
      </c>
      <c r="BM124" s="27" t="str">
        <f>VLOOKUP($A124,'[1]Raw Data'!$A$3:$FB$285,71,FALSE)</f>
        <v/>
      </c>
      <c r="BN124" s="27">
        <f>VLOOKUP($A124,'[1]Raw Data'!$A$3:$FB$285,72,FALSE)</f>
        <v>3738</v>
      </c>
      <c r="BO124" s="27" t="str">
        <f>VLOOKUP($A124,'[1]Raw Data'!$A$3:$FB$285,73,FALSE)</f>
        <v/>
      </c>
      <c r="BP124" s="27" t="str">
        <f t="shared" si="12"/>
        <v/>
      </c>
      <c r="BQ124" s="27" t="str">
        <f>VLOOKUP($A124,'[1]Raw Data'!$A$3:$FB$285,74,FALSE)</f>
        <v/>
      </c>
      <c r="BR124" s="27" t="str">
        <f>VLOOKUP($A124,'[1]Raw Data'!$A$3:$FB$285,75,FALSE)</f>
        <v/>
      </c>
      <c r="BS124" s="27" t="str">
        <f>VLOOKUP($A124,'[1]Raw Data'!$A$3:$FB$285,76,FALSE)</f>
        <v/>
      </c>
      <c r="BT124" s="27" t="str">
        <f t="shared" si="13"/>
        <v/>
      </c>
      <c r="BU124" s="27" t="str">
        <f>VLOOKUP($A124,'[1]Raw Data'!$A$3:$FB$285,77,FALSE)</f>
        <v/>
      </c>
      <c r="BV124" s="27">
        <f>VLOOKUP($A124,'[1]Raw Data'!$A$3:$FB$285,78,FALSE)</f>
        <v>97399</v>
      </c>
      <c r="BW124" s="27" t="str">
        <f>VLOOKUP($A124,'[1]Raw Data'!$A$3:$FB$285,79,FALSE)</f>
        <v/>
      </c>
      <c r="BX124" s="27" t="str">
        <f t="shared" si="14"/>
        <v/>
      </c>
      <c r="BY124" s="27" t="str">
        <f>VLOOKUP($A124,'[1]Raw Data'!$A$3:$FB$285,80,FALSE)</f>
        <v/>
      </c>
      <c r="BZ124" s="27">
        <f>VLOOKUP($A124,'[1]Raw Data'!$A$3:$FB$285,81,FALSE)</f>
        <v>348394</v>
      </c>
      <c r="CA124" s="27" t="str">
        <f>VLOOKUP($A124,'[1]Raw Data'!$A$3:$FB$285,82,FALSE)</f>
        <v/>
      </c>
      <c r="CB124" s="27" t="str">
        <f t="shared" si="15"/>
        <v/>
      </c>
      <c r="CC124" s="27" t="str">
        <f>VLOOKUP($A124,'[1]Raw Data'!$A$3:$FB$285,83,FALSE)</f>
        <v/>
      </c>
      <c r="CD124" s="27">
        <f>VLOOKUP($A124,'[1]Raw Data'!$A$3:$FB$285,84,FALSE)</f>
        <v>3982</v>
      </c>
      <c r="CE124" s="27" t="str">
        <f>VLOOKUP($A124,'[1]Raw Data'!$A$3:$FB$285,85,FALSE)</f>
        <v/>
      </c>
      <c r="CF124" s="27" t="str">
        <f t="shared" si="16"/>
        <v/>
      </c>
      <c r="CG124" s="27" t="str">
        <f>VLOOKUP($A124,'[1]Raw Data'!$A$3:$FB$285,86,FALSE)</f>
        <v/>
      </c>
      <c r="CH124" s="27">
        <f>VLOOKUP($A124,'[1]Raw Data'!$A$3:$FB$285,87,FALSE)</f>
        <v>723951</v>
      </c>
      <c r="CI124" s="27" t="str">
        <f>VLOOKUP($A124,'[1]Raw Data'!$A$3:$FB$285,88,FALSE)</f>
        <v/>
      </c>
      <c r="CJ124" s="27" t="str">
        <f t="shared" si="17"/>
        <v/>
      </c>
      <c r="CK124" s="27" t="str">
        <f>VLOOKUP($A124,'[1]Raw Data'!$A$3:$FB$285,89,FALSE)</f>
        <v/>
      </c>
      <c r="CL124" s="27" t="str">
        <f>VLOOKUP($A124,'[1]Raw Data'!$A$3:$FB$285,91,FALSE)</f>
        <v/>
      </c>
      <c r="CM124" s="27" t="str">
        <f>VLOOKUP($A124,'[1]Raw Data'!$A$3:$FB$285,93,FALSE)</f>
        <v/>
      </c>
      <c r="CN124" s="27" t="str">
        <f>VLOOKUP($A124,'[1]Raw Data'!$A$3:$FB$285,94,FALSE)</f>
        <v/>
      </c>
      <c r="CO124" s="27" t="str">
        <f>VLOOKUP($A124,'[1]Raw Data'!$A$3:$FB$285,95,FALSE)</f>
        <v/>
      </c>
      <c r="CP124" s="27" t="str">
        <f>VLOOKUP($A124,'[1]Raw Data'!$A$3:$FB$285,96,FALSE)</f>
        <v/>
      </c>
      <c r="CQ124" s="27" t="str">
        <f>VLOOKUP($A124,'[1]Raw Data'!$A$3:$FB$285,97,FALSE)</f>
        <v/>
      </c>
      <c r="CR124" s="27" t="str">
        <f>VLOOKUP($A124,'[1]Raw Data'!$A$3:$FB$285,98,FALSE)</f>
        <v/>
      </c>
      <c r="CS124" s="27" t="str">
        <f>VLOOKUP($A124,'[1]Raw Data'!$A$3:$FB$285,99,FALSE)</f>
        <v/>
      </c>
      <c r="CT124" s="27" t="str">
        <f>VLOOKUP($A124,'[1]Raw Data'!$A$3:$FB$285,101,FALSE)</f>
        <v>Ramesh Maharjan</v>
      </c>
      <c r="CU124" s="27" t="s">
        <v>1193</v>
      </c>
      <c r="CV124" s="27" t="str">
        <f>VLOOKUP($A124,'[1]Raw Data'!$A$3:$FB$285,102,FALSE)</f>
        <v>Mayor</v>
      </c>
      <c r="CW124" s="27" t="s">
        <v>834</v>
      </c>
      <c r="CX124" s="27">
        <f>VLOOKUP($A124,'[1]Raw Data'!$A$3:$FB$285,103,FALSE)</f>
        <v>9851025125</v>
      </c>
      <c r="CY124" s="27" t="str">
        <f>VLOOKUP($A124,'[1]Raw Data'!$A$3:$FB$285,105,FALSE)</f>
        <v>Saraswoti Khadka</v>
      </c>
      <c r="CZ124" s="27" t="s">
        <v>1194</v>
      </c>
      <c r="DA124" s="27" t="str">
        <f>VLOOKUP($A124,'[1]Raw Data'!$A$3:$FB$285,106,FALSE)</f>
        <v>Deputy Mayor</v>
      </c>
      <c r="DB124" s="27" t="s">
        <v>888</v>
      </c>
      <c r="DC124" s="27">
        <f>VLOOKUP($A124,'[1]Raw Data'!$A$3:$FB$285,107,FALSE)</f>
        <v>9843222716</v>
      </c>
      <c r="DD124" s="27" t="str">
        <f>VLOOKUP($A124,'[1]Raw Data'!$A$3:$FB$285,109,FALSE)</f>
        <v>Niranjan Shrestha</v>
      </c>
      <c r="DE124" s="27" t="s">
        <v>1195</v>
      </c>
      <c r="DF124" s="27" t="str">
        <f>VLOOKUP($A124,'[1]Raw Data'!$A$3:$FB$285,110,FALSE)</f>
        <v>Adminstration Officer</v>
      </c>
      <c r="DG124" s="27" t="s">
        <v>880</v>
      </c>
      <c r="DH124" s="27">
        <f>VLOOKUP($A124,'[1]Raw Data'!$A$3:$FB$285,111,FALSE)</f>
        <v>9851250034</v>
      </c>
      <c r="DI124" s="27" t="str">
        <f>VLOOKUP($A124,'[1]Raw Data'!$A$3:$FB$285,121,FALSE)</f>
        <v>Ramesh Bhola Maharjan</v>
      </c>
      <c r="DJ124" s="27" t="s">
        <v>1196</v>
      </c>
      <c r="DK124" s="27" t="str">
        <f>VLOOKUP($A124,'[1]Raw Data'!$A$3:$FB$285,122,FALSE)</f>
        <v>Focal Person</v>
      </c>
      <c r="DL124" s="27" t="s">
        <v>881</v>
      </c>
      <c r="DM124" s="27">
        <f>VLOOKUP($A124,'[1]Raw Data'!$A$3:$FB$285,123,FALSE)</f>
        <v>9851234423</v>
      </c>
      <c r="DN124" s="27" t="str">
        <f>VLOOKUP($A124,'[1]Raw Data'!$A$3:$FB$285,113,FALSE)</f>
        <v>Samar Bahadur Khanal</v>
      </c>
      <c r="DO124" s="27" t="s">
        <v>1172</v>
      </c>
      <c r="DP124" s="27" t="str">
        <f>VLOOKUP($A124,'[1]Raw Data'!$A$3:$FB$285,114,FALSE)</f>
        <v>NRA Chief-District</v>
      </c>
      <c r="DQ124" s="27" t="s">
        <v>882</v>
      </c>
      <c r="DR124" s="27">
        <f>VLOOKUP($A124,'[1]Raw Data'!$A$3:$FB$285,115,FALSE)</f>
        <v>9851209362</v>
      </c>
      <c r="DS124" s="27" t="str">
        <f>VLOOKUP($A124,'[1]Raw Data'!$A$3:$FB$285,117,FALSE)</f>
        <v>Chandra Kaji Gurung</v>
      </c>
      <c r="DT124" s="27" t="s">
        <v>1129</v>
      </c>
      <c r="DU124" s="27" t="str">
        <f>VLOOKUP($A124,'[1]Raw Data'!$A$3:$FB$285,118,FALSE)</f>
        <v>DUDBC.DLPIU Chief</v>
      </c>
      <c r="DV124" s="27" t="s">
        <v>883</v>
      </c>
      <c r="DW124" s="27">
        <f>VLOOKUP($A124,'[1]Raw Data'!$A$3:$FB$285,119,FALSE)</f>
        <v>9841576783</v>
      </c>
      <c r="DX124" s="27" t="s">
        <v>339</v>
      </c>
      <c r="DY124" s="27" t="str">
        <f>VLOOKUP($A124,'[1]Raw Data'!$A$3:$FB$285,124,FALSE)</f>
        <v/>
      </c>
      <c r="DZ124" s="27" t="s">
        <v>884</v>
      </c>
      <c r="EA124" s="27" t="str">
        <f>VLOOKUP($A124,'[1]Raw Data'!$A$3:$FB$285,125,FALSE)</f>
        <v/>
      </c>
      <c r="EB124" s="27" t="s">
        <v>341</v>
      </c>
      <c r="EC124" s="27" t="str">
        <f>VLOOKUP($A124,'[1]Raw Data'!$A$3:$FB$285,126,FALSE)</f>
        <v/>
      </c>
      <c r="ED124" t="s">
        <v>478</v>
      </c>
      <c r="EE124" s="27" t="str">
        <f>VLOOKUP($A124,'[1]Raw Data'!$A$3:$FB$285,127,FALSE)</f>
        <v/>
      </c>
      <c r="EF124" s="27" t="s">
        <v>343</v>
      </c>
      <c r="EG124" s="27" t="str">
        <f>VLOOKUP($A124,'[1]Raw Data'!$A$3:$FB$285,128,FALSE)</f>
        <v/>
      </c>
      <c r="EH124" t="s">
        <v>344</v>
      </c>
      <c r="EI124" s="27" t="str">
        <f>VLOOKUP($A124,'[1]Raw Data'!$A$3:$FB$285,129,FALSE)</f>
        <v/>
      </c>
      <c r="EM124" s="27" t="str">
        <f>VLOOKUP($A124,'[1]Raw Data'!$A$3:$FB$285,130,FALSE)</f>
        <v/>
      </c>
      <c r="EN124" s="27" t="str">
        <f>VLOOKUP($A124,'[1]Raw Data'!$A$3:$FB$285,131,FALSE)</f>
        <v/>
      </c>
      <c r="EO124" s="27" t="str">
        <f>VLOOKUP($A124,'[1]Raw Data'!$A$3:$FB$285,132,FALSE)</f>
        <v/>
      </c>
      <c r="EP124" s="27" t="str">
        <f>VLOOKUP($A124,'[1]Raw Data'!$A$3:$FB$285,133,FALSE)</f>
        <v/>
      </c>
      <c r="EQ124" s="27" t="str">
        <f>VLOOKUP($A124,'[1]Raw Data'!$A$3:$FB$285,134,FALSE)</f>
        <v/>
      </c>
      <c r="ER124" s="27" t="str">
        <f>VLOOKUP($A124,'[1]Raw Data'!$A$3:$FB$285,135,FALSE)</f>
        <v/>
      </c>
      <c r="ES124" s="27" t="str">
        <f>VLOOKUP($A124,'[1]Raw Data'!$A$3:$FB$285,136,FALSE)</f>
        <v/>
      </c>
      <c r="ET124" s="27" t="str">
        <f>VLOOKUP($A124,'[1]Raw Data'!$A$3:$FB$285,137,FALSE)</f>
        <v/>
      </c>
      <c r="EU124" s="27" t="str">
        <f>VLOOKUP($A124,'[1]Raw Data'!$A$3:$FB$285,138,FALSE)</f>
        <v/>
      </c>
      <c r="EV124" s="27" t="str">
        <f>VLOOKUP($A124,'[1]Raw Data'!$A$3:$FB$285,139,FALSE)</f>
        <v/>
      </c>
      <c r="EW124" s="38">
        <f>VLOOKUP($A124,[1]Training!$A$2:$I$284,5,FALSE)</f>
        <v>225.76923076923077</v>
      </c>
      <c r="EX124" s="31">
        <f>VLOOKUP($A124,[1]Training!$A$2:$I$284,6,FALSE)</f>
        <v>10</v>
      </c>
      <c r="EY124" s="38">
        <f>VLOOKUP($A124,[1]Training!$A$2:$I$284,8,FALSE)</f>
        <v>122.80591644176657</v>
      </c>
      <c r="EZ124" s="31">
        <f>VLOOKUP($A124,[1]Training!$A$2:$I$284,9,FALSE)</f>
        <v>50</v>
      </c>
      <c r="FA124" s="27">
        <v>1</v>
      </c>
      <c r="FB124" s="27">
        <v>2</v>
      </c>
      <c r="FC124" s="27" t="str">
        <f>VLOOKUP($A124,'[1]Raw Data'!$A$3:$FB$285,148,FALSE)</f>
        <v>Ambika Amatya</v>
      </c>
      <c r="FD124" s="27" t="s">
        <v>1130</v>
      </c>
      <c r="FE124" s="27" t="str">
        <f>VLOOKUP($A124,'[1]Raw Data'!$A$3:$FB$285,149,FALSE)</f>
        <v>District Coordinator</v>
      </c>
      <c r="FF124" s="27" t="s">
        <v>885</v>
      </c>
      <c r="FG124" s="27">
        <f>VLOOKUP($A124,'[1]Raw Data'!$A$3:$FB$285,150,FALSE)</f>
        <v>9841356409</v>
      </c>
      <c r="FH124" s="27" t="str">
        <f>VLOOKUP($A124,'[1]Raw Data'!$A$3:$FB$285,156,FALSE)</f>
        <v/>
      </c>
      <c r="FJ124" s="27" t="str">
        <f>VLOOKUP($A124,'[1]Raw Data'!$A$3:$FB$285,157,FALSE)</f>
        <v>District Technical Officer</v>
      </c>
      <c r="FK124" s="27" t="s">
        <v>886</v>
      </c>
      <c r="FL124" s="27" t="str">
        <f>VLOOKUP($A124,'[1]Raw Data'!$A$3:$FB$285,158,FALSE)</f>
        <v/>
      </c>
      <c r="FM124" s="27" t="str">
        <f>VLOOKUP($A124,'[1]Raw Data'!$A$3:$FB$285,152,FALSE)</f>
        <v>Manisha Rai</v>
      </c>
      <c r="FN124" s="27" t="s">
        <v>1131</v>
      </c>
      <c r="FO124" s="27" t="str">
        <f>VLOOKUP($A124,'[1]Raw Data'!$A$3:$FB$285,153,FALSE)</f>
        <v>DIstrict Information Management Officer</v>
      </c>
      <c r="FP124" s="27" t="s">
        <v>887</v>
      </c>
      <c r="FQ124" s="27">
        <f>VLOOKUP($A124,'[1]Raw Data'!$A$3:$FB$285,154,FALSE)</f>
        <v>9842062006</v>
      </c>
    </row>
    <row r="125" spans="1:173" ht="24" x14ac:dyDescent="0.45">
      <c r="A125" s="27">
        <v>27008</v>
      </c>
      <c r="B125" s="36" t="str">
        <f ca="1">IFERROR(__xludf.DUMMYFUNCTION("""COMPUTED_VALUE"""),"Nagarjun Nagarpalika")</f>
        <v>Nagarjun Nagarpalika</v>
      </c>
      <c r="C125" s="37" t="str">
        <f>VLOOKUP(A125,'[1]Palika and District in Nepali '!$D$1:$F$283,3,FALSE)</f>
        <v>नागार्जुन  नगरपालिका</v>
      </c>
      <c r="D125" s="36" t="str">
        <f ca="1">IFERROR(__xludf.DUMMYFUNCTION("""COMPUTED_VALUE"""),"Kathmandu")</f>
        <v>Kathmandu</v>
      </c>
      <c r="E125" s="36"/>
      <c r="F125" s="27">
        <f>VLOOKUP(A125,'[1]Raw Data'!$A$3:$FB$285,4,FALSE)</f>
        <v>210</v>
      </c>
      <c r="G125" s="27">
        <f>VLOOKUP(A125,'[1]Raw Data'!$A$3:$FB$285,5,FALSE)</f>
        <v>4105</v>
      </c>
      <c r="H125" s="27">
        <f>VLOOKUP(A125,'[1]Raw Data'!$A$3:$FB$285,6,FALSE)</f>
        <v>4315</v>
      </c>
      <c r="I125" s="27">
        <f>VLOOKUP($A125,'[1]Raw Data'!$A$3:$FB$285,8,FALSE)</f>
        <v>0.79</v>
      </c>
      <c r="J125" s="27">
        <f>VLOOKUP($A125,'[1]Raw Data'!$A$3:$FB$285,9,FALSE)</f>
        <v>0.96</v>
      </c>
      <c r="K125" s="27">
        <f>VLOOKUP($A125,'[1]Raw Data'!$A$3:$FB$285,11,FALSE)</f>
        <v>45.12</v>
      </c>
      <c r="L125" s="27">
        <f>VLOOKUP($A125,'[1]Raw Data'!$A$3:$FB$285,12,FALSE)</f>
        <v>26.47</v>
      </c>
      <c r="M125" s="27">
        <f>VLOOKUP($A125,'[1]Raw Data'!$A$3:$FB$285,14,FALSE)</f>
        <v>9.67</v>
      </c>
      <c r="N125" s="27">
        <f>VLOOKUP($A125,'[1]Raw Data'!$A$3:$FB$285,15,FALSE)</f>
        <v>7.99</v>
      </c>
      <c r="O125" s="27">
        <f>VLOOKUP($A125,'[1]Raw Data'!$A$3:$FB$285,17,FALSE)</f>
        <v>10.36</v>
      </c>
      <c r="P125" s="27">
        <f>VLOOKUP($A125,'[1]Raw Data'!$A$3:$FB$285,18,FALSE)</f>
        <v>15.92</v>
      </c>
      <c r="Q125" s="27">
        <f>VLOOKUP($A125,'[1]Raw Data'!$A$3:$FB$285,20,FALSE)</f>
        <v>3.64</v>
      </c>
      <c r="R125" s="27">
        <f>VLOOKUP($A125,'[1]Raw Data'!$A$3:$FB$285,21,FALSE)</f>
        <v>3.8</v>
      </c>
      <c r="S125" s="27">
        <f>VLOOKUP($A125,'[1]Raw Data'!$A$3:$FB$285,23,FALSE)</f>
        <v>0</v>
      </c>
      <c r="T125" s="27">
        <f>VLOOKUP($A125,'[1]Raw Data'!$A$3:$FB$285,24,FALSE)</f>
        <v>0</v>
      </c>
      <c r="U125" s="27">
        <f>VLOOKUP($A125,'[1]Raw Data'!$A$3:$FB$285,26,FALSE)</f>
        <v>0</v>
      </c>
      <c r="V125" s="27">
        <f>VLOOKUP($A125,'[1]Raw Data'!$A$3:$FB$285,27,FALSE)</f>
        <v>0.03</v>
      </c>
      <c r="W125" s="27">
        <f>VLOOKUP($A125,'[1]Raw Data'!$A$3:$FB$285,29,FALSE)</f>
        <v>0</v>
      </c>
      <c r="X125" s="27">
        <f>VLOOKUP($A125,'[1]Raw Data'!$A$3:$FB$285,30,FALSE)</f>
        <v>0</v>
      </c>
      <c r="Y125" s="27">
        <f>VLOOKUP($A125,'[1]Raw Data'!$A$3:$FB$285,32,FALSE)</f>
        <v>3.18</v>
      </c>
      <c r="Z125" s="27">
        <f>VLOOKUP($A125,'[1]Raw Data'!$A$3:$FB$285,33,FALSE)</f>
        <v>0.36</v>
      </c>
      <c r="AA125" s="27">
        <f>VLOOKUP($A125,'[1]Raw Data'!$A$3:$FB$285,35,FALSE)</f>
        <v>27.22</v>
      </c>
      <c r="AB125" s="27">
        <f>VLOOKUP($A125,'[1]Raw Data'!$A$3:$FB$285,36,FALSE)</f>
        <v>44.43</v>
      </c>
      <c r="AC125" s="27">
        <f>VLOOKUP($A125,'[1]Raw Data'!$A$3:$FB$285,38,FALSE)</f>
        <v>0.02</v>
      </c>
      <c r="AD125" s="27">
        <f>VLOOKUP($A125,'[1]Raw Data'!$A$3:$FB$285,39,FALSE)</f>
        <v>0.05</v>
      </c>
      <c r="AE125" s="27">
        <f>VLOOKUP($A125,'[1]Raw Data'!$A$3:$FB$285,41,FALSE)</f>
        <v>0</v>
      </c>
      <c r="AF125" s="27">
        <f>VLOOKUP($A125,'[1]Raw Data'!$A$3:$FB$285,42,FALSE)</f>
        <v>0</v>
      </c>
      <c r="AG125" s="27">
        <f>VLOOKUP($A125,'[1]Raw Data'!$A$3:$FB$285,44,FALSE)</f>
        <v>0</v>
      </c>
      <c r="AH125" s="27">
        <f>VLOOKUP($A125,'[1]Raw Data'!$A$3:$FB$285,45,FALSE)</f>
        <v>0</v>
      </c>
      <c r="AI125" s="27">
        <f>VLOOKUP($A125,'[1]Raw Data'!$A$3:$FB$285,46,FALSE)</f>
        <v>4338</v>
      </c>
      <c r="AJ125" s="27">
        <f>VLOOKUP($A125,'[1]Raw Data'!$A$3:$FB$285,47,FALSE)</f>
        <v>4106</v>
      </c>
      <c r="AK125" s="27">
        <f>VLOOKUP($A125,'[1]Raw Data'!$A$3:$FB$285,48,FALSE)</f>
        <v>4102</v>
      </c>
      <c r="AL125" s="27">
        <f>VLOOKUP($A125,'[1]Raw Data'!$A$3:$FB$285,49,FALSE)</f>
        <v>1362</v>
      </c>
      <c r="AM125" s="27">
        <f>VLOOKUP($A125,'[1]Raw Data'!$A$3:$FB$285,50,FALSE)</f>
        <v>1071</v>
      </c>
      <c r="AN125" s="27" t="str">
        <f>VLOOKUP($A125,'[1]Raw Data'!$A$3:$FB$285,51,FALSE)</f>
        <v/>
      </c>
      <c r="AO125" s="27" t="str">
        <f>VLOOKUP($A125,'[1]Raw Data'!$A$3:$FB$285,52,FALSE)</f>
        <v/>
      </c>
      <c r="AP125" s="27">
        <f>VLOOKUP($A125,'[1]Raw Data'!$A$3:$FB$285,53,FALSE)</f>
        <v>38</v>
      </c>
      <c r="AQ125" s="27">
        <f>VLOOKUP($A125,'[1]Raw Data'!$A$3:$FB$285,54,FALSE)</f>
        <v>5</v>
      </c>
      <c r="AR125" s="27">
        <f>VLOOKUP($A125,'[1]Raw Data'!$A$3:$FB$285,55,FALSE)</f>
        <v>5</v>
      </c>
      <c r="AS125" s="27">
        <f>VLOOKUP($A125,'[1]Raw Data'!$A$3:$FB$285,56,FALSE)</f>
        <v>0</v>
      </c>
      <c r="AT125" s="27">
        <f>VLOOKUP($A125,'[1]Raw Data'!$A$3:$FB$285,57,FALSE)</f>
        <v>851</v>
      </c>
      <c r="AU125" s="27">
        <f>VLOOKUP($A125,'[1]Raw Data'!$A$3:$FB$285,58,FALSE)</f>
        <v>545</v>
      </c>
      <c r="AV125" s="27" t="str">
        <f>VLOOKUP($A125,'[1]Raw Data'!$A$3:$FB$285,59,FALSE)</f>
        <v/>
      </c>
      <c r="AW125" s="27" t="str">
        <f>VLOOKUP($A125,'[1]Raw Data'!$A$3:$FB$285,60,FALSE)</f>
        <v/>
      </c>
      <c r="AX125" s="27" t="str">
        <f>VLOOKUP(A125,'[1]PO''s List'!A123:E405,4,FALSE)</f>
        <v/>
      </c>
      <c r="AZ125" s="27" t="str">
        <f>VLOOKUP(A125,'[1]PO''s List'!$A$3:$E$285,5,FALSE)</f>
        <v>OXFAM-GB(Shelter),SS-N(Education),WVIN(Education)</v>
      </c>
      <c r="BB125" s="27">
        <f>VLOOKUP($A125,'[1]Raw Data'!$A$3:$FB$285,63,FALSE)</f>
        <v>57688</v>
      </c>
      <c r="BC125" s="27" t="str">
        <f>VLOOKUP($A125,'[1]Raw Data'!$A$3:$FB$285,64,FALSE)</f>
        <v/>
      </c>
      <c r="BD125" s="27" t="str">
        <f t="shared" si="9"/>
        <v/>
      </c>
      <c r="BE125" s="27" t="str">
        <f>VLOOKUP($A125,'[1]Raw Data'!$A$3:$FB$285,65,FALSE)</f>
        <v/>
      </c>
      <c r="BF125" s="27">
        <f>VLOOKUP($A125,'[1]Raw Data'!$A$3:$FB$285,66,FALSE)</f>
        <v>41726</v>
      </c>
      <c r="BG125" s="27" t="str">
        <f>VLOOKUP($A125,'[1]Raw Data'!$A$3:$FB$285,67,FALSE)</f>
        <v/>
      </c>
      <c r="BH125" s="27" t="str">
        <f t="shared" si="10"/>
        <v/>
      </c>
      <c r="BI125" s="27" t="str">
        <f>VLOOKUP($A125,'[1]Raw Data'!$A$3:$FB$285,68,FALSE)</f>
        <v/>
      </c>
      <c r="BJ125" s="27">
        <f>VLOOKUP($A125,'[1]Raw Data'!$A$3:$FB$285,69,FALSE)</f>
        <v>6004</v>
      </c>
      <c r="BK125" s="27" t="str">
        <f>VLOOKUP($A125,'[1]Raw Data'!$A$3:$FB$285,70,FALSE)</f>
        <v/>
      </c>
      <c r="BL125" s="27" t="str">
        <f t="shared" si="11"/>
        <v/>
      </c>
      <c r="BM125" s="27" t="str">
        <f>VLOOKUP($A125,'[1]Raw Data'!$A$3:$FB$285,71,FALSE)</f>
        <v/>
      </c>
      <c r="BN125" s="27">
        <f>VLOOKUP($A125,'[1]Raw Data'!$A$3:$FB$285,72,FALSE)</f>
        <v>6356</v>
      </c>
      <c r="BO125" s="27" t="str">
        <f>VLOOKUP($A125,'[1]Raw Data'!$A$3:$FB$285,73,FALSE)</f>
        <v/>
      </c>
      <c r="BP125" s="27" t="str">
        <f t="shared" si="12"/>
        <v/>
      </c>
      <c r="BQ125" s="27" t="str">
        <f>VLOOKUP($A125,'[1]Raw Data'!$A$3:$FB$285,74,FALSE)</f>
        <v/>
      </c>
      <c r="BR125" s="27" t="str">
        <f>VLOOKUP($A125,'[1]Raw Data'!$A$3:$FB$285,75,FALSE)</f>
        <v/>
      </c>
      <c r="BS125" s="27" t="str">
        <f>VLOOKUP($A125,'[1]Raw Data'!$A$3:$FB$285,76,FALSE)</f>
        <v/>
      </c>
      <c r="BT125" s="27" t="str">
        <f t="shared" si="13"/>
        <v/>
      </c>
      <c r="BU125" s="27" t="str">
        <f>VLOOKUP($A125,'[1]Raw Data'!$A$3:$FB$285,77,FALSE)</f>
        <v/>
      </c>
      <c r="BV125" s="27">
        <f>VLOOKUP($A125,'[1]Raw Data'!$A$3:$FB$285,78,FALSE)</f>
        <v>146174</v>
      </c>
      <c r="BW125" s="27" t="str">
        <f>VLOOKUP($A125,'[1]Raw Data'!$A$3:$FB$285,79,FALSE)</f>
        <v/>
      </c>
      <c r="BX125" s="27" t="str">
        <f t="shared" si="14"/>
        <v/>
      </c>
      <c r="BY125" s="27" t="str">
        <f>VLOOKUP($A125,'[1]Raw Data'!$A$3:$FB$285,80,FALSE)</f>
        <v/>
      </c>
      <c r="BZ125" s="27">
        <f>VLOOKUP($A125,'[1]Raw Data'!$A$3:$FB$285,81,FALSE)</f>
        <v>658407</v>
      </c>
      <c r="CA125" s="27" t="str">
        <f>VLOOKUP($A125,'[1]Raw Data'!$A$3:$FB$285,82,FALSE)</f>
        <v/>
      </c>
      <c r="CB125" s="27" t="str">
        <f t="shared" si="15"/>
        <v/>
      </c>
      <c r="CC125" s="27" t="str">
        <f>VLOOKUP($A125,'[1]Raw Data'!$A$3:$FB$285,83,FALSE)</f>
        <v/>
      </c>
      <c r="CD125" s="27">
        <f>VLOOKUP($A125,'[1]Raw Data'!$A$3:$FB$285,84,FALSE)</f>
        <v>5978</v>
      </c>
      <c r="CE125" s="27" t="str">
        <f>VLOOKUP($A125,'[1]Raw Data'!$A$3:$FB$285,85,FALSE)</f>
        <v/>
      </c>
      <c r="CF125" s="27" t="str">
        <f t="shared" si="16"/>
        <v/>
      </c>
      <c r="CG125" s="27" t="str">
        <f>VLOOKUP($A125,'[1]Raw Data'!$A$3:$FB$285,86,FALSE)</f>
        <v/>
      </c>
      <c r="CH125" s="27">
        <f>VLOOKUP($A125,'[1]Raw Data'!$A$3:$FB$285,87,FALSE)</f>
        <v>2627109</v>
      </c>
      <c r="CI125" s="27" t="str">
        <f>VLOOKUP($A125,'[1]Raw Data'!$A$3:$FB$285,88,FALSE)</f>
        <v/>
      </c>
      <c r="CJ125" s="27" t="str">
        <f t="shared" si="17"/>
        <v/>
      </c>
      <c r="CK125" s="27" t="str">
        <f>VLOOKUP($A125,'[1]Raw Data'!$A$3:$FB$285,89,FALSE)</f>
        <v/>
      </c>
      <c r="CL125" s="27" t="str">
        <f>VLOOKUP($A125,'[1]Raw Data'!$A$3:$FB$285,91,FALSE)</f>
        <v/>
      </c>
      <c r="CM125" s="27" t="str">
        <f>VLOOKUP($A125,'[1]Raw Data'!$A$3:$FB$285,93,FALSE)</f>
        <v/>
      </c>
      <c r="CN125" s="27" t="str">
        <f>VLOOKUP($A125,'[1]Raw Data'!$A$3:$FB$285,94,FALSE)</f>
        <v/>
      </c>
      <c r="CO125" s="27" t="str">
        <f>VLOOKUP($A125,'[1]Raw Data'!$A$3:$FB$285,95,FALSE)</f>
        <v/>
      </c>
      <c r="CP125" s="27" t="str">
        <f>VLOOKUP($A125,'[1]Raw Data'!$A$3:$FB$285,96,FALSE)</f>
        <v/>
      </c>
      <c r="CQ125" s="27" t="str">
        <f>VLOOKUP($A125,'[1]Raw Data'!$A$3:$FB$285,97,FALSE)</f>
        <v/>
      </c>
      <c r="CR125" s="27" t="str">
        <f>VLOOKUP($A125,'[1]Raw Data'!$A$3:$FB$285,98,FALSE)</f>
        <v/>
      </c>
      <c r="CS125" s="27" t="str">
        <f>VLOOKUP($A125,'[1]Raw Data'!$A$3:$FB$285,99,FALSE)</f>
        <v/>
      </c>
      <c r="CT125" s="27" t="str">
        <f>VLOOKUP($A125,'[1]Raw Data'!$A$3:$FB$285,101,FALSE)</f>
        <v>Mohan Bahadur Basnet</v>
      </c>
      <c r="CU125" s="27" t="s">
        <v>1197</v>
      </c>
      <c r="CV125" s="27" t="str">
        <f>VLOOKUP($A125,'[1]Raw Data'!$A$3:$FB$285,102,FALSE)</f>
        <v>Mayor</v>
      </c>
      <c r="CW125" s="27" t="s">
        <v>834</v>
      </c>
      <c r="CX125" s="27">
        <f>VLOOKUP($A125,'[1]Raw Data'!$A$3:$FB$285,103,FALSE)</f>
        <v>9851044357</v>
      </c>
      <c r="CY125" s="27" t="str">
        <f>VLOOKUP($A125,'[1]Raw Data'!$A$3:$FB$285,105,FALSE)</f>
        <v>Sushila Adhikari</v>
      </c>
      <c r="CZ125" s="27" t="s">
        <v>1198</v>
      </c>
      <c r="DA125" s="27" t="str">
        <f>VLOOKUP($A125,'[1]Raw Data'!$A$3:$FB$285,106,FALSE)</f>
        <v>Deputy Mayor</v>
      </c>
      <c r="DB125" s="27" t="s">
        <v>888</v>
      </c>
      <c r="DC125" s="27">
        <f>VLOOKUP($A125,'[1]Raw Data'!$A$3:$FB$285,107,FALSE)</f>
        <v>9851225717</v>
      </c>
      <c r="DD125" s="27" t="str">
        <f>VLOOKUP($A125,'[1]Raw Data'!$A$3:$FB$285,109,FALSE)</f>
        <v>Krishna Prasad Sapkota</v>
      </c>
      <c r="DE125" s="27" t="s">
        <v>1199</v>
      </c>
      <c r="DF125" s="27" t="str">
        <f>VLOOKUP($A125,'[1]Raw Data'!$A$3:$FB$285,110,FALSE)</f>
        <v>Adminstration Officer</v>
      </c>
      <c r="DG125" s="27" t="s">
        <v>880</v>
      </c>
      <c r="DH125" s="27">
        <f>VLOOKUP($A125,'[1]Raw Data'!$A$3:$FB$285,111,FALSE)</f>
        <v>9851268111</v>
      </c>
      <c r="DI125" s="27" t="str">
        <f>VLOOKUP($A125,'[1]Raw Data'!$A$3:$FB$285,121,FALSE)</f>
        <v>Nagendra Shrestha</v>
      </c>
      <c r="DJ125" s="27" t="s">
        <v>1200</v>
      </c>
      <c r="DK125" s="27" t="str">
        <f>VLOOKUP($A125,'[1]Raw Data'!$A$3:$FB$285,122,FALSE)</f>
        <v>Focal Person</v>
      </c>
      <c r="DL125" s="27" t="s">
        <v>881</v>
      </c>
      <c r="DM125" s="27">
        <f>VLOOKUP($A125,'[1]Raw Data'!$A$3:$FB$285,123,FALSE)</f>
        <v>9851158670</v>
      </c>
      <c r="DN125" s="27" t="str">
        <f>VLOOKUP($A125,'[1]Raw Data'!$A$3:$FB$285,113,FALSE)</f>
        <v>Samar Bahadur Khanal</v>
      </c>
      <c r="DO125" s="27" t="s">
        <v>1172</v>
      </c>
      <c r="DP125" s="27" t="str">
        <f>VLOOKUP($A125,'[1]Raw Data'!$A$3:$FB$285,114,FALSE)</f>
        <v>NRA Chief-District</v>
      </c>
      <c r="DQ125" s="27" t="s">
        <v>882</v>
      </c>
      <c r="DR125" s="27">
        <f>VLOOKUP($A125,'[1]Raw Data'!$A$3:$FB$285,115,FALSE)</f>
        <v>9851209362</v>
      </c>
      <c r="DS125" s="27" t="str">
        <f>VLOOKUP($A125,'[1]Raw Data'!$A$3:$FB$285,117,FALSE)</f>
        <v>Chandra Kaji Gurung</v>
      </c>
      <c r="DT125" s="27" t="s">
        <v>1129</v>
      </c>
      <c r="DU125" s="27" t="str">
        <f>VLOOKUP($A125,'[1]Raw Data'!$A$3:$FB$285,118,FALSE)</f>
        <v>DUDBC.DLPIU Chief</v>
      </c>
      <c r="DV125" s="27" t="s">
        <v>883</v>
      </c>
      <c r="DW125" s="27">
        <f>VLOOKUP($A125,'[1]Raw Data'!$A$3:$FB$285,119,FALSE)</f>
        <v>9841576783</v>
      </c>
      <c r="DX125" s="27" t="s">
        <v>339</v>
      </c>
      <c r="DY125" s="27" t="str">
        <f>VLOOKUP($A125,'[1]Raw Data'!$A$3:$FB$285,124,FALSE)</f>
        <v/>
      </c>
      <c r="DZ125" s="27" t="s">
        <v>884</v>
      </c>
      <c r="EA125" s="27" t="str">
        <f>VLOOKUP($A125,'[1]Raw Data'!$A$3:$FB$285,125,FALSE)</f>
        <v/>
      </c>
      <c r="EB125" s="27" t="s">
        <v>341</v>
      </c>
      <c r="EC125" s="27" t="str">
        <f>VLOOKUP($A125,'[1]Raw Data'!$A$3:$FB$285,126,FALSE)</f>
        <v/>
      </c>
      <c r="ED125" t="s">
        <v>478</v>
      </c>
      <c r="EE125" s="27" t="str">
        <f>VLOOKUP($A125,'[1]Raw Data'!$A$3:$FB$285,127,FALSE)</f>
        <v/>
      </c>
      <c r="EF125" s="27" t="s">
        <v>343</v>
      </c>
      <c r="EG125" s="27" t="str">
        <f>VLOOKUP($A125,'[1]Raw Data'!$A$3:$FB$285,128,FALSE)</f>
        <v/>
      </c>
      <c r="EH125" t="s">
        <v>344</v>
      </c>
      <c r="EI125" s="27" t="str">
        <f>VLOOKUP($A125,'[1]Raw Data'!$A$3:$FB$285,129,FALSE)</f>
        <v/>
      </c>
      <c r="EM125" s="27" t="str">
        <f>VLOOKUP($A125,'[1]Raw Data'!$A$3:$FB$285,130,FALSE)</f>
        <v/>
      </c>
      <c r="EN125" s="27" t="str">
        <f>VLOOKUP($A125,'[1]Raw Data'!$A$3:$FB$285,131,FALSE)</f>
        <v/>
      </c>
      <c r="EO125" s="27" t="str">
        <f>VLOOKUP($A125,'[1]Raw Data'!$A$3:$FB$285,132,FALSE)</f>
        <v/>
      </c>
      <c r="EP125" s="27" t="str">
        <f>VLOOKUP($A125,'[1]Raw Data'!$A$3:$FB$285,133,FALSE)</f>
        <v/>
      </c>
      <c r="EQ125" s="27" t="str">
        <f>VLOOKUP($A125,'[1]Raw Data'!$A$3:$FB$285,134,FALSE)</f>
        <v/>
      </c>
      <c r="ER125" s="27" t="str">
        <f>VLOOKUP($A125,'[1]Raw Data'!$A$3:$FB$285,135,FALSE)</f>
        <v/>
      </c>
      <c r="ES125" s="27" t="str">
        <f>VLOOKUP($A125,'[1]Raw Data'!$A$3:$FB$285,136,FALSE)</f>
        <v/>
      </c>
      <c r="ET125" s="27" t="str">
        <f>VLOOKUP($A125,'[1]Raw Data'!$A$3:$FB$285,137,FALSE)</f>
        <v/>
      </c>
      <c r="EU125" s="27" t="str">
        <f>VLOOKUP($A125,'[1]Raw Data'!$A$3:$FB$285,138,FALSE)</f>
        <v/>
      </c>
      <c r="EV125" s="27" t="str">
        <f>VLOOKUP($A125,'[1]Raw Data'!$A$3:$FB$285,139,FALSE)</f>
        <v/>
      </c>
      <c r="EW125" s="38">
        <f>VLOOKUP($A125,[1]Training!$A$2:$I$284,5,FALSE)</f>
        <v>333.69230769230768</v>
      </c>
      <c r="EX125" s="31">
        <f>VLOOKUP($A125,[1]Training!$A$2:$I$284,6,FALSE)</f>
        <v>66</v>
      </c>
      <c r="EY125" s="38">
        <f>VLOOKUP($A125,[1]Training!$A$2:$I$284,8,FALSE)</f>
        <v>181.51007343249859</v>
      </c>
      <c r="EZ125" s="31">
        <f>VLOOKUP($A125,[1]Training!$A$2:$I$284,9,FALSE)</f>
        <v>193</v>
      </c>
      <c r="FA125" s="27">
        <v>1</v>
      </c>
      <c r="FB125" s="27">
        <v>2</v>
      </c>
      <c r="FC125" s="27" t="str">
        <f>VLOOKUP($A125,'[1]Raw Data'!$A$3:$FB$285,148,FALSE)</f>
        <v>Ambika Amatya</v>
      </c>
      <c r="FD125" s="27" t="s">
        <v>1130</v>
      </c>
      <c r="FE125" s="27" t="str">
        <f>VLOOKUP($A125,'[1]Raw Data'!$A$3:$FB$285,149,FALSE)</f>
        <v>District Coordinator</v>
      </c>
      <c r="FF125" s="27" t="s">
        <v>885</v>
      </c>
      <c r="FG125" s="27">
        <f>VLOOKUP($A125,'[1]Raw Data'!$A$3:$FB$285,150,FALSE)</f>
        <v>9841356409</v>
      </c>
      <c r="FH125" s="27" t="str">
        <f>VLOOKUP($A125,'[1]Raw Data'!$A$3:$FB$285,156,FALSE)</f>
        <v/>
      </c>
      <c r="FJ125" s="27" t="str">
        <f>VLOOKUP($A125,'[1]Raw Data'!$A$3:$FB$285,157,FALSE)</f>
        <v>District Technical Officer</v>
      </c>
      <c r="FK125" s="27" t="s">
        <v>886</v>
      </c>
      <c r="FL125" s="27" t="str">
        <f>VLOOKUP($A125,'[1]Raw Data'!$A$3:$FB$285,158,FALSE)</f>
        <v/>
      </c>
      <c r="FM125" s="27" t="str">
        <f>VLOOKUP($A125,'[1]Raw Data'!$A$3:$FB$285,152,FALSE)</f>
        <v>Manisha Rai</v>
      </c>
      <c r="FN125" s="27" t="s">
        <v>1131</v>
      </c>
      <c r="FO125" s="27" t="str">
        <f>VLOOKUP($A125,'[1]Raw Data'!$A$3:$FB$285,153,FALSE)</f>
        <v>DIstrict Information Management Officer</v>
      </c>
      <c r="FP125" s="27" t="s">
        <v>887</v>
      </c>
      <c r="FQ125" s="27">
        <f>VLOOKUP($A125,'[1]Raw Data'!$A$3:$FB$285,154,FALSE)</f>
        <v>9842062006</v>
      </c>
    </row>
    <row r="126" spans="1:173" ht="24" x14ac:dyDescent="0.45">
      <c r="A126" s="27">
        <v>27009</v>
      </c>
      <c r="B126" s="36" t="str">
        <f ca="1">IFERROR(__xludf.DUMMYFUNCTION("""COMPUTED_VALUE"""),"Shankharapur Nagarpalika")</f>
        <v>Shankharapur Nagarpalika</v>
      </c>
      <c r="C126" s="37" t="str">
        <f>VLOOKUP(A126,'[1]Palika and District in Nepali '!$D$1:$F$283,3,FALSE)</f>
        <v>शंकरपुर नगरपालिका</v>
      </c>
      <c r="D126" s="36" t="str">
        <f ca="1">IFERROR(__xludf.DUMMYFUNCTION("""COMPUTED_VALUE"""),"Kathmandu")</f>
        <v>Kathmandu</v>
      </c>
      <c r="E126" s="36"/>
      <c r="F126" s="27">
        <f>VLOOKUP(A126,'[1]Raw Data'!$A$3:$FB$285,4,FALSE)</f>
        <v>278</v>
      </c>
      <c r="G126" s="27">
        <f>VLOOKUP(A126,'[1]Raw Data'!$A$3:$FB$285,5,FALSE)</f>
        <v>5754</v>
      </c>
      <c r="H126" s="27">
        <f>VLOOKUP(A126,'[1]Raw Data'!$A$3:$FB$285,6,FALSE)</f>
        <v>6032</v>
      </c>
      <c r="I126" s="27">
        <f>VLOOKUP($A126,'[1]Raw Data'!$A$3:$FB$285,8,FALSE)</f>
        <v>0.57999999999999996</v>
      </c>
      <c r="J126" s="27">
        <f>VLOOKUP($A126,'[1]Raw Data'!$A$3:$FB$285,9,FALSE)</f>
        <v>0.96</v>
      </c>
      <c r="K126" s="27">
        <f>VLOOKUP($A126,'[1]Raw Data'!$A$3:$FB$285,11,FALSE)</f>
        <v>48.55</v>
      </c>
      <c r="L126" s="27">
        <f>VLOOKUP($A126,'[1]Raw Data'!$A$3:$FB$285,12,FALSE)</f>
        <v>26.47</v>
      </c>
      <c r="M126" s="27">
        <f>VLOOKUP($A126,'[1]Raw Data'!$A$3:$FB$285,14,FALSE)</f>
        <v>3.28</v>
      </c>
      <c r="N126" s="27">
        <f>VLOOKUP($A126,'[1]Raw Data'!$A$3:$FB$285,15,FALSE)</f>
        <v>7.99</v>
      </c>
      <c r="O126" s="27">
        <f>VLOOKUP($A126,'[1]Raw Data'!$A$3:$FB$285,17,FALSE)</f>
        <v>8.2200000000000006</v>
      </c>
      <c r="P126" s="27">
        <f>VLOOKUP($A126,'[1]Raw Data'!$A$3:$FB$285,18,FALSE)</f>
        <v>15.92</v>
      </c>
      <c r="Q126" s="27">
        <f>VLOOKUP($A126,'[1]Raw Data'!$A$3:$FB$285,20,FALSE)</f>
        <v>1.01</v>
      </c>
      <c r="R126" s="27">
        <f>VLOOKUP($A126,'[1]Raw Data'!$A$3:$FB$285,21,FALSE)</f>
        <v>3.8</v>
      </c>
      <c r="S126" s="27">
        <f>VLOOKUP($A126,'[1]Raw Data'!$A$3:$FB$285,23,FALSE)</f>
        <v>0</v>
      </c>
      <c r="T126" s="27">
        <f>VLOOKUP($A126,'[1]Raw Data'!$A$3:$FB$285,24,FALSE)</f>
        <v>0</v>
      </c>
      <c r="U126" s="27">
        <f>VLOOKUP($A126,'[1]Raw Data'!$A$3:$FB$285,26,FALSE)</f>
        <v>0.02</v>
      </c>
      <c r="V126" s="27">
        <f>VLOOKUP($A126,'[1]Raw Data'!$A$3:$FB$285,27,FALSE)</f>
        <v>0.03</v>
      </c>
      <c r="W126" s="27">
        <f>VLOOKUP($A126,'[1]Raw Data'!$A$3:$FB$285,29,FALSE)</f>
        <v>0</v>
      </c>
      <c r="X126" s="27">
        <f>VLOOKUP($A126,'[1]Raw Data'!$A$3:$FB$285,30,FALSE)</f>
        <v>0</v>
      </c>
      <c r="Y126" s="27">
        <f>VLOOKUP($A126,'[1]Raw Data'!$A$3:$FB$285,32,FALSE)</f>
        <v>0.12</v>
      </c>
      <c r="Z126" s="27">
        <f>VLOOKUP($A126,'[1]Raw Data'!$A$3:$FB$285,33,FALSE)</f>
        <v>0.36</v>
      </c>
      <c r="AA126" s="27">
        <f>VLOOKUP($A126,'[1]Raw Data'!$A$3:$FB$285,35,FALSE)</f>
        <v>38.19</v>
      </c>
      <c r="AB126" s="27">
        <f>VLOOKUP($A126,'[1]Raw Data'!$A$3:$FB$285,36,FALSE)</f>
        <v>44.43</v>
      </c>
      <c r="AC126" s="27">
        <f>VLOOKUP($A126,'[1]Raw Data'!$A$3:$FB$285,38,FALSE)</f>
        <v>0.03</v>
      </c>
      <c r="AD126" s="27">
        <f>VLOOKUP($A126,'[1]Raw Data'!$A$3:$FB$285,39,FALSE)</f>
        <v>0.05</v>
      </c>
      <c r="AE126" s="27">
        <f>VLOOKUP($A126,'[1]Raw Data'!$A$3:$FB$285,41,FALSE)</f>
        <v>0</v>
      </c>
      <c r="AF126" s="27">
        <f>VLOOKUP($A126,'[1]Raw Data'!$A$3:$FB$285,42,FALSE)</f>
        <v>0</v>
      </c>
      <c r="AG126" s="27">
        <f>VLOOKUP($A126,'[1]Raw Data'!$A$3:$FB$285,44,FALSE)</f>
        <v>0</v>
      </c>
      <c r="AH126" s="27">
        <f>VLOOKUP($A126,'[1]Raw Data'!$A$3:$FB$285,45,FALSE)</f>
        <v>0</v>
      </c>
      <c r="AI126" s="27">
        <f>VLOOKUP($A126,'[1]Raw Data'!$A$3:$FB$285,46,FALSE)</f>
        <v>6058</v>
      </c>
      <c r="AJ126" s="27">
        <f>VLOOKUP($A126,'[1]Raw Data'!$A$3:$FB$285,47,FALSE)</f>
        <v>5545</v>
      </c>
      <c r="AK126" s="27">
        <f>VLOOKUP($A126,'[1]Raw Data'!$A$3:$FB$285,48,FALSE)</f>
        <v>5508</v>
      </c>
      <c r="AL126" s="27">
        <f>VLOOKUP($A126,'[1]Raw Data'!$A$3:$FB$285,49,FALSE)</f>
        <v>2472</v>
      </c>
      <c r="AM126" s="27">
        <f>VLOOKUP($A126,'[1]Raw Data'!$A$3:$FB$285,50,FALSE)</f>
        <v>1578</v>
      </c>
      <c r="AN126" s="27" t="str">
        <f>VLOOKUP($A126,'[1]Raw Data'!$A$3:$FB$285,51,FALSE)</f>
        <v/>
      </c>
      <c r="AO126" s="27" t="str">
        <f>VLOOKUP($A126,'[1]Raw Data'!$A$3:$FB$285,52,FALSE)</f>
        <v/>
      </c>
      <c r="AP126" s="27">
        <f>VLOOKUP($A126,'[1]Raw Data'!$A$3:$FB$285,53,FALSE)</f>
        <v>110</v>
      </c>
      <c r="AQ126" s="27">
        <f>VLOOKUP($A126,'[1]Raw Data'!$A$3:$FB$285,54,FALSE)</f>
        <v>40</v>
      </c>
      <c r="AR126" s="27">
        <f>VLOOKUP($A126,'[1]Raw Data'!$A$3:$FB$285,55,FALSE)</f>
        <v>40</v>
      </c>
      <c r="AS126" s="27">
        <f>VLOOKUP($A126,'[1]Raw Data'!$A$3:$FB$285,56,FALSE)</f>
        <v>0</v>
      </c>
      <c r="AT126" s="27">
        <f>VLOOKUP($A126,'[1]Raw Data'!$A$3:$FB$285,57,FALSE)</f>
        <v>1665</v>
      </c>
      <c r="AU126" s="27">
        <f>VLOOKUP($A126,'[1]Raw Data'!$A$3:$FB$285,58,FALSE)</f>
        <v>340</v>
      </c>
      <c r="AV126" s="27" t="str">
        <f>VLOOKUP($A126,'[1]Raw Data'!$A$3:$FB$285,59,FALSE)</f>
        <v/>
      </c>
      <c r="AW126" s="27" t="str">
        <f>VLOOKUP($A126,'[1]Raw Data'!$A$3:$FB$285,60,FALSE)</f>
        <v/>
      </c>
      <c r="AX126" s="27" t="str">
        <f>VLOOKUP(A126,'[1]PO''s List'!A124:E406,4,FALSE)</f>
        <v>NRCS(Livelihood,Education,Employment ,Health,Health)</v>
      </c>
      <c r="AZ126" s="27" t="str">
        <f>VLOOKUP(A126,'[1]PO''s List'!$A$3:$E$285,5,FALSE)</f>
        <v>HCG(Education),OXFAM-GB(Shelter)</v>
      </c>
      <c r="BB126" s="27">
        <f>VLOOKUP($A126,'[1]Raw Data'!$A$3:$FB$285,63,FALSE)</f>
        <v>39299</v>
      </c>
      <c r="BC126" s="27" t="str">
        <f>VLOOKUP($A126,'[1]Raw Data'!$A$3:$FB$285,64,FALSE)</f>
        <v/>
      </c>
      <c r="BD126" s="27" t="str">
        <f t="shared" si="9"/>
        <v/>
      </c>
      <c r="BE126" s="27" t="str">
        <f>VLOOKUP($A126,'[1]Raw Data'!$A$3:$FB$285,65,FALSE)</f>
        <v/>
      </c>
      <c r="BF126" s="27">
        <f>VLOOKUP($A126,'[1]Raw Data'!$A$3:$FB$285,66,FALSE)</f>
        <v>37662</v>
      </c>
      <c r="BG126" s="27" t="str">
        <f>VLOOKUP($A126,'[1]Raw Data'!$A$3:$FB$285,67,FALSE)</f>
        <v/>
      </c>
      <c r="BH126" s="27" t="str">
        <f t="shared" si="10"/>
        <v/>
      </c>
      <c r="BI126" s="27" t="str">
        <f>VLOOKUP($A126,'[1]Raw Data'!$A$3:$FB$285,68,FALSE)</f>
        <v/>
      </c>
      <c r="BJ126" s="27">
        <f>VLOOKUP($A126,'[1]Raw Data'!$A$3:$FB$285,69,FALSE)</f>
        <v>4173</v>
      </c>
      <c r="BK126" s="27" t="str">
        <f>VLOOKUP($A126,'[1]Raw Data'!$A$3:$FB$285,70,FALSE)</f>
        <v/>
      </c>
      <c r="BL126" s="27" t="str">
        <f t="shared" si="11"/>
        <v/>
      </c>
      <c r="BM126" s="27" t="str">
        <f>VLOOKUP($A126,'[1]Raw Data'!$A$3:$FB$285,71,FALSE)</f>
        <v/>
      </c>
      <c r="BN126" s="27">
        <f>VLOOKUP($A126,'[1]Raw Data'!$A$3:$FB$285,72,FALSE)</f>
        <v>4731</v>
      </c>
      <c r="BO126" s="27" t="str">
        <f>VLOOKUP($A126,'[1]Raw Data'!$A$3:$FB$285,73,FALSE)</f>
        <v/>
      </c>
      <c r="BP126" s="27" t="str">
        <f t="shared" si="12"/>
        <v/>
      </c>
      <c r="BQ126" s="27" t="str">
        <f>VLOOKUP($A126,'[1]Raw Data'!$A$3:$FB$285,74,FALSE)</f>
        <v/>
      </c>
      <c r="BR126" s="27" t="str">
        <f>VLOOKUP($A126,'[1]Raw Data'!$A$3:$FB$285,75,FALSE)</f>
        <v/>
      </c>
      <c r="BS126" s="27" t="str">
        <f>VLOOKUP($A126,'[1]Raw Data'!$A$3:$FB$285,76,FALSE)</f>
        <v/>
      </c>
      <c r="BT126" s="27" t="str">
        <f t="shared" si="13"/>
        <v/>
      </c>
      <c r="BU126" s="27" t="str">
        <f>VLOOKUP($A126,'[1]Raw Data'!$A$3:$FB$285,77,FALSE)</f>
        <v/>
      </c>
      <c r="BV126" s="27">
        <f>VLOOKUP($A126,'[1]Raw Data'!$A$3:$FB$285,78,FALSE)</f>
        <v>126455</v>
      </c>
      <c r="BW126" s="27" t="str">
        <f>VLOOKUP($A126,'[1]Raw Data'!$A$3:$FB$285,79,FALSE)</f>
        <v/>
      </c>
      <c r="BX126" s="27" t="str">
        <f t="shared" si="14"/>
        <v/>
      </c>
      <c r="BY126" s="27" t="str">
        <f>VLOOKUP($A126,'[1]Raw Data'!$A$3:$FB$285,80,FALSE)</f>
        <v/>
      </c>
      <c r="BZ126" s="27">
        <f>VLOOKUP($A126,'[1]Raw Data'!$A$3:$FB$285,81,FALSE)</f>
        <v>431654</v>
      </c>
      <c r="CA126" s="27" t="str">
        <f>VLOOKUP($A126,'[1]Raw Data'!$A$3:$FB$285,82,FALSE)</f>
        <v/>
      </c>
      <c r="CB126" s="27" t="str">
        <f t="shared" si="15"/>
        <v/>
      </c>
      <c r="CC126" s="27" t="str">
        <f>VLOOKUP($A126,'[1]Raw Data'!$A$3:$FB$285,83,FALSE)</f>
        <v/>
      </c>
      <c r="CD126" s="27">
        <f>VLOOKUP($A126,'[1]Raw Data'!$A$3:$FB$285,84,FALSE)</f>
        <v>5171</v>
      </c>
      <c r="CE126" s="27" t="str">
        <f>VLOOKUP($A126,'[1]Raw Data'!$A$3:$FB$285,85,FALSE)</f>
        <v/>
      </c>
      <c r="CF126" s="27" t="str">
        <f t="shared" si="16"/>
        <v/>
      </c>
      <c r="CG126" s="27" t="str">
        <f>VLOOKUP($A126,'[1]Raw Data'!$A$3:$FB$285,86,FALSE)</f>
        <v/>
      </c>
      <c r="CH126" s="27">
        <f>VLOOKUP($A126,'[1]Raw Data'!$A$3:$FB$285,87,FALSE)</f>
        <v>771764</v>
      </c>
      <c r="CI126" s="27" t="str">
        <f>VLOOKUP($A126,'[1]Raw Data'!$A$3:$FB$285,88,FALSE)</f>
        <v/>
      </c>
      <c r="CJ126" s="27" t="str">
        <f t="shared" si="17"/>
        <v/>
      </c>
      <c r="CK126" s="27" t="str">
        <f>VLOOKUP($A126,'[1]Raw Data'!$A$3:$FB$285,89,FALSE)</f>
        <v/>
      </c>
      <c r="CL126" s="27" t="str">
        <f>VLOOKUP($A126,'[1]Raw Data'!$A$3:$FB$285,91,FALSE)</f>
        <v/>
      </c>
      <c r="CM126" s="27" t="str">
        <f>VLOOKUP($A126,'[1]Raw Data'!$A$3:$FB$285,93,FALSE)</f>
        <v/>
      </c>
      <c r="CN126" s="27" t="str">
        <f>VLOOKUP($A126,'[1]Raw Data'!$A$3:$FB$285,94,FALSE)</f>
        <v/>
      </c>
      <c r="CO126" s="27" t="str">
        <f>VLOOKUP($A126,'[1]Raw Data'!$A$3:$FB$285,95,FALSE)</f>
        <v/>
      </c>
      <c r="CP126" s="27" t="str">
        <f>VLOOKUP($A126,'[1]Raw Data'!$A$3:$FB$285,96,FALSE)</f>
        <v/>
      </c>
      <c r="CQ126" s="27" t="str">
        <f>VLOOKUP($A126,'[1]Raw Data'!$A$3:$FB$285,97,FALSE)</f>
        <v/>
      </c>
      <c r="CR126" s="27" t="str">
        <f>VLOOKUP($A126,'[1]Raw Data'!$A$3:$FB$285,98,FALSE)</f>
        <v/>
      </c>
      <c r="CS126" s="27" t="str">
        <f>VLOOKUP($A126,'[1]Raw Data'!$A$3:$FB$285,99,FALSE)</f>
        <v/>
      </c>
      <c r="CT126" s="27" t="str">
        <f>VLOOKUP($A126,'[1]Raw Data'!$A$3:$FB$285,101,FALSE)</f>
        <v>Subarna Shrestha</v>
      </c>
      <c r="CU126" s="27" t="s">
        <v>1201</v>
      </c>
      <c r="CV126" s="27" t="str">
        <f>VLOOKUP($A126,'[1]Raw Data'!$A$3:$FB$285,102,FALSE)</f>
        <v>Mayor</v>
      </c>
      <c r="CW126" s="27" t="s">
        <v>834</v>
      </c>
      <c r="CX126" s="27">
        <f>VLOOKUP($A126,'[1]Raw Data'!$A$3:$FB$285,103,FALSE)</f>
        <v>9851031618</v>
      </c>
      <c r="CY126" s="27" t="str">
        <f>VLOOKUP($A126,'[1]Raw Data'!$A$3:$FB$285,105,FALSE)</f>
        <v>Shukralaxmi Shrestha</v>
      </c>
      <c r="CZ126" s="27" t="s">
        <v>1202</v>
      </c>
      <c r="DA126" s="27" t="str">
        <f>VLOOKUP($A126,'[1]Raw Data'!$A$3:$FB$285,106,FALSE)</f>
        <v>Deputy Mayor</v>
      </c>
      <c r="DB126" s="27" t="s">
        <v>888</v>
      </c>
      <c r="DC126" s="27">
        <f>VLOOKUP($A126,'[1]Raw Data'!$A$3:$FB$285,107,FALSE)</f>
        <v>9843787863</v>
      </c>
      <c r="DD126" s="27" t="str">
        <f>VLOOKUP($A126,'[1]Raw Data'!$A$3:$FB$285,109,FALSE)</f>
        <v>Pramod Simkhada</v>
      </c>
      <c r="DE126" s="27" t="s">
        <v>1203</v>
      </c>
      <c r="DF126" s="27" t="str">
        <f>VLOOKUP($A126,'[1]Raw Data'!$A$3:$FB$285,110,FALSE)</f>
        <v>Adminstration Officer</v>
      </c>
      <c r="DG126" s="27" t="s">
        <v>880</v>
      </c>
      <c r="DH126" s="27">
        <f>VLOOKUP($A126,'[1]Raw Data'!$A$3:$FB$285,111,FALSE)</f>
        <v>9851264111</v>
      </c>
      <c r="DI126" s="27" t="str">
        <f>VLOOKUP($A126,'[1]Raw Data'!$A$3:$FB$285,121,FALSE)</f>
        <v>Milan Phuyal</v>
      </c>
      <c r="DJ126" s="27" t="s">
        <v>1204</v>
      </c>
      <c r="DK126" s="27" t="str">
        <f>VLOOKUP($A126,'[1]Raw Data'!$A$3:$FB$285,122,FALSE)</f>
        <v>Focal Person</v>
      </c>
      <c r="DL126" s="27" t="s">
        <v>881</v>
      </c>
      <c r="DM126" s="27">
        <f>VLOOKUP($A126,'[1]Raw Data'!$A$3:$FB$285,123,FALSE)</f>
        <v>9841436577</v>
      </c>
      <c r="DN126" s="27" t="str">
        <f>VLOOKUP($A126,'[1]Raw Data'!$A$3:$FB$285,113,FALSE)</f>
        <v>Samar Bahadur Khanal</v>
      </c>
      <c r="DO126" s="27" t="s">
        <v>1172</v>
      </c>
      <c r="DP126" s="27" t="str">
        <f>VLOOKUP($A126,'[1]Raw Data'!$A$3:$FB$285,114,FALSE)</f>
        <v>NRA Chief-District</v>
      </c>
      <c r="DQ126" s="27" t="s">
        <v>882</v>
      </c>
      <c r="DR126" s="27">
        <f>VLOOKUP($A126,'[1]Raw Data'!$A$3:$FB$285,115,FALSE)</f>
        <v>9851209362</v>
      </c>
      <c r="DS126" s="27" t="str">
        <f>VLOOKUP($A126,'[1]Raw Data'!$A$3:$FB$285,117,FALSE)</f>
        <v>Chandra Kaji Gurung</v>
      </c>
      <c r="DT126" s="27" t="s">
        <v>1129</v>
      </c>
      <c r="DU126" s="27" t="str">
        <f>VLOOKUP($A126,'[1]Raw Data'!$A$3:$FB$285,118,FALSE)</f>
        <v>DUDBC.DLPIU Chief</v>
      </c>
      <c r="DV126" s="27" t="s">
        <v>883</v>
      </c>
      <c r="DW126" s="27">
        <f>VLOOKUP($A126,'[1]Raw Data'!$A$3:$FB$285,119,FALSE)</f>
        <v>9841576783</v>
      </c>
      <c r="DX126" s="27" t="s">
        <v>339</v>
      </c>
      <c r="DY126" s="27" t="str">
        <f>VLOOKUP($A126,'[1]Raw Data'!$A$3:$FB$285,124,FALSE)</f>
        <v/>
      </c>
      <c r="DZ126" s="27" t="s">
        <v>884</v>
      </c>
      <c r="EA126" s="27" t="str">
        <f>VLOOKUP($A126,'[1]Raw Data'!$A$3:$FB$285,125,FALSE)</f>
        <v/>
      </c>
      <c r="EB126" s="27" t="s">
        <v>341</v>
      </c>
      <c r="EC126" s="27" t="str">
        <f>VLOOKUP($A126,'[1]Raw Data'!$A$3:$FB$285,126,FALSE)</f>
        <v/>
      </c>
      <c r="ED126" t="s">
        <v>478</v>
      </c>
      <c r="EE126" s="27" t="str">
        <f>VLOOKUP($A126,'[1]Raw Data'!$A$3:$FB$285,127,FALSE)</f>
        <v/>
      </c>
      <c r="EF126" s="27" t="s">
        <v>343</v>
      </c>
      <c r="EG126" s="27" t="str">
        <f>VLOOKUP($A126,'[1]Raw Data'!$A$3:$FB$285,128,FALSE)</f>
        <v/>
      </c>
      <c r="EH126" t="s">
        <v>344</v>
      </c>
      <c r="EI126" s="27" t="str">
        <f>VLOOKUP($A126,'[1]Raw Data'!$A$3:$FB$285,129,FALSE)</f>
        <v/>
      </c>
      <c r="EM126" s="27" t="str">
        <f>VLOOKUP($A126,'[1]Raw Data'!$A$3:$FB$285,130,FALSE)</f>
        <v/>
      </c>
      <c r="EN126" s="27" t="str">
        <f>VLOOKUP($A126,'[1]Raw Data'!$A$3:$FB$285,131,FALSE)</f>
        <v/>
      </c>
      <c r="EO126" s="27" t="str">
        <f>VLOOKUP($A126,'[1]Raw Data'!$A$3:$FB$285,132,FALSE)</f>
        <v/>
      </c>
      <c r="EP126" s="27" t="str">
        <f>VLOOKUP($A126,'[1]Raw Data'!$A$3:$FB$285,133,FALSE)</f>
        <v/>
      </c>
      <c r="EQ126" s="27" t="str">
        <f>VLOOKUP($A126,'[1]Raw Data'!$A$3:$FB$285,134,FALSE)</f>
        <v/>
      </c>
      <c r="ER126" s="27" t="str">
        <f>VLOOKUP($A126,'[1]Raw Data'!$A$3:$FB$285,135,FALSE)</f>
        <v/>
      </c>
      <c r="ES126" s="27" t="str">
        <f>VLOOKUP($A126,'[1]Raw Data'!$A$3:$FB$285,136,FALSE)</f>
        <v/>
      </c>
      <c r="ET126" s="27" t="str">
        <f>VLOOKUP($A126,'[1]Raw Data'!$A$3:$FB$285,137,FALSE)</f>
        <v/>
      </c>
      <c r="EU126" s="27" t="str">
        <f>VLOOKUP($A126,'[1]Raw Data'!$A$3:$FB$285,138,FALSE)</f>
        <v/>
      </c>
      <c r="EV126" s="27" t="str">
        <f>VLOOKUP($A126,'[1]Raw Data'!$A$3:$FB$285,139,FALSE)</f>
        <v/>
      </c>
      <c r="EW126" s="38">
        <f>VLOOKUP($A126,[1]Training!$A$2:$I$284,5,FALSE)</f>
        <v>466</v>
      </c>
      <c r="EX126" s="31">
        <f>VLOOKUP($A126,[1]Training!$A$2:$I$284,6,FALSE)</f>
        <v>124</v>
      </c>
      <c r="EY126" s="38">
        <f>VLOOKUP($A126,[1]Training!$A$2:$I$284,8,FALSE)</f>
        <v>253.47810623653214</v>
      </c>
      <c r="EZ126" s="31">
        <f>VLOOKUP($A126,[1]Training!$A$2:$I$284,9,FALSE)</f>
        <v>254</v>
      </c>
      <c r="FA126" s="27">
        <v>1</v>
      </c>
      <c r="FB126" s="27">
        <v>2</v>
      </c>
      <c r="FC126" s="27" t="str">
        <f>VLOOKUP($A126,'[1]Raw Data'!$A$3:$FB$285,148,FALSE)</f>
        <v>Ambika Amatya</v>
      </c>
      <c r="FD126" s="27" t="s">
        <v>1130</v>
      </c>
      <c r="FE126" s="27" t="str">
        <f>VLOOKUP($A126,'[1]Raw Data'!$A$3:$FB$285,149,FALSE)</f>
        <v>District Coordinator</v>
      </c>
      <c r="FF126" s="27" t="s">
        <v>885</v>
      </c>
      <c r="FG126" s="27">
        <f>VLOOKUP($A126,'[1]Raw Data'!$A$3:$FB$285,150,FALSE)</f>
        <v>9841356409</v>
      </c>
      <c r="FH126" s="27" t="str">
        <f>VLOOKUP($A126,'[1]Raw Data'!$A$3:$FB$285,156,FALSE)</f>
        <v/>
      </c>
      <c r="FJ126" s="27" t="str">
        <f>VLOOKUP($A126,'[1]Raw Data'!$A$3:$FB$285,157,FALSE)</f>
        <v>District Technical Officer</v>
      </c>
      <c r="FK126" s="27" t="s">
        <v>886</v>
      </c>
      <c r="FL126" s="27" t="str">
        <f>VLOOKUP($A126,'[1]Raw Data'!$A$3:$FB$285,158,FALSE)</f>
        <v/>
      </c>
      <c r="FM126" s="27" t="str">
        <f>VLOOKUP($A126,'[1]Raw Data'!$A$3:$FB$285,152,FALSE)</f>
        <v>Manisha Rai</v>
      </c>
      <c r="FN126" s="27" t="s">
        <v>1131</v>
      </c>
      <c r="FO126" s="27" t="str">
        <f>VLOOKUP($A126,'[1]Raw Data'!$A$3:$FB$285,153,FALSE)</f>
        <v>DIstrict Information Management Officer</v>
      </c>
      <c r="FP126" s="27" t="s">
        <v>887</v>
      </c>
      <c r="FQ126" s="27">
        <f>VLOOKUP($A126,'[1]Raw Data'!$A$3:$FB$285,154,FALSE)</f>
        <v>9842062006</v>
      </c>
    </row>
    <row r="127" spans="1:173" ht="24" x14ac:dyDescent="0.45">
      <c r="A127" s="27">
        <v>27010</v>
      </c>
      <c r="B127" s="36" t="str">
        <f ca="1">IFERROR(__xludf.DUMMYFUNCTION("""COMPUTED_VALUE"""),"Tarakeshwor Nagarpalika")</f>
        <v>Tarakeshwor Nagarpalika</v>
      </c>
      <c r="C127" s="37" t="str">
        <f>VLOOKUP(A127,'[1]Palika and District in Nepali '!$D$1:$F$283,3,FALSE)</f>
        <v>तारकेश्वर नगरपालिका</v>
      </c>
      <c r="D127" s="36" t="str">
        <f ca="1">IFERROR(__xludf.DUMMYFUNCTION("""COMPUTED_VALUE"""),"Kathmandu")</f>
        <v>Kathmandu</v>
      </c>
      <c r="E127" s="36"/>
      <c r="F127" s="27">
        <f>VLOOKUP(A127,'[1]Raw Data'!$A$3:$FB$285,4,FALSE)</f>
        <v>728</v>
      </c>
      <c r="G127" s="27">
        <f>VLOOKUP(A127,'[1]Raw Data'!$A$3:$FB$285,5,FALSE)</f>
        <v>6009</v>
      </c>
      <c r="H127" s="27">
        <f>VLOOKUP(A127,'[1]Raw Data'!$A$3:$FB$285,6,FALSE)</f>
        <v>6737</v>
      </c>
      <c r="I127" s="27">
        <f>VLOOKUP($A127,'[1]Raw Data'!$A$3:$FB$285,8,FALSE)</f>
        <v>0.76</v>
      </c>
      <c r="J127" s="27">
        <f>VLOOKUP($A127,'[1]Raw Data'!$A$3:$FB$285,9,FALSE)</f>
        <v>0.96</v>
      </c>
      <c r="K127" s="27">
        <f>VLOOKUP($A127,'[1]Raw Data'!$A$3:$FB$285,11,FALSE)</f>
        <v>18.16</v>
      </c>
      <c r="L127" s="27">
        <f>VLOOKUP($A127,'[1]Raw Data'!$A$3:$FB$285,12,FALSE)</f>
        <v>26.47</v>
      </c>
      <c r="M127" s="27">
        <f>VLOOKUP($A127,'[1]Raw Data'!$A$3:$FB$285,14,FALSE)</f>
        <v>8.7899999999999991</v>
      </c>
      <c r="N127" s="27">
        <f>VLOOKUP($A127,'[1]Raw Data'!$A$3:$FB$285,15,FALSE)</f>
        <v>7.99</v>
      </c>
      <c r="O127" s="27">
        <f>VLOOKUP($A127,'[1]Raw Data'!$A$3:$FB$285,17,FALSE)</f>
        <v>10.02</v>
      </c>
      <c r="P127" s="27">
        <f>VLOOKUP($A127,'[1]Raw Data'!$A$3:$FB$285,18,FALSE)</f>
        <v>15.92</v>
      </c>
      <c r="Q127" s="27">
        <f>VLOOKUP($A127,'[1]Raw Data'!$A$3:$FB$285,20,FALSE)</f>
        <v>5.17</v>
      </c>
      <c r="R127" s="27">
        <f>VLOOKUP($A127,'[1]Raw Data'!$A$3:$FB$285,21,FALSE)</f>
        <v>3.8</v>
      </c>
      <c r="S127" s="27">
        <f>VLOOKUP($A127,'[1]Raw Data'!$A$3:$FB$285,23,FALSE)</f>
        <v>0</v>
      </c>
      <c r="T127" s="27">
        <f>VLOOKUP($A127,'[1]Raw Data'!$A$3:$FB$285,24,FALSE)</f>
        <v>0</v>
      </c>
      <c r="U127" s="27">
        <f>VLOOKUP($A127,'[1]Raw Data'!$A$3:$FB$285,26,FALSE)</f>
        <v>0.04</v>
      </c>
      <c r="V127" s="27">
        <f>VLOOKUP($A127,'[1]Raw Data'!$A$3:$FB$285,27,FALSE)</f>
        <v>0.03</v>
      </c>
      <c r="W127" s="27">
        <f>VLOOKUP($A127,'[1]Raw Data'!$A$3:$FB$285,29,FALSE)</f>
        <v>0</v>
      </c>
      <c r="X127" s="27">
        <f>VLOOKUP($A127,'[1]Raw Data'!$A$3:$FB$285,30,FALSE)</f>
        <v>0</v>
      </c>
      <c r="Y127" s="27">
        <f>VLOOKUP($A127,'[1]Raw Data'!$A$3:$FB$285,32,FALSE)</f>
        <v>0.13</v>
      </c>
      <c r="Z127" s="27">
        <f>VLOOKUP($A127,'[1]Raw Data'!$A$3:$FB$285,33,FALSE)</f>
        <v>0.36</v>
      </c>
      <c r="AA127" s="27">
        <f>VLOOKUP($A127,'[1]Raw Data'!$A$3:$FB$285,35,FALSE)</f>
        <v>56.82</v>
      </c>
      <c r="AB127" s="27">
        <f>VLOOKUP($A127,'[1]Raw Data'!$A$3:$FB$285,36,FALSE)</f>
        <v>44.43</v>
      </c>
      <c r="AC127" s="27">
        <f>VLOOKUP($A127,'[1]Raw Data'!$A$3:$FB$285,38,FALSE)</f>
        <v>0.1</v>
      </c>
      <c r="AD127" s="27">
        <f>VLOOKUP($A127,'[1]Raw Data'!$A$3:$FB$285,39,FALSE)</f>
        <v>0.05</v>
      </c>
      <c r="AE127" s="27">
        <f>VLOOKUP($A127,'[1]Raw Data'!$A$3:$FB$285,41,FALSE)</f>
        <v>0</v>
      </c>
      <c r="AF127" s="27">
        <f>VLOOKUP($A127,'[1]Raw Data'!$A$3:$FB$285,42,FALSE)</f>
        <v>0</v>
      </c>
      <c r="AG127" s="27">
        <f>VLOOKUP($A127,'[1]Raw Data'!$A$3:$FB$285,44,FALSE)</f>
        <v>0</v>
      </c>
      <c r="AH127" s="27">
        <f>VLOOKUP($A127,'[1]Raw Data'!$A$3:$FB$285,45,FALSE)</f>
        <v>0</v>
      </c>
      <c r="AI127" s="27">
        <f>VLOOKUP($A127,'[1]Raw Data'!$A$3:$FB$285,46,FALSE)</f>
        <v>6151</v>
      </c>
      <c r="AJ127" s="27">
        <f>VLOOKUP($A127,'[1]Raw Data'!$A$3:$FB$285,47,FALSE)</f>
        <v>5191</v>
      </c>
      <c r="AK127" s="27">
        <f>VLOOKUP($A127,'[1]Raw Data'!$A$3:$FB$285,48,FALSE)</f>
        <v>5169</v>
      </c>
      <c r="AL127" s="27">
        <f>VLOOKUP($A127,'[1]Raw Data'!$A$3:$FB$285,49,FALSE)</f>
        <v>1792</v>
      </c>
      <c r="AM127" s="27">
        <f>VLOOKUP($A127,'[1]Raw Data'!$A$3:$FB$285,50,FALSE)</f>
        <v>1457</v>
      </c>
      <c r="AN127" s="27" t="str">
        <f>VLOOKUP($A127,'[1]Raw Data'!$A$3:$FB$285,51,FALSE)</f>
        <v/>
      </c>
      <c r="AO127" s="27" t="str">
        <f>VLOOKUP($A127,'[1]Raw Data'!$A$3:$FB$285,52,FALSE)</f>
        <v/>
      </c>
      <c r="AP127" s="27">
        <f>VLOOKUP($A127,'[1]Raw Data'!$A$3:$FB$285,53,FALSE)</f>
        <v>107</v>
      </c>
      <c r="AQ127" s="27">
        <f>VLOOKUP($A127,'[1]Raw Data'!$A$3:$FB$285,54,FALSE)</f>
        <v>32</v>
      </c>
      <c r="AR127" s="27">
        <f>VLOOKUP($A127,'[1]Raw Data'!$A$3:$FB$285,55,FALSE)</f>
        <v>31</v>
      </c>
      <c r="AS127" s="27">
        <f>VLOOKUP($A127,'[1]Raw Data'!$A$3:$FB$285,56,FALSE)</f>
        <v>0</v>
      </c>
      <c r="AT127" s="27">
        <f>VLOOKUP($A127,'[1]Raw Data'!$A$3:$FB$285,57,FALSE)</f>
        <v>2493</v>
      </c>
      <c r="AU127" s="27">
        <f>VLOOKUP($A127,'[1]Raw Data'!$A$3:$FB$285,58,FALSE)</f>
        <v>2186</v>
      </c>
      <c r="AV127" s="27" t="str">
        <f>VLOOKUP($A127,'[1]Raw Data'!$A$3:$FB$285,59,FALSE)</f>
        <v/>
      </c>
      <c r="AW127" s="27" t="str">
        <f>VLOOKUP($A127,'[1]Raw Data'!$A$3:$FB$285,60,FALSE)</f>
        <v/>
      </c>
      <c r="AX127" s="27" t="str">
        <f>VLOOKUP(A127,'[1]PO''s List'!A125:E407,4,FALSE)</f>
        <v>NRCS(Livelihood,Education,Employment ,Health,Shelter,Health)</v>
      </c>
      <c r="AZ127" s="27" t="str">
        <f>VLOOKUP(A127,'[1]PO''s List'!$A$3:$E$285,5,FALSE)</f>
        <v/>
      </c>
      <c r="BB127" s="27">
        <f>VLOOKUP($A127,'[1]Raw Data'!$A$3:$FB$285,63,FALSE)</f>
        <v>52432</v>
      </c>
      <c r="BC127" s="27" t="str">
        <f>VLOOKUP($A127,'[1]Raw Data'!$A$3:$FB$285,64,FALSE)</f>
        <v/>
      </c>
      <c r="BD127" s="27" t="str">
        <f t="shared" si="9"/>
        <v/>
      </c>
      <c r="BE127" s="27" t="str">
        <f>VLOOKUP($A127,'[1]Raw Data'!$A$3:$FB$285,65,FALSE)</f>
        <v/>
      </c>
      <c r="BF127" s="27">
        <f>VLOOKUP($A127,'[1]Raw Data'!$A$3:$FB$285,66,FALSE)</f>
        <v>43188</v>
      </c>
      <c r="BG127" s="27" t="str">
        <f>VLOOKUP($A127,'[1]Raw Data'!$A$3:$FB$285,67,FALSE)</f>
        <v/>
      </c>
      <c r="BH127" s="27" t="str">
        <f t="shared" si="10"/>
        <v/>
      </c>
      <c r="BI127" s="27" t="str">
        <f>VLOOKUP($A127,'[1]Raw Data'!$A$3:$FB$285,68,FALSE)</f>
        <v/>
      </c>
      <c r="BJ127" s="27">
        <f>VLOOKUP($A127,'[1]Raw Data'!$A$3:$FB$285,69,FALSE)</f>
        <v>5502</v>
      </c>
      <c r="BK127" s="27" t="str">
        <f>VLOOKUP($A127,'[1]Raw Data'!$A$3:$FB$285,70,FALSE)</f>
        <v/>
      </c>
      <c r="BL127" s="27" t="str">
        <f t="shared" si="11"/>
        <v/>
      </c>
      <c r="BM127" s="27" t="str">
        <f>VLOOKUP($A127,'[1]Raw Data'!$A$3:$FB$285,71,FALSE)</f>
        <v/>
      </c>
      <c r="BN127" s="27">
        <f>VLOOKUP($A127,'[1]Raw Data'!$A$3:$FB$285,72,FALSE)</f>
        <v>5995</v>
      </c>
      <c r="BO127" s="27" t="str">
        <f>VLOOKUP($A127,'[1]Raw Data'!$A$3:$FB$285,73,FALSE)</f>
        <v/>
      </c>
      <c r="BP127" s="27" t="str">
        <f t="shared" si="12"/>
        <v/>
      </c>
      <c r="BQ127" s="27" t="str">
        <f>VLOOKUP($A127,'[1]Raw Data'!$A$3:$FB$285,74,FALSE)</f>
        <v/>
      </c>
      <c r="BR127" s="27" t="str">
        <f>VLOOKUP($A127,'[1]Raw Data'!$A$3:$FB$285,75,FALSE)</f>
        <v/>
      </c>
      <c r="BS127" s="27" t="str">
        <f>VLOOKUP($A127,'[1]Raw Data'!$A$3:$FB$285,76,FALSE)</f>
        <v/>
      </c>
      <c r="BT127" s="27" t="str">
        <f t="shared" si="13"/>
        <v/>
      </c>
      <c r="BU127" s="27" t="str">
        <f>VLOOKUP($A127,'[1]Raw Data'!$A$3:$FB$285,77,FALSE)</f>
        <v/>
      </c>
      <c r="BV127" s="27">
        <f>VLOOKUP($A127,'[1]Raw Data'!$A$3:$FB$285,78,FALSE)</f>
        <v>146465</v>
      </c>
      <c r="BW127" s="27" t="str">
        <f>VLOOKUP($A127,'[1]Raw Data'!$A$3:$FB$285,79,FALSE)</f>
        <v/>
      </c>
      <c r="BX127" s="27" t="str">
        <f t="shared" si="14"/>
        <v/>
      </c>
      <c r="BY127" s="27" t="str">
        <f>VLOOKUP($A127,'[1]Raw Data'!$A$3:$FB$285,80,FALSE)</f>
        <v/>
      </c>
      <c r="BZ127" s="27">
        <f>VLOOKUP($A127,'[1]Raw Data'!$A$3:$FB$285,81,FALSE)</f>
        <v>586511</v>
      </c>
      <c r="CA127" s="27" t="str">
        <f>VLOOKUP($A127,'[1]Raw Data'!$A$3:$FB$285,82,FALSE)</f>
        <v/>
      </c>
      <c r="CB127" s="27" t="str">
        <f t="shared" si="15"/>
        <v/>
      </c>
      <c r="CC127" s="27" t="str">
        <f>VLOOKUP($A127,'[1]Raw Data'!$A$3:$FB$285,83,FALSE)</f>
        <v/>
      </c>
      <c r="CD127" s="27">
        <f>VLOOKUP($A127,'[1]Raw Data'!$A$3:$FB$285,84,FALSE)</f>
        <v>5980</v>
      </c>
      <c r="CE127" s="27" t="str">
        <f>VLOOKUP($A127,'[1]Raw Data'!$A$3:$FB$285,85,FALSE)</f>
        <v/>
      </c>
      <c r="CF127" s="27" t="str">
        <f t="shared" si="16"/>
        <v/>
      </c>
      <c r="CG127" s="27" t="str">
        <f>VLOOKUP($A127,'[1]Raw Data'!$A$3:$FB$285,86,FALSE)</f>
        <v/>
      </c>
      <c r="CH127" s="27">
        <f>VLOOKUP($A127,'[1]Raw Data'!$A$3:$FB$285,87,FALSE)</f>
        <v>1545990</v>
      </c>
      <c r="CI127" s="27" t="str">
        <f>VLOOKUP($A127,'[1]Raw Data'!$A$3:$FB$285,88,FALSE)</f>
        <v/>
      </c>
      <c r="CJ127" s="27" t="str">
        <f t="shared" si="17"/>
        <v/>
      </c>
      <c r="CK127" s="27" t="str">
        <f>VLOOKUP($A127,'[1]Raw Data'!$A$3:$FB$285,89,FALSE)</f>
        <v/>
      </c>
      <c r="CL127" s="27" t="str">
        <f>VLOOKUP($A127,'[1]Raw Data'!$A$3:$FB$285,91,FALSE)</f>
        <v/>
      </c>
      <c r="CM127" s="27" t="str">
        <f>VLOOKUP($A127,'[1]Raw Data'!$A$3:$FB$285,93,FALSE)</f>
        <v/>
      </c>
      <c r="CN127" s="27" t="str">
        <f>VLOOKUP($A127,'[1]Raw Data'!$A$3:$FB$285,94,FALSE)</f>
        <v/>
      </c>
      <c r="CO127" s="27" t="str">
        <f>VLOOKUP($A127,'[1]Raw Data'!$A$3:$FB$285,95,FALSE)</f>
        <v/>
      </c>
      <c r="CP127" s="27" t="str">
        <f>VLOOKUP($A127,'[1]Raw Data'!$A$3:$FB$285,96,FALSE)</f>
        <v/>
      </c>
      <c r="CQ127" s="27" t="str">
        <f>VLOOKUP($A127,'[1]Raw Data'!$A$3:$FB$285,97,FALSE)</f>
        <v/>
      </c>
      <c r="CR127" s="27" t="str">
        <f>VLOOKUP($A127,'[1]Raw Data'!$A$3:$FB$285,98,FALSE)</f>
        <v/>
      </c>
      <c r="CS127" s="27" t="str">
        <f>VLOOKUP($A127,'[1]Raw Data'!$A$3:$FB$285,99,FALSE)</f>
        <v/>
      </c>
      <c r="CT127" s="27" t="str">
        <f>VLOOKUP($A127,'[1]Raw Data'!$A$3:$FB$285,101,FALSE)</f>
        <v>Rameshwor Bohora</v>
      </c>
      <c r="CU127" s="27" t="s">
        <v>1205</v>
      </c>
      <c r="CV127" s="27" t="str">
        <f>VLOOKUP($A127,'[1]Raw Data'!$A$3:$FB$285,102,FALSE)</f>
        <v>Mayor</v>
      </c>
      <c r="CW127" s="27" t="s">
        <v>834</v>
      </c>
      <c r="CX127" s="27">
        <f>VLOOKUP($A127,'[1]Raw Data'!$A$3:$FB$285,103,FALSE)</f>
        <v>9851258234</v>
      </c>
      <c r="CY127" s="27" t="str">
        <f>VLOOKUP($A127,'[1]Raw Data'!$A$3:$FB$285,105,FALSE)</f>
        <v>Bhawani Dotel Dhital</v>
      </c>
      <c r="CZ127" s="27" t="s">
        <v>1206</v>
      </c>
      <c r="DA127" s="27" t="str">
        <f>VLOOKUP($A127,'[1]Raw Data'!$A$3:$FB$285,106,FALSE)</f>
        <v>Deputy Mayor</v>
      </c>
      <c r="DB127" s="27" t="s">
        <v>888</v>
      </c>
      <c r="DC127" s="27">
        <f>VLOOKUP($A127,'[1]Raw Data'!$A$3:$FB$285,107,FALSE)</f>
        <v>9851226678</v>
      </c>
      <c r="DD127" s="27" t="str">
        <f>VLOOKUP($A127,'[1]Raw Data'!$A$3:$FB$285,109,FALSE)</f>
        <v>Hiramani Subedi</v>
      </c>
      <c r="DE127" s="27" t="s">
        <v>1207</v>
      </c>
      <c r="DF127" s="27" t="str">
        <f>VLOOKUP($A127,'[1]Raw Data'!$A$3:$FB$285,110,FALSE)</f>
        <v>Adminstration Officer</v>
      </c>
      <c r="DG127" s="27" t="s">
        <v>880</v>
      </c>
      <c r="DH127" s="27">
        <f>VLOOKUP($A127,'[1]Raw Data'!$A$3:$FB$285,111,FALSE)</f>
        <v>9851189903</v>
      </c>
      <c r="DI127" s="27" t="str">
        <f>VLOOKUP($A127,'[1]Raw Data'!$A$3:$FB$285,121,FALSE)</f>
        <v>Shashi Gurung</v>
      </c>
      <c r="DJ127" s="27" t="s">
        <v>1208</v>
      </c>
      <c r="DK127" s="27" t="str">
        <f>VLOOKUP($A127,'[1]Raw Data'!$A$3:$FB$285,122,FALSE)</f>
        <v>Focal Person</v>
      </c>
      <c r="DL127" s="27" t="s">
        <v>881</v>
      </c>
      <c r="DM127" s="27">
        <f>VLOOKUP($A127,'[1]Raw Data'!$A$3:$FB$285,123,FALSE)</f>
        <v>9851238998</v>
      </c>
      <c r="DN127" s="27" t="str">
        <f>VLOOKUP($A127,'[1]Raw Data'!$A$3:$FB$285,113,FALSE)</f>
        <v>Samar Bahadur Khanal</v>
      </c>
      <c r="DO127" s="27" t="s">
        <v>1172</v>
      </c>
      <c r="DP127" s="27" t="str">
        <f>VLOOKUP($A127,'[1]Raw Data'!$A$3:$FB$285,114,FALSE)</f>
        <v>NRA Chief-District</v>
      </c>
      <c r="DQ127" s="27" t="s">
        <v>882</v>
      </c>
      <c r="DR127" s="27">
        <f>VLOOKUP($A127,'[1]Raw Data'!$A$3:$FB$285,115,FALSE)</f>
        <v>9851209362</v>
      </c>
      <c r="DS127" s="27" t="str">
        <f>VLOOKUP($A127,'[1]Raw Data'!$A$3:$FB$285,117,FALSE)</f>
        <v>Chandra Kaji Gurung</v>
      </c>
      <c r="DT127" s="27" t="s">
        <v>1129</v>
      </c>
      <c r="DU127" s="27" t="str">
        <f>VLOOKUP($A127,'[1]Raw Data'!$A$3:$FB$285,118,FALSE)</f>
        <v>DUDBC.DLPIU Chief</v>
      </c>
      <c r="DV127" s="27" t="s">
        <v>883</v>
      </c>
      <c r="DW127" s="27">
        <f>VLOOKUP($A127,'[1]Raw Data'!$A$3:$FB$285,119,FALSE)</f>
        <v>9841576783</v>
      </c>
      <c r="DX127" s="27" t="s">
        <v>339</v>
      </c>
      <c r="DY127" s="27" t="str">
        <f>VLOOKUP($A127,'[1]Raw Data'!$A$3:$FB$285,124,FALSE)</f>
        <v/>
      </c>
      <c r="DZ127" s="27" t="s">
        <v>884</v>
      </c>
      <c r="EA127" s="27" t="str">
        <f>VLOOKUP($A127,'[1]Raw Data'!$A$3:$FB$285,125,FALSE)</f>
        <v/>
      </c>
      <c r="EB127" s="27" t="s">
        <v>341</v>
      </c>
      <c r="EC127" s="27" t="str">
        <f>VLOOKUP($A127,'[1]Raw Data'!$A$3:$FB$285,126,FALSE)</f>
        <v/>
      </c>
      <c r="ED127" t="s">
        <v>478</v>
      </c>
      <c r="EE127" s="27" t="str">
        <f>VLOOKUP($A127,'[1]Raw Data'!$A$3:$FB$285,127,FALSE)</f>
        <v/>
      </c>
      <c r="EF127" s="27" t="s">
        <v>343</v>
      </c>
      <c r="EG127" s="27" t="str">
        <f>VLOOKUP($A127,'[1]Raw Data'!$A$3:$FB$285,128,FALSE)</f>
        <v/>
      </c>
      <c r="EH127" t="s">
        <v>344</v>
      </c>
      <c r="EI127" s="27" t="str">
        <f>VLOOKUP($A127,'[1]Raw Data'!$A$3:$FB$285,129,FALSE)</f>
        <v/>
      </c>
      <c r="EM127" s="27" t="str">
        <f>VLOOKUP($A127,'[1]Raw Data'!$A$3:$FB$285,130,FALSE)</f>
        <v/>
      </c>
      <c r="EN127" s="27" t="str">
        <f>VLOOKUP($A127,'[1]Raw Data'!$A$3:$FB$285,131,FALSE)</f>
        <v/>
      </c>
      <c r="EO127" s="27" t="str">
        <f>VLOOKUP($A127,'[1]Raw Data'!$A$3:$FB$285,132,FALSE)</f>
        <v/>
      </c>
      <c r="EP127" s="27" t="str">
        <f>VLOOKUP($A127,'[1]Raw Data'!$A$3:$FB$285,133,FALSE)</f>
        <v/>
      </c>
      <c r="EQ127" s="27" t="str">
        <f>VLOOKUP($A127,'[1]Raw Data'!$A$3:$FB$285,134,FALSE)</f>
        <v/>
      </c>
      <c r="ER127" s="27" t="str">
        <f>VLOOKUP($A127,'[1]Raw Data'!$A$3:$FB$285,135,FALSE)</f>
        <v/>
      </c>
      <c r="ES127" s="27" t="str">
        <f>VLOOKUP($A127,'[1]Raw Data'!$A$3:$FB$285,136,FALSE)</f>
        <v/>
      </c>
      <c r="ET127" s="27" t="str">
        <f>VLOOKUP($A127,'[1]Raw Data'!$A$3:$FB$285,137,FALSE)</f>
        <v/>
      </c>
      <c r="EU127" s="27" t="str">
        <f>VLOOKUP($A127,'[1]Raw Data'!$A$3:$FB$285,138,FALSE)</f>
        <v/>
      </c>
      <c r="EV127" s="27" t="str">
        <f>VLOOKUP($A127,'[1]Raw Data'!$A$3:$FB$285,139,FALSE)</f>
        <v/>
      </c>
      <c r="EW127" s="38">
        <f>VLOOKUP($A127,[1]Training!$A$2:$I$284,5,FALSE)</f>
        <v>473.15384615384613</v>
      </c>
      <c r="EX127" s="31">
        <f>VLOOKUP($A127,[1]Training!$A$2:$I$284,6,FALSE)</f>
        <v>0</v>
      </c>
      <c r="EY127" s="38">
        <f>VLOOKUP($A127,[1]Training!$A$2:$I$284,8,FALSE)</f>
        <v>257.36940103349446</v>
      </c>
      <c r="EZ127" s="31">
        <f>VLOOKUP($A127,[1]Training!$A$2:$I$284,9,FALSE)</f>
        <v>232</v>
      </c>
      <c r="FA127" s="27">
        <v>1</v>
      </c>
      <c r="FB127" s="27">
        <v>2</v>
      </c>
      <c r="FC127" s="27" t="str">
        <f>VLOOKUP($A127,'[1]Raw Data'!$A$3:$FB$285,148,FALSE)</f>
        <v>Ambika Amatya</v>
      </c>
      <c r="FD127" s="27" t="s">
        <v>1130</v>
      </c>
      <c r="FE127" s="27" t="str">
        <f>VLOOKUP($A127,'[1]Raw Data'!$A$3:$FB$285,149,FALSE)</f>
        <v>District Coordinator</v>
      </c>
      <c r="FF127" s="27" t="s">
        <v>885</v>
      </c>
      <c r="FG127" s="27">
        <f>VLOOKUP($A127,'[1]Raw Data'!$A$3:$FB$285,150,FALSE)</f>
        <v>9841356409</v>
      </c>
      <c r="FH127" s="27" t="str">
        <f>VLOOKUP($A127,'[1]Raw Data'!$A$3:$FB$285,156,FALSE)</f>
        <v/>
      </c>
      <c r="FJ127" s="27" t="str">
        <f>VLOOKUP($A127,'[1]Raw Data'!$A$3:$FB$285,157,FALSE)</f>
        <v>District Technical Officer</v>
      </c>
      <c r="FK127" s="27" t="s">
        <v>886</v>
      </c>
      <c r="FL127" s="27" t="str">
        <f>VLOOKUP($A127,'[1]Raw Data'!$A$3:$FB$285,158,FALSE)</f>
        <v/>
      </c>
      <c r="FM127" s="27" t="str">
        <f>VLOOKUP($A127,'[1]Raw Data'!$A$3:$FB$285,152,FALSE)</f>
        <v>Manisha Rai</v>
      </c>
      <c r="FN127" s="27" t="s">
        <v>1131</v>
      </c>
      <c r="FO127" s="27" t="str">
        <f>VLOOKUP($A127,'[1]Raw Data'!$A$3:$FB$285,153,FALSE)</f>
        <v>DIstrict Information Management Officer</v>
      </c>
      <c r="FP127" s="27" t="s">
        <v>887</v>
      </c>
      <c r="FQ127" s="27">
        <f>VLOOKUP($A127,'[1]Raw Data'!$A$3:$FB$285,154,FALSE)</f>
        <v>9842062006</v>
      </c>
    </row>
    <row r="128" spans="1:173" ht="24" x14ac:dyDescent="0.45">
      <c r="A128" s="27">
        <v>27011</v>
      </c>
      <c r="B128" s="36" t="str">
        <f ca="1">IFERROR(__xludf.DUMMYFUNCTION("""COMPUTED_VALUE"""),"Tokha Nagarpalika")</f>
        <v>Tokha Nagarpalika</v>
      </c>
      <c r="C128" s="37" t="str">
        <f>VLOOKUP(A128,'[1]Palika and District in Nepali '!$D$1:$F$283,3,FALSE)</f>
        <v>टोखा नगरपालिका</v>
      </c>
      <c r="D128" s="36" t="str">
        <f ca="1">IFERROR(__xludf.DUMMYFUNCTION("""COMPUTED_VALUE"""),"Kathmandu")</f>
        <v>Kathmandu</v>
      </c>
      <c r="E128" s="36"/>
      <c r="F128" s="27">
        <f>VLOOKUP(A128,'[1]Raw Data'!$A$3:$FB$285,4,FALSE)</f>
        <v>230</v>
      </c>
      <c r="G128" s="27">
        <f>VLOOKUP(A128,'[1]Raw Data'!$A$3:$FB$285,5,FALSE)</f>
        <v>2007</v>
      </c>
      <c r="H128" s="27">
        <f>VLOOKUP(A128,'[1]Raw Data'!$A$3:$FB$285,6,FALSE)</f>
        <v>2237</v>
      </c>
      <c r="I128" s="27">
        <f>VLOOKUP($A128,'[1]Raw Data'!$A$3:$FB$285,8,FALSE)</f>
        <v>0.98</v>
      </c>
      <c r="J128" s="27">
        <f>VLOOKUP($A128,'[1]Raw Data'!$A$3:$FB$285,9,FALSE)</f>
        <v>0.96</v>
      </c>
      <c r="K128" s="27">
        <f>VLOOKUP($A128,'[1]Raw Data'!$A$3:$FB$285,11,FALSE)</f>
        <v>19.36</v>
      </c>
      <c r="L128" s="27">
        <f>VLOOKUP($A128,'[1]Raw Data'!$A$3:$FB$285,12,FALSE)</f>
        <v>26.47</v>
      </c>
      <c r="M128" s="27">
        <f>VLOOKUP($A128,'[1]Raw Data'!$A$3:$FB$285,14,FALSE)</f>
        <v>6.53</v>
      </c>
      <c r="N128" s="27">
        <f>VLOOKUP($A128,'[1]Raw Data'!$A$3:$FB$285,15,FALSE)</f>
        <v>7.99</v>
      </c>
      <c r="O128" s="27">
        <f>VLOOKUP($A128,'[1]Raw Data'!$A$3:$FB$285,17,FALSE)</f>
        <v>6.3</v>
      </c>
      <c r="P128" s="27">
        <f>VLOOKUP($A128,'[1]Raw Data'!$A$3:$FB$285,18,FALSE)</f>
        <v>15.92</v>
      </c>
      <c r="Q128" s="27">
        <f>VLOOKUP($A128,'[1]Raw Data'!$A$3:$FB$285,20,FALSE)</f>
        <v>11.89</v>
      </c>
      <c r="R128" s="27">
        <f>VLOOKUP($A128,'[1]Raw Data'!$A$3:$FB$285,21,FALSE)</f>
        <v>3.8</v>
      </c>
      <c r="S128" s="27">
        <f>VLOOKUP($A128,'[1]Raw Data'!$A$3:$FB$285,23,FALSE)</f>
        <v>0</v>
      </c>
      <c r="T128" s="27">
        <f>VLOOKUP($A128,'[1]Raw Data'!$A$3:$FB$285,24,FALSE)</f>
        <v>0</v>
      </c>
      <c r="U128" s="27">
        <f>VLOOKUP($A128,'[1]Raw Data'!$A$3:$FB$285,26,FALSE)</f>
        <v>0</v>
      </c>
      <c r="V128" s="27">
        <f>VLOOKUP($A128,'[1]Raw Data'!$A$3:$FB$285,27,FALSE)</f>
        <v>0.03</v>
      </c>
      <c r="W128" s="27">
        <f>VLOOKUP($A128,'[1]Raw Data'!$A$3:$FB$285,29,FALSE)</f>
        <v>0</v>
      </c>
      <c r="X128" s="27">
        <f>VLOOKUP($A128,'[1]Raw Data'!$A$3:$FB$285,30,FALSE)</f>
        <v>0</v>
      </c>
      <c r="Y128" s="27">
        <f>VLOOKUP($A128,'[1]Raw Data'!$A$3:$FB$285,32,FALSE)</f>
        <v>0</v>
      </c>
      <c r="Z128" s="27">
        <f>VLOOKUP($A128,'[1]Raw Data'!$A$3:$FB$285,33,FALSE)</f>
        <v>0.36</v>
      </c>
      <c r="AA128" s="27">
        <f>VLOOKUP($A128,'[1]Raw Data'!$A$3:$FB$285,35,FALSE)</f>
        <v>54.94</v>
      </c>
      <c r="AB128" s="27">
        <f>VLOOKUP($A128,'[1]Raw Data'!$A$3:$FB$285,36,FALSE)</f>
        <v>44.43</v>
      </c>
      <c r="AC128" s="27">
        <f>VLOOKUP($A128,'[1]Raw Data'!$A$3:$FB$285,38,FALSE)</f>
        <v>0</v>
      </c>
      <c r="AD128" s="27">
        <f>VLOOKUP($A128,'[1]Raw Data'!$A$3:$FB$285,39,FALSE)</f>
        <v>0.05</v>
      </c>
      <c r="AE128" s="27">
        <f>VLOOKUP($A128,'[1]Raw Data'!$A$3:$FB$285,41,FALSE)</f>
        <v>0</v>
      </c>
      <c r="AF128" s="27">
        <f>VLOOKUP($A128,'[1]Raw Data'!$A$3:$FB$285,42,FALSE)</f>
        <v>0</v>
      </c>
      <c r="AG128" s="27">
        <f>VLOOKUP($A128,'[1]Raw Data'!$A$3:$FB$285,44,FALSE)</f>
        <v>0</v>
      </c>
      <c r="AH128" s="27">
        <f>VLOOKUP($A128,'[1]Raw Data'!$A$3:$FB$285,45,FALSE)</f>
        <v>0</v>
      </c>
      <c r="AI128" s="27">
        <f>VLOOKUP($A128,'[1]Raw Data'!$A$3:$FB$285,46,FALSE)</f>
        <v>1746</v>
      </c>
      <c r="AJ128" s="27">
        <f>VLOOKUP($A128,'[1]Raw Data'!$A$3:$FB$285,47,FALSE)</f>
        <v>1579</v>
      </c>
      <c r="AK128" s="27">
        <f>VLOOKUP($A128,'[1]Raw Data'!$A$3:$FB$285,48,FALSE)</f>
        <v>1557</v>
      </c>
      <c r="AL128" s="27">
        <f>VLOOKUP($A128,'[1]Raw Data'!$A$3:$FB$285,49,FALSE)</f>
        <v>636</v>
      </c>
      <c r="AM128" s="27">
        <f>VLOOKUP($A128,'[1]Raw Data'!$A$3:$FB$285,50,FALSE)</f>
        <v>489</v>
      </c>
      <c r="AN128" s="27" t="str">
        <f>VLOOKUP($A128,'[1]Raw Data'!$A$3:$FB$285,51,FALSE)</f>
        <v/>
      </c>
      <c r="AO128" s="27" t="str">
        <f>VLOOKUP($A128,'[1]Raw Data'!$A$3:$FB$285,52,FALSE)</f>
        <v/>
      </c>
      <c r="AP128" s="27">
        <f>VLOOKUP($A128,'[1]Raw Data'!$A$3:$FB$285,53,FALSE)</f>
        <v>48</v>
      </c>
      <c r="AQ128" s="27">
        <f>VLOOKUP($A128,'[1]Raw Data'!$A$3:$FB$285,54,FALSE)</f>
        <v>25</v>
      </c>
      <c r="AR128" s="27">
        <f>VLOOKUP($A128,'[1]Raw Data'!$A$3:$FB$285,55,FALSE)</f>
        <v>25</v>
      </c>
      <c r="AS128" s="27">
        <f>VLOOKUP($A128,'[1]Raw Data'!$A$3:$FB$285,56,FALSE)</f>
        <v>0</v>
      </c>
      <c r="AT128" s="27">
        <f>VLOOKUP($A128,'[1]Raw Data'!$A$3:$FB$285,57,FALSE)</f>
        <v>369</v>
      </c>
      <c r="AU128" s="27">
        <f>VLOOKUP($A128,'[1]Raw Data'!$A$3:$FB$285,58,FALSE)</f>
        <v>335</v>
      </c>
      <c r="AV128" s="27" t="str">
        <f>VLOOKUP($A128,'[1]Raw Data'!$A$3:$FB$285,59,FALSE)</f>
        <v/>
      </c>
      <c r="AW128" s="27" t="str">
        <f>VLOOKUP($A128,'[1]Raw Data'!$A$3:$FB$285,60,FALSE)</f>
        <v/>
      </c>
      <c r="AX128" s="27" t="str">
        <f>VLOOKUP(A128,'[1]PO''s List'!A126:E408,4,FALSE)</f>
        <v/>
      </c>
      <c r="AZ128" s="27" t="str">
        <f>VLOOKUP(A128,'[1]PO''s List'!$A$3:$E$285,5,FALSE)</f>
        <v/>
      </c>
      <c r="BB128" s="27">
        <f>VLOOKUP($A128,'[1]Raw Data'!$A$3:$FB$285,63,FALSE)</f>
        <v>20845</v>
      </c>
      <c r="BC128" s="27" t="str">
        <f>VLOOKUP($A128,'[1]Raw Data'!$A$3:$FB$285,64,FALSE)</f>
        <v/>
      </c>
      <c r="BD128" s="27" t="str">
        <f t="shared" si="9"/>
        <v/>
      </c>
      <c r="BE128" s="27" t="str">
        <f>VLOOKUP($A128,'[1]Raw Data'!$A$3:$FB$285,65,FALSE)</f>
        <v/>
      </c>
      <c r="BF128" s="27">
        <f>VLOOKUP($A128,'[1]Raw Data'!$A$3:$FB$285,66,FALSE)</f>
        <v>13039</v>
      </c>
      <c r="BG128" s="27" t="str">
        <f>VLOOKUP($A128,'[1]Raw Data'!$A$3:$FB$285,67,FALSE)</f>
        <v/>
      </c>
      <c r="BH128" s="27" t="str">
        <f t="shared" si="10"/>
        <v/>
      </c>
      <c r="BI128" s="27" t="str">
        <f>VLOOKUP($A128,'[1]Raw Data'!$A$3:$FB$285,68,FALSE)</f>
        <v/>
      </c>
      <c r="BJ128" s="27">
        <f>VLOOKUP($A128,'[1]Raw Data'!$A$3:$FB$285,69,FALSE)</f>
        <v>2147</v>
      </c>
      <c r="BK128" s="27" t="str">
        <f>VLOOKUP($A128,'[1]Raw Data'!$A$3:$FB$285,70,FALSE)</f>
        <v/>
      </c>
      <c r="BL128" s="27" t="str">
        <f t="shared" si="11"/>
        <v/>
      </c>
      <c r="BM128" s="27" t="str">
        <f>VLOOKUP($A128,'[1]Raw Data'!$A$3:$FB$285,71,FALSE)</f>
        <v/>
      </c>
      <c r="BN128" s="27">
        <f>VLOOKUP($A128,'[1]Raw Data'!$A$3:$FB$285,72,FALSE)</f>
        <v>2190</v>
      </c>
      <c r="BO128" s="27" t="str">
        <f>VLOOKUP($A128,'[1]Raw Data'!$A$3:$FB$285,73,FALSE)</f>
        <v/>
      </c>
      <c r="BP128" s="27" t="str">
        <f t="shared" si="12"/>
        <v/>
      </c>
      <c r="BQ128" s="27" t="str">
        <f>VLOOKUP($A128,'[1]Raw Data'!$A$3:$FB$285,74,FALSE)</f>
        <v/>
      </c>
      <c r="BR128" s="27" t="str">
        <f>VLOOKUP($A128,'[1]Raw Data'!$A$3:$FB$285,75,FALSE)</f>
        <v/>
      </c>
      <c r="BS128" s="27" t="str">
        <f>VLOOKUP($A128,'[1]Raw Data'!$A$3:$FB$285,76,FALSE)</f>
        <v/>
      </c>
      <c r="BT128" s="27" t="str">
        <f t="shared" si="13"/>
        <v/>
      </c>
      <c r="BU128" s="27" t="str">
        <f>VLOOKUP($A128,'[1]Raw Data'!$A$3:$FB$285,77,FALSE)</f>
        <v/>
      </c>
      <c r="BV128" s="27">
        <f>VLOOKUP($A128,'[1]Raw Data'!$A$3:$FB$285,78,FALSE)</f>
        <v>43987</v>
      </c>
      <c r="BW128" s="27" t="str">
        <f>VLOOKUP($A128,'[1]Raw Data'!$A$3:$FB$285,79,FALSE)</f>
        <v/>
      </c>
      <c r="BX128" s="27" t="str">
        <f t="shared" si="14"/>
        <v/>
      </c>
      <c r="BY128" s="27" t="str">
        <f>VLOOKUP($A128,'[1]Raw Data'!$A$3:$FB$285,80,FALSE)</f>
        <v/>
      </c>
      <c r="BZ128" s="27">
        <f>VLOOKUP($A128,'[1]Raw Data'!$A$3:$FB$285,81,FALSE)</f>
        <v>237749</v>
      </c>
      <c r="CA128" s="27" t="str">
        <f>VLOOKUP($A128,'[1]Raw Data'!$A$3:$FB$285,82,FALSE)</f>
        <v/>
      </c>
      <c r="CB128" s="27" t="str">
        <f t="shared" si="15"/>
        <v/>
      </c>
      <c r="CC128" s="27" t="str">
        <f>VLOOKUP($A128,'[1]Raw Data'!$A$3:$FB$285,83,FALSE)</f>
        <v/>
      </c>
      <c r="CD128" s="27">
        <f>VLOOKUP($A128,'[1]Raw Data'!$A$3:$FB$285,84,FALSE)</f>
        <v>1782</v>
      </c>
      <c r="CE128" s="27" t="str">
        <f>VLOOKUP($A128,'[1]Raw Data'!$A$3:$FB$285,85,FALSE)</f>
        <v/>
      </c>
      <c r="CF128" s="27" t="str">
        <f t="shared" si="16"/>
        <v/>
      </c>
      <c r="CG128" s="27" t="str">
        <f>VLOOKUP($A128,'[1]Raw Data'!$A$3:$FB$285,86,FALSE)</f>
        <v/>
      </c>
      <c r="CH128" s="27">
        <f>VLOOKUP($A128,'[1]Raw Data'!$A$3:$FB$285,87,FALSE)</f>
        <v>730045</v>
      </c>
      <c r="CI128" s="27" t="str">
        <f>VLOOKUP($A128,'[1]Raw Data'!$A$3:$FB$285,88,FALSE)</f>
        <v/>
      </c>
      <c r="CJ128" s="27" t="str">
        <f t="shared" si="17"/>
        <v/>
      </c>
      <c r="CK128" s="27" t="str">
        <f>VLOOKUP($A128,'[1]Raw Data'!$A$3:$FB$285,89,FALSE)</f>
        <v/>
      </c>
      <c r="CL128" s="27" t="str">
        <f>VLOOKUP($A128,'[1]Raw Data'!$A$3:$FB$285,91,FALSE)</f>
        <v/>
      </c>
      <c r="CM128" s="27" t="str">
        <f>VLOOKUP($A128,'[1]Raw Data'!$A$3:$FB$285,93,FALSE)</f>
        <v/>
      </c>
      <c r="CN128" s="27" t="str">
        <f>VLOOKUP($A128,'[1]Raw Data'!$A$3:$FB$285,94,FALSE)</f>
        <v/>
      </c>
      <c r="CO128" s="27" t="str">
        <f>VLOOKUP($A128,'[1]Raw Data'!$A$3:$FB$285,95,FALSE)</f>
        <v/>
      </c>
      <c r="CP128" s="27" t="str">
        <f>VLOOKUP($A128,'[1]Raw Data'!$A$3:$FB$285,96,FALSE)</f>
        <v/>
      </c>
      <c r="CQ128" s="27" t="str">
        <f>VLOOKUP($A128,'[1]Raw Data'!$A$3:$FB$285,97,FALSE)</f>
        <v/>
      </c>
      <c r="CR128" s="27" t="str">
        <f>VLOOKUP($A128,'[1]Raw Data'!$A$3:$FB$285,98,FALSE)</f>
        <v/>
      </c>
      <c r="CS128" s="27" t="str">
        <f>VLOOKUP($A128,'[1]Raw Data'!$A$3:$FB$285,99,FALSE)</f>
        <v/>
      </c>
      <c r="CT128" s="27" t="str">
        <f>VLOOKUP($A128,'[1]Raw Data'!$A$3:$FB$285,101,FALSE)</f>
        <v>Prakash Adhikari</v>
      </c>
      <c r="CU128" s="27" t="s">
        <v>1209</v>
      </c>
      <c r="CV128" s="27" t="str">
        <f>VLOOKUP($A128,'[1]Raw Data'!$A$3:$FB$285,102,FALSE)</f>
        <v>Mayor</v>
      </c>
      <c r="CW128" s="27" t="s">
        <v>834</v>
      </c>
      <c r="CX128" s="27">
        <f>VLOOKUP($A128,'[1]Raw Data'!$A$3:$FB$285,103,FALSE)</f>
        <v>9851234789</v>
      </c>
      <c r="CY128" s="27" t="str">
        <f>VLOOKUP($A128,'[1]Raw Data'!$A$3:$FB$285,105,FALSE)</f>
        <v>Gyan Maya Dangol</v>
      </c>
      <c r="CZ128" s="27" t="s">
        <v>1210</v>
      </c>
      <c r="DA128" s="27" t="str">
        <f>VLOOKUP($A128,'[1]Raw Data'!$A$3:$FB$285,106,FALSE)</f>
        <v>Deputy Mayor</v>
      </c>
      <c r="DB128" s="27" t="s">
        <v>888</v>
      </c>
      <c r="DC128" s="27">
        <f>VLOOKUP($A128,'[1]Raw Data'!$A$3:$FB$285,107,FALSE)</f>
        <v>9851254789</v>
      </c>
      <c r="DD128" s="27" t="str">
        <f>VLOOKUP($A128,'[1]Raw Data'!$A$3:$FB$285,109,FALSE)</f>
        <v>Rajendra Karki</v>
      </c>
      <c r="DE128" s="27" t="s">
        <v>1211</v>
      </c>
      <c r="DF128" s="27" t="str">
        <f>VLOOKUP($A128,'[1]Raw Data'!$A$3:$FB$285,110,FALSE)</f>
        <v>Adminstration Officer</v>
      </c>
      <c r="DG128" s="27" t="s">
        <v>880</v>
      </c>
      <c r="DH128" s="27" t="str">
        <f>VLOOKUP($A128,'[1]Raw Data'!$A$3:$FB$285,111,FALSE)</f>
        <v/>
      </c>
      <c r="DI128" s="27" t="str">
        <f>VLOOKUP($A128,'[1]Raw Data'!$A$3:$FB$285,121,FALSE)</f>
        <v>Pratiksha Tripathi</v>
      </c>
      <c r="DJ128" s="27" t="s">
        <v>1212</v>
      </c>
      <c r="DK128" s="27" t="str">
        <f>VLOOKUP($A128,'[1]Raw Data'!$A$3:$FB$285,122,FALSE)</f>
        <v>Focal Person</v>
      </c>
      <c r="DL128" s="27" t="s">
        <v>881</v>
      </c>
      <c r="DM128" s="27">
        <f>VLOOKUP($A128,'[1]Raw Data'!$A$3:$FB$285,123,FALSE)</f>
        <v>9860993087</v>
      </c>
      <c r="DN128" s="27" t="str">
        <f>VLOOKUP($A128,'[1]Raw Data'!$A$3:$FB$285,113,FALSE)</f>
        <v>Samar Bahadur Khanal</v>
      </c>
      <c r="DO128" s="27" t="s">
        <v>1172</v>
      </c>
      <c r="DP128" s="27" t="str">
        <f>VLOOKUP($A128,'[1]Raw Data'!$A$3:$FB$285,114,FALSE)</f>
        <v>NRA Chief-District</v>
      </c>
      <c r="DQ128" s="27" t="s">
        <v>882</v>
      </c>
      <c r="DR128" s="27">
        <f>VLOOKUP($A128,'[1]Raw Data'!$A$3:$FB$285,115,FALSE)</f>
        <v>9851209362</v>
      </c>
      <c r="DS128" s="27" t="str">
        <f>VLOOKUP($A128,'[1]Raw Data'!$A$3:$FB$285,117,FALSE)</f>
        <v>Chandra Kaji Gurung</v>
      </c>
      <c r="DT128" s="27" t="s">
        <v>1129</v>
      </c>
      <c r="DU128" s="27" t="str">
        <f>VLOOKUP($A128,'[1]Raw Data'!$A$3:$FB$285,118,FALSE)</f>
        <v>DUDBC.DLPIU Chief</v>
      </c>
      <c r="DV128" s="27" t="s">
        <v>883</v>
      </c>
      <c r="DW128" s="27">
        <f>VLOOKUP($A128,'[1]Raw Data'!$A$3:$FB$285,119,FALSE)</f>
        <v>9841576783</v>
      </c>
      <c r="DX128" s="27" t="s">
        <v>339</v>
      </c>
      <c r="DY128" s="27" t="str">
        <f>VLOOKUP($A128,'[1]Raw Data'!$A$3:$FB$285,124,FALSE)</f>
        <v/>
      </c>
      <c r="DZ128" s="27" t="s">
        <v>884</v>
      </c>
      <c r="EA128" s="27" t="str">
        <f>VLOOKUP($A128,'[1]Raw Data'!$A$3:$FB$285,125,FALSE)</f>
        <v/>
      </c>
      <c r="EB128" s="27" t="s">
        <v>341</v>
      </c>
      <c r="EC128" s="27" t="str">
        <f>VLOOKUP($A128,'[1]Raw Data'!$A$3:$FB$285,126,FALSE)</f>
        <v/>
      </c>
      <c r="ED128" t="s">
        <v>478</v>
      </c>
      <c r="EE128" s="27" t="str">
        <f>VLOOKUP($A128,'[1]Raw Data'!$A$3:$FB$285,127,FALSE)</f>
        <v/>
      </c>
      <c r="EF128" s="27" t="s">
        <v>343</v>
      </c>
      <c r="EG128" s="27" t="str">
        <f>VLOOKUP($A128,'[1]Raw Data'!$A$3:$FB$285,128,FALSE)</f>
        <v/>
      </c>
      <c r="EH128" t="s">
        <v>344</v>
      </c>
      <c r="EI128" s="27" t="str">
        <f>VLOOKUP($A128,'[1]Raw Data'!$A$3:$FB$285,129,FALSE)</f>
        <v/>
      </c>
      <c r="EM128" s="27" t="str">
        <f>VLOOKUP($A128,'[1]Raw Data'!$A$3:$FB$285,130,FALSE)</f>
        <v/>
      </c>
      <c r="EN128" s="27" t="str">
        <f>VLOOKUP($A128,'[1]Raw Data'!$A$3:$FB$285,131,FALSE)</f>
        <v/>
      </c>
      <c r="EO128" s="27" t="str">
        <f>VLOOKUP($A128,'[1]Raw Data'!$A$3:$FB$285,132,FALSE)</f>
        <v/>
      </c>
      <c r="EP128" s="27" t="str">
        <f>VLOOKUP($A128,'[1]Raw Data'!$A$3:$FB$285,133,FALSE)</f>
        <v/>
      </c>
      <c r="EQ128" s="27" t="str">
        <f>VLOOKUP($A128,'[1]Raw Data'!$A$3:$FB$285,134,FALSE)</f>
        <v/>
      </c>
      <c r="ER128" s="27" t="str">
        <f>VLOOKUP($A128,'[1]Raw Data'!$A$3:$FB$285,135,FALSE)</f>
        <v/>
      </c>
      <c r="ES128" s="27" t="str">
        <f>VLOOKUP($A128,'[1]Raw Data'!$A$3:$FB$285,136,FALSE)</f>
        <v/>
      </c>
      <c r="ET128" s="27" t="str">
        <f>VLOOKUP($A128,'[1]Raw Data'!$A$3:$FB$285,137,FALSE)</f>
        <v/>
      </c>
      <c r="EU128" s="27" t="str">
        <f>VLOOKUP($A128,'[1]Raw Data'!$A$3:$FB$285,138,FALSE)</f>
        <v/>
      </c>
      <c r="EV128" s="27" t="str">
        <f>VLOOKUP($A128,'[1]Raw Data'!$A$3:$FB$285,139,FALSE)</f>
        <v/>
      </c>
      <c r="EW128" s="38">
        <f>VLOOKUP($A128,[1]Training!$A$2:$I$284,5,FALSE)</f>
        <v>134.30769230769232</v>
      </c>
      <c r="EX128" s="31">
        <f>VLOOKUP($A128,[1]Training!$A$2:$I$284,6,FALSE)</f>
        <v>35</v>
      </c>
      <c r="EY128" s="38">
        <f>VLOOKUP($A128,[1]Training!$A$2:$I$284,8,FALSE)</f>
        <v>73.055921672001503</v>
      </c>
      <c r="EZ128" s="31">
        <f>VLOOKUP($A128,[1]Training!$A$2:$I$284,9,FALSE)</f>
        <v>1</v>
      </c>
      <c r="FA128" s="27">
        <v>1</v>
      </c>
      <c r="FB128" s="27">
        <v>2</v>
      </c>
      <c r="FC128" s="27" t="str">
        <f>VLOOKUP($A128,'[1]Raw Data'!$A$3:$FB$285,148,FALSE)</f>
        <v>Ambika Amatya</v>
      </c>
      <c r="FD128" s="27" t="s">
        <v>1130</v>
      </c>
      <c r="FE128" s="27" t="str">
        <f>VLOOKUP($A128,'[1]Raw Data'!$A$3:$FB$285,149,FALSE)</f>
        <v>District Coordinator</v>
      </c>
      <c r="FF128" s="27" t="s">
        <v>885</v>
      </c>
      <c r="FG128" s="27">
        <f>VLOOKUP($A128,'[1]Raw Data'!$A$3:$FB$285,150,FALSE)</f>
        <v>9841356409</v>
      </c>
      <c r="FH128" s="27" t="str">
        <f>VLOOKUP($A128,'[1]Raw Data'!$A$3:$FB$285,156,FALSE)</f>
        <v/>
      </c>
      <c r="FJ128" s="27" t="str">
        <f>VLOOKUP($A128,'[1]Raw Data'!$A$3:$FB$285,157,FALSE)</f>
        <v>District Technical Officer</v>
      </c>
      <c r="FK128" s="27" t="s">
        <v>886</v>
      </c>
      <c r="FL128" s="27" t="str">
        <f>VLOOKUP($A128,'[1]Raw Data'!$A$3:$FB$285,158,FALSE)</f>
        <v/>
      </c>
      <c r="FM128" s="27" t="str">
        <f>VLOOKUP($A128,'[1]Raw Data'!$A$3:$FB$285,152,FALSE)</f>
        <v>Manisha Rai</v>
      </c>
      <c r="FN128" s="27" t="s">
        <v>1131</v>
      </c>
      <c r="FO128" s="27" t="str">
        <f>VLOOKUP($A128,'[1]Raw Data'!$A$3:$FB$285,153,FALSE)</f>
        <v>DIstrict Information Management Officer</v>
      </c>
      <c r="FP128" s="27" t="s">
        <v>887</v>
      </c>
      <c r="FQ128" s="27">
        <f>VLOOKUP($A128,'[1]Raw Data'!$A$3:$FB$285,154,FALSE)</f>
        <v>9842062006</v>
      </c>
    </row>
    <row r="129" spans="1:173" ht="24" x14ac:dyDescent="0.45">
      <c r="A129" s="27">
        <v>28001</v>
      </c>
      <c r="B129" s="36" t="str">
        <f ca="1">IFERROR(__xludf.DUMMYFUNCTION("""COMPUTED_VALUE"""),"Belkotgadhi Nagarpalika")</f>
        <v>Belkotgadhi Nagarpalika</v>
      </c>
      <c r="C129" s="37" t="str">
        <f>VLOOKUP(A129,'[1]Palika and District in Nepali '!$D$1:$F$283,3,FALSE)</f>
        <v>बेलकोटगढी नगरपालिका</v>
      </c>
      <c r="D129" s="36" t="str">
        <f ca="1">IFERROR(__xludf.DUMMYFUNCTION("""COMPUTED_VALUE"""),"Nuwakot")</f>
        <v>Nuwakot</v>
      </c>
      <c r="E129" s="36"/>
      <c r="F129" s="27">
        <f>VLOOKUP(A129,'[1]Raw Data'!$A$3:$FB$285,4,FALSE)</f>
        <v>692</v>
      </c>
      <c r="G129" s="27">
        <f>VLOOKUP(A129,'[1]Raw Data'!$A$3:$FB$285,5,FALSE)</f>
        <v>10027</v>
      </c>
      <c r="H129" s="27">
        <f>VLOOKUP(A129,'[1]Raw Data'!$A$3:$FB$285,6,FALSE)</f>
        <v>10719</v>
      </c>
      <c r="I129" s="27">
        <f>VLOOKUP($A129,'[1]Raw Data'!$A$3:$FB$285,8,FALSE)</f>
        <v>0.77</v>
      </c>
      <c r="J129" s="27">
        <f>VLOOKUP($A129,'[1]Raw Data'!$A$3:$FB$285,9,FALSE)</f>
        <v>0.64</v>
      </c>
      <c r="K129" s="27">
        <f>VLOOKUP($A129,'[1]Raw Data'!$A$3:$FB$285,11,FALSE)</f>
        <v>94.61</v>
      </c>
      <c r="L129" s="27">
        <f>VLOOKUP($A129,'[1]Raw Data'!$A$3:$FB$285,12,FALSE)</f>
        <v>89.07</v>
      </c>
      <c r="M129" s="27">
        <f>VLOOKUP($A129,'[1]Raw Data'!$A$3:$FB$285,14,FALSE)</f>
        <v>2.0099999999999998</v>
      </c>
      <c r="N129" s="27">
        <f>VLOOKUP($A129,'[1]Raw Data'!$A$3:$FB$285,15,FALSE)</f>
        <v>2.11</v>
      </c>
      <c r="O129" s="27">
        <f>VLOOKUP($A129,'[1]Raw Data'!$A$3:$FB$285,17,FALSE)</f>
        <v>0.46</v>
      </c>
      <c r="P129" s="27">
        <f>VLOOKUP($A129,'[1]Raw Data'!$A$3:$FB$285,18,FALSE)</f>
        <v>0.51</v>
      </c>
      <c r="Q129" s="27">
        <f>VLOOKUP($A129,'[1]Raw Data'!$A$3:$FB$285,20,FALSE)</f>
        <v>0.68</v>
      </c>
      <c r="R129" s="27">
        <f>VLOOKUP($A129,'[1]Raw Data'!$A$3:$FB$285,21,FALSE)</f>
        <v>3.05</v>
      </c>
      <c r="S129" s="27">
        <f>VLOOKUP($A129,'[1]Raw Data'!$A$3:$FB$285,23,FALSE)</f>
        <v>0</v>
      </c>
      <c r="T129" s="27">
        <f>VLOOKUP($A129,'[1]Raw Data'!$A$3:$FB$285,24,FALSE)</f>
        <v>0</v>
      </c>
      <c r="U129" s="27">
        <f>VLOOKUP($A129,'[1]Raw Data'!$A$3:$FB$285,26,FALSE)</f>
        <v>0.12</v>
      </c>
      <c r="V129" s="27">
        <f>VLOOKUP($A129,'[1]Raw Data'!$A$3:$FB$285,27,FALSE)</f>
        <v>0.15</v>
      </c>
      <c r="W129" s="27">
        <f>VLOOKUP($A129,'[1]Raw Data'!$A$3:$FB$285,29,FALSE)</f>
        <v>0</v>
      </c>
      <c r="X129" s="27">
        <f>VLOOKUP($A129,'[1]Raw Data'!$A$3:$FB$285,30,FALSE)</f>
        <v>0</v>
      </c>
      <c r="Y129" s="27">
        <f>VLOOKUP($A129,'[1]Raw Data'!$A$3:$FB$285,32,FALSE)</f>
        <v>0.21</v>
      </c>
      <c r="Z129" s="27">
        <f>VLOOKUP($A129,'[1]Raw Data'!$A$3:$FB$285,33,FALSE)</f>
        <v>0.17</v>
      </c>
      <c r="AA129" s="27">
        <f>VLOOKUP($A129,'[1]Raw Data'!$A$3:$FB$285,35,FALSE)</f>
        <v>1.1000000000000001</v>
      </c>
      <c r="AB129" s="27">
        <f>VLOOKUP($A129,'[1]Raw Data'!$A$3:$FB$285,36,FALSE)</f>
        <v>4.25</v>
      </c>
      <c r="AC129" s="27">
        <f>VLOOKUP($A129,'[1]Raw Data'!$A$3:$FB$285,38,FALSE)</f>
        <v>0.04</v>
      </c>
      <c r="AD129" s="27">
        <f>VLOOKUP($A129,'[1]Raw Data'!$A$3:$FB$285,39,FALSE)</f>
        <v>0.05</v>
      </c>
      <c r="AE129" s="27">
        <f>VLOOKUP($A129,'[1]Raw Data'!$A$3:$FB$285,41,FALSE)</f>
        <v>0</v>
      </c>
      <c r="AF129" s="27">
        <f>VLOOKUP($A129,'[1]Raw Data'!$A$3:$FB$285,42,FALSE)</f>
        <v>0</v>
      </c>
      <c r="AG129" s="27">
        <f>VLOOKUP($A129,'[1]Raw Data'!$A$3:$FB$285,44,FALSE)</f>
        <v>0</v>
      </c>
      <c r="AH129" s="27">
        <f>VLOOKUP($A129,'[1]Raw Data'!$A$3:$FB$285,45,FALSE)</f>
        <v>0</v>
      </c>
      <c r="AI129" s="27">
        <f>VLOOKUP($A129,'[1]Raw Data'!$A$3:$FB$285,46,FALSE)</f>
        <v>11037</v>
      </c>
      <c r="AJ129" s="27">
        <f>VLOOKUP($A129,'[1]Raw Data'!$A$3:$FB$285,47,FALSE)</f>
        <v>9651</v>
      </c>
      <c r="AK129" s="27">
        <f>VLOOKUP($A129,'[1]Raw Data'!$A$3:$FB$285,48,FALSE)</f>
        <v>10025</v>
      </c>
      <c r="AL129" s="27">
        <f>VLOOKUP($A129,'[1]Raw Data'!$A$3:$FB$285,49,FALSE)</f>
        <v>8595</v>
      </c>
      <c r="AM129" s="27">
        <f>VLOOKUP($A129,'[1]Raw Data'!$A$3:$FB$285,50,FALSE)</f>
        <v>1494</v>
      </c>
      <c r="AN129" s="27">
        <f>VLOOKUP($A129,'[1]Raw Data'!$A$3:$FB$285,51,FALSE)</f>
        <v>8560</v>
      </c>
      <c r="AO129" s="27" t="str">
        <f>VLOOKUP($A129,'[1]Raw Data'!$A$3:$FB$285,52,FALSE)</f>
        <v/>
      </c>
      <c r="AP129" s="27">
        <f>VLOOKUP($A129,'[1]Raw Data'!$A$3:$FB$285,53,FALSE)</f>
        <v>154</v>
      </c>
      <c r="AQ129" s="27">
        <f>VLOOKUP($A129,'[1]Raw Data'!$A$3:$FB$285,54,FALSE)</f>
        <v>0</v>
      </c>
      <c r="AR129" s="27">
        <f>VLOOKUP($A129,'[1]Raw Data'!$A$3:$FB$285,55,FALSE)</f>
        <v>0</v>
      </c>
      <c r="AS129" s="27">
        <f>VLOOKUP($A129,'[1]Raw Data'!$A$3:$FB$285,56,FALSE)</f>
        <v>0</v>
      </c>
      <c r="AT129" s="27">
        <f>VLOOKUP($A129,'[1]Raw Data'!$A$3:$FB$285,57,FALSE)</f>
        <v>2271</v>
      </c>
      <c r="AU129" s="27">
        <f>VLOOKUP($A129,'[1]Raw Data'!$A$3:$FB$285,58,FALSE)</f>
        <v>1627</v>
      </c>
      <c r="AV129" s="27" t="str">
        <f>VLOOKUP($A129,'[1]Raw Data'!$A$3:$FB$285,59,FALSE)</f>
        <v/>
      </c>
      <c r="AW129" s="27" t="str">
        <f>VLOOKUP($A129,'[1]Raw Data'!$A$3:$FB$285,60,FALSE)</f>
        <v/>
      </c>
      <c r="AX129" s="27" t="str">
        <f>VLOOKUP(A129,'[1]PO''s List'!A127:E409,4,FALSE)</f>
        <v>NRCS(Health),NSET(Shelter)</v>
      </c>
      <c r="AZ129" s="27" t="str">
        <f>VLOOKUP(A129,'[1]PO''s List'!$A$3:$E$285,5,FALSE)</f>
        <v>ACF(Health,Shelter),ANMF-N(Health),GIZ(Health),GON-PAF(Shelter),OXFAM-GB(Shelter),Paribartan-N(Education),RoomTR(Education),RoundT-N(Education),SCI(Education,Shelter,Social Protection,Health)</v>
      </c>
      <c r="BB129" s="27">
        <f>VLOOKUP($A129,'[1]Raw Data'!$A$3:$FB$285,63,FALSE)</f>
        <v>264834</v>
      </c>
      <c r="BC129" s="27" t="str">
        <f>VLOOKUP($A129,'[1]Raw Data'!$A$3:$FB$285,64,FALSE)</f>
        <v/>
      </c>
      <c r="BD129" s="27" t="str">
        <f t="shared" si="9"/>
        <v/>
      </c>
      <c r="BE129" s="27" t="str">
        <f>VLOOKUP($A129,'[1]Raw Data'!$A$3:$FB$285,65,FALSE)</f>
        <v/>
      </c>
      <c r="BF129" s="27">
        <f>VLOOKUP($A129,'[1]Raw Data'!$A$3:$FB$285,66,FALSE)</f>
        <v>223002</v>
      </c>
      <c r="BG129" s="27" t="str">
        <f>VLOOKUP($A129,'[1]Raw Data'!$A$3:$FB$285,67,FALSE)</f>
        <v/>
      </c>
      <c r="BH129" s="27" t="str">
        <f t="shared" si="10"/>
        <v/>
      </c>
      <c r="BI129" s="27" t="str">
        <f>VLOOKUP($A129,'[1]Raw Data'!$A$3:$FB$285,68,FALSE)</f>
        <v/>
      </c>
      <c r="BJ129" s="27">
        <f>VLOOKUP($A129,'[1]Raw Data'!$A$3:$FB$285,69,FALSE)</f>
        <v>27835</v>
      </c>
      <c r="BK129" s="27" t="str">
        <f>VLOOKUP($A129,'[1]Raw Data'!$A$3:$FB$285,70,FALSE)</f>
        <v/>
      </c>
      <c r="BL129" s="27" t="str">
        <f t="shared" si="11"/>
        <v/>
      </c>
      <c r="BM129" s="27" t="str">
        <f>VLOOKUP($A129,'[1]Raw Data'!$A$3:$FB$285,71,FALSE)</f>
        <v/>
      </c>
      <c r="BN129" s="27">
        <f>VLOOKUP($A129,'[1]Raw Data'!$A$3:$FB$285,72,FALSE)</f>
        <v>30494</v>
      </c>
      <c r="BO129" s="27" t="str">
        <f>VLOOKUP($A129,'[1]Raw Data'!$A$3:$FB$285,73,FALSE)</f>
        <v/>
      </c>
      <c r="BP129" s="27" t="str">
        <f t="shared" si="12"/>
        <v/>
      </c>
      <c r="BQ129" s="27" t="str">
        <f>VLOOKUP($A129,'[1]Raw Data'!$A$3:$FB$285,74,FALSE)</f>
        <v/>
      </c>
      <c r="BR129" s="27" t="str">
        <f>VLOOKUP($A129,'[1]Raw Data'!$A$3:$FB$285,75,FALSE)</f>
        <v/>
      </c>
      <c r="BS129" s="27" t="str">
        <f>VLOOKUP($A129,'[1]Raw Data'!$A$3:$FB$285,76,FALSE)</f>
        <v/>
      </c>
      <c r="BT129" s="27" t="str">
        <f t="shared" si="13"/>
        <v/>
      </c>
      <c r="BU129" s="27" t="str">
        <f>VLOOKUP($A129,'[1]Raw Data'!$A$3:$FB$285,77,FALSE)</f>
        <v/>
      </c>
      <c r="BV129" s="27">
        <f>VLOOKUP($A129,'[1]Raw Data'!$A$3:$FB$285,78,FALSE)</f>
        <v>754729</v>
      </c>
      <c r="BW129" s="27" t="str">
        <f>VLOOKUP($A129,'[1]Raw Data'!$A$3:$FB$285,79,FALSE)</f>
        <v/>
      </c>
      <c r="BX129" s="27" t="str">
        <f t="shared" si="14"/>
        <v/>
      </c>
      <c r="BY129" s="27" t="str">
        <f>VLOOKUP($A129,'[1]Raw Data'!$A$3:$FB$285,80,FALSE)</f>
        <v/>
      </c>
      <c r="BZ129" s="27">
        <f>VLOOKUP($A129,'[1]Raw Data'!$A$3:$FB$285,81,FALSE)</f>
        <v>2954667</v>
      </c>
      <c r="CA129" s="27" t="str">
        <f>VLOOKUP($A129,'[1]Raw Data'!$A$3:$FB$285,82,FALSE)</f>
        <v/>
      </c>
      <c r="CB129" s="27" t="str">
        <f t="shared" si="15"/>
        <v/>
      </c>
      <c r="CC129" s="27" t="str">
        <f>VLOOKUP($A129,'[1]Raw Data'!$A$3:$FB$285,83,FALSE)</f>
        <v/>
      </c>
      <c r="CD129" s="27">
        <f>VLOOKUP($A129,'[1]Raw Data'!$A$3:$FB$285,84,FALSE)</f>
        <v>30819</v>
      </c>
      <c r="CE129" s="27" t="str">
        <f>VLOOKUP($A129,'[1]Raw Data'!$A$3:$FB$285,85,FALSE)</f>
        <v/>
      </c>
      <c r="CF129" s="27" t="str">
        <f t="shared" si="16"/>
        <v/>
      </c>
      <c r="CG129" s="27" t="str">
        <f>VLOOKUP($A129,'[1]Raw Data'!$A$3:$FB$285,86,FALSE)</f>
        <v/>
      </c>
      <c r="CH129" s="27">
        <f>VLOOKUP($A129,'[1]Raw Data'!$A$3:$FB$285,87,FALSE)</f>
        <v>7396321</v>
      </c>
      <c r="CI129" s="27" t="str">
        <f>VLOOKUP($A129,'[1]Raw Data'!$A$3:$FB$285,88,FALSE)</f>
        <v/>
      </c>
      <c r="CJ129" s="27" t="str">
        <f t="shared" si="17"/>
        <v/>
      </c>
      <c r="CK129" s="27" t="str">
        <f>VLOOKUP($A129,'[1]Raw Data'!$A$3:$FB$285,89,FALSE)</f>
        <v/>
      </c>
      <c r="CL129" s="27">
        <f>VLOOKUP($A129,'[1]Raw Data'!$A$3:$FB$285,91,FALSE)</f>
        <v>1500</v>
      </c>
      <c r="CM129" s="27">
        <f>VLOOKUP($A129,'[1]Raw Data'!$A$3:$FB$285,93,FALSE)</f>
        <v>1000</v>
      </c>
      <c r="CN129" s="27" t="str">
        <f>VLOOKUP($A129,'[1]Raw Data'!$A$3:$FB$285,94,FALSE)</f>
        <v/>
      </c>
      <c r="CO129" s="27" t="str">
        <f>VLOOKUP($A129,'[1]Raw Data'!$A$3:$FB$285,95,FALSE)</f>
        <v/>
      </c>
      <c r="CP129" s="27" t="str">
        <f>VLOOKUP($A129,'[1]Raw Data'!$A$3:$FB$285,96,FALSE)</f>
        <v/>
      </c>
      <c r="CQ129" s="27" t="str">
        <f>VLOOKUP($A129,'[1]Raw Data'!$A$3:$FB$285,97,FALSE)</f>
        <v/>
      </c>
      <c r="CR129" s="27" t="str">
        <f>VLOOKUP($A129,'[1]Raw Data'!$A$3:$FB$285,98,FALSE)</f>
        <v/>
      </c>
      <c r="CS129" s="27" t="str">
        <f>VLOOKUP($A129,'[1]Raw Data'!$A$3:$FB$285,99,FALSE)</f>
        <v/>
      </c>
      <c r="CT129" s="27" t="str">
        <f>VLOOKUP($A129,'[1]Raw Data'!$A$3:$FB$285,101,FALSE)</f>
        <v>Rajendra Raman Khanal</v>
      </c>
      <c r="CU129" s="27" t="s">
        <v>1213</v>
      </c>
      <c r="CV129" s="27" t="str">
        <f>VLOOKUP($A129,'[1]Raw Data'!$A$3:$FB$285,102,FALSE)</f>
        <v>Mayor</v>
      </c>
      <c r="CW129" s="27" t="s">
        <v>834</v>
      </c>
      <c r="CX129" s="27">
        <f>VLOOKUP($A129,'[1]Raw Data'!$A$3:$FB$285,103,FALSE)</f>
        <v>9851099583</v>
      </c>
      <c r="CY129" s="27" t="str">
        <f>VLOOKUP($A129,'[1]Raw Data'!$A$3:$FB$285,105,FALSE)</f>
        <v>Kabita Dhungana</v>
      </c>
      <c r="CZ129" s="27" t="s">
        <v>1214</v>
      </c>
      <c r="DA129" s="27" t="str">
        <f>VLOOKUP($A129,'[1]Raw Data'!$A$3:$FB$285,106,FALSE)</f>
        <v>Deputy Mayor</v>
      </c>
      <c r="DB129" s="27" t="s">
        <v>888</v>
      </c>
      <c r="DC129" s="27">
        <f>VLOOKUP($A129,'[1]Raw Data'!$A$3:$FB$285,107,FALSE)</f>
        <v>9851253009</v>
      </c>
      <c r="DD129" s="27" t="str">
        <f>VLOOKUP($A129,'[1]Raw Data'!$A$3:$FB$285,109,FALSE)</f>
        <v/>
      </c>
      <c r="DF129" s="27" t="str">
        <f>VLOOKUP($A129,'[1]Raw Data'!$A$3:$FB$285,110,FALSE)</f>
        <v>Adminstration Officer</v>
      </c>
      <c r="DG129" s="27" t="s">
        <v>880</v>
      </c>
      <c r="DH129" s="27" t="str">
        <f>VLOOKUP($A129,'[1]Raw Data'!$A$3:$FB$285,111,FALSE)</f>
        <v/>
      </c>
      <c r="DI129" s="27" t="str">
        <f>VLOOKUP($A129,'[1]Raw Data'!$A$3:$FB$285,121,FALSE)</f>
        <v/>
      </c>
      <c r="DK129" s="27" t="str">
        <f>VLOOKUP($A129,'[1]Raw Data'!$A$3:$FB$285,122,FALSE)</f>
        <v>Focal Person</v>
      </c>
      <c r="DL129" s="27" t="s">
        <v>881</v>
      </c>
      <c r="DM129" s="27" t="str">
        <f>VLOOKUP($A129,'[1]Raw Data'!$A$3:$FB$285,123,FALSE)</f>
        <v/>
      </c>
      <c r="DN129" s="27" t="str">
        <f>VLOOKUP($A129,'[1]Raw Data'!$A$3:$FB$285,113,FALSE)</f>
        <v/>
      </c>
      <c r="DP129" s="27" t="str">
        <f>VLOOKUP($A129,'[1]Raw Data'!$A$3:$FB$285,114,FALSE)</f>
        <v>NRA Chief-District</v>
      </c>
      <c r="DQ129" s="27" t="s">
        <v>882</v>
      </c>
      <c r="DR129" s="27" t="str">
        <f>VLOOKUP($A129,'[1]Raw Data'!$A$3:$FB$285,115,FALSE)</f>
        <v/>
      </c>
      <c r="DS129" s="27" t="str">
        <f>VLOOKUP($A129,'[1]Raw Data'!$A$3:$FB$285,117,FALSE)</f>
        <v/>
      </c>
      <c r="DU129" s="27" t="str">
        <f>VLOOKUP($A129,'[1]Raw Data'!$A$3:$FB$285,118,FALSE)</f>
        <v>DUDBC.DLPIU Chief</v>
      </c>
      <c r="DV129" s="27" t="s">
        <v>883</v>
      </c>
      <c r="DW129" s="27" t="str">
        <f>VLOOKUP($A129,'[1]Raw Data'!$A$3:$FB$285,119,FALSE)</f>
        <v/>
      </c>
      <c r="DX129" s="27" t="s">
        <v>339</v>
      </c>
      <c r="DY129" s="27" t="str">
        <f>VLOOKUP($A129,'[1]Raw Data'!$A$3:$FB$285,124,FALSE)</f>
        <v/>
      </c>
      <c r="DZ129" s="27" t="s">
        <v>884</v>
      </c>
      <c r="EA129" s="27" t="str">
        <f>VLOOKUP($A129,'[1]Raw Data'!$A$3:$FB$285,125,FALSE)</f>
        <v/>
      </c>
      <c r="EB129" s="27" t="s">
        <v>341</v>
      </c>
      <c r="EC129" s="27" t="str">
        <f>VLOOKUP($A129,'[1]Raw Data'!$A$3:$FB$285,126,FALSE)</f>
        <v/>
      </c>
      <c r="ED129" t="s">
        <v>478</v>
      </c>
      <c r="EE129" s="27" t="str">
        <f>VLOOKUP($A129,'[1]Raw Data'!$A$3:$FB$285,127,FALSE)</f>
        <v/>
      </c>
      <c r="EF129" s="27" t="s">
        <v>343</v>
      </c>
      <c r="EG129" s="27" t="str">
        <f>VLOOKUP($A129,'[1]Raw Data'!$A$3:$FB$285,128,FALSE)</f>
        <v/>
      </c>
      <c r="EH129" t="s">
        <v>344</v>
      </c>
      <c r="EI129" s="27" t="str">
        <f>VLOOKUP($A129,'[1]Raw Data'!$A$3:$FB$285,129,FALSE)</f>
        <v/>
      </c>
      <c r="EM129" s="27" t="str">
        <f>VLOOKUP($A129,'[1]Raw Data'!$A$3:$FB$285,130,FALSE)</f>
        <v/>
      </c>
      <c r="EN129" s="27" t="str">
        <f>VLOOKUP($A129,'[1]Raw Data'!$A$3:$FB$285,131,FALSE)</f>
        <v/>
      </c>
      <c r="EO129" s="27" t="str">
        <f>VLOOKUP($A129,'[1]Raw Data'!$A$3:$FB$285,132,FALSE)</f>
        <v/>
      </c>
      <c r="EP129" s="27" t="str">
        <f>VLOOKUP($A129,'[1]Raw Data'!$A$3:$FB$285,133,FALSE)</f>
        <v/>
      </c>
      <c r="EQ129" s="27" t="str">
        <f>VLOOKUP($A129,'[1]Raw Data'!$A$3:$FB$285,134,FALSE)</f>
        <v/>
      </c>
      <c r="ER129" s="27" t="str">
        <f>VLOOKUP($A129,'[1]Raw Data'!$A$3:$FB$285,135,FALSE)</f>
        <v/>
      </c>
      <c r="ES129" s="27" t="str">
        <f>VLOOKUP($A129,'[1]Raw Data'!$A$3:$FB$285,136,FALSE)</f>
        <v/>
      </c>
      <c r="ET129" s="27" t="str">
        <f>VLOOKUP($A129,'[1]Raw Data'!$A$3:$FB$285,137,FALSE)</f>
        <v/>
      </c>
      <c r="EU129" s="27" t="str">
        <f>VLOOKUP($A129,'[1]Raw Data'!$A$3:$FB$285,138,FALSE)</f>
        <v/>
      </c>
      <c r="EV129" s="27" t="str">
        <f>VLOOKUP($A129,'[1]Raw Data'!$A$3:$FB$285,139,FALSE)</f>
        <v/>
      </c>
      <c r="EW129" s="38">
        <f>VLOOKUP($A129,[1]Training!$A$2:$I$284,5,FALSE)</f>
        <v>849</v>
      </c>
      <c r="EX129" s="31">
        <f>VLOOKUP($A129,[1]Training!$A$2:$I$284,6,FALSE)</f>
        <v>150</v>
      </c>
      <c r="EY129" s="38">
        <f>VLOOKUP($A129,[1]Training!$A$2:$I$284,8,FALSE)</f>
        <v>1083.2482726130652</v>
      </c>
      <c r="EZ129" s="31">
        <f>VLOOKUP($A129,[1]Training!$A$2:$I$284,9,FALSE)</f>
        <v>267</v>
      </c>
      <c r="FA129" s="27">
        <v>1</v>
      </c>
      <c r="FB129" s="27">
        <v>2</v>
      </c>
      <c r="FC129" s="27" t="str">
        <f>VLOOKUP($A129,'[1]Raw Data'!$A$3:$FB$285,148,FALSE)</f>
        <v>Badri Pyakurel</v>
      </c>
      <c r="FD129" s="27" t="s">
        <v>1215</v>
      </c>
      <c r="FE129" s="27" t="str">
        <f>VLOOKUP($A129,'[1]Raw Data'!$A$3:$FB$285,149,FALSE)</f>
        <v>District Coordinator</v>
      </c>
      <c r="FF129" s="27" t="s">
        <v>885</v>
      </c>
      <c r="FG129" s="27">
        <f>VLOOKUP($A129,'[1]Raw Data'!$A$3:$FB$285,150,FALSE)</f>
        <v>9851154201</v>
      </c>
      <c r="FH129" s="27" t="str">
        <f>VLOOKUP($A129,'[1]Raw Data'!$A$3:$FB$285,156,FALSE)</f>
        <v/>
      </c>
      <c r="FJ129" s="27" t="str">
        <f>VLOOKUP($A129,'[1]Raw Data'!$A$3:$FB$285,157,FALSE)</f>
        <v>District Technical Officer</v>
      </c>
      <c r="FK129" s="27" t="s">
        <v>886</v>
      </c>
      <c r="FL129" s="27" t="str">
        <f>VLOOKUP($A129,'[1]Raw Data'!$A$3:$FB$285,158,FALSE)</f>
        <v/>
      </c>
      <c r="FM129" s="27" t="str">
        <f>VLOOKUP($A129,'[1]Raw Data'!$A$3:$FB$285,152,FALSE)</f>
        <v>Budhha Singh Thakuri</v>
      </c>
      <c r="FN129" s="27" t="s">
        <v>1216</v>
      </c>
      <c r="FO129" s="27" t="str">
        <f>VLOOKUP($A129,'[1]Raw Data'!$A$3:$FB$285,153,FALSE)</f>
        <v>District Information Management Officer</v>
      </c>
      <c r="FP129" s="27" t="s">
        <v>887</v>
      </c>
      <c r="FQ129" s="27">
        <f>VLOOKUP($A129,'[1]Raw Data'!$A$3:$FB$285,154,FALSE)</f>
        <v>9841961829</v>
      </c>
    </row>
    <row r="130" spans="1:173" ht="24" x14ac:dyDescent="0.45">
      <c r="A130" s="27">
        <v>28002</v>
      </c>
      <c r="B130" s="36" t="str">
        <f ca="1">IFERROR(__xludf.DUMMYFUNCTION("""COMPUTED_VALUE"""),"Bidur Nagarpalika")</f>
        <v>Bidur Nagarpalika</v>
      </c>
      <c r="C130" s="37" t="str">
        <f>VLOOKUP(A130,'[1]Palika and District in Nepali '!$D$1:$F$283,3,FALSE)</f>
        <v>बिदुर नगरपालिका</v>
      </c>
      <c r="D130" s="36" t="str">
        <f ca="1">IFERROR(__xludf.DUMMYFUNCTION("""COMPUTED_VALUE"""),"Nuwakot")</f>
        <v>Nuwakot</v>
      </c>
      <c r="E130" s="36"/>
      <c r="F130" s="27">
        <f>VLOOKUP(A130,'[1]Raw Data'!$A$3:$FB$285,4,FALSE)</f>
        <v>2455</v>
      </c>
      <c r="G130" s="27">
        <f>VLOOKUP(A130,'[1]Raw Data'!$A$3:$FB$285,5,FALSE)</f>
        <v>12749</v>
      </c>
      <c r="H130" s="27">
        <f>VLOOKUP(A130,'[1]Raw Data'!$A$3:$FB$285,6,FALSE)</f>
        <v>15204</v>
      </c>
      <c r="I130" s="27">
        <f>VLOOKUP($A130,'[1]Raw Data'!$A$3:$FB$285,8,FALSE)</f>
        <v>1.1599999999999999</v>
      </c>
      <c r="J130" s="27">
        <f>VLOOKUP($A130,'[1]Raw Data'!$A$3:$FB$285,9,FALSE)</f>
        <v>0.64</v>
      </c>
      <c r="K130" s="27">
        <f>VLOOKUP($A130,'[1]Raw Data'!$A$3:$FB$285,11,FALSE)</f>
        <v>65.62</v>
      </c>
      <c r="L130" s="27">
        <f>VLOOKUP($A130,'[1]Raw Data'!$A$3:$FB$285,12,FALSE)</f>
        <v>89.07</v>
      </c>
      <c r="M130" s="27">
        <f>VLOOKUP($A130,'[1]Raw Data'!$A$3:$FB$285,14,FALSE)</f>
        <v>5.01</v>
      </c>
      <c r="N130" s="27">
        <f>VLOOKUP($A130,'[1]Raw Data'!$A$3:$FB$285,15,FALSE)</f>
        <v>2.11</v>
      </c>
      <c r="O130" s="27">
        <f>VLOOKUP($A130,'[1]Raw Data'!$A$3:$FB$285,17,FALSE)</f>
        <v>1.6</v>
      </c>
      <c r="P130" s="27">
        <f>VLOOKUP($A130,'[1]Raw Data'!$A$3:$FB$285,18,FALSE)</f>
        <v>0.51</v>
      </c>
      <c r="Q130" s="27">
        <f>VLOOKUP($A130,'[1]Raw Data'!$A$3:$FB$285,20,FALSE)</f>
        <v>11.47</v>
      </c>
      <c r="R130" s="27">
        <f>VLOOKUP($A130,'[1]Raw Data'!$A$3:$FB$285,21,FALSE)</f>
        <v>3.05</v>
      </c>
      <c r="S130" s="27">
        <f>VLOOKUP($A130,'[1]Raw Data'!$A$3:$FB$285,23,FALSE)</f>
        <v>0</v>
      </c>
      <c r="T130" s="27">
        <f>VLOOKUP($A130,'[1]Raw Data'!$A$3:$FB$285,24,FALSE)</f>
        <v>0</v>
      </c>
      <c r="U130" s="27">
        <f>VLOOKUP($A130,'[1]Raw Data'!$A$3:$FB$285,26,FALSE)</f>
        <v>0.15</v>
      </c>
      <c r="V130" s="27">
        <f>VLOOKUP($A130,'[1]Raw Data'!$A$3:$FB$285,27,FALSE)</f>
        <v>0.15</v>
      </c>
      <c r="W130" s="27">
        <f>VLOOKUP($A130,'[1]Raw Data'!$A$3:$FB$285,29,FALSE)</f>
        <v>0</v>
      </c>
      <c r="X130" s="27">
        <f>VLOOKUP($A130,'[1]Raw Data'!$A$3:$FB$285,30,FALSE)</f>
        <v>0</v>
      </c>
      <c r="Y130" s="27">
        <f>VLOOKUP($A130,'[1]Raw Data'!$A$3:$FB$285,32,FALSE)</f>
        <v>0.32</v>
      </c>
      <c r="Z130" s="27">
        <f>VLOOKUP($A130,'[1]Raw Data'!$A$3:$FB$285,33,FALSE)</f>
        <v>0.17</v>
      </c>
      <c r="AA130" s="27">
        <f>VLOOKUP($A130,'[1]Raw Data'!$A$3:$FB$285,35,FALSE)</f>
        <v>14.64</v>
      </c>
      <c r="AB130" s="27">
        <f>VLOOKUP($A130,'[1]Raw Data'!$A$3:$FB$285,36,FALSE)</f>
        <v>4.25</v>
      </c>
      <c r="AC130" s="27">
        <f>VLOOKUP($A130,'[1]Raw Data'!$A$3:$FB$285,38,FALSE)</f>
        <v>0.03</v>
      </c>
      <c r="AD130" s="27">
        <f>VLOOKUP($A130,'[1]Raw Data'!$A$3:$FB$285,39,FALSE)</f>
        <v>0.05</v>
      </c>
      <c r="AE130" s="27">
        <f>VLOOKUP($A130,'[1]Raw Data'!$A$3:$FB$285,41,FALSE)</f>
        <v>0</v>
      </c>
      <c r="AF130" s="27">
        <f>VLOOKUP($A130,'[1]Raw Data'!$A$3:$FB$285,42,FALSE)</f>
        <v>0</v>
      </c>
      <c r="AG130" s="27">
        <f>VLOOKUP($A130,'[1]Raw Data'!$A$3:$FB$285,44,FALSE)</f>
        <v>0</v>
      </c>
      <c r="AH130" s="27">
        <f>VLOOKUP($A130,'[1]Raw Data'!$A$3:$FB$285,45,FALSE)</f>
        <v>0</v>
      </c>
      <c r="AI130" s="27">
        <f>VLOOKUP($A130,'[1]Raw Data'!$A$3:$FB$285,46,FALSE)</f>
        <v>12893</v>
      </c>
      <c r="AJ130" s="27">
        <f>VLOOKUP($A130,'[1]Raw Data'!$A$3:$FB$285,47,FALSE)</f>
        <v>11080</v>
      </c>
      <c r="AK130" s="27">
        <f>VLOOKUP($A130,'[1]Raw Data'!$A$3:$FB$285,48,FALSE)</f>
        <v>11745</v>
      </c>
      <c r="AL130" s="27">
        <f>VLOOKUP($A130,'[1]Raw Data'!$A$3:$FB$285,49,FALSE)</f>
        <v>10198</v>
      </c>
      <c r="AM130" s="27">
        <f>VLOOKUP($A130,'[1]Raw Data'!$A$3:$FB$285,50,FALSE)</f>
        <v>5453</v>
      </c>
      <c r="AN130" s="27">
        <f>VLOOKUP($A130,'[1]Raw Data'!$A$3:$FB$285,51,FALSE)</f>
        <v>10329</v>
      </c>
      <c r="AO130" s="27" t="str">
        <f>VLOOKUP($A130,'[1]Raw Data'!$A$3:$FB$285,52,FALSE)</f>
        <v/>
      </c>
      <c r="AP130" s="27">
        <f>VLOOKUP($A130,'[1]Raw Data'!$A$3:$FB$285,53,FALSE)</f>
        <v>174</v>
      </c>
      <c r="AQ130" s="27">
        <f>VLOOKUP($A130,'[1]Raw Data'!$A$3:$FB$285,54,FALSE)</f>
        <v>18</v>
      </c>
      <c r="AR130" s="27">
        <f>VLOOKUP($A130,'[1]Raw Data'!$A$3:$FB$285,55,FALSE)</f>
        <v>18</v>
      </c>
      <c r="AS130" s="27">
        <f>VLOOKUP($A130,'[1]Raw Data'!$A$3:$FB$285,56,FALSE)</f>
        <v>0</v>
      </c>
      <c r="AT130" s="27">
        <f>VLOOKUP($A130,'[1]Raw Data'!$A$3:$FB$285,57,FALSE)</f>
        <v>1693</v>
      </c>
      <c r="AU130" s="27">
        <f>VLOOKUP($A130,'[1]Raw Data'!$A$3:$FB$285,58,FALSE)</f>
        <v>1464</v>
      </c>
      <c r="AV130" s="27" t="str">
        <f>VLOOKUP($A130,'[1]Raw Data'!$A$3:$FB$285,59,FALSE)</f>
        <v/>
      </c>
      <c r="AW130" s="27" t="str">
        <f>VLOOKUP($A130,'[1]Raw Data'!$A$3:$FB$285,60,FALSE)</f>
        <v/>
      </c>
      <c r="AX130" s="27" t="str">
        <f>VLOOKUP(A130,'[1]PO''s List'!A128:E410,4,FALSE)</f>
        <v/>
      </c>
      <c r="AZ130" s="27" t="str">
        <f>VLOOKUP(A130,'[1]PO''s List'!$A$3:$E$285,5,FALSE)</f>
        <v>WVIN(Livelihood,DRR,Employment ,(blank))</v>
      </c>
      <c r="BB130" s="27">
        <f>VLOOKUP($A130,'[1]Raw Data'!$A$3:$FB$285,63,FALSE)</f>
        <v>242747</v>
      </c>
      <c r="BC130" s="27" t="str">
        <f>VLOOKUP($A130,'[1]Raw Data'!$A$3:$FB$285,64,FALSE)</f>
        <v>Y</v>
      </c>
      <c r="BD130" s="27" t="str">
        <f t="shared" si="9"/>
        <v>छ</v>
      </c>
      <c r="BE130" s="27">
        <f>VLOOKUP($A130,'[1]Raw Data'!$A$3:$FB$285,65,FALSE)</f>
        <v>1465</v>
      </c>
      <c r="BF130" s="27">
        <f>VLOOKUP($A130,'[1]Raw Data'!$A$3:$FB$285,66,FALSE)</f>
        <v>253082</v>
      </c>
      <c r="BG130" s="27" t="str">
        <f>VLOOKUP($A130,'[1]Raw Data'!$A$3:$FB$285,67,FALSE)</f>
        <v>Y</v>
      </c>
      <c r="BH130" s="27" t="str">
        <f t="shared" si="10"/>
        <v>छ</v>
      </c>
      <c r="BI130" s="27">
        <f>VLOOKUP($A130,'[1]Raw Data'!$A$3:$FB$285,68,FALSE)</f>
        <v>1845</v>
      </c>
      <c r="BJ130" s="27">
        <f>VLOOKUP($A130,'[1]Raw Data'!$A$3:$FB$285,69,FALSE)</f>
        <v>25954</v>
      </c>
      <c r="BK130" s="27" t="str">
        <f>VLOOKUP($A130,'[1]Raw Data'!$A$3:$FB$285,70,FALSE)</f>
        <v>Y</v>
      </c>
      <c r="BL130" s="27" t="str">
        <f t="shared" si="11"/>
        <v>छ</v>
      </c>
      <c r="BM130" s="27">
        <f>VLOOKUP($A130,'[1]Raw Data'!$A$3:$FB$285,71,FALSE)</f>
        <v>1845</v>
      </c>
      <c r="BN130" s="27">
        <f>VLOOKUP($A130,'[1]Raw Data'!$A$3:$FB$285,72,FALSE)</f>
        <v>30078</v>
      </c>
      <c r="BO130" s="27" t="str">
        <f>VLOOKUP($A130,'[1]Raw Data'!$A$3:$FB$285,73,FALSE)</f>
        <v/>
      </c>
      <c r="BP130" s="27" t="str">
        <f t="shared" si="12"/>
        <v/>
      </c>
      <c r="BQ130" s="27" t="str">
        <f>VLOOKUP($A130,'[1]Raw Data'!$A$3:$FB$285,74,FALSE)</f>
        <v/>
      </c>
      <c r="BR130" s="27" t="str">
        <f>VLOOKUP($A130,'[1]Raw Data'!$A$3:$FB$285,75,FALSE)</f>
        <v/>
      </c>
      <c r="BS130" s="27" t="str">
        <f>VLOOKUP($A130,'[1]Raw Data'!$A$3:$FB$285,76,FALSE)</f>
        <v>Y</v>
      </c>
      <c r="BT130" s="27" t="str">
        <f t="shared" si="13"/>
        <v>छ</v>
      </c>
      <c r="BU130" s="27">
        <f>VLOOKUP($A130,'[1]Raw Data'!$A$3:$FB$285,77,FALSE)</f>
        <v>841</v>
      </c>
      <c r="BV130" s="27">
        <f>VLOOKUP($A130,'[1]Raw Data'!$A$3:$FB$285,78,FALSE)</f>
        <v>835260</v>
      </c>
      <c r="BW130" s="27" t="str">
        <f>VLOOKUP($A130,'[1]Raw Data'!$A$3:$FB$285,79,FALSE)</f>
        <v>Y</v>
      </c>
      <c r="BX130" s="27" t="str">
        <f t="shared" si="14"/>
        <v>छ</v>
      </c>
      <c r="BY130" s="27">
        <f>VLOOKUP($A130,'[1]Raw Data'!$A$3:$FB$285,80,FALSE)</f>
        <v>761</v>
      </c>
      <c r="BZ130" s="27">
        <f>VLOOKUP($A130,'[1]Raw Data'!$A$3:$FB$285,81,FALSE)</f>
        <v>2621748</v>
      </c>
      <c r="CA130" s="27" t="str">
        <f>VLOOKUP($A130,'[1]Raw Data'!$A$3:$FB$285,82,FALSE)</f>
        <v>Y</v>
      </c>
      <c r="CB130" s="27" t="str">
        <f t="shared" si="15"/>
        <v>छ</v>
      </c>
      <c r="CC130" s="27">
        <f>VLOOKUP($A130,'[1]Raw Data'!$A$3:$FB$285,83,FALSE)</f>
        <v>94</v>
      </c>
      <c r="CD130" s="27">
        <f>VLOOKUP($A130,'[1]Raw Data'!$A$3:$FB$285,84,FALSE)</f>
        <v>34127</v>
      </c>
      <c r="CE130" s="27" t="str">
        <f>VLOOKUP($A130,'[1]Raw Data'!$A$3:$FB$285,85,FALSE)</f>
        <v>Y</v>
      </c>
      <c r="CF130" s="27" t="str">
        <f t="shared" si="16"/>
        <v>छ</v>
      </c>
      <c r="CG130" s="27" t="str">
        <f>VLOOKUP($A130,'[1]Raw Data'!$A$3:$FB$285,86,FALSE)</f>
        <v/>
      </c>
      <c r="CH130" s="27">
        <f>VLOOKUP($A130,'[1]Raw Data'!$A$3:$FB$285,87,FALSE)</f>
        <v>1695063</v>
      </c>
      <c r="CI130" s="27" t="str">
        <f>VLOOKUP($A130,'[1]Raw Data'!$A$3:$FB$285,88,FALSE)</f>
        <v>Y</v>
      </c>
      <c r="CJ130" s="27" t="str">
        <f t="shared" si="17"/>
        <v>छ</v>
      </c>
      <c r="CK130" s="27" t="str">
        <f>VLOOKUP($A130,'[1]Raw Data'!$A$3:$FB$285,89,FALSE)</f>
        <v/>
      </c>
      <c r="CL130" s="27">
        <f>VLOOKUP($A130,'[1]Raw Data'!$A$3:$FB$285,91,FALSE)</f>
        <v>900</v>
      </c>
      <c r="CM130" s="27">
        <f>VLOOKUP($A130,'[1]Raw Data'!$A$3:$FB$285,93,FALSE)</f>
        <v>600</v>
      </c>
      <c r="CN130" s="27" t="str">
        <f>VLOOKUP($A130,'[1]Raw Data'!$A$3:$FB$285,94,FALSE)</f>
        <v/>
      </c>
      <c r="CO130" s="27" t="str">
        <f>VLOOKUP($A130,'[1]Raw Data'!$A$3:$FB$285,95,FALSE)</f>
        <v/>
      </c>
      <c r="CP130" s="27" t="str">
        <f>VLOOKUP($A130,'[1]Raw Data'!$A$3:$FB$285,96,FALSE)</f>
        <v/>
      </c>
      <c r="CQ130" s="27" t="str">
        <f>VLOOKUP($A130,'[1]Raw Data'!$A$3:$FB$285,97,FALSE)</f>
        <v/>
      </c>
      <c r="CR130" s="27" t="str">
        <f>VLOOKUP($A130,'[1]Raw Data'!$A$3:$FB$285,98,FALSE)</f>
        <v/>
      </c>
      <c r="CS130" s="27" t="str">
        <f>VLOOKUP($A130,'[1]Raw Data'!$A$3:$FB$285,99,FALSE)</f>
        <v/>
      </c>
      <c r="CT130" s="27" t="str">
        <f>VLOOKUP($A130,'[1]Raw Data'!$A$3:$FB$285,101,FALSE)</f>
        <v>Sanju Pandit</v>
      </c>
      <c r="CU130" s="27" t="s">
        <v>1217</v>
      </c>
      <c r="CV130" s="27" t="str">
        <f>VLOOKUP($A130,'[1]Raw Data'!$A$3:$FB$285,102,FALSE)</f>
        <v>Mayor</v>
      </c>
      <c r="CW130" s="27" t="s">
        <v>834</v>
      </c>
      <c r="CX130" s="27">
        <f>VLOOKUP($A130,'[1]Raw Data'!$A$3:$FB$285,103,FALSE)</f>
        <v>9851049721</v>
      </c>
      <c r="CY130" s="27" t="str">
        <f>VLOOKUP($A130,'[1]Raw Data'!$A$3:$FB$285,105,FALSE)</f>
        <v>Gita Kumari Dahal</v>
      </c>
      <c r="CZ130" s="27" t="s">
        <v>1218</v>
      </c>
      <c r="DA130" s="27" t="str">
        <f>VLOOKUP($A130,'[1]Raw Data'!$A$3:$FB$285,106,FALSE)</f>
        <v>Deputy Mayor</v>
      </c>
      <c r="DB130" s="27" t="s">
        <v>888</v>
      </c>
      <c r="DC130" s="27">
        <f>VLOOKUP($A130,'[1]Raw Data'!$A$3:$FB$285,107,FALSE)</f>
        <v>9841087449</v>
      </c>
      <c r="DD130" s="27" t="str">
        <f>VLOOKUP($A130,'[1]Raw Data'!$A$3:$FB$285,109,FALSE)</f>
        <v>Sudev Kumar Pokhrel</v>
      </c>
      <c r="DE130" s="27" t="s">
        <v>1219</v>
      </c>
      <c r="DF130" s="27" t="str">
        <f>VLOOKUP($A130,'[1]Raw Data'!$A$3:$FB$285,110,FALSE)</f>
        <v>Adminstration Officer</v>
      </c>
      <c r="DG130" s="27" t="s">
        <v>880</v>
      </c>
      <c r="DH130" s="27">
        <f>VLOOKUP($A130,'[1]Raw Data'!$A$3:$FB$285,111,FALSE)</f>
        <v>9851250111</v>
      </c>
      <c r="DI130" s="27" t="str">
        <f>VLOOKUP($A130,'[1]Raw Data'!$A$3:$FB$285,121,FALSE)</f>
        <v/>
      </c>
      <c r="DK130" s="27" t="str">
        <f>VLOOKUP($A130,'[1]Raw Data'!$A$3:$FB$285,122,FALSE)</f>
        <v>Focal Person</v>
      </c>
      <c r="DL130" s="27" t="s">
        <v>881</v>
      </c>
      <c r="DM130" s="27" t="str">
        <f>VLOOKUP($A130,'[1]Raw Data'!$A$3:$FB$285,123,FALSE)</f>
        <v/>
      </c>
      <c r="DN130" s="27" t="str">
        <f>VLOOKUP($A130,'[1]Raw Data'!$A$3:$FB$285,113,FALSE)</f>
        <v/>
      </c>
      <c r="DP130" s="27" t="str">
        <f>VLOOKUP($A130,'[1]Raw Data'!$A$3:$FB$285,114,FALSE)</f>
        <v>NRA Chief-District</v>
      </c>
      <c r="DQ130" s="27" t="s">
        <v>882</v>
      </c>
      <c r="DR130" s="27" t="str">
        <f>VLOOKUP($A130,'[1]Raw Data'!$A$3:$FB$285,115,FALSE)</f>
        <v/>
      </c>
      <c r="DS130" s="27" t="str">
        <f>VLOOKUP($A130,'[1]Raw Data'!$A$3:$FB$285,117,FALSE)</f>
        <v/>
      </c>
      <c r="DU130" s="27" t="str">
        <f>VLOOKUP($A130,'[1]Raw Data'!$A$3:$FB$285,118,FALSE)</f>
        <v>DUDBC.DLPIU Chief</v>
      </c>
      <c r="DV130" s="27" t="s">
        <v>883</v>
      </c>
      <c r="DW130" s="27" t="str">
        <f>VLOOKUP($A130,'[1]Raw Data'!$A$3:$FB$285,119,FALSE)</f>
        <v/>
      </c>
      <c r="DX130" s="27" t="s">
        <v>339</v>
      </c>
      <c r="DY130" s="27" t="str">
        <f>VLOOKUP($A130,'[1]Raw Data'!$A$3:$FB$285,124,FALSE)</f>
        <v/>
      </c>
      <c r="DZ130" s="27" t="s">
        <v>884</v>
      </c>
      <c r="EA130" s="27" t="str">
        <f>VLOOKUP($A130,'[1]Raw Data'!$A$3:$FB$285,125,FALSE)</f>
        <v/>
      </c>
      <c r="EB130" s="27" t="s">
        <v>341</v>
      </c>
      <c r="EC130" s="27" t="str">
        <f>VLOOKUP($A130,'[1]Raw Data'!$A$3:$FB$285,126,FALSE)</f>
        <v/>
      </c>
      <c r="ED130" t="s">
        <v>478</v>
      </c>
      <c r="EE130" s="27" t="str">
        <f>VLOOKUP($A130,'[1]Raw Data'!$A$3:$FB$285,127,FALSE)</f>
        <v/>
      </c>
      <c r="EF130" s="27" t="s">
        <v>343</v>
      </c>
      <c r="EG130" s="27" t="str">
        <f>VLOOKUP($A130,'[1]Raw Data'!$A$3:$FB$285,128,FALSE)</f>
        <v/>
      </c>
      <c r="EH130" t="s">
        <v>344</v>
      </c>
      <c r="EI130" s="27" t="str">
        <f>VLOOKUP($A130,'[1]Raw Data'!$A$3:$FB$285,129,FALSE)</f>
        <v/>
      </c>
      <c r="EM130" s="27" t="str">
        <f>VLOOKUP($A130,'[1]Raw Data'!$A$3:$FB$285,130,FALSE)</f>
        <v/>
      </c>
      <c r="EN130" s="27" t="str">
        <f>VLOOKUP($A130,'[1]Raw Data'!$A$3:$FB$285,131,FALSE)</f>
        <v/>
      </c>
      <c r="EO130" s="27" t="str">
        <f>VLOOKUP($A130,'[1]Raw Data'!$A$3:$FB$285,132,FALSE)</f>
        <v/>
      </c>
      <c r="EP130" s="27" t="str">
        <f>VLOOKUP($A130,'[1]Raw Data'!$A$3:$FB$285,133,FALSE)</f>
        <v/>
      </c>
      <c r="EQ130" s="27" t="str">
        <f>VLOOKUP($A130,'[1]Raw Data'!$A$3:$FB$285,134,FALSE)</f>
        <v/>
      </c>
      <c r="ER130" s="27" t="str">
        <f>VLOOKUP($A130,'[1]Raw Data'!$A$3:$FB$285,135,FALSE)</f>
        <v/>
      </c>
      <c r="ES130" s="27" t="str">
        <f>VLOOKUP($A130,'[1]Raw Data'!$A$3:$FB$285,136,FALSE)</f>
        <v/>
      </c>
      <c r="ET130" s="27" t="str">
        <f>VLOOKUP($A130,'[1]Raw Data'!$A$3:$FB$285,137,FALSE)</f>
        <v/>
      </c>
      <c r="EU130" s="27" t="str">
        <f>VLOOKUP($A130,'[1]Raw Data'!$A$3:$FB$285,138,FALSE)</f>
        <v/>
      </c>
      <c r="EV130" s="27" t="str">
        <f>VLOOKUP($A130,'[1]Raw Data'!$A$3:$FB$285,139,FALSE)</f>
        <v/>
      </c>
      <c r="EW130" s="38">
        <f>VLOOKUP($A130,[1]Training!$A$2:$I$284,5,FALSE)</f>
        <v>991.76923076923072</v>
      </c>
      <c r="EX130" s="31">
        <f>VLOOKUP($A130,[1]Training!$A$2:$I$284,6,FALSE)</f>
        <v>262</v>
      </c>
      <c r="EY130" s="38">
        <f>VLOOKUP($A130,[1]Training!$A$2:$I$284,8,FALSE)</f>
        <v>1265.4090766331658</v>
      </c>
      <c r="EZ130" s="31">
        <f>VLOOKUP($A130,[1]Training!$A$2:$I$284,9,FALSE)</f>
        <v>234</v>
      </c>
      <c r="FA130" s="27">
        <v>1</v>
      </c>
      <c r="FB130" s="27">
        <v>2</v>
      </c>
      <c r="FC130" s="27" t="str">
        <f>VLOOKUP($A130,'[1]Raw Data'!$A$3:$FB$285,148,FALSE)</f>
        <v>Badri Pyakurel</v>
      </c>
      <c r="FD130" s="27" t="s">
        <v>1215</v>
      </c>
      <c r="FE130" s="27" t="str">
        <f>VLOOKUP($A130,'[1]Raw Data'!$A$3:$FB$285,149,FALSE)</f>
        <v>District Coordinator</v>
      </c>
      <c r="FF130" s="27" t="s">
        <v>885</v>
      </c>
      <c r="FG130" s="27">
        <f>VLOOKUP($A130,'[1]Raw Data'!$A$3:$FB$285,150,FALSE)</f>
        <v>9851154201</v>
      </c>
      <c r="FH130" s="27" t="str">
        <f>VLOOKUP($A130,'[1]Raw Data'!$A$3:$FB$285,156,FALSE)</f>
        <v/>
      </c>
      <c r="FJ130" s="27" t="str">
        <f>VLOOKUP($A130,'[1]Raw Data'!$A$3:$FB$285,157,FALSE)</f>
        <v>District Technical Officer</v>
      </c>
      <c r="FK130" s="27" t="s">
        <v>886</v>
      </c>
      <c r="FL130" s="27" t="str">
        <f>VLOOKUP($A130,'[1]Raw Data'!$A$3:$FB$285,158,FALSE)</f>
        <v/>
      </c>
      <c r="FM130" s="27" t="str">
        <f>VLOOKUP($A130,'[1]Raw Data'!$A$3:$FB$285,152,FALSE)</f>
        <v>Budhha Singh Thakuri</v>
      </c>
      <c r="FN130" s="27" t="s">
        <v>1216</v>
      </c>
      <c r="FO130" s="27" t="str">
        <f>VLOOKUP($A130,'[1]Raw Data'!$A$3:$FB$285,153,FALSE)</f>
        <v>District Information Management Officer</v>
      </c>
      <c r="FP130" s="27" t="s">
        <v>887</v>
      </c>
      <c r="FQ130" s="27">
        <f>VLOOKUP($A130,'[1]Raw Data'!$A$3:$FB$285,154,FALSE)</f>
        <v>9841961829</v>
      </c>
    </row>
    <row r="131" spans="1:173" ht="24" x14ac:dyDescent="0.45">
      <c r="A131" s="27">
        <v>28003</v>
      </c>
      <c r="B131" s="36" t="str">
        <f ca="1">IFERROR(__xludf.DUMMYFUNCTION("""COMPUTED_VALUE"""),"Dupcheshwar Gaunpalika")</f>
        <v>Dupcheshwar Gaunpalika</v>
      </c>
      <c r="C131" s="37" t="str">
        <f>VLOOKUP(A131,'[1]Palika and District in Nepali '!$D$1:$F$283,3,FALSE)</f>
        <v>दुप्चेश्वर गाउपालिका</v>
      </c>
      <c r="D131" s="36" t="str">
        <f ca="1">IFERROR(__xludf.DUMMYFUNCTION("""COMPUTED_VALUE"""),"Nuwakot")</f>
        <v>Nuwakot</v>
      </c>
      <c r="E131" s="36"/>
      <c r="F131" s="27">
        <f>VLOOKUP(A131,'[1]Raw Data'!$A$3:$FB$285,4,FALSE)</f>
        <v>47</v>
      </c>
      <c r="G131" s="27">
        <f>VLOOKUP(A131,'[1]Raw Data'!$A$3:$FB$285,5,FALSE)</f>
        <v>5780</v>
      </c>
      <c r="H131" s="27">
        <f>VLOOKUP(A131,'[1]Raw Data'!$A$3:$FB$285,6,FALSE)</f>
        <v>5827</v>
      </c>
      <c r="I131" s="27">
        <f>VLOOKUP($A131,'[1]Raw Data'!$A$3:$FB$285,8,FALSE)</f>
        <v>0.17</v>
      </c>
      <c r="J131" s="27">
        <f>VLOOKUP($A131,'[1]Raw Data'!$A$3:$FB$285,9,FALSE)</f>
        <v>0.64</v>
      </c>
      <c r="K131" s="27">
        <f>VLOOKUP($A131,'[1]Raw Data'!$A$3:$FB$285,11,FALSE)</f>
        <v>98.92</v>
      </c>
      <c r="L131" s="27">
        <f>VLOOKUP($A131,'[1]Raw Data'!$A$3:$FB$285,12,FALSE)</f>
        <v>89.07</v>
      </c>
      <c r="M131" s="27">
        <f>VLOOKUP($A131,'[1]Raw Data'!$A$3:$FB$285,14,FALSE)</f>
        <v>0.12</v>
      </c>
      <c r="N131" s="27">
        <f>VLOOKUP($A131,'[1]Raw Data'!$A$3:$FB$285,15,FALSE)</f>
        <v>2.11</v>
      </c>
      <c r="O131" s="27">
        <f>VLOOKUP($A131,'[1]Raw Data'!$A$3:$FB$285,17,FALSE)</f>
        <v>0</v>
      </c>
      <c r="P131" s="27">
        <f>VLOOKUP($A131,'[1]Raw Data'!$A$3:$FB$285,18,FALSE)</f>
        <v>0.51</v>
      </c>
      <c r="Q131" s="27">
        <f>VLOOKUP($A131,'[1]Raw Data'!$A$3:$FB$285,20,FALSE)</f>
        <v>0.1</v>
      </c>
      <c r="R131" s="27">
        <f>VLOOKUP($A131,'[1]Raw Data'!$A$3:$FB$285,21,FALSE)</f>
        <v>3.05</v>
      </c>
      <c r="S131" s="27">
        <f>VLOOKUP($A131,'[1]Raw Data'!$A$3:$FB$285,23,FALSE)</f>
        <v>0</v>
      </c>
      <c r="T131" s="27">
        <f>VLOOKUP($A131,'[1]Raw Data'!$A$3:$FB$285,24,FALSE)</f>
        <v>0</v>
      </c>
      <c r="U131" s="27">
        <f>VLOOKUP($A131,'[1]Raw Data'!$A$3:$FB$285,26,FALSE)</f>
        <v>7.0000000000000007E-2</v>
      </c>
      <c r="V131" s="27">
        <f>VLOOKUP($A131,'[1]Raw Data'!$A$3:$FB$285,27,FALSE)</f>
        <v>0.15</v>
      </c>
      <c r="W131" s="27">
        <f>VLOOKUP($A131,'[1]Raw Data'!$A$3:$FB$285,29,FALSE)</f>
        <v>0</v>
      </c>
      <c r="X131" s="27">
        <f>VLOOKUP($A131,'[1]Raw Data'!$A$3:$FB$285,30,FALSE)</f>
        <v>0</v>
      </c>
      <c r="Y131" s="27">
        <f>VLOOKUP($A131,'[1]Raw Data'!$A$3:$FB$285,32,FALSE)</f>
        <v>0.09</v>
      </c>
      <c r="Z131" s="27">
        <f>VLOOKUP($A131,'[1]Raw Data'!$A$3:$FB$285,33,FALSE)</f>
        <v>0.17</v>
      </c>
      <c r="AA131" s="27">
        <f>VLOOKUP($A131,'[1]Raw Data'!$A$3:$FB$285,35,FALSE)</f>
        <v>0.5</v>
      </c>
      <c r="AB131" s="27">
        <f>VLOOKUP($A131,'[1]Raw Data'!$A$3:$FB$285,36,FALSE)</f>
        <v>4.25</v>
      </c>
      <c r="AC131" s="27">
        <f>VLOOKUP($A131,'[1]Raw Data'!$A$3:$FB$285,38,FALSE)</f>
        <v>0.03</v>
      </c>
      <c r="AD131" s="27">
        <f>VLOOKUP($A131,'[1]Raw Data'!$A$3:$FB$285,39,FALSE)</f>
        <v>0.05</v>
      </c>
      <c r="AE131" s="27">
        <f>VLOOKUP($A131,'[1]Raw Data'!$A$3:$FB$285,41,FALSE)</f>
        <v>0</v>
      </c>
      <c r="AF131" s="27">
        <f>VLOOKUP($A131,'[1]Raw Data'!$A$3:$FB$285,42,FALSE)</f>
        <v>0</v>
      </c>
      <c r="AG131" s="27">
        <f>VLOOKUP($A131,'[1]Raw Data'!$A$3:$FB$285,44,FALSE)</f>
        <v>0</v>
      </c>
      <c r="AH131" s="27">
        <f>VLOOKUP($A131,'[1]Raw Data'!$A$3:$FB$285,45,FALSE)</f>
        <v>0</v>
      </c>
      <c r="AI131" s="27">
        <f>VLOOKUP($A131,'[1]Raw Data'!$A$3:$FB$285,46,FALSE)</f>
        <v>5873</v>
      </c>
      <c r="AJ131" s="27">
        <f>VLOOKUP($A131,'[1]Raw Data'!$A$3:$FB$285,47,FALSE)</f>
        <v>5486</v>
      </c>
      <c r="AK131" s="27">
        <f>VLOOKUP($A131,'[1]Raw Data'!$A$3:$FB$285,48,FALSE)</f>
        <v>5591</v>
      </c>
      <c r="AL131" s="27">
        <f>VLOOKUP($A131,'[1]Raw Data'!$A$3:$FB$285,49,FALSE)</f>
        <v>5211</v>
      </c>
      <c r="AM131" s="27">
        <f>VLOOKUP($A131,'[1]Raw Data'!$A$3:$FB$285,50,FALSE)</f>
        <v>3397</v>
      </c>
      <c r="AN131" s="27">
        <f>VLOOKUP($A131,'[1]Raw Data'!$A$3:$FB$285,51,FALSE)</f>
        <v>5206</v>
      </c>
      <c r="AO131" s="27" t="str">
        <f>VLOOKUP($A131,'[1]Raw Data'!$A$3:$FB$285,52,FALSE)</f>
        <v/>
      </c>
      <c r="AP131" s="27">
        <f>VLOOKUP($A131,'[1]Raw Data'!$A$3:$FB$285,53,FALSE)</f>
        <v>23</v>
      </c>
      <c r="AQ131" s="27">
        <f>VLOOKUP($A131,'[1]Raw Data'!$A$3:$FB$285,54,FALSE)</f>
        <v>1</v>
      </c>
      <c r="AR131" s="27">
        <f>VLOOKUP($A131,'[1]Raw Data'!$A$3:$FB$285,55,FALSE)</f>
        <v>1</v>
      </c>
      <c r="AS131" s="27">
        <f>VLOOKUP($A131,'[1]Raw Data'!$A$3:$FB$285,56,FALSE)</f>
        <v>0</v>
      </c>
      <c r="AT131" s="27">
        <f>VLOOKUP($A131,'[1]Raw Data'!$A$3:$FB$285,57,FALSE)</f>
        <v>425</v>
      </c>
      <c r="AU131" s="27">
        <f>VLOOKUP($A131,'[1]Raw Data'!$A$3:$FB$285,58,FALSE)</f>
        <v>425</v>
      </c>
      <c r="AV131" s="27" t="str">
        <f>VLOOKUP($A131,'[1]Raw Data'!$A$3:$FB$285,59,FALSE)</f>
        <v/>
      </c>
      <c r="AW131" s="27" t="str">
        <f>VLOOKUP($A131,'[1]Raw Data'!$A$3:$FB$285,60,FALSE)</f>
        <v/>
      </c>
      <c r="AX131" s="27" t="str">
        <f>VLOOKUP(A131,'[1]PO''s List'!A129:E411,4,FALSE)</f>
        <v>NRCS(Health),NSET(Shelter),OXFAM-GB(Shelter)</v>
      </c>
      <c r="AZ131" s="27" t="str">
        <f>VLOOKUP(A131,'[1]PO''s List'!$A$3:$E$285,5,FALSE)</f>
        <v>ACF(Health),BO(Education),GIZ(Health,Shelter),GON-PAF(Shelter),IMC(Health),SP-N(Education,Health),WFP(Employment )</v>
      </c>
      <c r="BB131" s="27">
        <f>VLOOKUP($A131,'[1]Raw Data'!$A$3:$FB$285,63,FALSE)</f>
        <v>158047</v>
      </c>
      <c r="BC131" s="27" t="str">
        <f>VLOOKUP($A131,'[1]Raw Data'!$A$3:$FB$285,64,FALSE)</f>
        <v/>
      </c>
      <c r="BD131" s="27" t="str">
        <f t="shared" si="9"/>
        <v/>
      </c>
      <c r="BE131" s="27" t="str">
        <f>VLOOKUP($A131,'[1]Raw Data'!$A$3:$FB$285,65,FALSE)</f>
        <v/>
      </c>
      <c r="BF131" s="27">
        <f>VLOOKUP($A131,'[1]Raw Data'!$A$3:$FB$285,66,FALSE)</f>
        <v>135969</v>
      </c>
      <c r="BG131" s="27" t="str">
        <f>VLOOKUP($A131,'[1]Raw Data'!$A$3:$FB$285,67,FALSE)</f>
        <v/>
      </c>
      <c r="BH131" s="27" t="str">
        <f t="shared" si="10"/>
        <v/>
      </c>
      <c r="BI131" s="27" t="str">
        <f>VLOOKUP($A131,'[1]Raw Data'!$A$3:$FB$285,68,FALSE)</f>
        <v/>
      </c>
      <c r="BJ131" s="27">
        <f>VLOOKUP($A131,'[1]Raw Data'!$A$3:$FB$285,69,FALSE)</f>
        <v>16638</v>
      </c>
      <c r="BK131" s="27" t="str">
        <f>VLOOKUP($A131,'[1]Raw Data'!$A$3:$FB$285,70,FALSE)</f>
        <v/>
      </c>
      <c r="BL131" s="27" t="str">
        <f t="shared" si="11"/>
        <v/>
      </c>
      <c r="BM131" s="27" t="str">
        <f>VLOOKUP($A131,'[1]Raw Data'!$A$3:$FB$285,71,FALSE)</f>
        <v/>
      </c>
      <c r="BN131" s="27">
        <f>VLOOKUP($A131,'[1]Raw Data'!$A$3:$FB$285,72,FALSE)</f>
        <v>18326</v>
      </c>
      <c r="BO131" s="27" t="str">
        <f>VLOOKUP($A131,'[1]Raw Data'!$A$3:$FB$285,73,FALSE)</f>
        <v/>
      </c>
      <c r="BP131" s="27" t="str">
        <f t="shared" si="12"/>
        <v/>
      </c>
      <c r="BQ131" s="27" t="str">
        <f>VLOOKUP($A131,'[1]Raw Data'!$A$3:$FB$285,74,FALSE)</f>
        <v/>
      </c>
      <c r="BR131" s="27" t="str">
        <f>VLOOKUP($A131,'[1]Raw Data'!$A$3:$FB$285,75,FALSE)</f>
        <v/>
      </c>
      <c r="BS131" s="27" t="str">
        <f>VLOOKUP($A131,'[1]Raw Data'!$A$3:$FB$285,76,FALSE)</f>
        <v/>
      </c>
      <c r="BT131" s="27" t="str">
        <f t="shared" si="13"/>
        <v/>
      </c>
      <c r="BU131" s="27" t="str">
        <f>VLOOKUP($A131,'[1]Raw Data'!$A$3:$FB$285,77,FALSE)</f>
        <v/>
      </c>
      <c r="BV131" s="27">
        <f>VLOOKUP($A131,'[1]Raw Data'!$A$3:$FB$285,78,FALSE)</f>
        <v>459180</v>
      </c>
      <c r="BW131" s="27" t="str">
        <f>VLOOKUP($A131,'[1]Raw Data'!$A$3:$FB$285,79,FALSE)</f>
        <v/>
      </c>
      <c r="BX131" s="27" t="str">
        <f t="shared" si="14"/>
        <v/>
      </c>
      <c r="BY131" s="27" t="str">
        <f>VLOOKUP($A131,'[1]Raw Data'!$A$3:$FB$285,80,FALSE)</f>
        <v/>
      </c>
      <c r="BZ131" s="27">
        <f>VLOOKUP($A131,'[1]Raw Data'!$A$3:$FB$285,81,FALSE)</f>
        <v>1758504</v>
      </c>
      <c r="CA131" s="27" t="str">
        <f>VLOOKUP($A131,'[1]Raw Data'!$A$3:$FB$285,82,FALSE)</f>
        <v/>
      </c>
      <c r="CB131" s="27" t="str">
        <f t="shared" si="15"/>
        <v/>
      </c>
      <c r="CC131" s="27" t="str">
        <f>VLOOKUP($A131,'[1]Raw Data'!$A$3:$FB$285,83,FALSE)</f>
        <v/>
      </c>
      <c r="CD131" s="27">
        <f>VLOOKUP($A131,'[1]Raw Data'!$A$3:$FB$285,84,FALSE)</f>
        <v>18753</v>
      </c>
      <c r="CE131" s="27" t="str">
        <f>VLOOKUP($A131,'[1]Raw Data'!$A$3:$FB$285,85,FALSE)</f>
        <v/>
      </c>
      <c r="CF131" s="27" t="str">
        <f t="shared" si="16"/>
        <v/>
      </c>
      <c r="CG131" s="27" t="str">
        <f>VLOOKUP($A131,'[1]Raw Data'!$A$3:$FB$285,86,FALSE)</f>
        <v/>
      </c>
      <c r="CH131" s="27">
        <f>VLOOKUP($A131,'[1]Raw Data'!$A$3:$FB$285,87,FALSE)</f>
        <v>4153403</v>
      </c>
      <c r="CI131" s="27" t="str">
        <f>VLOOKUP($A131,'[1]Raw Data'!$A$3:$FB$285,88,FALSE)</f>
        <v/>
      </c>
      <c r="CJ131" s="27" t="str">
        <f t="shared" si="17"/>
        <v/>
      </c>
      <c r="CK131" s="27" t="str">
        <f>VLOOKUP($A131,'[1]Raw Data'!$A$3:$FB$285,89,FALSE)</f>
        <v/>
      </c>
      <c r="CL131" s="27">
        <f>VLOOKUP($A131,'[1]Raw Data'!$A$3:$FB$285,91,FALSE)</f>
        <v>1200</v>
      </c>
      <c r="CM131" s="27">
        <f>VLOOKUP($A131,'[1]Raw Data'!$A$3:$FB$285,93,FALSE)</f>
        <v>1000</v>
      </c>
      <c r="CN131" s="27" t="str">
        <f>VLOOKUP($A131,'[1]Raw Data'!$A$3:$FB$285,94,FALSE)</f>
        <v/>
      </c>
      <c r="CO131" s="27" t="str">
        <f>VLOOKUP($A131,'[1]Raw Data'!$A$3:$FB$285,95,FALSE)</f>
        <v/>
      </c>
      <c r="CP131" s="27" t="str">
        <f>VLOOKUP($A131,'[1]Raw Data'!$A$3:$FB$285,96,FALSE)</f>
        <v/>
      </c>
      <c r="CQ131" s="27" t="str">
        <f>VLOOKUP($A131,'[1]Raw Data'!$A$3:$FB$285,97,FALSE)</f>
        <v/>
      </c>
      <c r="CR131" s="27" t="str">
        <f>VLOOKUP($A131,'[1]Raw Data'!$A$3:$FB$285,98,FALSE)</f>
        <v/>
      </c>
      <c r="CS131" s="27" t="str">
        <f>VLOOKUP($A131,'[1]Raw Data'!$A$3:$FB$285,99,FALSE)</f>
        <v/>
      </c>
      <c r="CT131" s="27" t="str">
        <f>VLOOKUP($A131,'[1]Raw Data'!$A$3:$FB$285,101,FALSE)</f>
        <v>Yogindra Sing Tamang</v>
      </c>
      <c r="CU131" s="27" t="s">
        <v>1220</v>
      </c>
      <c r="CV131" s="27" t="str">
        <f>VLOOKUP($A131,'[1]Raw Data'!$A$3:$FB$285,102,FALSE)</f>
        <v>Mayor</v>
      </c>
      <c r="CW131" s="27" t="s">
        <v>834</v>
      </c>
      <c r="CX131" s="27">
        <f>VLOOKUP($A131,'[1]Raw Data'!$A$3:$FB$285,103,FALSE)</f>
        <v>9851071953</v>
      </c>
      <c r="CY131" s="27" t="str">
        <f>VLOOKUP($A131,'[1]Raw Data'!$A$3:$FB$285,105,FALSE)</f>
        <v>Anju Acharya</v>
      </c>
      <c r="CZ131" s="27" t="s">
        <v>1221</v>
      </c>
      <c r="DA131" s="27" t="str">
        <f>VLOOKUP($A131,'[1]Raw Data'!$A$3:$FB$285,106,FALSE)</f>
        <v>Deputy Mayor</v>
      </c>
      <c r="DB131" s="27" t="s">
        <v>888</v>
      </c>
      <c r="DC131" s="27">
        <f>VLOOKUP($A131,'[1]Raw Data'!$A$3:$FB$285,107,FALSE)</f>
        <v>9849457675</v>
      </c>
      <c r="DD131" s="27" t="str">
        <f>VLOOKUP($A131,'[1]Raw Data'!$A$3:$FB$285,109,FALSE)</f>
        <v>Ram Hari Gajurel</v>
      </c>
      <c r="DE131" s="27" t="s">
        <v>1222</v>
      </c>
      <c r="DF131" s="27" t="str">
        <f>VLOOKUP($A131,'[1]Raw Data'!$A$3:$FB$285,110,FALSE)</f>
        <v>Adminstration Officer</v>
      </c>
      <c r="DG131" s="27" t="s">
        <v>880</v>
      </c>
      <c r="DH131" s="27">
        <f>VLOOKUP($A131,'[1]Raw Data'!$A$3:$FB$285,111,FALSE)</f>
        <v>9851126899</v>
      </c>
      <c r="DI131" s="27" t="str">
        <f>VLOOKUP($A131,'[1]Raw Data'!$A$3:$FB$285,121,FALSE)</f>
        <v/>
      </c>
      <c r="DK131" s="27" t="str">
        <f>VLOOKUP($A131,'[1]Raw Data'!$A$3:$FB$285,122,FALSE)</f>
        <v>Focal Person</v>
      </c>
      <c r="DL131" s="27" t="s">
        <v>881</v>
      </c>
      <c r="DM131" s="27" t="str">
        <f>VLOOKUP($A131,'[1]Raw Data'!$A$3:$FB$285,123,FALSE)</f>
        <v/>
      </c>
      <c r="DN131" s="27" t="str">
        <f>VLOOKUP($A131,'[1]Raw Data'!$A$3:$FB$285,113,FALSE)</f>
        <v/>
      </c>
      <c r="DP131" s="27" t="str">
        <f>VLOOKUP($A131,'[1]Raw Data'!$A$3:$FB$285,114,FALSE)</f>
        <v>NRA Chief-District</v>
      </c>
      <c r="DQ131" s="27" t="s">
        <v>882</v>
      </c>
      <c r="DR131" s="27" t="str">
        <f>VLOOKUP($A131,'[1]Raw Data'!$A$3:$FB$285,115,FALSE)</f>
        <v/>
      </c>
      <c r="DS131" s="27" t="str">
        <f>VLOOKUP($A131,'[1]Raw Data'!$A$3:$FB$285,117,FALSE)</f>
        <v/>
      </c>
      <c r="DU131" s="27" t="str">
        <f>VLOOKUP($A131,'[1]Raw Data'!$A$3:$FB$285,118,FALSE)</f>
        <v>DUDBC.DLPIU Chief</v>
      </c>
      <c r="DV131" s="27" t="s">
        <v>883</v>
      </c>
      <c r="DW131" s="27" t="str">
        <f>VLOOKUP($A131,'[1]Raw Data'!$A$3:$FB$285,119,FALSE)</f>
        <v/>
      </c>
      <c r="DX131" s="27" t="s">
        <v>339</v>
      </c>
      <c r="DY131" s="27" t="str">
        <f>VLOOKUP($A131,'[1]Raw Data'!$A$3:$FB$285,124,FALSE)</f>
        <v/>
      </c>
      <c r="DZ131" s="27" t="s">
        <v>884</v>
      </c>
      <c r="EA131" s="27" t="str">
        <f>VLOOKUP($A131,'[1]Raw Data'!$A$3:$FB$285,125,FALSE)</f>
        <v/>
      </c>
      <c r="EB131" s="27" t="s">
        <v>341</v>
      </c>
      <c r="EC131" s="27" t="str">
        <f>VLOOKUP($A131,'[1]Raw Data'!$A$3:$FB$285,126,FALSE)</f>
        <v/>
      </c>
      <c r="ED131" t="s">
        <v>478</v>
      </c>
      <c r="EE131" s="27" t="str">
        <f>VLOOKUP($A131,'[1]Raw Data'!$A$3:$FB$285,127,FALSE)</f>
        <v/>
      </c>
      <c r="EF131" s="27" t="s">
        <v>343</v>
      </c>
      <c r="EG131" s="27" t="str">
        <f>VLOOKUP($A131,'[1]Raw Data'!$A$3:$FB$285,128,FALSE)</f>
        <v/>
      </c>
      <c r="EH131" t="s">
        <v>344</v>
      </c>
      <c r="EI131" s="27" t="str">
        <f>VLOOKUP($A131,'[1]Raw Data'!$A$3:$FB$285,129,FALSE)</f>
        <v/>
      </c>
      <c r="EM131" s="27" t="str">
        <f>VLOOKUP($A131,'[1]Raw Data'!$A$3:$FB$285,130,FALSE)</f>
        <v/>
      </c>
      <c r="EN131" s="27" t="str">
        <f>VLOOKUP($A131,'[1]Raw Data'!$A$3:$FB$285,131,FALSE)</f>
        <v/>
      </c>
      <c r="EO131" s="27" t="str">
        <f>VLOOKUP($A131,'[1]Raw Data'!$A$3:$FB$285,132,FALSE)</f>
        <v/>
      </c>
      <c r="EP131" s="27" t="str">
        <f>VLOOKUP($A131,'[1]Raw Data'!$A$3:$FB$285,133,FALSE)</f>
        <v/>
      </c>
      <c r="EQ131" s="27" t="str">
        <f>VLOOKUP($A131,'[1]Raw Data'!$A$3:$FB$285,134,FALSE)</f>
        <v/>
      </c>
      <c r="ER131" s="27" t="str">
        <f>VLOOKUP($A131,'[1]Raw Data'!$A$3:$FB$285,135,FALSE)</f>
        <v/>
      </c>
      <c r="ES131" s="27" t="str">
        <f>VLOOKUP($A131,'[1]Raw Data'!$A$3:$FB$285,136,FALSE)</f>
        <v/>
      </c>
      <c r="ET131" s="27" t="str">
        <f>VLOOKUP($A131,'[1]Raw Data'!$A$3:$FB$285,137,FALSE)</f>
        <v/>
      </c>
      <c r="EU131" s="27" t="str">
        <f>VLOOKUP($A131,'[1]Raw Data'!$A$3:$FB$285,138,FALSE)</f>
        <v/>
      </c>
      <c r="EV131" s="27" t="str">
        <f>VLOOKUP($A131,'[1]Raw Data'!$A$3:$FB$285,139,FALSE)</f>
        <v/>
      </c>
      <c r="EW131" s="38">
        <f>VLOOKUP($A131,[1]Training!$A$2:$I$284,5,FALSE)</f>
        <v>451.76923076923077</v>
      </c>
      <c r="EX131" s="31">
        <f>VLOOKUP($A131,[1]Training!$A$2:$I$284,6,FALSE)</f>
        <v>266</v>
      </c>
      <c r="EY131" s="38">
        <f>VLOOKUP($A131,[1]Training!$A$2:$I$284,8,FALSE)</f>
        <v>576.41724246231149</v>
      </c>
      <c r="EZ131" s="31">
        <f>VLOOKUP($A131,[1]Training!$A$2:$I$284,9,FALSE)</f>
        <v>91</v>
      </c>
      <c r="FA131" s="27">
        <v>1</v>
      </c>
      <c r="FB131" s="27">
        <v>2</v>
      </c>
      <c r="FC131" s="27" t="str">
        <f>VLOOKUP($A131,'[1]Raw Data'!$A$3:$FB$285,148,FALSE)</f>
        <v>Badri Pyakurel</v>
      </c>
      <c r="FD131" s="27" t="s">
        <v>1215</v>
      </c>
      <c r="FE131" s="27" t="str">
        <f>VLOOKUP($A131,'[1]Raw Data'!$A$3:$FB$285,149,FALSE)</f>
        <v>District Coordinator</v>
      </c>
      <c r="FF131" s="27" t="s">
        <v>885</v>
      </c>
      <c r="FG131" s="27">
        <f>VLOOKUP($A131,'[1]Raw Data'!$A$3:$FB$285,150,FALSE)</f>
        <v>9851154201</v>
      </c>
      <c r="FH131" s="27" t="str">
        <f>VLOOKUP($A131,'[1]Raw Data'!$A$3:$FB$285,156,FALSE)</f>
        <v/>
      </c>
      <c r="FJ131" s="27" t="str">
        <f>VLOOKUP($A131,'[1]Raw Data'!$A$3:$FB$285,157,FALSE)</f>
        <v>District Technical Officer</v>
      </c>
      <c r="FK131" s="27" t="s">
        <v>886</v>
      </c>
      <c r="FL131" s="27" t="str">
        <f>VLOOKUP($A131,'[1]Raw Data'!$A$3:$FB$285,158,FALSE)</f>
        <v/>
      </c>
      <c r="FM131" s="27" t="str">
        <f>VLOOKUP($A131,'[1]Raw Data'!$A$3:$FB$285,152,FALSE)</f>
        <v>Budhha Singh Thakuri</v>
      </c>
      <c r="FN131" s="27" t="s">
        <v>1216</v>
      </c>
      <c r="FO131" s="27" t="str">
        <f>VLOOKUP($A131,'[1]Raw Data'!$A$3:$FB$285,153,FALSE)</f>
        <v>District Information Management Officer</v>
      </c>
      <c r="FP131" s="27" t="s">
        <v>887</v>
      </c>
      <c r="FQ131" s="27">
        <f>VLOOKUP($A131,'[1]Raw Data'!$A$3:$FB$285,154,FALSE)</f>
        <v>9841961829</v>
      </c>
    </row>
    <row r="132" spans="1:173" ht="24" x14ac:dyDescent="0.45">
      <c r="A132" s="27">
        <v>28004</v>
      </c>
      <c r="B132" s="36" t="str">
        <f ca="1">IFERROR(__xludf.DUMMYFUNCTION("""COMPUTED_VALUE"""),"Kakani Gaunpalika")</f>
        <v>Kakani Gaunpalika</v>
      </c>
      <c r="C132" s="37" t="str">
        <f>VLOOKUP(A132,'[1]Palika and District in Nepali '!$D$1:$F$283,3,FALSE)</f>
        <v>ककनी गाउँपलिका</v>
      </c>
      <c r="D132" s="36" t="str">
        <f ca="1">IFERROR(__xludf.DUMMYFUNCTION("""COMPUTED_VALUE"""),"Nuwakot")</f>
        <v>Nuwakot</v>
      </c>
      <c r="E132" s="36"/>
      <c r="F132" s="27">
        <f>VLOOKUP(A132,'[1]Raw Data'!$A$3:$FB$285,4,FALSE)</f>
        <v>374</v>
      </c>
      <c r="G132" s="27">
        <f>VLOOKUP(A132,'[1]Raw Data'!$A$3:$FB$285,5,FALSE)</f>
        <v>6531</v>
      </c>
      <c r="H132" s="27">
        <f>VLOOKUP(A132,'[1]Raw Data'!$A$3:$FB$285,6,FALSE)</f>
        <v>6905</v>
      </c>
      <c r="I132" s="27">
        <f>VLOOKUP($A132,'[1]Raw Data'!$A$3:$FB$285,8,FALSE)</f>
        <v>1.03</v>
      </c>
      <c r="J132" s="27">
        <f>VLOOKUP($A132,'[1]Raw Data'!$A$3:$FB$285,9,FALSE)</f>
        <v>0.64</v>
      </c>
      <c r="K132" s="27">
        <f>VLOOKUP($A132,'[1]Raw Data'!$A$3:$FB$285,11,FALSE)</f>
        <v>89.26</v>
      </c>
      <c r="L132" s="27">
        <f>VLOOKUP($A132,'[1]Raw Data'!$A$3:$FB$285,12,FALSE)</f>
        <v>89.07</v>
      </c>
      <c r="M132" s="27">
        <f>VLOOKUP($A132,'[1]Raw Data'!$A$3:$FB$285,14,FALSE)</f>
        <v>1.87</v>
      </c>
      <c r="N132" s="27">
        <f>VLOOKUP($A132,'[1]Raw Data'!$A$3:$FB$285,15,FALSE)</f>
        <v>2.11</v>
      </c>
      <c r="O132" s="27">
        <f>VLOOKUP($A132,'[1]Raw Data'!$A$3:$FB$285,17,FALSE)</f>
        <v>0.19</v>
      </c>
      <c r="P132" s="27">
        <f>VLOOKUP($A132,'[1]Raw Data'!$A$3:$FB$285,18,FALSE)</f>
        <v>0.51</v>
      </c>
      <c r="Q132" s="27">
        <f>VLOOKUP($A132,'[1]Raw Data'!$A$3:$FB$285,20,FALSE)</f>
        <v>1.51</v>
      </c>
      <c r="R132" s="27">
        <f>VLOOKUP($A132,'[1]Raw Data'!$A$3:$FB$285,21,FALSE)</f>
        <v>3.05</v>
      </c>
      <c r="S132" s="27">
        <f>VLOOKUP($A132,'[1]Raw Data'!$A$3:$FB$285,23,FALSE)</f>
        <v>0</v>
      </c>
      <c r="T132" s="27">
        <f>VLOOKUP($A132,'[1]Raw Data'!$A$3:$FB$285,24,FALSE)</f>
        <v>0</v>
      </c>
      <c r="U132" s="27">
        <f>VLOOKUP($A132,'[1]Raw Data'!$A$3:$FB$285,26,FALSE)</f>
        <v>0.36</v>
      </c>
      <c r="V132" s="27">
        <f>VLOOKUP($A132,'[1]Raw Data'!$A$3:$FB$285,27,FALSE)</f>
        <v>0.15</v>
      </c>
      <c r="W132" s="27">
        <f>VLOOKUP($A132,'[1]Raw Data'!$A$3:$FB$285,29,FALSE)</f>
        <v>0</v>
      </c>
      <c r="X132" s="27">
        <f>VLOOKUP($A132,'[1]Raw Data'!$A$3:$FB$285,30,FALSE)</f>
        <v>0</v>
      </c>
      <c r="Y132" s="27">
        <f>VLOOKUP($A132,'[1]Raw Data'!$A$3:$FB$285,32,FALSE)</f>
        <v>0.1</v>
      </c>
      <c r="Z132" s="27">
        <f>VLOOKUP($A132,'[1]Raw Data'!$A$3:$FB$285,33,FALSE)</f>
        <v>0.17</v>
      </c>
      <c r="AA132" s="27">
        <f>VLOOKUP($A132,'[1]Raw Data'!$A$3:$FB$285,35,FALSE)</f>
        <v>5.63</v>
      </c>
      <c r="AB132" s="27">
        <f>VLOOKUP($A132,'[1]Raw Data'!$A$3:$FB$285,36,FALSE)</f>
        <v>4.25</v>
      </c>
      <c r="AC132" s="27">
        <f>VLOOKUP($A132,'[1]Raw Data'!$A$3:$FB$285,38,FALSE)</f>
        <v>0.04</v>
      </c>
      <c r="AD132" s="27">
        <f>VLOOKUP($A132,'[1]Raw Data'!$A$3:$FB$285,39,FALSE)</f>
        <v>0.05</v>
      </c>
      <c r="AE132" s="27">
        <f>VLOOKUP($A132,'[1]Raw Data'!$A$3:$FB$285,41,FALSE)</f>
        <v>0</v>
      </c>
      <c r="AF132" s="27">
        <f>VLOOKUP($A132,'[1]Raw Data'!$A$3:$FB$285,42,FALSE)</f>
        <v>0</v>
      </c>
      <c r="AG132" s="27">
        <f>VLOOKUP($A132,'[1]Raw Data'!$A$3:$FB$285,44,FALSE)</f>
        <v>0</v>
      </c>
      <c r="AH132" s="27">
        <f>VLOOKUP($A132,'[1]Raw Data'!$A$3:$FB$285,45,FALSE)</f>
        <v>0</v>
      </c>
      <c r="AI132" s="27">
        <f>VLOOKUP($A132,'[1]Raw Data'!$A$3:$FB$285,46,FALSE)</f>
        <v>6916</v>
      </c>
      <c r="AJ132" s="27">
        <f>VLOOKUP($A132,'[1]Raw Data'!$A$3:$FB$285,47,FALSE)</f>
        <v>6159</v>
      </c>
      <c r="AK132" s="27">
        <f>VLOOKUP($A132,'[1]Raw Data'!$A$3:$FB$285,48,FALSE)</f>
        <v>6202</v>
      </c>
      <c r="AL132" s="27">
        <f>VLOOKUP($A132,'[1]Raw Data'!$A$3:$FB$285,49,FALSE)</f>
        <v>5411</v>
      </c>
      <c r="AM132" s="27">
        <f>VLOOKUP($A132,'[1]Raw Data'!$A$3:$FB$285,50,FALSE)</f>
        <v>2940</v>
      </c>
      <c r="AN132" s="27">
        <f>VLOOKUP($A132,'[1]Raw Data'!$A$3:$FB$285,51,FALSE)</f>
        <v>5397</v>
      </c>
      <c r="AO132" s="27" t="str">
        <f>VLOOKUP($A132,'[1]Raw Data'!$A$3:$FB$285,52,FALSE)</f>
        <v/>
      </c>
      <c r="AP132" s="27">
        <f>VLOOKUP($A132,'[1]Raw Data'!$A$3:$FB$285,53,FALSE)</f>
        <v>119</v>
      </c>
      <c r="AQ132" s="27">
        <f>VLOOKUP($A132,'[1]Raw Data'!$A$3:$FB$285,54,FALSE)</f>
        <v>44</v>
      </c>
      <c r="AR132" s="27">
        <f>VLOOKUP($A132,'[1]Raw Data'!$A$3:$FB$285,55,FALSE)</f>
        <v>44</v>
      </c>
      <c r="AS132" s="27">
        <f>VLOOKUP($A132,'[1]Raw Data'!$A$3:$FB$285,56,FALSE)</f>
        <v>0</v>
      </c>
      <c r="AT132" s="27">
        <f>VLOOKUP($A132,'[1]Raw Data'!$A$3:$FB$285,57,FALSE)</f>
        <v>1389</v>
      </c>
      <c r="AU132" s="27">
        <f>VLOOKUP($A132,'[1]Raw Data'!$A$3:$FB$285,58,FALSE)</f>
        <v>759</v>
      </c>
      <c r="AV132" s="27" t="str">
        <f>VLOOKUP($A132,'[1]Raw Data'!$A$3:$FB$285,59,FALSE)</f>
        <v/>
      </c>
      <c r="AW132" s="27" t="str">
        <f>VLOOKUP($A132,'[1]Raw Data'!$A$3:$FB$285,60,FALSE)</f>
        <v/>
      </c>
      <c r="AX132" s="27" t="str">
        <f>VLOOKUP(A132,'[1]PO''s List'!A130:E412,4,FALSE)</f>
        <v>NRCS(Livelihood,Education,Employment ,Health,Health),NSET(Shelter)</v>
      </c>
      <c r="AZ132" s="27" t="str">
        <f>VLOOKUP(A132,'[1]PO''s List'!$A$3:$E$285,5,FALSE)</f>
        <v>ACF(Shelter),GON-PAF(Shelter),MI(Health),NR(Education),OXFAM-GB(Shelter),RoomTR(Education),RoundT-N(Education),SCI(Education,Shelter,Social Protection,Health)</v>
      </c>
      <c r="BB132" s="27">
        <f>VLOOKUP($A132,'[1]Raw Data'!$A$3:$FB$285,63,FALSE)</f>
        <v>148589</v>
      </c>
      <c r="BC132" s="27" t="str">
        <f>VLOOKUP($A132,'[1]Raw Data'!$A$3:$FB$285,64,FALSE)</f>
        <v/>
      </c>
      <c r="BD132" s="27" t="str">
        <f t="shared" si="9"/>
        <v/>
      </c>
      <c r="BE132" s="27" t="str">
        <f>VLOOKUP($A132,'[1]Raw Data'!$A$3:$FB$285,65,FALSE)</f>
        <v/>
      </c>
      <c r="BF132" s="27">
        <f>VLOOKUP($A132,'[1]Raw Data'!$A$3:$FB$285,66,FALSE)</f>
        <v>141675</v>
      </c>
      <c r="BG132" s="27" t="str">
        <f>VLOOKUP($A132,'[1]Raw Data'!$A$3:$FB$285,67,FALSE)</f>
        <v/>
      </c>
      <c r="BH132" s="27" t="str">
        <f t="shared" si="10"/>
        <v/>
      </c>
      <c r="BI132" s="27" t="str">
        <f>VLOOKUP($A132,'[1]Raw Data'!$A$3:$FB$285,68,FALSE)</f>
        <v/>
      </c>
      <c r="BJ132" s="27">
        <f>VLOOKUP($A132,'[1]Raw Data'!$A$3:$FB$285,69,FALSE)</f>
        <v>15765</v>
      </c>
      <c r="BK132" s="27" t="str">
        <f>VLOOKUP($A132,'[1]Raw Data'!$A$3:$FB$285,70,FALSE)</f>
        <v/>
      </c>
      <c r="BL132" s="27" t="str">
        <f t="shared" si="11"/>
        <v/>
      </c>
      <c r="BM132" s="27" t="str">
        <f>VLOOKUP($A132,'[1]Raw Data'!$A$3:$FB$285,71,FALSE)</f>
        <v/>
      </c>
      <c r="BN132" s="27">
        <f>VLOOKUP($A132,'[1]Raw Data'!$A$3:$FB$285,72,FALSE)</f>
        <v>17824</v>
      </c>
      <c r="BO132" s="27" t="str">
        <f>VLOOKUP($A132,'[1]Raw Data'!$A$3:$FB$285,73,FALSE)</f>
        <v/>
      </c>
      <c r="BP132" s="27" t="str">
        <f t="shared" si="12"/>
        <v/>
      </c>
      <c r="BQ132" s="27" t="str">
        <f>VLOOKUP($A132,'[1]Raw Data'!$A$3:$FB$285,74,FALSE)</f>
        <v/>
      </c>
      <c r="BR132" s="27" t="str">
        <f>VLOOKUP($A132,'[1]Raw Data'!$A$3:$FB$285,75,FALSE)</f>
        <v/>
      </c>
      <c r="BS132" s="27" t="str">
        <f>VLOOKUP($A132,'[1]Raw Data'!$A$3:$FB$285,76,FALSE)</f>
        <v/>
      </c>
      <c r="BT132" s="27" t="str">
        <f t="shared" si="13"/>
        <v/>
      </c>
      <c r="BU132" s="27" t="str">
        <f>VLOOKUP($A132,'[1]Raw Data'!$A$3:$FB$285,77,FALSE)</f>
        <v/>
      </c>
      <c r="BV132" s="27">
        <f>VLOOKUP($A132,'[1]Raw Data'!$A$3:$FB$285,78,FALSE)</f>
        <v>470922</v>
      </c>
      <c r="BW132" s="27" t="str">
        <f>VLOOKUP($A132,'[1]Raw Data'!$A$3:$FB$285,79,FALSE)</f>
        <v/>
      </c>
      <c r="BX132" s="27" t="str">
        <f t="shared" si="14"/>
        <v/>
      </c>
      <c r="BY132" s="27" t="str">
        <f>VLOOKUP($A132,'[1]Raw Data'!$A$3:$FB$285,80,FALSE)</f>
        <v/>
      </c>
      <c r="BZ132" s="27">
        <f>VLOOKUP($A132,'[1]Raw Data'!$A$3:$FB$285,81,FALSE)</f>
        <v>1626558</v>
      </c>
      <c r="CA132" s="27" t="str">
        <f>VLOOKUP($A132,'[1]Raw Data'!$A$3:$FB$285,82,FALSE)</f>
        <v/>
      </c>
      <c r="CB132" s="27" t="str">
        <f t="shared" si="15"/>
        <v/>
      </c>
      <c r="CC132" s="27" t="str">
        <f>VLOOKUP($A132,'[1]Raw Data'!$A$3:$FB$285,83,FALSE)</f>
        <v/>
      </c>
      <c r="CD132" s="27">
        <f>VLOOKUP($A132,'[1]Raw Data'!$A$3:$FB$285,84,FALSE)</f>
        <v>19228</v>
      </c>
      <c r="CE132" s="27" t="str">
        <f>VLOOKUP($A132,'[1]Raw Data'!$A$3:$FB$285,85,FALSE)</f>
        <v/>
      </c>
      <c r="CF132" s="27" t="str">
        <f t="shared" si="16"/>
        <v/>
      </c>
      <c r="CG132" s="27" t="str">
        <f>VLOOKUP($A132,'[1]Raw Data'!$A$3:$FB$285,86,FALSE)</f>
        <v/>
      </c>
      <c r="CH132" s="27">
        <f>VLOOKUP($A132,'[1]Raw Data'!$A$3:$FB$285,87,FALSE)</f>
        <v>2217096</v>
      </c>
      <c r="CI132" s="27" t="str">
        <f>VLOOKUP($A132,'[1]Raw Data'!$A$3:$FB$285,88,FALSE)</f>
        <v/>
      </c>
      <c r="CJ132" s="27" t="str">
        <f t="shared" si="17"/>
        <v/>
      </c>
      <c r="CK132" s="27" t="str">
        <f>VLOOKUP($A132,'[1]Raw Data'!$A$3:$FB$285,89,FALSE)</f>
        <v/>
      </c>
      <c r="CL132" s="27">
        <f>VLOOKUP($A132,'[1]Raw Data'!$A$3:$FB$285,91,FALSE)</f>
        <v>1200</v>
      </c>
      <c r="CM132" s="27">
        <f>VLOOKUP($A132,'[1]Raw Data'!$A$3:$FB$285,93,FALSE)</f>
        <v>1000</v>
      </c>
      <c r="CN132" s="27" t="str">
        <f>VLOOKUP($A132,'[1]Raw Data'!$A$3:$FB$285,94,FALSE)</f>
        <v/>
      </c>
      <c r="CO132" s="27" t="str">
        <f>VLOOKUP($A132,'[1]Raw Data'!$A$3:$FB$285,95,FALSE)</f>
        <v/>
      </c>
      <c r="CP132" s="27" t="str">
        <f>VLOOKUP($A132,'[1]Raw Data'!$A$3:$FB$285,96,FALSE)</f>
        <v/>
      </c>
      <c r="CQ132" s="27" t="str">
        <f>VLOOKUP($A132,'[1]Raw Data'!$A$3:$FB$285,97,FALSE)</f>
        <v/>
      </c>
      <c r="CR132" s="27" t="str">
        <f>VLOOKUP($A132,'[1]Raw Data'!$A$3:$FB$285,98,FALSE)</f>
        <v/>
      </c>
      <c r="CS132" s="27" t="str">
        <f>VLOOKUP($A132,'[1]Raw Data'!$A$3:$FB$285,99,FALSE)</f>
        <v/>
      </c>
      <c r="CT132" s="27" t="str">
        <f>VLOOKUP($A132,'[1]Raw Data'!$A$3:$FB$285,101,FALSE)</f>
        <v>Man bahadur lama</v>
      </c>
      <c r="CU132" s="27" t="s">
        <v>1223</v>
      </c>
      <c r="CV132" s="27" t="str">
        <f>VLOOKUP($A132,'[1]Raw Data'!$A$3:$FB$285,102,FALSE)</f>
        <v>Mayor</v>
      </c>
      <c r="CW132" s="27" t="s">
        <v>834</v>
      </c>
      <c r="CX132" s="27">
        <f>VLOOKUP($A132,'[1]Raw Data'!$A$3:$FB$285,103,FALSE)</f>
        <v>9851082727</v>
      </c>
      <c r="CY132" s="27" t="str">
        <f>VLOOKUP($A132,'[1]Raw Data'!$A$3:$FB$285,105,FALSE)</f>
        <v>Sita Lama</v>
      </c>
      <c r="CZ132" s="27" t="s">
        <v>1224</v>
      </c>
      <c r="DA132" s="27" t="str">
        <f>VLOOKUP($A132,'[1]Raw Data'!$A$3:$FB$285,106,FALSE)</f>
        <v>Deputy Mayor</v>
      </c>
      <c r="DB132" s="27" t="s">
        <v>888</v>
      </c>
      <c r="DC132" s="27" t="str">
        <f>VLOOKUP($A132,'[1]Raw Data'!$A$3:$FB$285,107,FALSE)</f>
        <v/>
      </c>
      <c r="DD132" s="27" t="str">
        <f>VLOOKUP($A132,'[1]Raw Data'!$A$3:$FB$285,109,FALSE)</f>
        <v>Santosh Kumar Dahal</v>
      </c>
      <c r="DE132" s="27" t="s">
        <v>1225</v>
      </c>
      <c r="DF132" s="27" t="str">
        <f>VLOOKUP($A132,'[1]Raw Data'!$A$3:$FB$285,110,FALSE)</f>
        <v>Adminstration Officer</v>
      </c>
      <c r="DG132" s="27" t="s">
        <v>880</v>
      </c>
      <c r="DH132" s="27">
        <f>VLOOKUP($A132,'[1]Raw Data'!$A$3:$FB$285,111,FALSE)</f>
        <v>9841364307</v>
      </c>
      <c r="DI132" s="27" t="str">
        <f>VLOOKUP($A132,'[1]Raw Data'!$A$3:$FB$285,121,FALSE)</f>
        <v/>
      </c>
      <c r="DK132" s="27" t="str">
        <f>VLOOKUP($A132,'[1]Raw Data'!$A$3:$FB$285,122,FALSE)</f>
        <v>Focal Person</v>
      </c>
      <c r="DL132" s="27" t="s">
        <v>881</v>
      </c>
      <c r="DM132" s="27" t="str">
        <f>VLOOKUP($A132,'[1]Raw Data'!$A$3:$FB$285,123,FALSE)</f>
        <v/>
      </c>
      <c r="DN132" s="27" t="str">
        <f>VLOOKUP($A132,'[1]Raw Data'!$A$3:$FB$285,113,FALSE)</f>
        <v/>
      </c>
      <c r="DP132" s="27" t="str">
        <f>VLOOKUP($A132,'[1]Raw Data'!$A$3:$FB$285,114,FALSE)</f>
        <v>NRA Chief-District</v>
      </c>
      <c r="DQ132" s="27" t="s">
        <v>882</v>
      </c>
      <c r="DR132" s="27" t="str">
        <f>VLOOKUP($A132,'[1]Raw Data'!$A$3:$FB$285,115,FALSE)</f>
        <v/>
      </c>
      <c r="DS132" s="27" t="str">
        <f>VLOOKUP($A132,'[1]Raw Data'!$A$3:$FB$285,117,FALSE)</f>
        <v/>
      </c>
      <c r="DU132" s="27" t="str">
        <f>VLOOKUP($A132,'[1]Raw Data'!$A$3:$FB$285,118,FALSE)</f>
        <v>DUDBC.DLPIU Chief</v>
      </c>
      <c r="DV132" s="27" t="s">
        <v>883</v>
      </c>
      <c r="DW132" s="27" t="str">
        <f>VLOOKUP($A132,'[1]Raw Data'!$A$3:$FB$285,119,FALSE)</f>
        <v/>
      </c>
      <c r="DX132" s="27" t="s">
        <v>339</v>
      </c>
      <c r="DY132" s="27" t="str">
        <f>VLOOKUP($A132,'[1]Raw Data'!$A$3:$FB$285,124,FALSE)</f>
        <v>4</v>
      </c>
      <c r="DZ132" s="27" t="s">
        <v>884</v>
      </c>
      <c r="EA132" s="27" t="str">
        <f>VLOOKUP($A132,'[1]Raw Data'!$A$3:$FB$285,125,FALSE)</f>
        <v>15</v>
      </c>
      <c r="EB132" s="27" t="s">
        <v>341</v>
      </c>
      <c r="EC132" s="27" t="str">
        <f>VLOOKUP($A132,'[1]Raw Data'!$A$3:$FB$285,126,FALSE)</f>
        <v>2</v>
      </c>
      <c r="ED132" t="s">
        <v>478</v>
      </c>
      <c r="EE132" s="27" t="str">
        <f>VLOOKUP($A132,'[1]Raw Data'!$A$3:$FB$285,127,FALSE)</f>
        <v/>
      </c>
      <c r="EF132" s="27" t="s">
        <v>343</v>
      </c>
      <c r="EG132" s="27" t="str">
        <f>VLOOKUP($A132,'[1]Raw Data'!$A$3:$FB$285,128,FALSE)</f>
        <v>3</v>
      </c>
      <c r="EH132" t="s">
        <v>344</v>
      </c>
      <c r="EI132" s="27" t="str">
        <f>VLOOKUP($A132,'[1]Raw Data'!$A$3:$FB$285,129,FALSE)</f>
        <v>19</v>
      </c>
      <c r="EM132" s="27">
        <f>VLOOKUP($A132,'[1]Raw Data'!$A$3:$FB$285,130,FALSE)</f>
        <v>1</v>
      </c>
      <c r="EN132" s="27" t="str">
        <f>VLOOKUP($A132,'[1]Raw Data'!$A$3:$FB$285,131,FALSE)</f>
        <v>1</v>
      </c>
      <c r="EO132" s="27" t="str">
        <f>VLOOKUP($A132,'[1]Raw Data'!$A$3:$FB$285,132,FALSE)</f>
        <v/>
      </c>
      <c r="EP132" s="27" t="str">
        <f>VLOOKUP($A132,'[1]Raw Data'!$A$3:$FB$285,133,FALSE)</f>
        <v/>
      </c>
      <c r="EQ132" s="27" t="str">
        <f>VLOOKUP($A132,'[1]Raw Data'!$A$3:$FB$285,134,FALSE)</f>
        <v/>
      </c>
      <c r="ER132" s="27" t="str">
        <f>VLOOKUP($A132,'[1]Raw Data'!$A$3:$FB$285,135,FALSE)</f>
        <v/>
      </c>
      <c r="ES132" s="27" t="str">
        <f>VLOOKUP($A132,'[1]Raw Data'!$A$3:$FB$285,136,FALSE)</f>
        <v/>
      </c>
      <c r="ET132" s="27" t="str">
        <f>VLOOKUP($A132,'[1]Raw Data'!$A$3:$FB$285,137,FALSE)</f>
        <v/>
      </c>
      <c r="EU132" s="27" t="str">
        <f>VLOOKUP($A132,'[1]Raw Data'!$A$3:$FB$285,138,FALSE)</f>
        <v/>
      </c>
      <c r="EV132" s="27" t="str">
        <f>VLOOKUP($A132,'[1]Raw Data'!$A$3:$FB$285,139,FALSE)</f>
        <v/>
      </c>
      <c r="EW132" s="38">
        <f>VLOOKUP($A132,[1]Training!$A$2:$I$284,5,FALSE)</f>
        <v>532</v>
      </c>
      <c r="EX132" s="31">
        <f>VLOOKUP($A132,[1]Training!$A$2:$I$284,6,FALSE)</f>
        <v>393</v>
      </c>
      <c r="EY132" s="38">
        <f>VLOOKUP($A132,[1]Training!$A$2:$I$284,8,FALSE)</f>
        <v>678.78454773869339</v>
      </c>
      <c r="EZ132" s="31">
        <f>VLOOKUP($A132,[1]Training!$A$2:$I$284,9,FALSE)</f>
        <v>0</v>
      </c>
      <c r="FA132" s="27">
        <v>1</v>
      </c>
      <c r="FB132" s="27">
        <v>2</v>
      </c>
      <c r="FC132" s="27" t="str">
        <f>VLOOKUP($A132,'[1]Raw Data'!$A$3:$FB$285,148,FALSE)</f>
        <v>Badri Pyakurel</v>
      </c>
      <c r="FD132" s="27" t="s">
        <v>1215</v>
      </c>
      <c r="FE132" s="27" t="str">
        <f>VLOOKUP($A132,'[1]Raw Data'!$A$3:$FB$285,149,FALSE)</f>
        <v>District Coordinator</v>
      </c>
      <c r="FF132" s="27" t="s">
        <v>885</v>
      </c>
      <c r="FG132" s="27">
        <f>VLOOKUP($A132,'[1]Raw Data'!$A$3:$FB$285,150,FALSE)</f>
        <v>9851154201</v>
      </c>
      <c r="FH132" s="27" t="str">
        <f>VLOOKUP($A132,'[1]Raw Data'!$A$3:$FB$285,156,FALSE)</f>
        <v/>
      </c>
      <c r="FJ132" s="27" t="str">
        <f>VLOOKUP($A132,'[1]Raw Data'!$A$3:$FB$285,157,FALSE)</f>
        <v>District Technical Officer</v>
      </c>
      <c r="FK132" s="27" t="s">
        <v>886</v>
      </c>
      <c r="FL132" s="27" t="str">
        <f>VLOOKUP($A132,'[1]Raw Data'!$A$3:$FB$285,158,FALSE)</f>
        <v/>
      </c>
      <c r="FM132" s="27" t="str">
        <f>VLOOKUP($A132,'[1]Raw Data'!$A$3:$FB$285,152,FALSE)</f>
        <v>Budhha Singh Thakuri</v>
      </c>
      <c r="FN132" s="27" t="s">
        <v>1216</v>
      </c>
      <c r="FO132" s="27" t="str">
        <f>VLOOKUP($A132,'[1]Raw Data'!$A$3:$FB$285,153,FALSE)</f>
        <v>District Information Management Officer</v>
      </c>
      <c r="FP132" s="27" t="s">
        <v>887</v>
      </c>
      <c r="FQ132" s="27">
        <f>VLOOKUP($A132,'[1]Raw Data'!$A$3:$FB$285,154,FALSE)</f>
        <v>9841961829</v>
      </c>
    </row>
    <row r="133" spans="1:173" ht="24" x14ac:dyDescent="0.45">
      <c r="A133" s="27">
        <v>28005</v>
      </c>
      <c r="B133" s="36" t="str">
        <f ca="1">IFERROR(__xludf.DUMMYFUNCTION("""COMPUTED_VALUE"""),"Kispang Gaunpalika")</f>
        <v>Kispang Gaunpalika</v>
      </c>
      <c r="C133" s="37" t="str">
        <f>VLOOKUP(A133,'[1]Palika and District in Nepali '!$D$1:$F$283,3,FALSE)</f>
        <v>किसपांङ गाउँपालिका</v>
      </c>
      <c r="D133" s="36" t="str">
        <f ca="1">IFERROR(__xludf.DUMMYFUNCTION("""COMPUTED_VALUE"""),"Nuwakot")</f>
        <v>Nuwakot</v>
      </c>
      <c r="E133" s="36"/>
      <c r="F133" s="27">
        <f>VLOOKUP(A133,'[1]Raw Data'!$A$3:$FB$285,4,FALSE)</f>
        <v>160</v>
      </c>
      <c r="G133" s="27">
        <f>VLOOKUP(A133,'[1]Raw Data'!$A$3:$FB$285,5,FALSE)</f>
        <v>4477</v>
      </c>
      <c r="H133" s="27">
        <f>VLOOKUP(A133,'[1]Raw Data'!$A$3:$FB$285,6,FALSE)</f>
        <v>4637</v>
      </c>
      <c r="I133" s="27">
        <f>VLOOKUP($A133,'[1]Raw Data'!$A$3:$FB$285,8,FALSE)</f>
        <v>1.01</v>
      </c>
      <c r="J133" s="27">
        <f>VLOOKUP($A133,'[1]Raw Data'!$A$3:$FB$285,9,FALSE)</f>
        <v>0.64</v>
      </c>
      <c r="K133" s="27">
        <f>VLOOKUP($A133,'[1]Raw Data'!$A$3:$FB$285,11,FALSE)</f>
        <v>95.44</v>
      </c>
      <c r="L133" s="27">
        <f>VLOOKUP($A133,'[1]Raw Data'!$A$3:$FB$285,12,FALSE)</f>
        <v>89.07</v>
      </c>
      <c r="M133" s="27">
        <f>VLOOKUP($A133,'[1]Raw Data'!$A$3:$FB$285,14,FALSE)</f>
        <v>0.63</v>
      </c>
      <c r="N133" s="27">
        <f>VLOOKUP($A133,'[1]Raw Data'!$A$3:$FB$285,15,FALSE)</f>
        <v>2.11</v>
      </c>
      <c r="O133" s="27">
        <f>VLOOKUP($A133,'[1]Raw Data'!$A$3:$FB$285,17,FALSE)</f>
        <v>0.02</v>
      </c>
      <c r="P133" s="27">
        <f>VLOOKUP($A133,'[1]Raw Data'!$A$3:$FB$285,18,FALSE)</f>
        <v>0.51</v>
      </c>
      <c r="Q133" s="27">
        <f>VLOOKUP($A133,'[1]Raw Data'!$A$3:$FB$285,20,FALSE)</f>
        <v>2.0099999999999998</v>
      </c>
      <c r="R133" s="27">
        <f>VLOOKUP($A133,'[1]Raw Data'!$A$3:$FB$285,21,FALSE)</f>
        <v>3.05</v>
      </c>
      <c r="S133" s="27">
        <f>VLOOKUP($A133,'[1]Raw Data'!$A$3:$FB$285,23,FALSE)</f>
        <v>0</v>
      </c>
      <c r="T133" s="27">
        <f>VLOOKUP($A133,'[1]Raw Data'!$A$3:$FB$285,24,FALSE)</f>
        <v>0</v>
      </c>
      <c r="U133" s="27">
        <f>VLOOKUP($A133,'[1]Raw Data'!$A$3:$FB$285,26,FALSE)</f>
        <v>0.19</v>
      </c>
      <c r="V133" s="27">
        <f>VLOOKUP($A133,'[1]Raw Data'!$A$3:$FB$285,27,FALSE)</f>
        <v>0.15</v>
      </c>
      <c r="W133" s="27">
        <f>VLOOKUP($A133,'[1]Raw Data'!$A$3:$FB$285,29,FALSE)</f>
        <v>0</v>
      </c>
      <c r="X133" s="27">
        <f>VLOOKUP($A133,'[1]Raw Data'!$A$3:$FB$285,30,FALSE)</f>
        <v>0</v>
      </c>
      <c r="Y133" s="27">
        <f>VLOOKUP($A133,'[1]Raw Data'!$A$3:$FB$285,32,FALSE)</f>
        <v>0.35</v>
      </c>
      <c r="Z133" s="27">
        <f>VLOOKUP($A133,'[1]Raw Data'!$A$3:$FB$285,33,FALSE)</f>
        <v>0.17</v>
      </c>
      <c r="AA133" s="27">
        <f>VLOOKUP($A133,'[1]Raw Data'!$A$3:$FB$285,35,FALSE)</f>
        <v>0.3</v>
      </c>
      <c r="AB133" s="27">
        <f>VLOOKUP($A133,'[1]Raw Data'!$A$3:$FB$285,36,FALSE)</f>
        <v>4.25</v>
      </c>
      <c r="AC133" s="27">
        <f>VLOOKUP($A133,'[1]Raw Data'!$A$3:$FB$285,38,FALSE)</f>
        <v>0.04</v>
      </c>
      <c r="AD133" s="27">
        <f>VLOOKUP($A133,'[1]Raw Data'!$A$3:$FB$285,39,FALSE)</f>
        <v>0.05</v>
      </c>
      <c r="AE133" s="27">
        <f>VLOOKUP($A133,'[1]Raw Data'!$A$3:$FB$285,41,FALSE)</f>
        <v>0</v>
      </c>
      <c r="AF133" s="27">
        <f>VLOOKUP($A133,'[1]Raw Data'!$A$3:$FB$285,42,FALSE)</f>
        <v>0</v>
      </c>
      <c r="AG133" s="27">
        <f>VLOOKUP($A133,'[1]Raw Data'!$A$3:$FB$285,44,FALSE)</f>
        <v>0</v>
      </c>
      <c r="AH133" s="27">
        <f>VLOOKUP($A133,'[1]Raw Data'!$A$3:$FB$285,45,FALSE)</f>
        <v>0</v>
      </c>
      <c r="AI133" s="27">
        <f>VLOOKUP($A133,'[1]Raw Data'!$A$3:$FB$285,46,FALSE)</f>
        <v>4788</v>
      </c>
      <c r="AJ133" s="27">
        <f>VLOOKUP($A133,'[1]Raw Data'!$A$3:$FB$285,47,FALSE)</f>
        <v>1822</v>
      </c>
      <c r="AK133" s="27">
        <f>VLOOKUP($A133,'[1]Raw Data'!$A$3:$FB$285,48,FALSE)</f>
        <v>4153</v>
      </c>
      <c r="AL133" s="27">
        <f>VLOOKUP($A133,'[1]Raw Data'!$A$3:$FB$285,49,FALSE)</f>
        <v>3814</v>
      </c>
      <c r="AM133" s="27">
        <f>VLOOKUP($A133,'[1]Raw Data'!$A$3:$FB$285,50,FALSE)</f>
        <v>2519</v>
      </c>
      <c r="AN133" s="27">
        <f>VLOOKUP($A133,'[1]Raw Data'!$A$3:$FB$285,51,FALSE)</f>
        <v>3900</v>
      </c>
      <c r="AO133" s="27" t="str">
        <f>VLOOKUP($A133,'[1]Raw Data'!$A$3:$FB$285,52,FALSE)</f>
        <v/>
      </c>
      <c r="AP133" s="27">
        <f>VLOOKUP($A133,'[1]Raw Data'!$A$3:$FB$285,53,FALSE)</f>
        <v>38</v>
      </c>
      <c r="AQ133" s="27">
        <f>VLOOKUP($A133,'[1]Raw Data'!$A$3:$FB$285,54,FALSE)</f>
        <v>0</v>
      </c>
      <c r="AR133" s="27">
        <f>VLOOKUP($A133,'[1]Raw Data'!$A$3:$FB$285,55,FALSE)</f>
        <v>0</v>
      </c>
      <c r="AS133" s="27">
        <f>VLOOKUP($A133,'[1]Raw Data'!$A$3:$FB$285,56,FALSE)</f>
        <v>0</v>
      </c>
      <c r="AT133" s="27">
        <f>VLOOKUP($A133,'[1]Raw Data'!$A$3:$FB$285,57,FALSE)</f>
        <v>809</v>
      </c>
      <c r="AU133" s="27">
        <f>VLOOKUP($A133,'[1]Raw Data'!$A$3:$FB$285,58,FALSE)</f>
        <v>553</v>
      </c>
      <c r="AV133" s="27" t="str">
        <f>VLOOKUP($A133,'[1]Raw Data'!$A$3:$FB$285,59,FALSE)</f>
        <v/>
      </c>
      <c r="AW133" s="27" t="str">
        <f>VLOOKUP($A133,'[1]Raw Data'!$A$3:$FB$285,60,FALSE)</f>
        <v/>
      </c>
      <c r="AX133" s="27" t="str">
        <f>VLOOKUP(A133,'[1]PO''s List'!A131:E413,4,FALSE)</f>
        <v>NRCS(Livelihood,Education,Employment ,Health,Shelter,Health),NSET(Shelter),WR(Livelihood,Education,Energy,Employment ,Health,Shelter,Health)</v>
      </c>
      <c r="AZ133" s="27" t="str">
        <f>VLOOKUP(A133,'[1]PO''s List'!$A$3:$E$285,5,FALSE)</f>
        <v>ACF(Livelihood,DRR,Health,Health),BC(Education,Shelter),GIZ(Health),GON-PAF(Shelter),HFH(DRR,Shelter),IMC(Health),MI(Health),NF(Education)</v>
      </c>
      <c r="BB133" s="27">
        <f>VLOOKUP($A133,'[1]Raw Data'!$A$3:$FB$285,63,FALSE)</f>
        <v>42164</v>
      </c>
      <c r="BC133" s="27" t="str">
        <f>VLOOKUP($A133,'[1]Raw Data'!$A$3:$FB$285,64,FALSE)</f>
        <v>N</v>
      </c>
      <c r="BD133" s="27" t="str">
        <f t="shared" si="9"/>
        <v>छैन</v>
      </c>
      <c r="BE133" s="27">
        <f>VLOOKUP($A133,'[1]Raw Data'!$A$3:$FB$285,65,FALSE)</f>
        <v>10000</v>
      </c>
      <c r="BF133" s="27">
        <f>VLOOKUP($A133,'[1]Raw Data'!$A$3:$FB$285,66,FALSE)</f>
        <v>41123</v>
      </c>
      <c r="BG133" s="27" t="str">
        <f>VLOOKUP($A133,'[1]Raw Data'!$A$3:$FB$285,67,FALSE)</f>
        <v>N</v>
      </c>
      <c r="BH133" s="27" t="str">
        <f t="shared" si="10"/>
        <v>छैन</v>
      </c>
      <c r="BI133" s="27">
        <f>VLOOKUP($A133,'[1]Raw Data'!$A$3:$FB$285,68,FALSE)</f>
        <v>16000</v>
      </c>
      <c r="BJ133" s="27">
        <f>VLOOKUP($A133,'[1]Raw Data'!$A$3:$FB$285,69,FALSE)</f>
        <v>4483</v>
      </c>
      <c r="BK133" s="27" t="str">
        <f>VLOOKUP($A133,'[1]Raw Data'!$A$3:$FB$285,70,FALSE)</f>
        <v>N</v>
      </c>
      <c r="BL133" s="27" t="str">
        <f t="shared" si="11"/>
        <v>छैन</v>
      </c>
      <c r="BM133" s="27">
        <f>VLOOKUP($A133,'[1]Raw Data'!$A$3:$FB$285,71,FALSE)</f>
        <v>20000</v>
      </c>
      <c r="BN133" s="27">
        <f>VLOOKUP($A133,'[1]Raw Data'!$A$3:$FB$285,72,FALSE)</f>
        <v>5102</v>
      </c>
      <c r="BO133" s="27" t="str">
        <f>VLOOKUP($A133,'[1]Raw Data'!$A$3:$FB$285,73,FALSE)</f>
        <v/>
      </c>
      <c r="BP133" s="27" t="str">
        <f t="shared" si="12"/>
        <v/>
      </c>
      <c r="BQ133" s="27" t="str">
        <f>VLOOKUP($A133,'[1]Raw Data'!$A$3:$FB$285,74,FALSE)</f>
        <v/>
      </c>
      <c r="BR133" s="27" t="str">
        <f>VLOOKUP($A133,'[1]Raw Data'!$A$3:$FB$285,75,FALSE)</f>
        <v/>
      </c>
      <c r="BS133" s="27" t="str">
        <f>VLOOKUP($A133,'[1]Raw Data'!$A$3:$FB$285,76,FALSE)</f>
        <v>N</v>
      </c>
      <c r="BT133" s="27" t="str">
        <f t="shared" si="13"/>
        <v>छैन</v>
      </c>
      <c r="BU133" s="27">
        <f>VLOOKUP($A133,'[1]Raw Data'!$A$3:$FB$285,77,FALSE)</f>
        <v>950</v>
      </c>
      <c r="BV133" s="27">
        <f>VLOOKUP($A133,'[1]Raw Data'!$A$3:$FB$285,78,FALSE)</f>
        <v>136996</v>
      </c>
      <c r="BW133" s="27" t="str">
        <f>VLOOKUP($A133,'[1]Raw Data'!$A$3:$FB$285,79,FALSE)</f>
        <v>N</v>
      </c>
      <c r="BX133" s="27" t="str">
        <f t="shared" si="14"/>
        <v>छैन</v>
      </c>
      <c r="BY133" s="27">
        <f>VLOOKUP($A133,'[1]Raw Data'!$A$3:$FB$285,80,FALSE)</f>
        <v>1050</v>
      </c>
      <c r="BZ133" s="27">
        <f>VLOOKUP($A133,'[1]Raw Data'!$A$3:$FB$285,81,FALSE)</f>
        <v>460783</v>
      </c>
      <c r="CA133" s="27" t="str">
        <f>VLOOKUP($A133,'[1]Raw Data'!$A$3:$FB$285,82,FALSE)</f>
        <v>Y</v>
      </c>
      <c r="CB133" s="27" t="str">
        <f t="shared" si="15"/>
        <v>छ</v>
      </c>
      <c r="CC133" s="27">
        <f>VLOOKUP($A133,'[1]Raw Data'!$A$3:$FB$285,83,FALSE)</f>
        <v>95</v>
      </c>
      <c r="CD133" s="27">
        <f>VLOOKUP($A133,'[1]Raw Data'!$A$3:$FB$285,84,FALSE)</f>
        <v>5598</v>
      </c>
      <c r="CE133" s="27" t="str">
        <f>VLOOKUP($A133,'[1]Raw Data'!$A$3:$FB$285,85,FALSE)</f>
        <v/>
      </c>
      <c r="CF133" s="27" t="str">
        <f t="shared" si="16"/>
        <v/>
      </c>
      <c r="CG133" s="27" t="str">
        <f>VLOOKUP($A133,'[1]Raw Data'!$A$3:$FB$285,86,FALSE)</f>
        <v/>
      </c>
      <c r="CH133" s="27">
        <f>VLOOKUP($A133,'[1]Raw Data'!$A$3:$FB$285,87,FALSE)</f>
        <v>632375</v>
      </c>
      <c r="CI133" s="27" t="str">
        <f>VLOOKUP($A133,'[1]Raw Data'!$A$3:$FB$285,88,FALSE)</f>
        <v/>
      </c>
      <c r="CJ133" s="27" t="str">
        <f t="shared" si="17"/>
        <v/>
      </c>
      <c r="CK133" s="27" t="str">
        <f>VLOOKUP($A133,'[1]Raw Data'!$A$3:$FB$285,89,FALSE)</f>
        <v/>
      </c>
      <c r="CL133" s="27">
        <f>VLOOKUP($A133,'[1]Raw Data'!$A$3:$FB$285,91,FALSE)</f>
        <v>1500</v>
      </c>
      <c r="CM133" s="27">
        <f>VLOOKUP($A133,'[1]Raw Data'!$A$3:$FB$285,93,FALSE)</f>
        <v>1000</v>
      </c>
      <c r="CN133" s="27" t="str">
        <f>VLOOKUP($A133,'[1]Raw Data'!$A$3:$FB$285,94,FALSE)</f>
        <v/>
      </c>
      <c r="CO133" s="27" t="str">
        <f>VLOOKUP($A133,'[1]Raw Data'!$A$3:$FB$285,95,FALSE)</f>
        <v/>
      </c>
      <c r="CP133" s="27" t="str">
        <f>VLOOKUP($A133,'[1]Raw Data'!$A$3:$FB$285,96,FALSE)</f>
        <v/>
      </c>
      <c r="CQ133" s="27" t="str">
        <f>VLOOKUP($A133,'[1]Raw Data'!$A$3:$FB$285,97,FALSE)</f>
        <v/>
      </c>
      <c r="CR133" s="27" t="str">
        <f>VLOOKUP($A133,'[1]Raw Data'!$A$3:$FB$285,98,FALSE)</f>
        <v/>
      </c>
      <c r="CS133" s="27" t="str">
        <f>VLOOKUP($A133,'[1]Raw Data'!$A$3:$FB$285,99,FALSE)</f>
        <v/>
      </c>
      <c r="CT133" s="27" t="str">
        <f>VLOOKUP($A133,'[1]Raw Data'!$A$3:$FB$285,101,FALSE)</f>
        <v>Chhatra Bahadur Lama</v>
      </c>
      <c r="CU133" s="27" t="s">
        <v>1226</v>
      </c>
      <c r="CV133" s="27" t="str">
        <f>VLOOKUP($A133,'[1]Raw Data'!$A$3:$FB$285,102,FALSE)</f>
        <v>Mayor</v>
      </c>
      <c r="CW133" s="27" t="s">
        <v>834</v>
      </c>
      <c r="CX133" s="27">
        <f>VLOOKUP($A133,'[1]Raw Data'!$A$3:$FB$285,103,FALSE)</f>
        <v>9851173433</v>
      </c>
      <c r="CY133" s="27" t="str">
        <f>VLOOKUP($A133,'[1]Raw Data'!$A$3:$FB$285,105,FALSE)</f>
        <v>Maya Devi Neupane</v>
      </c>
      <c r="CZ133" s="27" t="s">
        <v>1227</v>
      </c>
      <c r="DA133" s="27" t="str">
        <f>VLOOKUP($A133,'[1]Raw Data'!$A$3:$FB$285,106,FALSE)</f>
        <v>Deputy Mayor</v>
      </c>
      <c r="DB133" s="27" t="s">
        <v>888</v>
      </c>
      <c r="DC133" s="27">
        <f>VLOOKUP($A133,'[1]Raw Data'!$A$3:$FB$285,107,FALSE)</f>
        <v>9851132976</v>
      </c>
      <c r="DD133" s="27" t="str">
        <f>VLOOKUP($A133,'[1]Raw Data'!$A$3:$FB$285,109,FALSE)</f>
        <v>Krishna Raj Joshi</v>
      </c>
      <c r="DE133" s="27" t="s">
        <v>1228</v>
      </c>
      <c r="DF133" s="27" t="str">
        <f>VLOOKUP($A133,'[1]Raw Data'!$A$3:$FB$285,110,FALSE)</f>
        <v>Adminstration Officer</v>
      </c>
      <c r="DG133" s="27" t="s">
        <v>880</v>
      </c>
      <c r="DH133" s="27" t="str">
        <f>VLOOKUP($A133,'[1]Raw Data'!$A$3:$FB$285,111,FALSE)</f>
        <v/>
      </c>
      <c r="DI133" s="27" t="str">
        <f>VLOOKUP($A133,'[1]Raw Data'!$A$3:$FB$285,121,FALSE)</f>
        <v/>
      </c>
      <c r="DK133" s="27" t="str">
        <f>VLOOKUP($A133,'[1]Raw Data'!$A$3:$FB$285,122,FALSE)</f>
        <v>Focal Person</v>
      </c>
      <c r="DL133" s="27" t="s">
        <v>881</v>
      </c>
      <c r="DM133" s="27" t="str">
        <f>VLOOKUP($A133,'[1]Raw Data'!$A$3:$FB$285,123,FALSE)</f>
        <v/>
      </c>
      <c r="DN133" s="27" t="str">
        <f>VLOOKUP($A133,'[1]Raw Data'!$A$3:$FB$285,113,FALSE)</f>
        <v/>
      </c>
      <c r="DP133" s="27" t="str">
        <f>VLOOKUP($A133,'[1]Raw Data'!$A$3:$FB$285,114,FALSE)</f>
        <v>NRA Chief-District</v>
      </c>
      <c r="DQ133" s="27" t="s">
        <v>882</v>
      </c>
      <c r="DR133" s="27" t="str">
        <f>VLOOKUP($A133,'[1]Raw Data'!$A$3:$FB$285,115,FALSE)</f>
        <v/>
      </c>
      <c r="DS133" s="27" t="str">
        <f>VLOOKUP($A133,'[1]Raw Data'!$A$3:$FB$285,117,FALSE)</f>
        <v/>
      </c>
      <c r="DU133" s="27" t="str">
        <f>VLOOKUP($A133,'[1]Raw Data'!$A$3:$FB$285,118,FALSE)</f>
        <v>DUDBC.DLPIU Chief</v>
      </c>
      <c r="DV133" s="27" t="s">
        <v>883</v>
      </c>
      <c r="DW133" s="27" t="str">
        <f>VLOOKUP($A133,'[1]Raw Data'!$A$3:$FB$285,119,FALSE)</f>
        <v/>
      </c>
      <c r="DX133" s="27" t="s">
        <v>339</v>
      </c>
      <c r="DY133" s="27" t="str">
        <f>VLOOKUP($A133,'[1]Raw Data'!$A$3:$FB$285,124,FALSE)</f>
        <v>20</v>
      </c>
      <c r="DZ133" s="27" t="s">
        <v>884</v>
      </c>
      <c r="EA133" s="27" t="str">
        <f>VLOOKUP($A133,'[1]Raw Data'!$A$3:$FB$285,125,FALSE)</f>
        <v>15</v>
      </c>
      <c r="EB133" s="27" t="s">
        <v>341</v>
      </c>
      <c r="EC133" s="27" t="str">
        <f>VLOOKUP($A133,'[1]Raw Data'!$A$3:$FB$285,126,FALSE)</f>
        <v/>
      </c>
      <c r="ED133" t="s">
        <v>478</v>
      </c>
      <c r="EE133" s="27" t="str">
        <f>VLOOKUP($A133,'[1]Raw Data'!$A$3:$FB$285,127,FALSE)</f>
        <v/>
      </c>
      <c r="EF133" s="27" t="s">
        <v>343</v>
      </c>
      <c r="EG133" s="27" t="str">
        <f>VLOOKUP($A133,'[1]Raw Data'!$A$3:$FB$285,128,FALSE)</f>
        <v/>
      </c>
      <c r="EH133" t="s">
        <v>344</v>
      </c>
      <c r="EI133" s="27" t="str">
        <f>VLOOKUP($A133,'[1]Raw Data'!$A$3:$FB$285,129,FALSE)</f>
        <v/>
      </c>
      <c r="EM133" s="27" t="str">
        <f>VLOOKUP($A133,'[1]Raw Data'!$A$3:$FB$285,130,FALSE)</f>
        <v/>
      </c>
      <c r="EN133" s="27" t="str">
        <f>VLOOKUP($A133,'[1]Raw Data'!$A$3:$FB$285,131,FALSE)</f>
        <v/>
      </c>
      <c r="EO133" s="27" t="str">
        <f>VLOOKUP($A133,'[1]Raw Data'!$A$3:$FB$285,132,FALSE)</f>
        <v/>
      </c>
      <c r="EP133" s="27" t="str">
        <f>VLOOKUP($A133,'[1]Raw Data'!$A$3:$FB$285,133,FALSE)</f>
        <v/>
      </c>
      <c r="EQ133" s="27" t="str">
        <f>VLOOKUP($A133,'[1]Raw Data'!$A$3:$FB$285,134,FALSE)</f>
        <v/>
      </c>
      <c r="ER133" s="27" t="str">
        <f>VLOOKUP($A133,'[1]Raw Data'!$A$3:$FB$285,135,FALSE)</f>
        <v/>
      </c>
      <c r="ES133" s="27" t="str">
        <f>VLOOKUP($A133,'[1]Raw Data'!$A$3:$FB$285,136,FALSE)</f>
        <v/>
      </c>
      <c r="ET133" s="27" t="str">
        <f>VLOOKUP($A133,'[1]Raw Data'!$A$3:$FB$285,137,FALSE)</f>
        <v/>
      </c>
      <c r="EU133" s="27" t="str">
        <f>VLOOKUP($A133,'[1]Raw Data'!$A$3:$FB$285,138,FALSE)</f>
        <v/>
      </c>
      <c r="EV133" s="27" t="str">
        <f>VLOOKUP($A133,'[1]Raw Data'!$A$3:$FB$285,139,FALSE)</f>
        <v/>
      </c>
      <c r="EW133" s="38">
        <f>VLOOKUP($A133,[1]Training!$A$2:$I$284,5,FALSE)</f>
        <v>368.30769230769232</v>
      </c>
      <c r="EX133" s="31">
        <f>VLOOKUP($A133,[1]Training!$A$2:$I$284,6,FALSE)</f>
        <v>417</v>
      </c>
      <c r="EY133" s="38">
        <f>VLOOKUP($A133,[1]Training!$A$2:$I$284,8,FALSE)</f>
        <v>469.92776381909545</v>
      </c>
      <c r="EZ133" s="31">
        <f>VLOOKUP($A133,[1]Training!$A$2:$I$284,9,FALSE)</f>
        <v>270</v>
      </c>
      <c r="FA133" s="27">
        <v>1</v>
      </c>
      <c r="FB133" s="27">
        <v>2</v>
      </c>
      <c r="FC133" s="27" t="str">
        <f>VLOOKUP($A133,'[1]Raw Data'!$A$3:$FB$285,148,FALSE)</f>
        <v>Badri Pyakurel</v>
      </c>
      <c r="FD133" s="27" t="s">
        <v>1215</v>
      </c>
      <c r="FE133" s="27" t="str">
        <f>VLOOKUP($A133,'[1]Raw Data'!$A$3:$FB$285,149,FALSE)</f>
        <v>District Coordinator</v>
      </c>
      <c r="FF133" s="27" t="s">
        <v>885</v>
      </c>
      <c r="FG133" s="27">
        <f>VLOOKUP($A133,'[1]Raw Data'!$A$3:$FB$285,150,FALSE)</f>
        <v>9851154201</v>
      </c>
      <c r="FH133" s="27" t="str">
        <f>VLOOKUP($A133,'[1]Raw Data'!$A$3:$FB$285,156,FALSE)</f>
        <v/>
      </c>
      <c r="FJ133" s="27" t="str">
        <f>VLOOKUP($A133,'[1]Raw Data'!$A$3:$FB$285,157,FALSE)</f>
        <v>District Technical Officer</v>
      </c>
      <c r="FK133" s="27" t="s">
        <v>886</v>
      </c>
      <c r="FL133" s="27" t="str">
        <f>VLOOKUP($A133,'[1]Raw Data'!$A$3:$FB$285,158,FALSE)</f>
        <v/>
      </c>
      <c r="FM133" s="27" t="str">
        <f>VLOOKUP($A133,'[1]Raw Data'!$A$3:$FB$285,152,FALSE)</f>
        <v>Budhha Singh Thakuri</v>
      </c>
      <c r="FN133" s="27" t="s">
        <v>1216</v>
      </c>
      <c r="FO133" s="27" t="str">
        <f>VLOOKUP($A133,'[1]Raw Data'!$A$3:$FB$285,153,FALSE)</f>
        <v>District Information Management Officer</v>
      </c>
      <c r="FP133" s="27" t="s">
        <v>887</v>
      </c>
      <c r="FQ133" s="27">
        <f>VLOOKUP($A133,'[1]Raw Data'!$A$3:$FB$285,154,FALSE)</f>
        <v>9841961829</v>
      </c>
    </row>
    <row r="134" spans="1:173" ht="24" x14ac:dyDescent="0.45">
      <c r="A134" s="27">
        <v>28006</v>
      </c>
      <c r="B134" s="36" t="str">
        <f ca="1">IFERROR(__xludf.DUMMYFUNCTION("""COMPUTED_VALUE"""),"Likhu Gaunpalika")</f>
        <v>Likhu Gaunpalika</v>
      </c>
      <c r="C134" s="37" t="str">
        <f>VLOOKUP(A134,'[1]Palika and District in Nepali '!$D$1:$F$283,3,FALSE)</f>
        <v xml:space="preserve">लिखु गाउँपालिका </v>
      </c>
      <c r="D134" s="36" t="str">
        <f ca="1">IFERROR(__xludf.DUMMYFUNCTION("""COMPUTED_VALUE"""),"Nuwakot")</f>
        <v>Nuwakot</v>
      </c>
      <c r="E134" s="36"/>
      <c r="F134" s="27">
        <f>VLOOKUP(A134,'[1]Raw Data'!$A$3:$FB$285,4,FALSE)</f>
        <v>568</v>
      </c>
      <c r="G134" s="27">
        <f>VLOOKUP(A134,'[1]Raw Data'!$A$3:$FB$285,5,FALSE)</f>
        <v>4405</v>
      </c>
      <c r="H134" s="27">
        <f>VLOOKUP(A134,'[1]Raw Data'!$A$3:$FB$285,6,FALSE)</f>
        <v>4973</v>
      </c>
      <c r="I134" s="27">
        <f>VLOOKUP($A134,'[1]Raw Data'!$A$3:$FB$285,8,FALSE)</f>
        <v>0.36</v>
      </c>
      <c r="J134" s="27">
        <f>VLOOKUP($A134,'[1]Raw Data'!$A$3:$FB$285,9,FALSE)</f>
        <v>0.64</v>
      </c>
      <c r="K134" s="27">
        <f>VLOOKUP($A134,'[1]Raw Data'!$A$3:$FB$285,11,FALSE)</f>
        <v>86.16</v>
      </c>
      <c r="L134" s="27">
        <f>VLOOKUP($A134,'[1]Raw Data'!$A$3:$FB$285,12,FALSE)</f>
        <v>89.07</v>
      </c>
      <c r="M134" s="27">
        <f>VLOOKUP($A134,'[1]Raw Data'!$A$3:$FB$285,14,FALSE)</f>
        <v>6.28</v>
      </c>
      <c r="N134" s="27">
        <f>VLOOKUP($A134,'[1]Raw Data'!$A$3:$FB$285,15,FALSE)</f>
        <v>2.11</v>
      </c>
      <c r="O134" s="27">
        <f>VLOOKUP($A134,'[1]Raw Data'!$A$3:$FB$285,17,FALSE)</f>
        <v>0.69</v>
      </c>
      <c r="P134" s="27">
        <f>VLOOKUP($A134,'[1]Raw Data'!$A$3:$FB$285,18,FALSE)</f>
        <v>0.51</v>
      </c>
      <c r="Q134" s="27">
        <f>VLOOKUP($A134,'[1]Raw Data'!$A$3:$FB$285,20,FALSE)</f>
        <v>2.48</v>
      </c>
      <c r="R134" s="27">
        <f>VLOOKUP($A134,'[1]Raw Data'!$A$3:$FB$285,21,FALSE)</f>
        <v>3.05</v>
      </c>
      <c r="S134" s="27">
        <f>VLOOKUP($A134,'[1]Raw Data'!$A$3:$FB$285,23,FALSE)</f>
        <v>0</v>
      </c>
      <c r="T134" s="27">
        <f>VLOOKUP($A134,'[1]Raw Data'!$A$3:$FB$285,24,FALSE)</f>
        <v>0</v>
      </c>
      <c r="U134" s="27">
        <f>VLOOKUP($A134,'[1]Raw Data'!$A$3:$FB$285,26,FALSE)</f>
        <v>0.24</v>
      </c>
      <c r="V134" s="27">
        <f>VLOOKUP($A134,'[1]Raw Data'!$A$3:$FB$285,27,FALSE)</f>
        <v>0.15</v>
      </c>
      <c r="W134" s="27">
        <f>VLOOKUP($A134,'[1]Raw Data'!$A$3:$FB$285,29,FALSE)</f>
        <v>0</v>
      </c>
      <c r="X134" s="27">
        <f>VLOOKUP($A134,'[1]Raw Data'!$A$3:$FB$285,30,FALSE)</f>
        <v>0</v>
      </c>
      <c r="Y134" s="27">
        <f>VLOOKUP($A134,'[1]Raw Data'!$A$3:$FB$285,32,FALSE)</f>
        <v>0.18</v>
      </c>
      <c r="Z134" s="27">
        <f>VLOOKUP($A134,'[1]Raw Data'!$A$3:$FB$285,33,FALSE)</f>
        <v>0.17</v>
      </c>
      <c r="AA134" s="27">
        <f>VLOOKUP($A134,'[1]Raw Data'!$A$3:$FB$285,35,FALSE)</f>
        <v>3.41</v>
      </c>
      <c r="AB134" s="27">
        <f>VLOOKUP($A134,'[1]Raw Data'!$A$3:$FB$285,36,FALSE)</f>
        <v>4.25</v>
      </c>
      <c r="AC134" s="27">
        <f>VLOOKUP($A134,'[1]Raw Data'!$A$3:$FB$285,38,FALSE)</f>
        <v>0.18</v>
      </c>
      <c r="AD134" s="27">
        <f>VLOOKUP($A134,'[1]Raw Data'!$A$3:$FB$285,39,FALSE)</f>
        <v>0.05</v>
      </c>
      <c r="AE134" s="27">
        <f>VLOOKUP($A134,'[1]Raw Data'!$A$3:$FB$285,41,FALSE)</f>
        <v>0</v>
      </c>
      <c r="AF134" s="27">
        <f>VLOOKUP($A134,'[1]Raw Data'!$A$3:$FB$285,42,FALSE)</f>
        <v>0</v>
      </c>
      <c r="AG134" s="27">
        <f>VLOOKUP($A134,'[1]Raw Data'!$A$3:$FB$285,44,FALSE)</f>
        <v>0</v>
      </c>
      <c r="AH134" s="27">
        <f>VLOOKUP($A134,'[1]Raw Data'!$A$3:$FB$285,45,FALSE)</f>
        <v>0</v>
      </c>
      <c r="AI134" s="27">
        <f>VLOOKUP($A134,'[1]Raw Data'!$A$3:$FB$285,46,FALSE)</f>
        <v>5109</v>
      </c>
      <c r="AJ134" s="27">
        <f>VLOOKUP($A134,'[1]Raw Data'!$A$3:$FB$285,47,FALSE)</f>
        <v>4060</v>
      </c>
      <c r="AK134" s="27">
        <f>VLOOKUP($A134,'[1]Raw Data'!$A$3:$FB$285,48,FALSE)</f>
        <v>4463</v>
      </c>
      <c r="AL134" s="27">
        <f>VLOOKUP($A134,'[1]Raw Data'!$A$3:$FB$285,49,FALSE)</f>
        <v>3674</v>
      </c>
      <c r="AM134" s="27">
        <f>VLOOKUP($A134,'[1]Raw Data'!$A$3:$FB$285,50,FALSE)</f>
        <v>2200</v>
      </c>
      <c r="AN134" s="27">
        <f>VLOOKUP($A134,'[1]Raw Data'!$A$3:$FB$285,51,FALSE)</f>
        <v>3652</v>
      </c>
      <c r="AO134" s="27" t="str">
        <f>VLOOKUP($A134,'[1]Raw Data'!$A$3:$FB$285,52,FALSE)</f>
        <v/>
      </c>
      <c r="AP134" s="27">
        <f>VLOOKUP($A134,'[1]Raw Data'!$A$3:$FB$285,53,FALSE)</f>
        <v>64</v>
      </c>
      <c r="AQ134" s="27">
        <f>VLOOKUP($A134,'[1]Raw Data'!$A$3:$FB$285,54,FALSE)</f>
        <v>9</v>
      </c>
      <c r="AR134" s="27">
        <f>VLOOKUP($A134,'[1]Raw Data'!$A$3:$FB$285,55,FALSE)</f>
        <v>9</v>
      </c>
      <c r="AS134" s="27">
        <f>VLOOKUP($A134,'[1]Raw Data'!$A$3:$FB$285,56,FALSE)</f>
        <v>0</v>
      </c>
      <c r="AT134" s="27">
        <f>VLOOKUP($A134,'[1]Raw Data'!$A$3:$FB$285,57,FALSE)</f>
        <v>1329</v>
      </c>
      <c r="AU134" s="27">
        <f>VLOOKUP($A134,'[1]Raw Data'!$A$3:$FB$285,58,FALSE)</f>
        <v>1104</v>
      </c>
      <c r="AV134" s="27" t="str">
        <f>VLOOKUP($A134,'[1]Raw Data'!$A$3:$FB$285,59,FALSE)</f>
        <v/>
      </c>
      <c r="AW134" s="27" t="str">
        <f>VLOOKUP($A134,'[1]Raw Data'!$A$3:$FB$285,60,FALSE)</f>
        <v/>
      </c>
      <c r="AX134" s="27" t="str">
        <f>VLOOKUP(A134,'[1]PO''s List'!A132:E414,4,FALSE)</f>
        <v/>
      </c>
      <c r="AZ134" s="27" t="str">
        <f>VLOOKUP(A134,'[1]PO''s List'!$A$3:$E$285,5,FALSE)</f>
        <v>MI(DRR,Health)</v>
      </c>
      <c r="BB134" s="27">
        <f>VLOOKUP($A134,'[1]Raw Data'!$A$3:$FB$285,63,FALSE)</f>
        <v>90948</v>
      </c>
      <c r="BC134" s="27" t="str">
        <f>VLOOKUP($A134,'[1]Raw Data'!$A$3:$FB$285,64,FALSE)</f>
        <v>N</v>
      </c>
      <c r="BD134" s="27" t="str">
        <f t="shared" ref="BD134:BD197" si="18">IF(BC134="Y","छ", IF(BC134="N","छैन",""))</f>
        <v>छैन</v>
      </c>
      <c r="BE134" s="27">
        <f>VLOOKUP($A134,'[1]Raw Data'!$A$3:$FB$285,65,FALSE)</f>
        <v>6000</v>
      </c>
      <c r="BF134" s="27">
        <f>VLOOKUP($A134,'[1]Raw Data'!$A$3:$FB$285,66,FALSE)</f>
        <v>91585</v>
      </c>
      <c r="BG134" s="27" t="str">
        <f>VLOOKUP($A134,'[1]Raw Data'!$A$3:$FB$285,67,FALSE)</f>
        <v>N</v>
      </c>
      <c r="BH134" s="27" t="str">
        <f t="shared" ref="BH134:BH197" si="19">IF(BG134="Y","छ", IF(BG134="N","छैन",""))</f>
        <v>छैन</v>
      </c>
      <c r="BI134" s="27">
        <f>VLOOKUP($A134,'[1]Raw Data'!$A$3:$FB$285,68,FALSE)</f>
        <v>4500</v>
      </c>
      <c r="BJ134" s="27">
        <f>VLOOKUP($A134,'[1]Raw Data'!$A$3:$FB$285,69,FALSE)</f>
        <v>9696</v>
      </c>
      <c r="BK134" s="27" t="str">
        <f>VLOOKUP($A134,'[1]Raw Data'!$A$3:$FB$285,70,FALSE)</f>
        <v>N</v>
      </c>
      <c r="BL134" s="27" t="str">
        <f t="shared" ref="BL134:BL197" si="20">IF(BK134="Y","छ", IF(BK134="N","छैन",""))</f>
        <v>छैन</v>
      </c>
      <c r="BM134" s="27">
        <f>VLOOKUP($A134,'[1]Raw Data'!$A$3:$FB$285,71,FALSE)</f>
        <v>3000</v>
      </c>
      <c r="BN134" s="27">
        <f>VLOOKUP($A134,'[1]Raw Data'!$A$3:$FB$285,72,FALSE)</f>
        <v>11132</v>
      </c>
      <c r="BO134" s="27" t="str">
        <f>VLOOKUP($A134,'[1]Raw Data'!$A$3:$FB$285,73,FALSE)</f>
        <v/>
      </c>
      <c r="BP134" s="27" t="str">
        <f t="shared" ref="BP134:BP197" si="21">IF(BO134="Y","छ", IF(BO134="N","छैन",""))</f>
        <v/>
      </c>
      <c r="BQ134" s="27" t="str">
        <f>VLOOKUP($A134,'[1]Raw Data'!$A$3:$FB$285,74,FALSE)</f>
        <v/>
      </c>
      <c r="BR134" s="27" t="str">
        <f>VLOOKUP($A134,'[1]Raw Data'!$A$3:$FB$285,75,FALSE)</f>
        <v/>
      </c>
      <c r="BS134" s="27" t="str">
        <f>VLOOKUP($A134,'[1]Raw Data'!$A$3:$FB$285,76,FALSE)</f>
        <v>N</v>
      </c>
      <c r="BT134" s="27" t="str">
        <f t="shared" ref="BT134:BT197" si="22">IF(BS134="Y","छ", IF(BS134="N","छैन",""))</f>
        <v>छैन</v>
      </c>
      <c r="BU134" s="27">
        <f>VLOOKUP($A134,'[1]Raw Data'!$A$3:$FB$285,77,FALSE)</f>
        <v>850</v>
      </c>
      <c r="BV134" s="27">
        <f>VLOOKUP($A134,'[1]Raw Data'!$A$3:$FB$285,78,FALSE)</f>
        <v>304019</v>
      </c>
      <c r="BW134" s="27" t="str">
        <f>VLOOKUP($A134,'[1]Raw Data'!$A$3:$FB$285,79,FALSE)</f>
        <v>N</v>
      </c>
      <c r="BX134" s="27" t="str">
        <f t="shared" ref="BX134:BX197" si="23">IF(BW134="Y","छ", IF(BW134="N","छैन",""))</f>
        <v>छैन</v>
      </c>
      <c r="BY134" s="27">
        <f>VLOOKUP($A134,'[1]Raw Data'!$A$3:$FB$285,80,FALSE)</f>
        <v>95</v>
      </c>
      <c r="BZ134" s="27">
        <f>VLOOKUP($A134,'[1]Raw Data'!$A$3:$FB$285,81,FALSE)</f>
        <v>988836</v>
      </c>
      <c r="CA134" s="27" t="str">
        <f>VLOOKUP($A134,'[1]Raw Data'!$A$3:$FB$285,82,FALSE)</f>
        <v>N</v>
      </c>
      <c r="CB134" s="27" t="str">
        <f t="shared" ref="CB134:CB197" si="24">IF(CA134="Y","छ", IF(CA134="N","छैन",""))</f>
        <v>छैन</v>
      </c>
      <c r="CC134" s="27">
        <f>VLOOKUP($A134,'[1]Raw Data'!$A$3:$FB$285,83,FALSE)</f>
        <v>72</v>
      </c>
      <c r="CD134" s="27">
        <f>VLOOKUP($A134,'[1]Raw Data'!$A$3:$FB$285,84,FALSE)</f>
        <v>12424</v>
      </c>
      <c r="CE134" s="27" t="str">
        <f>VLOOKUP($A134,'[1]Raw Data'!$A$3:$FB$285,85,FALSE)</f>
        <v/>
      </c>
      <c r="CF134" s="27" t="str">
        <f t="shared" ref="CF134:CF197" si="25">IF(CE134="Y","छ", IF(CE134="N","छैन",""))</f>
        <v/>
      </c>
      <c r="CG134" s="27" t="str">
        <f>VLOOKUP($A134,'[1]Raw Data'!$A$3:$FB$285,86,FALSE)</f>
        <v/>
      </c>
      <c r="CH134" s="27">
        <f>VLOOKUP($A134,'[1]Raw Data'!$A$3:$FB$285,87,FALSE)</f>
        <v>1066977</v>
      </c>
      <c r="CI134" s="27" t="str">
        <f>VLOOKUP($A134,'[1]Raw Data'!$A$3:$FB$285,88,FALSE)</f>
        <v/>
      </c>
      <c r="CJ134" s="27" t="str">
        <f t="shared" ref="CJ134:CJ197" si="26">IF(CI134="Y","छ", IF(CI134="N","छैन",""))</f>
        <v/>
      </c>
      <c r="CK134" s="27" t="str">
        <f>VLOOKUP($A134,'[1]Raw Data'!$A$3:$FB$285,89,FALSE)</f>
        <v/>
      </c>
      <c r="CL134" s="27">
        <f>VLOOKUP($A134,'[1]Raw Data'!$A$3:$FB$285,91,FALSE)</f>
        <v>1200</v>
      </c>
      <c r="CM134" s="27">
        <f>VLOOKUP($A134,'[1]Raw Data'!$A$3:$FB$285,93,FALSE)</f>
        <v>800</v>
      </c>
      <c r="CN134" s="27" t="str">
        <f>VLOOKUP($A134,'[1]Raw Data'!$A$3:$FB$285,94,FALSE)</f>
        <v/>
      </c>
      <c r="CO134" s="27" t="str">
        <f>VLOOKUP($A134,'[1]Raw Data'!$A$3:$FB$285,95,FALSE)</f>
        <v/>
      </c>
      <c r="CP134" s="27" t="str">
        <f>VLOOKUP($A134,'[1]Raw Data'!$A$3:$FB$285,96,FALSE)</f>
        <v/>
      </c>
      <c r="CQ134" s="27" t="str">
        <f>VLOOKUP($A134,'[1]Raw Data'!$A$3:$FB$285,97,FALSE)</f>
        <v/>
      </c>
      <c r="CR134" s="27" t="str">
        <f>VLOOKUP($A134,'[1]Raw Data'!$A$3:$FB$285,98,FALSE)</f>
        <v/>
      </c>
      <c r="CS134" s="27" t="str">
        <f>VLOOKUP($A134,'[1]Raw Data'!$A$3:$FB$285,99,FALSE)</f>
        <v/>
      </c>
      <c r="CT134" s="27" t="str">
        <f>VLOOKUP($A134,'[1]Raw Data'!$A$3:$FB$285,101,FALSE)</f>
        <v>Dhurba Shrestha</v>
      </c>
      <c r="CU134" s="27" t="s">
        <v>1229</v>
      </c>
      <c r="CV134" s="27" t="str">
        <f>VLOOKUP($A134,'[1]Raw Data'!$A$3:$FB$285,102,FALSE)</f>
        <v>Mayor</v>
      </c>
      <c r="CW134" s="27" t="s">
        <v>834</v>
      </c>
      <c r="CX134" s="27" t="str">
        <f>VLOOKUP($A134,'[1]Raw Data'!$A$3:$FB$285,103,FALSE)</f>
        <v/>
      </c>
      <c r="CY134" s="27" t="str">
        <f>VLOOKUP($A134,'[1]Raw Data'!$A$3:$FB$285,105,FALSE)</f>
        <v>Rojina Rai</v>
      </c>
      <c r="CZ134" s="27" t="s">
        <v>1230</v>
      </c>
      <c r="DA134" s="27" t="str">
        <f>VLOOKUP($A134,'[1]Raw Data'!$A$3:$FB$285,106,FALSE)</f>
        <v>Deputy Mayor</v>
      </c>
      <c r="DB134" s="27" t="s">
        <v>888</v>
      </c>
      <c r="DC134" s="27">
        <f>VLOOKUP($A134,'[1]Raw Data'!$A$3:$FB$285,107,FALSE)</f>
        <v>9849647824</v>
      </c>
      <c r="DD134" s="27" t="str">
        <f>VLOOKUP($A134,'[1]Raw Data'!$A$3:$FB$285,109,FALSE)</f>
        <v>Suraj Aryal</v>
      </c>
      <c r="DE134" s="27" t="s">
        <v>1011</v>
      </c>
      <c r="DF134" s="27" t="str">
        <f>VLOOKUP($A134,'[1]Raw Data'!$A$3:$FB$285,110,FALSE)</f>
        <v>Adminstration Officer</v>
      </c>
      <c r="DG134" s="27" t="s">
        <v>880</v>
      </c>
      <c r="DH134" s="27">
        <f>VLOOKUP($A134,'[1]Raw Data'!$A$3:$FB$285,111,FALSE)</f>
        <v>9851253099</v>
      </c>
      <c r="DI134" s="27" t="str">
        <f>VLOOKUP($A134,'[1]Raw Data'!$A$3:$FB$285,121,FALSE)</f>
        <v/>
      </c>
      <c r="DK134" s="27" t="str">
        <f>VLOOKUP($A134,'[1]Raw Data'!$A$3:$FB$285,122,FALSE)</f>
        <v>Focal Person</v>
      </c>
      <c r="DL134" s="27" t="s">
        <v>881</v>
      </c>
      <c r="DM134" s="27" t="str">
        <f>VLOOKUP($A134,'[1]Raw Data'!$A$3:$FB$285,123,FALSE)</f>
        <v/>
      </c>
      <c r="DN134" s="27" t="str">
        <f>VLOOKUP($A134,'[1]Raw Data'!$A$3:$FB$285,113,FALSE)</f>
        <v/>
      </c>
      <c r="DP134" s="27" t="str">
        <f>VLOOKUP($A134,'[1]Raw Data'!$A$3:$FB$285,114,FALSE)</f>
        <v>NRA Chief-District</v>
      </c>
      <c r="DQ134" s="27" t="s">
        <v>882</v>
      </c>
      <c r="DR134" s="27" t="str">
        <f>VLOOKUP($A134,'[1]Raw Data'!$A$3:$FB$285,115,FALSE)</f>
        <v/>
      </c>
      <c r="DS134" s="27" t="str">
        <f>VLOOKUP($A134,'[1]Raw Data'!$A$3:$FB$285,117,FALSE)</f>
        <v/>
      </c>
      <c r="DU134" s="27" t="str">
        <f>VLOOKUP($A134,'[1]Raw Data'!$A$3:$FB$285,118,FALSE)</f>
        <v>DUDBC.DLPIU Chief</v>
      </c>
      <c r="DV134" s="27" t="s">
        <v>883</v>
      </c>
      <c r="DW134" s="27" t="str">
        <f>VLOOKUP($A134,'[1]Raw Data'!$A$3:$FB$285,119,FALSE)</f>
        <v/>
      </c>
      <c r="DX134" s="27" t="s">
        <v>339</v>
      </c>
      <c r="DY134" s="27" t="str">
        <f>VLOOKUP($A134,'[1]Raw Data'!$A$3:$FB$285,124,FALSE)</f>
        <v/>
      </c>
      <c r="DZ134" s="27" t="s">
        <v>884</v>
      </c>
      <c r="EA134" s="27" t="str">
        <f>VLOOKUP($A134,'[1]Raw Data'!$A$3:$FB$285,125,FALSE)</f>
        <v/>
      </c>
      <c r="EB134" s="27" t="s">
        <v>341</v>
      </c>
      <c r="EC134" s="27" t="str">
        <f>VLOOKUP($A134,'[1]Raw Data'!$A$3:$FB$285,126,FALSE)</f>
        <v/>
      </c>
      <c r="ED134" t="s">
        <v>478</v>
      </c>
      <c r="EE134" s="27" t="str">
        <f>VLOOKUP($A134,'[1]Raw Data'!$A$3:$FB$285,127,FALSE)</f>
        <v/>
      </c>
      <c r="EF134" s="27" t="s">
        <v>343</v>
      </c>
      <c r="EG134" s="27" t="str">
        <f>VLOOKUP($A134,'[1]Raw Data'!$A$3:$FB$285,128,FALSE)</f>
        <v/>
      </c>
      <c r="EH134" t="s">
        <v>344</v>
      </c>
      <c r="EI134" s="27" t="str">
        <f>VLOOKUP($A134,'[1]Raw Data'!$A$3:$FB$285,129,FALSE)</f>
        <v/>
      </c>
      <c r="EM134" s="27" t="str">
        <f>VLOOKUP($A134,'[1]Raw Data'!$A$3:$FB$285,130,FALSE)</f>
        <v/>
      </c>
      <c r="EN134" s="27" t="str">
        <f>VLOOKUP($A134,'[1]Raw Data'!$A$3:$FB$285,131,FALSE)</f>
        <v/>
      </c>
      <c r="EO134" s="27" t="str">
        <f>VLOOKUP($A134,'[1]Raw Data'!$A$3:$FB$285,132,FALSE)</f>
        <v/>
      </c>
      <c r="EP134" s="27" t="str">
        <f>VLOOKUP($A134,'[1]Raw Data'!$A$3:$FB$285,133,FALSE)</f>
        <v/>
      </c>
      <c r="EQ134" s="27" t="str">
        <f>VLOOKUP($A134,'[1]Raw Data'!$A$3:$FB$285,134,FALSE)</f>
        <v/>
      </c>
      <c r="ER134" s="27" t="str">
        <f>VLOOKUP($A134,'[1]Raw Data'!$A$3:$FB$285,135,FALSE)</f>
        <v/>
      </c>
      <c r="ES134" s="27" t="str">
        <f>VLOOKUP($A134,'[1]Raw Data'!$A$3:$FB$285,136,FALSE)</f>
        <v/>
      </c>
      <c r="ET134" s="27" t="str">
        <f>VLOOKUP($A134,'[1]Raw Data'!$A$3:$FB$285,137,FALSE)</f>
        <v/>
      </c>
      <c r="EU134" s="27" t="str">
        <f>VLOOKUP($A134,'[1]Raw Data'!$A$3:$FB$285,138,FALSE)</f>
        <v/>
      </c>
      <c r="EV134" s="27" t="str">
        <f>VLOOKUP($A134,'[1]Raw Data'!$A$3:$FB$285,139,FALSE)</f>
        <v/>
      </c>
      <c r="EW134" s="38">
        <f>VLOOKUP($A134,[1]Training!$A$2:$I$284,5,FALSE)</f>
        <v>393</v>
      </c>
      <c r="EX134" s="31">
        <f>VLOOKUP($A134,[1]Training!$A$2:$I$284,6,FALSE)</f>
        <v>206</v>
      </c>
      <c r="EY134" s="38">
        <f>VLOOKUP($A134,[1]Training!$A$2:$I$284,8,FALSE)</f>
        <v>501.43294597989944</v>
      </c>
      <c r="EZ134" s="31">
        <f>VLOOKUP($A134,[1]Training!$A$2:$I$284,9,FALSE)</f>
        <v>5</v>
      </c>
      <c r="FA134" s="27">
        <v>1</v>
      </c>
      <c r="FB134" s="27">
        <v>2</v>
      </c>
      <c r="FC134" s="27" t="str">
        <f>VLOOKUP($A134,'[1]Raw Data'!$A$3:$FB$285,148,FALSE)</f>
        <v>Badri Pyakurel</v>
      </c>
      <c r="FD134" s="27" t="s">
        <v>1215</v>
      </c>
      <c r="FE134" s="27" t="str">
        <f>VLOOKUP($A134,'[1]Raw Data'!$A$3:$FB$285,149,FALSE)</f>
        <v>District Coordinator</v>
      </c>
      <c r="FF134" s="27" t="s">
        <v>885</v>
      </c>
      <c r="FG134" s="27">
        <f>VLOOKUP($A134,'[1]Raw Data'!$A$3:$FB$285,150,FALSE)</f>
        <v>9851154201</v>
      </c>
      <c r="FH134" s="27" t="str">
        <f>VLOOKUP($A134,'[1]Raw Data'!$A$3:$FB$285,156,FALSE)</f>
        <v/>
      </c>
      <c r="FJ134" s="27" t="str">
        <f>VLOOKUP($A134,'[1]Raw Data'!$A$3:$FB$285,157,FALSE)</f>
        <v>District Technical Officer</v>
      </c>
      <c r="FK134" s="27" t="s">
        <v>886</v>
      </c>
      <c r="FL134" s="27" t="str">
        <f>VLOOKUP($A134,'[1]Raw Data'!$A$3:$FB$285,158,FALSE)</f>
        <v/>
      </c>
      <c r="FM134" s="27" t="str">
        <f>VLOOKUP($A134,'[1]Raw Data'!$A$3:$FB$285,152,FALSE)</f>
        <v>Budhha Singh Thakuri</v>
      </c>
      <c r="FN134" s="27" t="s">
        <v>1216</v>
      </c>
      <c r="FO134" s="27" t="str">
        <f>VLOOKUP($A134,'[1]Raw Data'!$A$3:$FB$285,153,FALSE)</f>
        <v>District Information Management Officer</v>
      </c>
      <c r="FP134" s="27" t="s">
        <v>887</v>
      </c>
      <c r="FQ134" s="27">
        <f>VLOOKUP($A134,'[1]Raw Data'!$A$3:$FB$285,154,FALSE)</f>
        <v>9841961829</v>
      </c>
    </row>
    <row r="135" spans="1:173" ht="24" x14ac:dyDescent="0.45">
      <c r="A135" s="27">
        <v>28007</v>
      </c>
      <c r="B135" s="36" t="str">
        <f ca="1">IFERROR(__xludf.DUMMYFUNCTION("""COMPUTED_VALUE"""),"Meghang Gaunpalika")</f>
        <v>Meghang Gaunpalika</v>
      </c>
      <c r="C135" s="37" t="str">
        <f>VLOOKUP(A135,'[1]Palika and District in Nepali '!$D$1:$F$283,3,FALSE)</f>
        <v>मेघांङ गाउँपालिका</v>
      </c>
      <c r="D135" s="36" t="str">
        <f ca="1">IFERROR(__xludf.DUMMYFUNCTION("""COMPUTED_VALUE"""),"Nuwakot")</f>
        <v>Nuwakot</v>
      </c>
      <c r="E135" s="36"/>
      <c r="F135" s="27">
        <f>VLOOKUP(A135,'[1]Raw Data'!$A$3:$FB$285,4,FALSE)</f>
        <v>368</v>
      </c>
      <c r="G135" s="27">
        <f>VLOOKUP(A135,'[1]Raw Data'!$A$3:$FB$285,5,FALSE)</f>
        <v>4371</v>
      </c>
      <c r="H135" s="27">
        <f>VLOOKUP(A135,'[1]Raw Data'!$A$3:$FB$285,6,FALSE)</f>
        <v>4739</v>
      </c>
      <c r="I135" s="27">
        <f>VLOOKUP($A135,'[1]Raw Data'!$A$3:$FB$285,8,FALSE)</f>
        <v>0.46</v>
      </c>
      <c r="J135" s="27">
        <f>VLOOKUP($A135,'[1]Raw Data'!$A$3:$FB$285,9,FALSE)</f>
        <v>0.64</v>
      </c>
      <c r="K135" s="27">
        <f>VLOOKUP($A135,'[1]Raw Data'!$A$3:$FB$285,11,FALSE)</f>
        <v>96.07</v>
      </c>
      <c r="L135" s="27">
        <f>VLOOKUP($A135,'[1]Raw Data'!$A$3:$FB$285,12,FALSE)</f>
        <v>89.07</v>
      </c>
      <c r="M135" s="27">
        <f>VLOOKUP($A135,'[1]Raw Data'!$A$3:$FB$285,14,FALSE)</f>
        <v>0.82</v>
      </c>
      <c r="N135" s="27">
        <f>VLOOKUP($A135,'[1]Raw Data'!$A$3:$FB$285,15,FALSE)</f>
        <v>2.11</v>
      </c>
      <c r="O135" s="27">
        <f>VLOOKUP($A135,'[1]Raw Data'!$A$3:$FB$285,17,FALSE)</f>
        <v>0.06</v>
      </c>
      <c r="P135" s="27">
        <f>VLOOKUP($A135,'[1]Raw Data'!$A$3:$FB$285,18,FALSE)</f>
        <v>0.51</v>
      </c>
      <c r="Q135" s="27">
        <f>VLOOKUP($A135,'[1]Raw Data'!$A$3:$FB$285,20,FALSE)</f>
        <v>2.0499999999999998</v>
      </c>
      <c r="R135" s="27">
        <f>VLOOKUP($A135,'[1]Raw Data'!$A$3:$FB$285,21,FALSE)</f>
        <v>3.05</v>
      </c>
      <c r="S135" s="27">
        <f>VLOOKUP($A135,'[1]Raw Data'!$A$3:$FB$285,23,FALSE)</f>
        <v>0</v>
      </c>
      <c r="T135" s="27">
        <f>VLOOKUP($A135,'[1]Raw Data'!$A$3:$FB$285,24,FALSE)</f>
        <v>0</v>
      </c>
      <c r="U135" s="27">
        <f>VLOOKUP($A135,'[1]Raw Data'!$A$3:$FB$285,26,FALSE)</f>
        <v>0.21</v>
      </c>
      <c r="V135" s="27">
        <f>VLOOKUP($A135,'[1]Raw Data'!$A$3:$FB$285,27,FALSE)</f>
        <v>0.15</v>
      </c>
      <c r="W135" s="27">
        <f>VLOOKUP($A135,'[1]Raw Data'!$A$3:$FB$285,29,FALSE)</f>
        <v>0</v>
      </c>
      <c r="X135" s="27">
        <f>VLOOKUP($A135,'[1]Raw Data'!$A$3:$FB$285,30,FALSE)</f>
        <v>0</v>
      </c>
      <c r="Y135" s="27">
        <f>VLOOKUP($A135,'[1]Raw Data'!$A$3:$FB$285,32,FALSE)</f>
        <v>0.08</v>
      </c>
      <c r="Z135" s="27">
        <f>VLOOKUP($A135,'[1]Raw Data'!$A$3:$FB$285,33,FALSE)</f>
        <v>0.17</v>
      </c>
      <c r="AA135" s="27">
        <f>VLOOKUP($A135,'[1]Raw Data'!$A$3:$FB$285,35,FALSE)</f>
        <v>0.21</v>
      </c>
      <c r="AB135" s="27">
        <f>VLOOKUP($A135,'[1]Raw Data'!$A$3:$FB$285,36,FALSE)</f>
        <v>4.25</v>
      </c>
      <c r="AC135" s="27">
        <f>VLOOKUP($A135,'[1]Raw Data'!$A$3:$FB$285,38,FALSE)</f>
        <v>0.02</v>
      </c>
      <c r="AD135" s="27">
        <f>VLOOKUP($A135,'[1]Raw Data'!$A$3:$FB$285,39,FALSE)</f>
        <v>0.05</v>
      </c>
      <c r="AE135" s="27">
        <f>VLOOKUP($A135,'[1]Raw Data'!$A$3:$FB$285,41,FALSE)</f>
        <v>0</v>
      </c>
      <c r="AF135" s="27">
        <f>VLOOKUP($A135,'[1]Raw Data'!$A$3:$FB$285,42,FALSE)</f>
        <v>0</v>
      </c>
      <c r="AG135" s="27">
        <f>VLOOKUP($A135,'[1]Raw Data'!$A$3:$FB$285,44,FALSE)</f>
        <v>0</v>
      </c>
      <c r="AH135" s="27">
        <f>VLOOKUP($A135,'[1]Raw Data'!$A$3:$FB$285,45,FALSE)</f>
        <v>0</v>
      </c>
      <c r="AI135" s="27">
        <f>VLOOKUP($A135,'[1]Raw Data'!$A$3:$FB$285,46,FALSE)</f>
        <v>4510</v>
      </c>
      <c r="AJ135" s="27">
        <f>VLOOKUP($A135,'[1]Raw Data'!$A$3:$FB$285,47,FALSE)</f>
        <v>4023</v>
      </c>
      <c r="AK135" s="27">
        <f>VLOOKUP($A135,'[1]Raw Data'!$A$3:$FB$285,48,FALSE)</f>
        <v>4239</v>
      </c>
      <c r="AL135" s="27">
        <f>VLOOKUP($A135,'[1]Raw Data'!$A$3:$FB$285,49,FALSE)</f>
        <v>3851</v>
      </c>
      <c r="AM135" s="27">
        <f>VLOOKUP($A135,'[1]Raw Data'!$A$3:$FB$285,50,FALSE)</f>
        <v>3040</v>
      </c>
      <c r="AN135" s="27">
        <f>VLOOKUP($A135,'[1]Raw Data'!$A$3:$FB$285,51,FALSE)</f>
        <v>3844</v>
      </c>
      <c r="AO135" s="27" t="str">
        <f>VLOOKUP($A135,'[1]Raw Data'!$A$3:$FB$285,52,FALSE)</f>
        <v/>
      </c>
      <c r="AP135" s="27">
        <f>VLOOKUP($A135,'[1]Raw Data'!$A$3:$FB$285,53,FALSE)</f>
        <v>80</v>
      </c>
      <c r="AQ135" s="27">
        <f>VLOOKUP($A135,'[1]Raw Data'!$A$3:$FB$285,54,FALSE)</f>
        <v>0</v>
      </c>
      <c r="AR135" s="27">
        <f>VLOOKUP($A135,'[1]Raw Data'!$A$3:$FB$285,55,FALSE)</f>
        <v>0</v>
      </c>
      <c r="AS135" s="27">
        <f>VLOOKUP($A135,'[1]Raw Data'!$A$3:$FB$285,56,FALSE)</f>
        <v>0</v>
      </c>
      <c r="AT135" s="27">
        <f>VLOOKUP($A135,'[1]Raw Data'!$A$3:$FB$285,57,FALSE)</f>
        <v>511</v>
      </c>
      <c r="AU135" s="27">
        <f>VLOOKUP($A135,'[1]Raw Data'!$A$3:$FB$285,58,FALSE)</f>
        <v>448</v>
      </c>
      <c r="AV135" s="27" t="str">
        <f>VLOOKUP($A135,'[1]Raw Data'!$A$3:$FB$285,59,FALSE)</f>
        <v/>
      </c>
      <c r="AW135" s="27" t="str">
        <f>VLOOKUP($A135,'[1]Raw Data'!$A$3:$FB$285,60,FALSE)</f>
        <v/>
      </c>
      <c r="AX135" s="27" t="str">
        <f>VLOOKUP(A135,'[1]PO''s List'!A133:E415,4,FALSE)</f>
        <v/>
      </c>
      <c r="AZ135" s="27" t="str">
        <f>VLOOKUP(A135,'[1]PO''s List'!$A$3:$E$285,5,FALSE)</f>
        <v>ACF(Livelihood,DRR,Health,Health),GIZ(Health),OXFAM-GB(Shelter)</v>
      </c>
      <c r="BB135" s="27">
        <f>VLOOKUP($A135,'[1]Raw Data'!$A$3:$FB$285,63,FALSE)</f>
        <v>97915</v>
      </c>
      <c r="BC135" s="27" t="str">
        <f>VLOOKUP($A135,'[1]Raw Data'!$A$3:$FB$285,64,FALSE)</f>
        <v>N</v>
      </c>
      <c r="BD135" s="27" t="str">
        <f t="shared" si="18"/>
        <v>छैन</v>
      </c>
      <c r="BE135" s="27">
        <f>VLOOKUP($A135,'[1]Raw Data'!$A$3:$FB$285,65,FALSE)</f>
        <v>5000</v>
      </c>
      <c r="BF135" s="27">
        <f>VLOOKUP($A135,'[1]Raw Data'!$A$3:$FB$285,66,FALSE)</f>
        <v>99205</v>
      </c>
      <c r="BG135" s="27" t="str">
        <f>VLOOKUP($A135,'[1]Raw Data'!$A$3:$FB$285,67,FALSE)</f>
        <v>N</v>
      </c>
      <c r="BH135" s="27" t="str">
        <f t="shared" si="19"/>
        <v>छैन</v>
      </c>
      <c r="BI135" s="27">
        <f>VLOOKUP($A135,'[1]Raw Data'!$A$3:$FB$285,68,FALSE)</f>
        <v>9000</v>
      </c>
      <c r="BJ135" s="27">
        <f>VLOOKUP($A135,'[1]Raw Data'!$A$3:$FB$285,69,FALSE)</f>
        <v>10447</v>
      </c>
      <c r="BK135" s="27" t="str">
        <f>VLOOKUP($A135,'[1]Raw Data'!$A$3:$FB$285,70,FALSE)</f>
        <v>N</v>
      </c>
      <c r="BL135" s="27" t="str">
        <f t="shared" si="20"/>
        <v>छैन</v>
      </c>
      <c r="BM135" s="27">
        <f>VLOOKUP($A135,'[1]Raw Data'!$A$3:$FB$285,71,FALSE)</f>
        <v>3000</v>
      </c>
      <c r="BN135" s="27">
        <f>VLOOKUP($A135,'[1]Raw Data'!$A$3:$FB$285,72,FALSE)</f>
        <v>12026</v>
      </c>
      <c r="BO135" s="27" t="str">
        <f>VLOOKUP($A135,'[1]Raw Data'!$A$3:$FB$285,73,FALSE)</f>
        <v/>
      </c>
      <c r="BP135" s="27" t="str">
        <f t="shared" si="21"/>
        <v/>
      </c>
      <c r="BQ135" s="27" t="str">
        <f>VLOOKUP($A135,'[1]Raw Data'!$A$3:$FB$285,74,FALSE)</f>
        <v/>
      </c>
      <c r="BR135" s="27" t="str">
        <f>VLOOKUP($A135,'[1]Raw Data'!$A$3:$FB$285,75,FALSE)</f>
        <v/>
      </c>
      <c r="BS135" s="27" t="str">
        <f>VLOOKUP($A135,'[1]Raw Data'!$A$3:$FB$285,76,FALSE)</f>
        <v>N</v>
      </c>
      <c r="BT135" s="27" t="str">
        <f t="shared" si="22"/>
        <v>छैन</v>
      </c>
      <c r="BU135" s="27">
        <f>VLOOKUP($A135,'[1]Raw Data'!$A$3:$FB$285,77,FALSE)</f>
        <v>850</v>
      </c>
      <c r="BV135" s="27">
        <f>VLOOKUP($A135,'[1]Raw Data'!$A$3:$FB$285,78,FALSE)</f>
        <v>331544</v>
      </c>
      <c r="BW135" s="27" t="str">
        <f>VLOOKUP($A135,'[1]Raw Data'!$A$3:$FB$285,79,FALSE)</f>
        <v>N</v>
      </c>
      <c r="BX135" s="27" t="str">
        <f t="shared" si="23"/>
        <v>छैन</v>
      </c>
      <c r="BY135" s="27">
        <f>VLOOKUP($A135,'[1]Raw Data'!$A$3:$FB$285,80,FALSE)</f>
        <v>990</v>
      </c>
      <c r="BZ135" s="27">
        <f>VLOOKUP($A135,'[1]Raw Data'!$A$3:$FB$285,81,FALSE)</f>
        <v>1066797</v>
      </c>
      <c r="CA135" s="27" t="str">
        <f>VLOOKUP($A135,'[1]Raw Data'!$A$3:$FB$285,82,FALSE)</f>
        <v>N</v>
      </c>
      <c r="CB135" s="27" t="str">
        <f t="shared" si="24"/>
        <v>छैन</v>
      </c>
      <c r="CC135" s="27">
        <f>VLOOKUP($A135,'[1]Raw Data'!$A$3:$FB$285,83,FALSE)</f>
        <v>95</v>
      </c>
      <c r="CD135" s="27">
        <f>VLOOKUP($A135,'[1]Raw Data'!$A$3:$FB$285,84,FALSE)</f>
        <v>13564</v>
      </c>
      <c r="CE135" s="27" t="str">
        <f>VLOOKUP($A135,'[1]Raw Data'!$A$3:$FB$285,85,FALSE)</f>
        <v/>
      </c>
      <c r="CF135" s="27" t="str">
        <f t="shared" si="25"/>
        <v/>
      </c>
      <c r="CG135" s="27" t="str">
        <f>VLOOKUP($A135,'[1]Raw Data'!$A$3:$FB$285,86,FALSE)</f>
        <v/>
      </c>
      <c r="CH135" s="27">
        <f>VLOOKUP($A135,'[1]Raw Data'!$A$3:$FB$285,87,FALSE)</f>
        <v>1461293</v>
      </c>
      <c r="CI135" s="27" t="str">
        <f>VLOOKUP($A135,'[1]Raw Data'!$A$3:$FB$285,88,FALSE)</f>
        <v/>
      </c>
      <c r="CJ135" s="27" t="str">
        <f t="shared" si="26"/>
        <v/>
      </c>
      <c r="CK135" s="27" t="str">
        <f>VLOOKUP($A135,'[1]Raw Data'!$A$3:$FB$285,89,FALSE)</f>
        <v/>
      </c>
      <c r="CL135" s="27">
        <f>VLOOKUP($A135,'[1]Raw Data'!$A$3:$FB$285,91,FALSE)</f>
        <v>1500</v>
      </c>
      <c r="CM135" s="27">
        <f>VLOOKUP($A135,'[1]Raw Data'!$A$3:$FB$285,93,FALSE)</f>
        <v>1000</v>
      </c>
      <c r="CN135" s="27" t="str">
        <f>VLOOKUP($A135,'[1]Raw Data'!$A$3:$FB$285,94,FALSE)</f>
        <v/>
      </c>
      <c r="CO135" s="27" t="str">
        <f>VLOOKUP($A135,'[1]Raw Data'!$A$3:$FB$285,95,FALSE)</f>
        <v/>
      </c>
      <c r="CP135" s="27" t="str">
        <f>VLOOKUP($A135,'[1]Raw Data'!$A$3:$FB$285,96,FALSE)</f>
        <v/>
      </c>
      <c r="CQ135" s="27" t="str">
        <f>VLOOKUP($A135,'[1]Raw Data'!$A$3:$FB$285,97,FALSE)</f>
        <v/>
      </c>
      <c r="CR135" s="27" t="str">
        <f>VLOOKUP($A135,'[1]Raw Data'!$A$3:$FB$285,98,FALSE)</f>
        <v/>
      </c>
      <c r="CS135" s="27" t="str">
        <f>VLOOKUP($A135,'[1]Raw Data'!$A$3:$FB$285,99,FALSE)</f>
        <v/>
      </c>
      <c r="CT135" s="27" t="str">
        <f>VLOOKUP($A135,'[1]Raw Data'!$A$3:$FB$285,101,FALSE)</f>
        <v>Asha Tamang</v>
      </c>
      <c r="CU135" s="27" t="s">
        <v>1231</v>
      </c>
      <c r="CV135" s="27" t="str">
        <f>VLOOKUP($A135,'[1]Raw Data'!$A$3:$FB$285,102,FALSE)</f>
        <v>Mayor</v>
      </c>
      <c r="CW135" s="27" t="s">
        <v>834</v>
      </c>
      <c r="CX135" s="27">
        <f>VLOOKUP($A135,'[1]Raw Data'!$A$3:$FB$285,103,FALSE)</f>
        <v>9841759108</v>
      </c>
      <c r="CY135" s="27" t="str">
        <f>VLOOKUP($A135,'[1]Raw Data'!$A$3:$FB$285,105,FALSE)</f>
        <v>Shanti Lama Tamang</v>
      </c>
      <c r="CZ135" s="27" t="s">
        <v>1232</v>
      </c>
      <c r="DA135" s="27" t="str">
        <f>VLOOKUP($A135,'[1]Raw Data'!$A$3:$FB$285,106,FALSE)</f>
        <v>Deputy Mayor</v>
      </c>
      <c r="DB135" s="27" t="s">
        <v>888</v>
      </c>
      <c r="DC135" s="27" t="str">
        <f>VLOOKUP($A135,'[1]Raw Data'!$A$3:$FB$285,107,FALSE)</f>
        <v/>
      </c>
      <c r="DD135" s="27" t="str">
        <f>VLOOKUP($A135,'[1]Raw Data'!$A$3:$FB$285,109,FALSE)</f>
        <v>Pramod Timilsina</v>
      </c>
      <c r="DE135" s="27" t="s">
        <v>1233</v>
      </c>
      <c r="DF135" s="27" t="str">
        <f>VLOOKUP($A135,'[1]Raw Data'!$A$3:$FB$285,110,FALSE)</f>
        <v>Adminstration Officer</v>
      </c>
      <c r="DG135" s="27" t="s">
        <v>880</v>
      </c>
      <c r="DH135" s="27">
        <f>VLOOKUP($A135,'[1]Raw Data'!$A$3:$FB$285,111,FALSE)</f>
        <v>9851254032</v>
      </c>
      <c r="DI135" s="27" t="str">
        <f>VLOOKUP($A135,'[1]Raw Data'!$A$3:$FB$285,121,FALSE)</f>
        <v/>
      </c>
      <c r="DK135" s="27" t="str">
        <f>VLOOKUP($A135,'[1]Raw Data'!$A$3:$FB$285,122,FALSE)</f>
        <v>Focal Person</v>
      </c>
      <c r="DL135" s="27" t="s">
        <v>881</v>
      </c>
      <c r="DM135" s="27" t="str">
        <f>VLOOKUP($A135,'[1]Raw Data'!$A$3:$FB$285,123,FALSE)</f>
        <v/>
      </c>
      <c r="DN135" s="27" t="str">
        <f>VLOOKUP($A135,'[1]Raw Data'!$A$3:$FB$285,113,FALSE)</f>
        <v/>
      </c>
      <c r="DP135" s="27" t="str">
        <f>VLOOKUP($A135,'[1]Raw Data'!$A$3:$FB$285,114,FALSE)</f>
        <v>NRA Chief-District</v>
      </c>
      <c r="DQ135" s="27" t="s">
        <v>882</v>
      </c>
      <c r="DR135" s="27" t="str">
        <f>VLOOKUP($A135,'[1]Raw Data'!$A$3:$FB$285,115,FALSE)</f>
        <v/>
      </c>
      <c r="DS135" s="27" t="str">
        <f>VLOOKUP($A135,'[1]Raw Data'!$A$3:$FB$285,117,FALSE)</f>
        <v/>
      </c>
      <c r="DU135" s="27" t="str">
        <f>VLOOKUP($A135,'[1]Raw Data'!$A$3:$FB$285,118,FALSE)</f>
        <v>DUDBC.DLPIU Chief</v>
      </c>
      <c r="DV135" s="27" t="s">
        <v>883</v>
      </c>
      <c r="DW135" s="27" t="str">
        <f>VLOOKUP($A135,'[1]Raw Data'!$A$3:$FB$285,119,FALSE)</f>
        <v/>
      </c>
      <c r="DX135" s="27" t="s">
        <v>339</v>
      </c>
      <c r="DY135" s="27" t="str">
        <f>VLOOKUP($A135,'[1]Raw Data'!$A$3:$FB$285,124,FALSE)</f>
        <v>100</v>
      </c>
      <c r="DZ135" s="27" t="s">
        <v>884</v>
      </c>
      <c r="EA135" s="27" t="str">
        <f>VLOOKUP($A135,'[1]Raw Data'!$A$3:$FB$285,125,FALSE)</f>
        <v/>
      </c>
      <c r="EB135" s="27" t="s">
        <v>341</v>
      </c>
      <c r="EC135" s="27" t="str">
        <f>VLOOKUP($A135,'[1]Raw Data'!$A$3:$FB$285,126,FALSE)</f>
        <v/>
      </c>
      <c r="ED135" t="s">
        <v>478</v>
      </c>
      <c r="EE135" s="27" t="str">
        <f>VLOOKUP($A135,'[1]Raw Data'!$A$3:$FB$285,127,FALSE)</f>
        <v/>
      </c>
      <c r="EF135" s="27" t="s">
        <v>343</v>
      </c>
      <c r="EG135" s="27" t="str">
        <f>VLOOKUP($A135,'[1]Raw Data'!$A$3:$FB$285,128,FALSE)</f>
        <v/>
      </c>
      <c r="EH135" t="s">
        <v>344</v>
      </c>
      <c r="EI135" s="27" t="str">
        <f>VLOOKUP($A135,'[1]Raw Data'!$A$3:$FB$285,129,FALSE)</f>
        <v/>
      </c>
      <c r="EM135" s="27" t="str">
        <f>VLOOKUP($A135,'[1]Raw Data'!$A$3:$FB$285,130,FALSE)</f>
        <v/>
      </c>
      <c r="EN135" s="27" t="str">
        <f>VLOOKUP($A135,'[1]Raw Data'!$A$3:$FB$285,131,FALSE)</f>
        <v/>
      </c>
      <c r="EO135" s="27" t="str">
        <f>VLOOKUP($A135,'[1]Raw Data'!$A$3:$FB$285,132,FALSE)</f>
        <v/>
      </c>
      <c r="EP135" s="27" t="str">
        <f>VLOOKUP($A135,'[1]Raw Data'!$A$3:$FB$285,133,FALSE)</f>
        <v/>
      </c>
      <c r="EQ135" s="27" t="str">
        <f>VLOOKUP($A135,'[1]Raw Data'!$A$3:$FB$285,134,FALSE)</f>
        <v/>
      </c>
      <c r="ER135" s="27" t="str">
        <f>VLOOKUP($A135,'[1]Raw Data'!$A$3:$FB$285,135,FALSE)</f>
        <v/>
      </c>
      <c r="ES135" s="27" t="str">
        <f>VLOOKUP($A135,'[1]Raw Data'!$A$3:$FB$285,136,FALSE)</f>
        <v/>
      </c>
      <c r="ET135" s="27" t="str">
        <f>VLOOKUP($A135,'[1]Raw Data'!$A$3:$FB$285,137,FALSE)</f>
        <v/>
      </c>
      <c r="EU135" s="27" t="str">
        <f>VLOOKUP($A135,'[1]Raw Data'!$A$3:$FB$285,138,FALSE)</f>
        <v/>
      </c>
      <c r="EV135" s="27" t="str">
        <f>VLOOKUP($A135,'[1]Raw Data'!$A$3:$FB$285,139,FALSE)</f>
        <v/>
      </c>
      <c r="EW135" s="38">
        <f>VLOOKUP($A135,[1]Training!$A$2:$I$284,5,FALSE)</f>
        <v>346.92307692307691</v>
      </c>
      <c r="EX135" s="31">
        <f>VLOOKUP($A135,[1]Training!$A$2:$I$284,6,FALSE)</f>
        <v>89</v>
      </c>
      <c r="EY135" s="38">
        <f>VLOOKUP($A135,[1]Training!$A$2:$I$284,8,FALSE)</f>
        <v>442.64290201005025</v>
      </c>
      <c r="EZ135" s="31">
        <f>VLOOKUP($A135,[1]Training!$A$2:$I$284,9,FALSE)</f>
        <v>0</v>
      </c>
      <c r="FA135" s="27">
        <v>1</v>
      </c>
      <c r="FB135" s="27">
        <v>2</v>
      </c>
      <c r="FC135" s="27" t="str">
        <f>VLOOKUP($A135,'[1]Raw Data'!$A$3:$FB$285,148,FALSE)</f>
        <v>Badri Pyakurel</v>
      </c>
      <c r="FD135" s="27" t="s">
        <v>1215</v>
      </c>
      <c r="FE135" s="27" t="str">
        <f>VLOOKUP($A135,'[1]Raw Data'!$A$3:$FB$285,149,FALSE)</f>
        <v>District Coordinator</v>
      </c>
      <c r="FF135" s="27" t="s">
        <v>885</v>
      </c>
      <c r="FG135" s="27">
        <f>VLOOKUP($A135,'[1]Raw Data'!$A$3:$FB$285,150,FALSE)</f>
        <v>9851154201</v>
      </c>
      <c r="FH135" s="27" t="str">
        <f>VLOOKUP($A135,'[1]Raw Data'!$A$3:$FB$285,156,FALSE)</f>
        <v/>
      </c>
      <c r="FJ135" s="27" t="str">
        <f>VLOOKUP($A135,'[1]Raw Data'!$A$3:$FB$285,157,FALSE)</f>
        <v>District Technical Officer</v>
      </c>
      <c r="FK135" s="27" t="s">
        <v>886</v>
      </c>
      <c r="FL135" s="27" t="str">
        <f>VLOOKUP($A135,'[1]Raw Data'!$A$3:$FB$285,158,FALSE)</f>
        <v/>
      </c>
      <c r="FM135" s="27" t="str">
        <f>VLOOKUP($A135,'[1]Raw Data'!$A$3:$FB$285,152,FALSE)</f>
        <v>Budhha Singh Thakuri</v>
      </c>
      <c r="FN135" s="27" t="s">
        <v>1216</v>
      </c>
      <c r="FO135" s="27" t="str">
        <f>VLOOKUP($A135,'[1]Raw Data'!$A$3:$FB$285,153,FALSE)</f>
        <v>District Information Management Officer</v>
      </c>
      <c r="FP135" s="27" t="s">
        <v>887</v>
      </c>
      <c r="FQ135" s="27">
        <f>VLOOKUP($A135,'[1]Raw Data'!$A$3:$FB$285,154,FALSE)</f>
        <v>9841961829</v>
      </c>
    </row>
    <row r="136" spans="1:173" ht="24" x14ac:dyDescent="0.45">
      <c r="A136" s="27">
        <v>28008</v>
      </c>
      <c r="B136" s="36" t="str">
        <f ca="1">IFERROR(__xludf.DUMMYFUNCTION("""COMPUTED_VALUE"""),"Panchakanya Gaunpalika")</f>
        <v>Panchakanya Gaunpalika</v>
      </c>
      <c r="C136" s="37" t="str">
        <f>VLOOKUP(A136,'[1]Palika and District in Nepali '!$D$1:$F$283,3,FALSE)</f>
        <v>पंचकन्या गाउँपालिका</v>
      </c>
      <c r="D136" s="36" t="str">
        <f ca="1">IFERROR(__xludf.DUMMYFUNCTION("""COMPUTED_VALUE"""),"Nuwakot")</f>
        <v>Nuwakot</v>
      </c>
      <c r="E136" s="36"/>
      <c r="F136" s="27">
        <f>VLOOKUP(A136,'[1]Raw Data'!$A$3:$FB$285,4,FALSE)</f>
        <v>132</v>
      </c>
      <c r="G136" s="27">
        <f>VLOOKUP(A136,'[1]Raw Data'!$A$3:$FB$285,5,FALSE)</f>
        <v>4111</v>
      </c>
      <c r="H136" s="27">
        <f>VLOOKUP(A136,'[1]Raw Data'!$A$3:$FB$285,6,FALSE)</f>
        <v>4243</v>
      </c>
      <c r="I136" s="27">
        <f>VLOOKUP($A136,'[1]Raw Data'!$A$3:$FB$285,8,FALSE)</f>
        <v>0.61</v>
      </c>
      <c r="J136" s="27">
        <f>VLOOKUP($A136,'[1]Raw Data'!$A$3:$FB$285,9,FALSE)</f>
        <v>0.64</v>
      </c>
      <c r="K136" s="27">
        <f>VLOOKUP($A136,'[1]Raw Data'!$A$3:$FB$285,11,FALSE)</f>
        <v>96.89</v>
      </c>
      <c r="L136" s="27">
        <f>VLOOKUP($A136,'[1]Raw Data'!$A$3:$FB$285,12,FALSE)</f>
        <v>89.07</v>
      </c>
      <c r="M136" s="27">
        <f>VLOOKUP($A136,'[1]Raw Data'!$A$3:$FB$285,14,FALSE)</f>
        <v>0.68</v>
      </c>
      <c r="N136" s="27">
        <f>VLOOKUP($A136,'[1]Raw Data'!$A$3:$FB$285,15,FALSE)</f>
        <v>2.11</v>
      </c>
      <c r="O136" s="27">
        <f>VLOOKUP($A136,'[1]Raw Data'!$A$3:$FB$285,17,FALSE)</f>
        <v>0.14000000000000001</v>
      </c>
      <c r="P136" s="27">
        <f>VLOOKUP($A136,'[1]Raw Data'!$A$3:$FB$285,18,FALSE)</f>
        <v>0.51</v>
      </c>
      <c r="Q136" s="27">
        <f>VLOOKUP($A136,'[1]Raw Data'!$A$3:$FB$285,20,FALSE)</f>
        <v>0.45</v>
      </c>
      <c r="R136" s="27">
        <f>VLOOKUP($A136,'[1]Raw Data'!$A$3:$FB$285,21,FALSE)</f>
        <v>3.05</v>
      </c>
      <c r="S136" s="27">
        <f>VLOOKUP($A136,'[1]Raw Data'!$A$3:$FB$285,23,FALSE)</f>
        <v>0</v>
      </c>
      <c r="T136" s="27">
        <f>VLOOKUP($A136,'[1]Raw Data'!$A$3:$FB$285,24,FALSE)</f>
        <v>0</v>
      </c>
      <c r="U136" s="27">
        <f>VLOOKUP($A136,'[1]Raw Data'!$A$3:$FB$285,26,FALSE)</f>
        <v>0.09</v>
      </c>
      <c r="V136" s="27">
        <f>VLOOKUP($A136,'[1]Raw Data'!$A$3:$FB$285,27,FALSE)</f>
        <v>0.15</v>
      </c>
      <c r="W136" s="27">
        <f>VLOOKUP($A136,'[1]Raw Data'!$A$3:$FB$285,29,FALSE)</f>
        <v>0</v>
      </c>
      <c r="X136" s="27">
        <f>VLOOKUP($A136,'[1]Raw Data'!$A$3:$FB$285,30,FALSE)</f>
        <v>0</v>
      </c>
      <c r="Y136" s="27">
        <f>VLOOKUP($A136,'[1]Raw Data'!$A$3:$FB$285,32,FALSE)</f>
        <v>7.0000000000000007E-2</v>
      </c>
      <c r="Z136" s="27">
        <f>VLOOKUP($A136,'[1]Raw Data'!$A$3:$FB$285,33,FALSE)</f>
        <v>0.17</v>
      </c>
      <c r="AA136" s="27">
        <f>VLOOKUP($A136,'[1]Raw Data'!$A$3:$FB$285,35,FALSE)</f>
        <v>1.01</v>
      </c>
      <c r="AB136" s="27">
        <f>VLOOKUP($A136,'[1]Raw Data'!$A$3:$FB$285,36,FALSE)</f>
        <v>4.25</v>
      </c>
      <c r="AC136" s="27">
        <f>VLOOKUP($A136,'[1]Raw Data'!$A$3:$FB$285,38,FALSE)</f>
        <v>0.05</v>
      </c>
      <c r="AD136" s="27">
        <f>VLOOKUP($A136,'[1]Raw Data'!$A$3:$FB$285,39,FALSE)</f>
        <v>0.05</v>
      </c>
      <c r="AE136" s="27">
        <f>VLOOKUP($A136,'[1]Raw Data'!$A$3:$FB$285,41,FALSE)</f>
        <v>0</v>
      </c>
      <c r="AF136" s="27">
        <f>VLOOKUP($A136,'[1]Raw Data'!$A$3:$FB$285,42,FALSE)</f>
        <v>0</v>
      </c>
      <c r="AG136" s="27">
        <f>VLOOKUP($A136,'[1]Raw Data'!$A$3:$FB$285,44,FALSE)</f>
        <v>0</v>
      </c>
      <c r="AH136" s="27">
        <f>VLOOKUP($A136,'[1]Raw Data'!$A$3:$FB$285,45,FALSE)</f>
        <v>0</v>
      </c>
      <c r="AI136" s="27">
        <f>VLOOKUP($A136,'[1]Raw Data'!$A$3:$FB$285,46,FALSE)</f>
        <v>4460</v>
      </c>
      <c r="AJ136" s="27">
        <f>VLOOKUP($A136,'[1]Raw Data'!$A$3:$FB$285,47,FALSE)</f>
        <v>3644</v>
      </c>
      <c r="AK136" s="27">
        <f>VLOOKUP($A136,'[1]Raw Data'!$A$3:$FB$285,48,FALSE)</f>
        <v>4033</v>
      </c>
      <c r="AL136" s="27">
        <f>VLOOKUP($A136,'[1]Raw Data'!$A$3:$FB$285,49,FALSE)</f>
        <v>3632</v>
      </c>
      <c r="AM136" s="27">
        <f>VLOOKUP($A136,'[1]Raw Data'!$A$3:$FB$285,50,FALSE)</f>
        <v>2105</v>
      </c>
      <c r="AN136" s="27">
        <f>VLOOKUP($A136,'[1]Raw Data'!$A$3:$FB$285,51,FALSE)</f>
        <v>3622</v>
      </c>
      <c r="AO136" s="27" t="str">
        <f>VLOOKUP($A136,'[1]Raw Data'!$A$3:$FB$285,52,FALSE)</f>
        <v/>
      </c>
      <c r="AP136" s="27">
        <f>VLOOKUP($A136,'[1]Raw Data'!$A$3:$FB$285,53,FALSE)</f>
        <v>75</v>
      </c>
      <c r="AQ136" s="27">
        <f>VLOOKUP($A136,'[1]Raw Data'!$A$3:$FB$285,54,FALSE)</f>
        <v>0</v>
      </c>
      <c r="AR136" s="27">
        <f>VLOOKUP($A136,'[1]Raw Data'!$A$3:$FB$285,55,FALSE)</f>
        <v>0</v>
      </c>
      <c r="AS136" s="27">
        <f>VLOOKUP($A136,'[1]Raw Data'!$A$3:$FB$285,56,FALSE)</f>
        <v>0</v>
      </c>
      <c r="AT136" s="27">
        <f>VLOOKUP($A136,'[1]Raw Data'!$A$3:$FB$285,57,FALSE)</f>
        <v>910</v>
      </c>
      <c r="AU136" s="27">
        <f>VLOOKUP($A136,'[1]Raw Data'!$A$3:$FB$285,58,FALSE)</f>
        <v>534</v>
      </c>
      <c r="AV136" s="27" t="str">
        <f>VLOOKUP($A136,'[1]Raw Data'!$A$3:$FB$285,59,FALSE)</f>
        <v/>
      </c>
      <c r="AW136" s="27" t="str">
        <f>VLOOKUP($A136,'[1]Raw Data'!$A$3:$FB$285,60,FALSE)</f>
        <v/>
      </c>
      <c r="AX136" s="27" t="str">
        <f>VLOOKUP(A136,'[1]PO''s List'!A134:E416,4,FALSE)</f>
        <v>NSET(Shelter)</v>
      </c>
      <c r="AZ136" s="27" t="str">
        <f>VLOOKUP(A136,'[1]PO''s List'!$A$3:$E$285,5,FALSE)</f>
        <v>ACF(Health,Shelter),CNF(Education),GIZ(Health),MI(Shelter,Health),OXFAM-GB(Shelter),RoomTR(Education)</v>
      </c>
      <c r="BB136" s="27">
        <f>VLOOKUP($A136,'[1]Raw Data'!$A$3:$FB$285,63,FALSE)</f>
        <v>78562</v>
      </c>
      <c r="BC136" s="27" t="str">
        <f>VLOOKUP($A136,'[1]Raw Data'!$A$3:$FB$285,64,FALSE)</f>
        <v/>
      </c>
      <c r="BD136" s="27" t="str">
        <f t="shared" si="18"/>
        <v/>
      </c>
      <c r="BE136" s="27" t="str">
        <f>VLOOKUP($A136,'[1]Raw Data'!$A$3:$FB$285,65,FALSE)</f>
        <v/>
      </c>
      <c r="BF136" s="27">
        <f>VLOOKUP($A136,'[1]Raw Data'!$A$3:$FB$285,66,FALSE)</f>
        <v>79529</v>
      </c>
      <c r="BG136" s="27" t="str">
        <f>VLOOKUP($A136,'[1]Raw Data'!$A$3:$FB$285,67,FALSE)</f>
        <v/>
      </c>
      <c r="BH136" s="27" t="str">
        <f t="shared" si="19"/>
        <v/>
      </c>
      <c r="BI136" s="27" t="str">
        <f>VLOOKUP($A136,'[1]Raw Data'!$A$3:$FB$285,68,FALSE)</f>
        <v/>
      </c>
      <c r="BJ136" s="27">
        <f>VLOOKUP($A136,'[1]Raw Data'!$A$3:$FB$285,69,FALSE)</f>
        <v>8380</v>
      </c>
      <c r="BK136" s="27" t="str">
        <f>VLOOKUP($A136,'[1]Raw Data'!$A$3:$FB$285,70,FALSE)</f>
        <v/>
      </c>
      <c r="BL136" s="27" t="str">
        <f t="shared" si="20"/>
        <v/>
      </c>
      <c r="BM136" s="27" t="str">
        <f>VLOOKUP($A136,'[1]Raw Data'!$A$3:$FB$285,71,FALSE)</f>
        <v/>
      </c>
      <c r="BN136" s="27">
        <f>VLOOKUP($A136,'[1]Raw Data'!$A$3:$FB$285,72,FALSE)</f>
        <v>9640</v>
      </c>
      <c r="BO136" s="27" t="str">
        <f>VLOOKUP($A136,'[1]Raw Data'!$A$3:$FB$285,73,FALSE)</f>
        <v/>
      </c>
      <c r="BP136" s="27" t="str">
        <f t="shared" si="21"/>
        <v/>
      </c>
      <c r="BQ136" s="27" t="str">
        <f>VLOOKUP($A136,'[1]Raw Data'!$A$3:$FB$285,74,FALSE)</f>
        <v/>
      </c>
      <c r="BR136" s="27" t="str">
        <f>VLOOKUP($A136,'[1]Raw Data'!$A$3:$FB$285,75,FALSE)</f>
        <v/>
      </c>
      <c r="BS136" s="27" t="str">
        <f>VLOOKUP($A136,'[1]Raw Data'!$A$3:$FB$285,76,FALSE)</f>
        <v/>
      </c>
      <c r="BT136" s="27" t="str">
        <f t="shared" si="22"/>
        <v/>
      </c>
      <c r="BU136" s="27" t="str">
        <f>VLOOKUP($A136,'[1]Raw Data'!$A$3:$FB$285,77,FALSE)</f>
        <v/>
      </c>
      <c r="BV136" s="27">
        <f>VLOOKUP($A136,'[1]Raw Data'!$A$3:$FB$285,78,FALSE)</f>
        <v>264744</v>
      </c>
      <c r="BW136" s="27" t="str">
        <f>VLOOKUP($A136,'[1]Raw Data'!$A$3:$FB$285,79,FALSE)</f>
        <v/>
      </c>
      <c r="BX136" s="27" t="str">
        <f t="shared" si="23"/>
        <v/>
      </c>
      <c r="BY136" s="27" t="str">
        <f>VLOOKUP($A136,'[1]Raw Data'!$A$3:$FB$285,80,FALSE)</f>
        <v/>
      </c>
      <c r="BZ136" s="27">
        <f>VLOOKUP($A136,'[1]Raw Data'!$A$3:$FB$285,81,FALSE)</f>
        <v>854640</v>
      </c>
      <c r="CA136" s="27" t="str">
        <f>VLOOKUP($A136,'[1]Raw Data'!$A$3:$FB$285,82,FALSE)</f>
        <v/>
      </c>
      <c r="CB136" s="27" t="str">
        <f t="shared" si="24"/>
        <v/>
      </c>
      <c r="CC136" s="27" t="str">
        <f>VLOOKUP($A136,'[1]Raw Data'!$A$3:$FB$285,83,FALSE)</f>
        <v/>
      </c>
      <c r="CD136" s="27">
        <f>VLOOKUP($A136,'[1]Raw Data'!$A$3:$FB$285,84,FALSE)</f>
        <v>10825</v>
      </c>
      <c r="CE136" s="27" t="str">
        <f>VLOOKUP($A136,'[1]Raw Data'!$A$3:$FB$285,85,FALSE)</f>
        <v/>
      </c>
      <c r="CF136" s="27" t="str">
        <f t="shared" si="25"/>
        <v/>
      </c>
      <c r="CG136" s="27" t="str">
        <f>VLOOKUP($A136,'[1]Raw Data'!$A$3:$FB$285,86,FALSE)</f>
        <v/>
      </c>
      <c r="CH136" s="27">
        <f>VLOOKUP($A136,'[1]Raw Data'!$A$3:$FB$285,87,FALSE)</f>
        <v>1016100</v>
      </c>
      <c r="CI136" s="27" t="str">
        <f>VLOOKUP($A136,'[1]Raw Data'!$A$3:$FB$285,88,FALSE)</f>
        <v/>
      </c>
      <c r="CJ136" s="27" t="str">
        <f t="shared" si="26"/>
        <v/>
      </c>
      <c r="CK136" s="27" t="str">
        <f>VLOOKUP($A136,'[1]Raw Data'!$A$3:$FB$285,89,FALSE)</f>
        <v/>
      </c>
      <c r="CL136" s="27">
        <f>VLOOKUP($A136,'[1]Raw Data'!$A$3:$FB$285,91,FALSE)</f>
        <v>1500</v>
      </c>
      <c r="CM136" s="27">
        <f>VLOOKUP($A136,'[1]Raw Data'!$A$3:$FB$285,93,FALSE)</f>
        <v>1000</v>
      </c>
      <c r="CN136" s="27" t="str">
        <f>VLOOKUP($A136,'[1]Raw Data'!$A$3:$FB$285,94,FALSE)</f>
        <v/>
      </c>
      <c r="CO136" s="27" t="str">
        <f>VLOOKUP($A136,'[1]Raw Data'!$A$3:$FB$285,95,FALSE)</f>
        <v/>
      </c>
      <c r="CP136" s="27" t="str">
        <f>VLOOKUP($A136,'[1]Raw Data'!$A$3:$FB$285,96,FALSE)</f>
        <v/>
      </c>
      <c r="CQ136" s="27" t="str">
        <f>VLOOKUP($A136,'[1]Raw Data'!$A$3:$FB$285,97,FALSE)</f>
        <v/>
      </c>
      <c r="CR136" s="27" t="str">
        <f>VLOOKUP($A136,'[1]Raw Data'!$A$3:$FB$285,98,FALSE)</f>
        <v/>
      </c>
      <c r="CS136" s="27" t="str">
        <f>VLOOKUP($A136,'[1]Raw Data'!$A$3:$FB$285,99,FALSE)</f>
        <v/>
      </c>
      <c r="CT136" s="27" t="str">
        <f>VLOOKUP($A136,'[1]Raw Data'!$A$3:$FB$285,101,FALSE)</f>
        <v>Tej Bahadur Tamang</v>
      </c>
      <c r="CU136" s="27" t="s">
        <v>1234</v>
      </c>
      <c r="CV136" s="27" t="str">
        <f>VLOOKUP($A136,'[1]Raw Data'!$A$3:$FB$285,102,FALSE)</f>
        <v>Mayor</v>
      </c>
      <c r="CW136" s="27" t="s">
        <v>834</v>
      </c>
      <c r="CX136" s="27">
        <f>VLOOKUP($A136,'[1]Raw Data'!$A$3:$FB$285,103,FALSE)</f>
        <v>9841867429</v>
      </c>
      <c r="CY136" s="27" t="str">
        <f>VLOOKUP($A136,'[1]Raw Data'!$A$3:$FB$285,105,FALSE)</f>
        <v/>
      </c>
      <c r="DA136" s="27" t="str">
        <f>VLOOKUP($A136,'[1]Raw Data'!$A$3:$FB$285,106,FALSE)</f>
        <v>Deputy Mayor</v>
      </c>
      <c r="DB136" s="27" t="s">
        <v>888</v>
      </c>
      <c r="DC136" s="27" t="str">
        <f>VLOOKUP($A136,'[1]Raw Data'!$A$3:$FB$285,107,FALSE)</f>
        <v/>
      </c>
      <c r="DD136" s="27" t="str">
        <f>VLOOKUP($A136,'[1]Raw Data'!$A$3:$FB$285,109,FALSE)</f>
        <v>Narersh Pudasaini</v>
      </c>
      <c r="DE136" s="27" t="s">
        <v>1235</v>
      </c>
      <c r="DF136" s="27" t="str">
        <f>VLOOKUP($A136,'[1]Raw Data'!$A$3:$FB$285,110,FALSE)</f>
        <v>Adminstration Officer</v>
      </c>
      <c r="DG136" s="27" t="s">
        <v>880</v>
      </c>
      <c r="DH136" s="27">
        <f>VLOOKUP($A136,'[1]Raw Data'!$A$3:$FB$285,111,FALSE)</f>
        <v>9851230141</v>
      </c>
      <c r="DI136" s="27" t="str">
        <f>VLOOKUP($A136,'[1]Raw Data'!$A$3:$FB$285,121,FALSE)</f>
        <v/>
      </c>
      <c r="DK136" s="27" t="str">
        <f>VLOOKUP($A136,'[1]Raw Data'!$A$3:$FB$285,122,FALSE)</f>
        <v>Focal Person</v>
      </c>
      <c r="DL136" s="27" t="s">
        <v>881</v>
      </c>
      <c r="DM136" s="27" t="str">
        <f>VLOOKUP($A136,'[1]Raw Data'!$A$3:$FB$285,123,FALSE)</f>
        <v/>
      </c>
      <c r="DN136" s="27" t="str">
        <f>VLOOKUP($A136,'[1]Raw Data'!$A$3:$FB$285,113,FALSE)</f>
        <v/>
      </c>
      <c r="DP136" s="27" t="str">
        <f>VLOOKUP($A136,'[1]Raw Data'!$A$3:$FB$285,114,FALSE)</f>
        <v>NRA Chief-District</v>
      </c>
      <c r="DQ136" s="27" t="s">
        <v>882</v>
      </c>
      <c r="DR136" s="27" t="str">
        <f>VLOOKUP($A136,'[1]Raw Data'!$A$3:$FB$285,115,FALSE)</f>
        <v/>
      </c>
      <c r="DS136" s="27" t="str">
        <f>VLOOKUP($A136,'[1]Raw Data'!$A$3:$FB$285,117,FALSE)</f>
        <v/>
      </c>
      <c r="DU136" s="27" t="str">
        <f>VLOOKUP($A136,'[1]Raw Data'!$A$3:$FB$285,118,FALSE)</f>
        <v>DUDBC.DLPIU Chief</v>
      </c>
      <c r="DV136" s="27" t="s">
        <v>883</v>
      </c>
      <c r="DW136" s="27" t="str">
        <f>VLOOKUP($A136,'[1]Raw Data'!$A$3:$FB$285,119,FALSE)</f>
        <v/>
      </c>
      <c r="DX136" s="27" t="s">
        <v>339</v>
      </c>
      <c r="DY136" s="27" t="str">
        <f>VLOOKUP($A136,'[1]Raw Data'!$A$3:$FB$285,124,FALSE)</f>
        <v>20</v>
      </c>
      <c r="DZ136" s="27" t="s">
        <v>884</v>
      </c>
      <c r="EA136" s="27" t="str">
        <f>VLOOKUP($A136,'[1]Raw Data'!$A$3:$FB$285,125,FALSE)</f>
        <v>1500</v>
      </c>
      <c r="EB136" s="27" t="s">
        <v>341</v>
      </c>
      <c r="EC136" s="27" t="str">
        <f>VLOOKUP($A136,'[1]Raw Data'!$A$3:$FB$285,126,FALSE)</f>
        <v>500</v>
      </c>
      <c r="ED136" t="s">
        <v>478</v>
      </c>
      <c r="EE136" s="27" t="str">
        <f>VLOOKUP($A136,'[1]Raw Data'!$A$3:$FB$285,127,FALSE)</f>
        <v/>
      </c>
      <c r="EF136" s="27" t="s">
        <v>343</v>
      </c>
      <c r="EG136" s="27" t="str">
        <f>VLOOKUP($A136,'[1]Raw Data'!$A$3:$FB$285,128,FALSE)</f>
        <v/>
      </c>
      <c r="EH136" t="s">
        <v>344</v>
      </c>
      <c r="EI136" s="27" t="str">
        <f>VLOOKUP($A136,'[1]Raw Data'!$A$3:$FB$285,129,FALSE)</f>
        <v>50</v>
      </c>
      <c r="EM136" s="27" t="str">
        <f>VLOOKUP($A136,'[1]Raw Data'!$A$3:$FB$285,130,FALSE)</f>
        <v/>
      </c>
      <c r="EN136" s="27" t="str">
        <f>VLOOKUP($A136,'[1]Raw Data'!$A$3:$FB$285,131,FALSE)</f>
        <v/>
      </c>
      <c r="EO136" s="27" t="str">
        <f>VLOOKUP($A136,'[1]Raw Data'!$A$3:$FB$285,132,FALSE)</f>
        <v/>
      </c>
      <c r="EP136" s="27" t="str">
        <f>VLOOKUP($A136,'[1]Raw Data'!$A$3:$FB$285,133,FALSE)</f>
        <v/>
      </c>
      <c r="EQ136" s="27" t="str">
        <f>VLOOKUP($A136,'[1]Raw Data'!$A$3:$FB$285,134,FALSE)</f>
        <v/>
      </c>
      <c r="ER136" s="27" t="str">
        <f>VLOOKUP($A136,'[1]Raw Data'!$A$3:$FB$285,135,FALSE)</f>
        <v/>
      </c>
      <c r="ES136" s="27" t="str">
        <f>VLOOKUP($A136,'[1]Raw Data'!$A$3:$FB$285,136,FALSE)</f>
        <v/>
      </c>
      <c r="ET136" s="27" t="str">
        <f>VLOOKUP($A136,'[1]Raw Data'!$A$3:$FB$285,137,FALSE)</f>
        <v/>
      </c>
      <c r="EU136" s="27" t="str">
        <f>VLOOKUP($A136,'[1]Raw Data'!$A$3:$FB$285,138,FALSE)</f>
        <v/>
      </c>
      <c r="EV136" s="27" t="str">
        <f>VLOOKUP($A136,'[1]Raw Data'!$A$3:$FB$285,139,FALSE)</f>
        <v/>
      </c>
      <c r="EW136" s="38">
        <f>VLOOKUP($A136,[1]Training!$A$2:$I$284,5,FALSE)</f>
        <v>343.07692307692309</v>
      </c>
      <c r="EX136" s="31">
        <f>VLOOKUP($A136,[1]Training!$A$2:$I$284,6,FALSE)</f>
        <v>87</v>
      </c>
      <c r="EY136" s="38">
        <f>VLOOKUP($A136,[1]Training!$A$2:$I$284,8,FALSE)</f>
        <v>437.7355527638191</v>
      </c>
      <c r="EZ136" s="31">
        <f>VLOOKUP($A136,[1]Training!$A$2:$I$284,9,FALSE)</f>
        <v>0</v>
      </c>
      <c r="FA136" s="27">
        <v>1</v>
      </c>
      <c r="FB136" s="27">
        <v>2</v>
      </c>
      <c r="FC136" s="27" t="str">
        <f>VLOOKUP($A136,'[1]Raw Data'!$A$3:$FB$285,148,FALSE)</f>
        <v>Badri Pyakurel</v>
      </c>
      <c r="FD136" s="27" t="s">
        <v>1215</v>
      </c>
      <c r="FE136" s="27" t="str">
        <f>VLOOKUP($A136,'[1]Raw Data'!$A$3:$FB$285,149,FALSE)</f>
        <v>District Coordinator</v>
      </c>
      <c r="FF136" s="27" t="s">
        <v>885</v>
      </c>
      <c r="FG136" s="27">
        <f>VLOOKUP($A136,'[1]Raw Data'!$A$3:$FB$285,150,FALSE)</f>
        <v>9851154201</v>
      </c>
      <c r="FH136" s="27" t="str">
        <f>VLOOKUP($A136,'[1]Raw Data'!$A$3:$FB$285,156,FALSE)</f>
        <v/>
      </c>
      <c r="FJ136" s="27" t="str">
        <f>VLOOKUP($A136,'[1]Raw Data'!$A$3:$FB$285,157,FALSE)</f>
        <v>District Technical Officer</v>
      </c>
      <c r="FK136" s="27" t="s">
        <v>886</v>
      </c>
      <c r="FL136" s="27" t="str">
        <f>VLOOKUP($A136,'[1]Raw Data'!$A$3:$FB$285,158,FALSE)</f>
        <v/>
      </c>
      <c r="FM136" s="27" t="str">
        <f>VLOOKUP($A136,'[1]Raw Data'!$A$3:$FB$285,152,FALSE)</f>
        <v>Budhha Singh Thakuri</v>
      </c>
      <c r="FN136" s="27" t="s">
        <v>1216</v>
      </c>
      <c r="FO136" s="27" t="str">
        <f>VLOOKUP($A136,'[1]Raw Data'!$A$3:$FB$285,153,FALSE)</f>
        <v>District Information Management Officer</v>
      </c>
      <c r="FP136" s="27" t="s">
        <v>887</v>
      </c>
      <c r="FQ136" s="27">
        <f>VLOOKUP($A136,'[1]Raw Data'!$A$3:$FB$285,154,FALSE)</f>
        <v>9841961829</v>
      </c>
    </row>
    <row r="137" spans="1:173" ht="24" x14ac:dyDescent="0.45">
      <c r="A137" s="27">
        <v>28009</v>
      </c>
      <c r="B137" s="36" t="str">
        <f ca="1">IFERROR(__xludf.DUMMYFUNCTION("""COMPUTED_VALUE"""),"Shivapuri Gaunpalika")</f>
        <v>Shivapuri Gaunpalika</v>
      </c>
      <c r="C137" s="37" t="str">
        <f>VLOOKUP(A137,'[1]Palika and District in Nepali '!$D$1:$F$283,3,FALSE)</f>
        <v>शिवपुरी गाउँपालिका</v>
      </c>
      <c r="D137" s="36" t="str">
        <f ca="1">IFERROR(__xludf.DUMMYFUNCTION("""COMPUTED_VALUE"""),"Nuwakot")</f>
        <v>Nuwakot</v>
      </c>
      <c r="E137" s="36"/>
      <c r="F137" s="27">
        <f>VLOOKUP(A137,'[1]Raw Data'!$A$3:$FB$285,4,FALSE)</f>
        <v>164</v>
      </c>
      <c r="G137" s="27">
        <f>VLOOKUP(A137,'[1]Raw Data'!$A$3:$FB$285,5,FALSE)</f>
        <v>6128</v>
      </c>
      <c r="H137" s="27">
        <f>VLOOKUP(A137,'[1]Raw Data'!$A$3:$FB$285,6,FALSE)</f>
        <v>6292</v>
      </c>
      <c r="I137" s="27">
        <f>VLOOKUP($A137,'[1]Raw Data'!$A$3:$FB$285,8,FALSE)</f>
        <v>0.38</v>
      </c>
      <c r="J137" s="27">
        <f>VLOOKUP($A137,'[1]Raw Data'!$A$3:$FB$285,9,FALSE)</f>
        <v>0.64</v>
      </c>
      <c r="K137" s="27">
        <f>VLOOKUP($A137,'[1]Raw Data'!$A$3:$FB$285,11,FALSE)</f>
        <v>97.49</v>
      </c>
      <c r="L137" s="27">
        <f>VLOOKUP($A137,'[1]Raw Data'!$A$3:$FB$285,12,FALSE)</f>
        <v>89.07</v>
      </c>
      <c r="M137" s="27">
        <f>VLOOKUP($A137,'[1]Raw Data'!$A$3:$FB$285,14,FALSE)</f>
        <v>0.33</v>
      </c>
      <c r="N137" s="27">
        <f>VLOOKUP($A137,'[1]Raw Data'!$A$3:$FB$285,15,FALSE)</f>
        <v>2.11</v>
      </c>
      <c r="O137" s="27">
        <f>VLOOKUP($A137,'[1]Raw Data'!$A$3:$FB$285,17,FALSE)</f>
        <v>0.24</v>
      </c>
      <c r="P137" s="27">
        <f>VLOOKUP($A137,'[1]Raw Data'!$A$3:$FB$285,18,FALSE)</f>
        <v>0.51</v>
      </c>
      <c r="Q137" s="27">
        <f>VLOOKUP($A137,'[1]Raw Data'!$A$3:$FB$285,20,FALSE)</f>
        <v>0.08</v>
      </c>
      <c r="R137" s="27">
        <f>VLOOKUP($A137,'[1]Raw Data'!$A$3:$FB$285,21,FALSE)</f>
        <v>3.05</v>
      </c>
      <c r="S137" s="27">
        <f>VLOOKUP($A137,'[1]Raw Data'!$A$3:$FB$285,23,FALSE)</f>
        <v>0</v>
      </c>
      <c r="T137" s="27">
        <f>VLOOKUP($A137,'[1]Raw Data'!$A$3:$FB$285,24,FALSE)</f>
        <v>0</v>
      </c>
      <c r="U137" s="27">
        <f>VLOOKUP($A137,'[1]Raw Data'!$A$3:$FB$285,26,FALSE)</f>
        <v>0.1</v>
      </c>
      <c r="V137" s="27">
        <f>VLOOKUP($A137,'[1]Raw Data'!$A$3:$FB$285,27,FALSE)</f>
        <v>0.15</v>
      </c>
      <c r="W137" s="27">
        <f>VLOOKUP($A137,'[1]Raw Data'!$A$3:$FB$285,29,FALSE)</f>
        <v>0</v>
      </c>
      <c r="X137" s="27">
        <f>VLOOKUP($A137,'[1]Raw Data'!$A$3:$FB$285,30,FALSE)</f>
        <v>0</v>
      </c>
      <c r="Y137" s="27">
        <f>VLOOKUP($A137,'[1]Raw Data'!$A$3:$FB$285,32,FALSE)</f>
        <v>0.06</v>
      </c>
      <c r="Z137" s="27">
        <f>VLOOKUP($A137,'[1]Raw Data'!$A$3:$FB$285,33,FALSE)</f>
        <v>0.17</v>
      </c>
      <c r="AA137" s="27">
        <f>VLOOKUP($A137,'[1]Raw Data'!$A$3:$FB$285,35,FALSE)</f>
        <v>1.21</v>
      </c>
      <c r="AB137" s="27">
        <f>VLOOKUP($A137,'[1]Raw Data'!$A$3:$FB$285,36,FALSE)</f>
        <v>4.25</v>
      </c>
      <c r="AC137" s="27">
        <f>VLOOKUP($A137,'[1]Raw Data'!$A$3:$FB$285,38,FALSE)</f>
        <v>0.11</v>
      </c>
      <c r="AD137" s="27">
        <f>VLOOKUP($A137,'[1]Raw Data'!$A$3:$FB$285,39,FALSE)</f>
        <v>0.05</v>
      </c>
      <c r="AE137" s="27">
        <f>VLOOKUP($A137,'[1]Raw Data'!$A$3:$FB$285,41,FALSE)</f>
        <v>0</v>
      </c>
      <c r="AF137" s="27">
        <f>VLOOKUP($A137,'[1]Raw Data'!$A$3:$FB$285,42,FALSE)</f>
        <v>0</v>
      </c>
      <c r="AG137" s="27">
        <f>VLOOKUP($A137,'[1]Raw Data'!$A$3:$FB$285,44,FALSE)</f>
        <v>0</v>
      </c>
      <c r="AH137" s="27">
        <f>VLOOKUP($A137,'[1]Raw Data'!$A$3:$FB$285,45,FALSE)</f>
        <v>0</v>
      </c>
      <c r="AI137" s="27">
        <f>VLOOKUP($A137,'[1]Raw Data'!$A$3:$FB$285,46,FALSE)</f>
        <v>6514</v>
      </c>
      <c r="AJ137" s="27">
        <f>VLOOKUP($A137,'[1]Raw Data'!$A$3:$FB$285,47,FALSE)</f>
        <v>5707</v>
      </c>
      <c r="AK137" s="27">
        <f>VLOOKUP($A137,'[1]Raw Data'!$A$3:$FB$285,48,FALSE)</f>
        <v>5931</v>
      </c>
      <c r="AL137" s="27">
        <f>VLOOKUP($A137,'[1]Raw Data'!$A$3:$FB$285,49,FALSE)</f>
        <v>5006</v>
      </c>
      <c r="AM137" s="27">
        <f>VLOOKUP($A137,'[1]Raw Data'!$A$3:$FB$285,50,FALSE)</f>
        <v>2989</v>
      </c>
      <c r="AN137" s="27">
        <f>VLOOKUP($A137,'[1]Raw Data'!$A$3:$FB$285,51,FALSE)</f>
        <v>4988</v>
      </c>
      <c r="AO137" s="27" t="str">
        <f>VLOOKUP($A137,'[1]Raw Data'!$A$3:$FB$285,52,FALSE)</f>
        <v/>
      </c>
      <c r="AP137" s="27">
        <f>VLOOKUP($A137,'[1]Raw Data'!$A$3:$FB$285,53,FALSE)</f>
        <v>16</v>
      </c>
      <c r="AQ137" s="27">
        <f>VLOOKUP($A137,'[1]Raw Data'!$A$3:$FB$285,54,FALSE)</f>
        <v>0</v>
      </c>
      <c r="AR137" s="27">
        <f>VLOOKUP($A137,'[1]Raw Data'!$A$3:$FB$285,55,FALSE)</f>
        <v>0</v>
      </c>
      <c r="AS137" s="27">
        <f>VLOOKUP($A137,'[1]Raw Data'!$A$3:$FB$285,56,FALSE)</f>
        <v>0</v>
      </c>
      <c r="AT137" s="27">
        <f>VLOOKUP($A137,'[1]Raw Data'!$A$3:$FB$285,57,FALSE)</f>
        <v>995</v>
      </c>
      <c r="AU137" s="27">
        <f>VLOOKUP($A137,'[1]Raw Data'!$A$3:$FB$285,58,FALSE)</f>
        <v>897</v>
      </c>
      <c r="AV137" s="27" t="str">
        <f>VLOOKUP($A137,'[1]Raw Data'!$A$3:$FB$285,59,FALSE)</f>
        <v/>
      </c>
      <c r="AW137" s="27" t="str">
        <f>VLOOKUP($A137,'[1]Raw Data'!$A$3:$FB$285,60,FALSE)</f>
        <v/>
      </c>
      <c r="AX137" s="27" t="str">
        <f>VLOOKUP(A137,'[1]PO''s List'!A135:E417,4,FALSE)</f>
        <v/>
      </c>
      <c r="AZ137" s="27" t="str">
        <f>VLOOKUP(A137,'[1]PO''s List'!$A$3:$E$285,5,FALSE)</f>
        <v>MI(DRR,Health)</v>
      </c>
      <c r="BB137" s="27">
        <f>VLOOKUP($A137,'[1]Raw Data'!$A$3:$FB$285,63,FALSE)</f>
        <v>114021</v>
      </c>
      <c r="BC137" s="27" t="str">
        <f>VLOOKUP($A137,'[1]Raw Data'!$A$3:$FB$285,64,FALSE)</f>
        <v>N</v>
      </c>
      <c r="BD137" s="27" t="str">
        <f t="shared" si="18"/>
        <v>छैन</v>
      </c>
      <c r="BE137" s="27">
        <f>VLOOKUP($A137,'[1]Raw Data'!$A$3:$FB$285,65,FALSE)</f>
        <v>12000</v>
      </c>
      <c r="BF137" s="27">
        <f>VLOOKUP($A137,'[1]Raw Data'!$A$3:$FB$285,66,FALSE)</f>
        <v>113028</v>
      </c>
      <c r="BG137" s="27" t="str">
        <f>VLOOKUP($A137,'[1]Raw Data'!$A$3:$FB$285,67,FALSE)</f>
        <v>N</v>
      </c>
      <c r="BH137" s="27" t="str">
        <f t="shared" si="19"/>
        <v>छैन</v>
      </c>
      <c r="BI137" s="27">
        <f>VLOOKUP($A137,'[1]Raw Data'!$A$3:$FB$285,68,FALSE)</f>
        <v>12000</v>
      </c>
      <c r="BJ137" s="27">
        <f>VLOOKUP($A137,'[1]Raw Data'!$A$3:$FB$285,69,FALSE)</f>
        <v>12139</v>
      </c>
      <c r="BK137" s="27" t="str">
        <f>VLOOKUP($A137,'[1]Raw Data'!$A$3:$FB$285,70,FALSE)</f>
        <v>N</v>
      </c>
      <c r="BL137" s="27" t="str">
        <f t="shared" si="20"/>
        <v>छैन</v>
      </c>
      <c r="BM137" s="27">
        <f>VLOOKUP($A137,'[1]Raw Data'!$A$3:$FB$285,71,FALSE)</f>
        <v>12000</v>
      </c>
      <c r="BN137" s="27">
        <f>VLOOKUP($A137,'[1]Raw Data'!$A$3:$FB$285,72,FALSE)</f>
        <v>13876</v>
      </c>
      <c r="BO137" s="27" t="str">
        <f>VLOOKUP($A137,'[1]Raw Data'!$A$3:$FB$285,73,FALSE)</f>
        <v/>
      </c>
      <c r="BP137" s="27" t="str">
        <f t="shared" si="21"/>
        <v/>
      </c>
      <c r="BQ137" s="27" t="str">
        <f>VLOOKUP($A137,'[1]Raw Data'!$A$3:$FB$285,74,FALSE)</f>
        <v/>
      </c>
      <c r="BR137" s="27" t="str">
        <f>VLOOKUP($A137,'[1]Raw Data'!$A$3:$FB$285,75,FALSE)</f>
        <v/>
      </c>
      <c r="BS137" s="27" t="str">
        <f>VLOOKUP($A137,'[1]Raw Data'!$A$3:$FB$285,76,FALSE)</f>
        <v>N</v>
      </c>
      <c r="BT137" s="27" t="str">
        <f t="shared" si="22"/>
        <v>छैन</v>
      </c>
      <c r="BU137" s="27">
        <f>VLOOKUP($A137,'[1]Raw Data'!$A$3:$FB$285,77,FALSE)</f>
        <v>800</v>
      </c>
      <c r="BV137" s="27">
        <f>VLOOKUP($A137,'[1]Raw Data'!$A$3:$FB$285,78,FALSE)</f>
        <v>375681</v>
      </c>
      <c r="BW137" s="27" t="str">
        <f>VLOOKUP($A137,'[1]Raw Data'!$A$3:$FB$285,79,FALSE)</f>
        <v>N</v>
      </c>
      <c r="BX137" s="27" t="str">
        <f t="shared" si="23"/>
        <v>छैन</v>
      </c>
      <c r="BY137" s="27">
        <f>VLOOKUP($A137,'[1]Raw Data'!$A$3:$FB$285,80,FALSE)</f>
        <v>850</v>
      </c>
      <c r="BZ137" s="27">
        <f>VLOOKUP($A137,'[1]Raw Data'!$A$3:$FB$285,81,FALSE)</f>
        <v>1242634</v>
      </c>
      <c r="CA137" s="27" t="str">
        <f>VLOOKUP($A137,'[1]Raw Data'!$A$3:$FB$285,82,FALSE)</f>
        <v>N</v>
      </c>
      <c r="CB137" s="27" t="str">
        <f t="shared" si="24"/>
        <v>छैन</v>
      </c>
      <c r="CC137" s="27">
        <f>VLOOKUP($A137,'[1]Raw Data'!$A$3:$FB$285,83,FALSE)</f>
        <v>95</v>
      </c>
      <c r="CD137" s="27">
        <f>VLOOKUP($A137,'[1]Raw Data'!$A$3:$FB$285,84,FALSE)</f>
        <v>15351</v>
      </c>
      <c r="CE137" s="27" t="str">
        <f>VLOOKUP($A137,'[1]Raw Data'!$A$3:$FB$285,85,FALSE)</f>
        <v/>
      </c>
      <c r="CF137" s="27" t="str">
        <f t="shared" si="25"/>
        <v/>
      </c>
      <c r="CG137" s="27" t="str">
        <f>VLOOKUP($A137,'[1]Raw Data'!$A$3:$FB$285,86,FALSE)</f>
        <v/>
      </c>
      <c r="CH137" s="27">
        <f>VLOOKUP($A137,'[1]Raw Data'!$A$3:$FB$285,87,FALSE)</f>
        <v>1496498</v>
      </c>
      <c r="CI137" s="27" t="str">
        <f>VLOOKUP($A137,'[1]Raw Data'!$A$3:$FB$285,88,FALSE)</f>
        <v/>
      </c>
      <c r="CJ137" s="27" t="str">
        <f t="shared" si="26"/>
        <v/>
      </c>
      <c r="CK137" s="27" t="str">
        <f>VLOOKUP($A137,'[1]Raw Data'!$A$3:$FB$285,89,FALSE)</f>
        <v/>
      </c>
      <c r="CL137" s="27">
        <f>VLOOKUP($A137,'[1]Raw Data'!$A$3:$FB$285,91,FALSE)</f>
        <v>1200</v>
      </c>
      <c r="CM137" s="27">
        <f>VLOOKUP($A137,'[1]Raw Data'!$A$3:$FB$285,93,FALSE)</f>
        <v>1000</v>
      </c>
      <c r="CN137" s="27" t="str">
        <f>VLOOKUP($A137,'[1]Raw Data'!$A$3:$FB$285,94,FALSE)</f>
        <v/>
      </c>
      <c r="CO137" s="27" t="str">
        <f>VLOOKUP($A137,'[1]Raw Data'!$A$3:$FB$285,95,FALSE)</f>
        <v/>
      </c>
      <c r="CP137" s="27" t="str">
        <f>VLOOKUP($A137,'[1]Raw Data'!$A$3:$FB$285,96,FALSE)</f>
        <v/>
      </c>
      <c r="CQ137" s="27" t="str">
        <f>VLOOKUP($A137,'[1]Raw Data'!$A$3:$FB$285,97,FALSE)</f>
        <v/>
      </c>
      <c r="CR137" s="27" t="str">
        <f>VLOOKUP($A137,'[1]Raw Data'!$A$3:$FB$285,98,FALSE)</f>
        <v/>
      </c>
      <c r="CS137" s="27" t="str">
        <f>VLOOKUP($A137,'[1]Raw Data'!$A$3:$FB$285,99,FALSE)</f>
        <v/>
      </c>
      <c r="CT137" s="27" t="str">
        <f>VLOOKUP($A137,'[1]Raw Data'!$A$3:$FB$285,101,FALSE)</f>
        <v>Ram Krishna Thapa</v>
      </c>
      <c r="CU137" s="27" t="s">
        <v>1236</v>
      </c>
      <c r="CV137" s="27" t="str">
        <f>VLOOKUP($A137,'[1]Raw Data'!$A$3:$FB$285,102,FALSE)</f>
        <v>Mayor</v>
      </c>
      <c r="CW137" s="27" t="s">
        <v>834</v>
      </c>
      <c r="CX137" s="27">
        <f>VLOOKUP($A137,'[1]Raw Data'!$A$3:$FB$285,103,FALSE)</f>
        <v>9851215063</v>
      </c>
      <c r="CY137" s="27" t="str">
        <f>VLOOKUP($A137,'[1]Raw Data'!$A$3:$FB$285,105,FALSE)</f>
        <v/>
      </c>
      <c r="DA137" s="27" t="str">
        <f>VLOOKUP($A137,'[1]Raw Data'!$A$3:$FB$285,106,FALSE)</f>
        <v>Deputy Mayor</v>
      </c>
      <c r="DB137" s="27" t="s">
        <v>888</v>
      </c>
      <c r="DC137" s="27" t="str">
        <f>VLOOKUP($A137,'[1]Raw Data'!$A$3:$FB$285,107,FALSE)</f>
        <v/>
      </c>
      <c r="DD137" s="27" t="str">
        <f>VLOOKUP($A137,'[1]Raw Data'!$A$3:$FB$285,109,FALSE)</f>
        <v>Kishan Neupane</v>
      </c>
      <c r="DE137" s="27" t="s">
        <v>1237</v>
      </c>
      <c r="DF137" s="27" t="str">
        <f>VLOOKUP($A137,'[1]Raw Data'!$A$3:$FB$285,110,FALSE)</f>
        <v>Adminstration Officer</v>
      </c>
      <c r="DG137" s="27" t="s">
        <v>880</v>
      </c>
      <c r="DH137" s="27">
        <f>VLOOKUP($A137,'[1]Raw Data'!$A$3:$FB$285,111,FALSE)</f>
        <v>9851353063</v>
      </c>
      <c r="DI137" s="27" t="str">
        <f>VLOOKUP($A137,'[1]Raw Data'!$A$3:$FB$285,121,FALSE)</f>
        <v/>
      </c>
      <c r="DK137" s="27" t="str">
        <f>VLOOKUP($A137,'[1]Raw Data'!$A$3:$FB$285,122,FALSE)</f>
        <v>Focal Person</v>
      </c>
      <c r="DL137" s="27" t="s">
        <v>881</v>
      </c>
      <c r="DM137" s="27" t="str">
        <f>VLOOKUP($A137,'[1]Raw Data'!$A$3:$FB$285,123,FALSE)</f>
        <v/>
      </c>
      <c r="DN137" s="27" t="str">
        <f>VLOOKUP($A137,'[1]Raw Data'!$A$3:$FB$285,113,FALSE)</f>
        <v/>
      </c>
      <c r="DP137" s="27" t="str">
        <f>VLOOKUP($A137,'[1]Raw Data'!$A$3:$FB$285,114,FALSE)</f>
        <v>NRA Chief-District</v>
      </c>
      <c r="DQ137" s="27" t="s">
        <v>882</v>
      </c>
      <c r="DR137" s="27" t="str">
        <f>VLOOKUP($A137,'[1]Raw Data'!$A$3:$FB$285,115,FALSE)</f>
        <v/>
      </c>
      <c r="DS137" s="27" t="str">
        <f>VLOOKUP($A137,'[1]Raw Data'!$A$3:$FB$285,117,FALSE)</f>
        <v/>
      </c>
      <c r="DU137" s="27" t="str">
        <f>VLOOKUP($A137,'[1]Raw Data'!$A$3:$FB$285,118,FALSE)</f>
        <v>DUDBC.DLPIU Chief</v>
      </c>
      <c r="DV137" s="27" t="s">
        <v>883</v>
      </c>
      <c r="DW137" s="27" t="str">
        <f>VLOOKUP($A137,'[1]Raw Data'!$A$3:$FB$285,119,FALSE)</f>
        <v/>
      </c>
      <c r="DX137" s="27" t="s">
        <v>339</v>
      </c>
      <c r="DY137" s="27" t="str">
        <f>VLOOKUP($A137,'[1]Raw Data'!$A$3:$FB$285,124,FALSE)</f>
        <v>50</v>
      </c>
      <c r="DZ137" s="27" t="s">
        <v>884</v>
      </c>
      <c r="EA137" s="27" t="str">
        <f>VLOOKUP($A137,'[1]Raw Data'!$A$3:$FB$285,125,FALSE)</f>
        <v/>
      </c>
      <c r="EB137" s="27" t="s">
        <v>341</v>
      </c>
      <c r="EC137" s="27" t="str">
        <f>VLOOKUP($A137,'[1]Raw Data'!$A$3:$FB$285,126,FALSE)</f>
        <v>130</v>
      </c>
      <c r="ED137" t="s">
        <v>478</v>
      </c>
      <c r="EE137" s="27" t="str">
        <f>VLOOKUP($A137,'[1]Raw Data'!$A$3:$FB$285,127,FALSE)</f>
        <v/>
      </c>
      <c r="EF137" s="27" t="s">
        <v>343</v>
      </c>
      <c r="EG137" s="27" t="str">
        <f>VLOOKUP($A137,'[1]Raw Data'!$A$3:$FB$285,128,FALSE)</f>
        <v/>
      </c>
      <c r="EH137" t="s">
        <v>344</v>
      </c>
      <c r="EI137" s="27" t="str">
        <f>VLOOKUP($A137,'[1]Raw Data'!$A$3:$FB$285,129,FALSE)</f>
        <v/>
      </c>
      <c r="EM137" s="27" t="str">
        <f>VLOOKUP($A137,'[1]Raw Data'!$A$3:$FB$285,130,FALSE)</f>
        <v/>
      </c>
      <c r="EN137" s="27" t="str">
        <f>VLOOKUP($A137,'[1]Raw Data'!$A$3:$FB$285,131,FALSE)</f>
        <v/>
      </c>
      <c r="EO137" s="27" t="str">
        <f>VLOOKUP($A137,'[1]Raw Data'!$A$3:$FB$285,132,FALSE)</f>
        <v/>
      </c>
      <c r="EP137" s="27" t="str">
        <f>VLOOKUP($A137,'[1]Raw Data'!$A$3:$FB$285,133,FALSE)</f>
        <v/>
      </c>
      <c r="EQ137" s="27" t="str">
        <f>VLOOKUP($A137,'[1]Raw Data'!$A$3:$FB$285,134,FALSE)</f>
        <v/>
      </c>
      <c r="ER137" s="27" t="str">
        <f>VLOOKUP($A137,'[1]Raw Data'!$A$3:$FB$285,135,FALSE)</f>
        <v/>
      </c>
      <c r="ES137" s="27" t="str">
        <f>VLOOKUP($A137,'[1]Raw Data'!$A$3:$FB$285,136,FALSE)</f>
        <v/>
      </c>
      <c r="ET137" s="27" t="str">
        <f>VLOOKUP($A137,'[1]Raw Data'!$A$3:$FB$285,137,FALSE)</f>
        <v/>
      </c>
      <c r="EU137" s="27" t="str">
        <f>VLOOKUP($A137,'[1]Raw Data'!$A$3:$FB$285,138,FALSE)</f>
        <v/>
      </c>
      <c r="EV137" s="27" t="str">
        <f>VLOOKUP($A137,'[1]Raw Data'!$A$3:$FB$285,139,FALSE)</f>
        <v/>
      </c>
      <c r="EW137" s="38">
        <f>VLOOKUP($A137,[1]Training!$A$2:$I$284,5,FALSE)</f>
        <v>501.07692307692309</v>
      </c>
      <c r="EX137" s="31">
        <f>VLOOKUP($A137,[1]Training!$A$2:$I$284,6,FALSE)</f>
        <v>931</v>
      </c>
      <c r="EY137" s="38">
        <f>VLOOKUP($A137,[1]Training!$A$2:$I$284,8,FALSE)</f>
        <v>639.32945979899489</v>
      </c>
      <c r="EZ137" s="31">
        <f>VLOOKUP($A137,[1]Training!$A$2:$I$284,9,FALSE)</f>
        <v>0</v>
      </c>
      <c r="FA137" s="27">
        <v>1</v>
      </c>
      <c r="FB137" s="27">
        <v>2</v>
      </c>
      <c r="FC137" s="27" t="str">
        <f>VLOOKUP($A137,'[1]Raw Data'!$A$3:$FB$285,148,FALSE)</f>
        <v>Badri Pyakurel</v>
      </c>
      <c r="FD137" s="27" t="s">
        <v>1215</v>
      </c>
      <c r="FE137" s="27" t="str">
        <f>VLOOKUP($A137,'[1]Raw Data'!$A$3:$FB$285,149,FALSE)</f>
        <v>District Coordinator</v>
      </c>
      <c r="FF137" s="27" t="s">
        <v>885</v>
      </c>
      <c r="FG137" s="27">
        <f>VLOOKUP($A137,'[1]Raw Data'!$A$3:$FB$285,150,FALSE)</f>
        <v>9851154201</v>
      </c>
      <c r="FH137" s="27" t="str">
        <f>VLOOKUP($A137,'[1]Raw Data'!$A$3:$FB$285,156,FALSE)</f>
        <v/>
      </c>
      <c r="FJ137" s="27" t="str">
        <f>VLOOKUP($A137,'[1]Raw Data'!$A$3:$FB$285,157,FALSE)</f>
        <v>District Technical Officer</v>
      </c>
      <c r="FK137" s="27" t="s">
        <v>886</v>
      </c>
      <c r="FL137" s="27" t="str">
        <f>VLOOKUP($A137,'[1]Raw Data'!$A$3:$FB$285,158,FALSE)</f>
        <v/>
      </c>
      <c r="FM137" s="27" t="str">
        <f>VLOOKUP($A137,'[1]Raw Data'!$A$3:$FB$285,152,FALSE)</f>
        <v>Budhha Singh Thakuri</v>
      </c>
      <c r="FN137" s="27" t="s">
        <v>1216</v>
      </c>
      <c r="FO137" s="27" t="str">
        <f>VLOOKUP($A137,'[1]Raw Data'!$A$3:$FB$285,153,FALSE)</f>
        <v>District Information Management Officer</v>
      </c>
      <c r="FP137" s="27" t="s">
        <v>887</v>
      </c>
      <c r="FQ137" s="27">
        <f>VLOOKUP($A137,'[1]Raw Data'!$A$3:$FB$285,154,FALSE)</f>
        <v>9841961829</v>
      </c>
    </row>
    <row r="138" spans="1:173" ht="24" x14ac:dyDescent="0.45">
      <c r="A138" s="27">
        <v>28010</v>
      </c>
      <c r="B138" s="36" t="str">
        <f ca="1">IFERROR(__xludf.DUMMYFUNCTION("""COMPUTED_VALUE"""),"Suryagadhi Gaunpalika")</f>
        <v>Suryagadhi Gaunpalika</v>
      </c>
      <c r="C138" s="37" t="str">
        <f>VLOOKUP(A138,'[1]Palika and District in Nepali '!$D$1:$F$283,3,FALSE)</f>
        <v>टाडी गाउँपालिका</v>
      </c>
      <c r="D138" s="36" t="str">
        <f ca="1">IFERROR(__xludf.DUMMYFUNCTION("""COMPUTED_VALUE"""),"Nuwakot")</f>
        <v>Nuwakot</v>
      </c>
      <c r="E138" s="36"/>
      <c r="F138" s="27">
        <f>VLOOKUP(A138,'[1]Raw Data'!$A$3:$FB$285,4,FALSE)</f>
        <v>126</v>
      </c>
      <c r="G138" s="27">
        <f>VLOOKUP(A138,'[1]Raw Data'!$A$3:$FB$285,5,FALSE)</f>
        <v>4434</v>
      </c>
      <c r="H138" s="27">
        <f>VLOOKUP(A138,'[1]Raw Data'!$A$3:$FB$285,6,FALSE)</f>
        <v>4560</v>
      </c>
      <c r="I138" s="27">
        <f>VLOOKUP($A138,'[1]Raw Data'!$A$3:$FB$285,8,FALSE)</f>
        <v>0.15</v>
      </c>
      <c r="J138" s="27">
        <f>VLOOKUP($A138,'[1]Raw Data'!$A$3:$FB$285,9,FALSE)</f>
        <v>0.64</v>
      </c>
      <c r="K138" s="27">
        <f>VLOOKUP($A138,'[1]Raw Data'!$A$3:$FB$285,11,FALSE)</f>
        <v>94.26</v>
      </c>
      <c r="L138" s="27">
        <f>VLOOKUP($A138,'[1]Raw Data'!$A$3:$FB$285,12,FALSE)</f>
        <v>89.07</v>
      </c>
      <c r="M138" s="27">
        <f>VLOOKUP($A138,'[1]Raw Data'!$A$3:$FB$285,14,FALSE)</f>
        <v>1.19</v>
      </c>
      <c r="N138" s="27">
        <f>VLOOKUP($A138,'[1]Raw Data'!$A$3:$FB$285,15,FALSE)</f>
        <v>2.11</v>
      </c>
      <c r="O138" s="27">
        <f>VLOOKUP($A138,'[1]Raw Data'!$A$3:$FB$285,17,FALSE)</f>
        <v>0.53</v>
      </c>
      <c r="P138" s="27">
        <f>VLOOKUP($A138,'[1]Raw Data'!$A$3:$FB$285,18,FALSE)</f>
        <v>0.51</v>
      </c>
      <c r="Q138" s="27">
        <f>VLOOKUP($A138,'[1]Raw Data'!$A$3:$FB$285,20,FALSE)</f>
        <v>0.48</v>
      </c>
      <c r="R138" s="27">
        <f>VLOOKUP($A138,'[1]Raw Data'!$A$3:$FB$285,21,FALSE)</f>
        <v>3.05</v>
      </c>
      <c r="S138" s="27">
        <f>VLOOKUP($A138,'[1]Raw Data'!$A$3:$FB$285,23,FALSE)</f>
        <v>0</v>
      </c>
      <c r="T138" s="27">
        <f>VLOOKUP($A138,'[1]Raw Data'!$A$3:$FB$285,24,FALSE)</f>
        <v>0</v>
      </c>
      <c r="U138" s="27">
        <f>VLOOKUP($A138,'[1]Raw Data'!$A$3:$FB$285,26,FALSE)</f>
        <v>0.04</v>
      </c>
      <c r="V138" s="27">
        <f>VLOOKUP($A138,'[1]Raw Data'!$A$3:$FB$285,27,FALSE)</f>
        <v>0.15</v>
      </c>
      <c r="W138" s="27">
        <f>VLOOKUP($A138,'[1]Raw Data'!$A$3:$FB$285,29,FALSE)</f>
        <v>0</v>
      </c>
      <c r="X138" s="27">
        <f>VLOOKUP($A138,'[1]Raw Data'!$A$3:$FB$285,30,FALSE)</f>
        <v>0</v>
      </c>
      <c r="Y138" s="27">
        <f>VLOOKUP($A138,'[1]Raw Data'!$A$3:$FB$285,32,FALSE)</f>
        <v>0.18</v>
      </c>
      <c r="Z138" s="27">
        <f>VLOOKUP($A138,'[1]Raw Data'!$A$3:$FB$285,33,FALSE)</f>
        <v>0.17</v>
      </c>
      <c r="AA138" s="27">
        <f>VLOOKUP($A138,'[1]Raw Data'!$A$3:$FB$285,35,FALSE)</f>
        <v>3.12</v>
      </c>
      <c r="AB138" s="27">
        <f>VLOOKUP($A138,'[1]Raw Data'!$A$3:$FB$285,36,FALSE)</f>
        <v>4.25</v>
      </c>
      <c r="AC138" s="27">
        <f>VLOOKUP($A138,'[1]Raw Data'!$A$3:$FB$285,38,FALSE)</f>
        <v>0.04</v>
      </c>
      <c r="AD138" s="27">
        <f>VLOOKUP($A138,'[1]Raw Data'!$A$3:$FB$285,39,FALSE)</f>
        <v>0.05</v>
      </c>
      <c r="AE138" s="27">
        <f>VLOOKUP($A138,'[1]Raw Data'!$A$3:$FB$285,41,FALSE)</f>
        <v>0</v>
      </c>
      <c r="AF138" s="27">
        <f>VLOOKUP($A138,'[1]Raw Data'!$A$3:$FB$285,42,FALSE)</f>
        <v>0</v>
      </c>
      <c r="AG138" s="27">
        <f>VLOOKUP($A138,'[1]Raw Data'!$A$3:$FB$285,44,FALSE)</f>
        <v>0</v>
      </c>
      <c r="AH138" s="27">
        <f>VLOOKUP($A138,'[1]Raw Data'!$A$3:$FB$285,45,FALSE)</f>
        <v>0</v>
      </c>
      <c r="AI138" s="27">
        <f>VLOOKUP($A138,'[1]Raw Data'!$A$3:$FB$285,46,FALSE)</f>
        <v>5019</v>
      </c>
      <c r="AJ138" s="27">
        <f>VLOOKUP($A138,'[1]Raw Data'!$A$3:$FB$285,47,FALSE)</f>
        <v>4364</v>
      </c>
      <c r="AK138" s="27">
        <f>VLOOKUP($A138,'[1]Raw Data'!$A$3:$FB$285,48,FALSE)</f>
        <v>4434</v>
      </c>
      <c r="AL138" s="27">
        <f>VLOOKUP($A138,'[1]Raw Data'!$A$3:$FB$285,49,FALSE)</f>
        <v>4027</v>
      </c>
      <c r="AM138" s="27">
        <f>VLOOKUP($A138,'[1]Raw Data'!$A$3:$FB$285,50,FALSE)</f>
        <v>1917</v>
      </c>
      <c r="AN138" s="27">
        <f>VLOOKUP($A138,'[1]Raw Data'!$A$3:$FB$285,51,FALSE)</f>
        <v>4008</v>
      </c>
      <c r="AO138" s="27" t="str">
        <f>VLOOKUP($A138,'[1]Raw Data'!$A$3:$FB$285,52,FALSE)</f>
        <v/>
      </c>
      <c r="AP138" s="27">
        <f>VLOOKUP($A138,'[1]Raw Data'!$A$3:$FB$285,53,FALSE)</f>
        <v>5</v>
      </c>
      <c r="AQ138" s="27">
        <f>VLOOKUP($A138,'[1]Raw Data'!$A$3:$FB$285,54,FALSE)</f>
        <v>0</v>
      </c>
      <c r="AR138" s="27">
        <f>VLOOKUP($A138,'[1]Raw Data'!$A$3:$FB$285,55,FALSE)</f>
        <v>0</v>
      </c>
      <c r="AS138" s="27">
        <f>VLOOKUP($A138,'[1]Raw Data'!$A$3:$FB$285,56,FALSE)</f>
        <v>0</v>
      </c>
      <c r="AT138" s="27">
        <f>VLOOKUP($A138,'[1]Raw Data'!$A$3:$FB$285,57,FALSE)</f>
        <v>923</v>
      </c>
      <c r="AU138" s="27">
        <f>VLOOKUP($A138,'[1]Raw Data'!$A$3:$FB$285,58,FALSE)</f>
        <v>822</v>
      </c>
      <c r="AV138" s="27" t="str">
        <f>VLOOKUP($A138,'[1]Raw Data'!$A$3:$FB$285,59,FALSE)</f>
        <v/>
      </c>
      <c r="AW138" s="27" t="str">
        <f>VLOOKUP($A138,'[1]Raw Data'!$A$3:$FB$285,60,FALSE)</f>
        <v/>
      </c>
      <c r="AX138" s="27" t="str">
        <f>VLOOKUP(A138,'[1]PO''s List'!A136:E418,4,FALSE)</f>
        <v>NRCS(Livelihood,Education,Employment ,Health,Shelter,Health),NSET(Shelter)</v>
      </c>
      <c r="AZ138" s="27" t="str">
        <f>VLOOKUP(A138,'[1]PO''s List'!$A$3:$E$285,5,FALSE)</f>
        <v>GIZ(Health),GON-PAF(Shelter),NJSI(Education),SP-N(Education,Health),Tearfund(Education),WFP(Employment ),WVIN(Livelihood,DRR,Employment ,Health)</v>
      </c>
      <c r="BB138" s="27">
        <f>VLOOKUP($A138,'[1]Raw Data'!$A$3:$FB$285,63,FALSE)</f>
        <v>106182</v>
      </c>
      <c r="BC138" s="27" t="str">
        <f>VLOOKUP($A138,'[1]Raw Data'!$A$3:$FB$285,64,FALSE)</f>
        <v>N</v>
      </c>
      <c r="BD138" s="27" t="str">
        <f t="shared" si="18"/>
        <v>छैन</v>
      </c>
      <c r="BE138" s="27">
        <f>VLOOKUP($A138,'[1]Raw Data'!$A$3:$FB$285,65,FALSE)</f>
        <v>2000</v>
      </c>
      <c r="BF138" s="27">
        <f>VLOOKUP($A138,'[1]Raw Data'!$A$3:$FB$285,66,FALSE)</f>
        <v>107908</v>
      </c>
      <c r="BG138" s="27" t="str">
        <f>VLOOKUP($A138,'[1]Raw Data'!$A$3:$FB$285,67,FALSE)</f>
        <v>N</v>
      </c>
      <c r="BH138" s="27" t="str">
        <f t="shared" si="19"/>
        <v>छैन</v>
      </c>
      <c r="BI138" s="27">
        <f>VLOOKUP($A138,'[1]Raw Data'!$A$3:$FB$285,68,FALSE)</f>
        <v>5000</v>
      </c>
      <c r="BJ138" s="27">
        <f>VLOOKUP($A138,'[1]Raw Data'!$A$3:$FB$285,69,FALSE)</f>
        <v>11326</v>
      </c>
      <c r="BK138" s="27" t="str">
        <f>VLOOKUP($A138,'[1]Raw Data'!$A$3:$FB$285,70,FALSE)</f>
        <v>N</v>
      </c>
      <c r="BL138" s="27" t="str">
        <f t="shared" si="20"/>
        <v>छैन</v>
      </c>
      <c r="BM138" s="27">
        <f>VLOOKUP($A138,'[1]Raw Data'!$A$3:$FB$285,71,FALSE)</f>
        <v>5000</v>
      </c>
      <c r="BN138" s="27">
        <f>VLOOKUP($A138,'[1]Raw Data'!$A$3:$FB$285,72,FALSE)</f>
        <v>13027</v>
      </c>
      <c r="BO138" s="27" t="str">
        <f>VLOOKUP($A138,'[1]Raw Data'!$A$3:$FB$285,73,FALSE)</f>
        <v/>
      </c>
      <c r="BP138" s="27" t="str">
        <f t="shared" si="21"/>
        <v/>
      </c>
      <c r="BQ138" s="27" t="str">
        <f>VLOOKUP($A138,'[1]Raw Data'!$A$3:$FB$285,74,FALSE)</f>
        <v/>
      </c>
      <c r="BR138" s="27" t="str">
        <f>VLOOKUP($A138,'[1]Raw Data'!$A$3:$FB$285,75,FALSE)</f>
        <v/>
      </c>
      <c r="BS138" s="27" t="str">
        <f>VLOOKUP($A138,'[1]Raw Data'!$A$3:$FB$285,76,FALSE)</f>
        <v>N</v>
      </c>
      <c r="BT138" s="27" t="str">
        <f t="shared" si="22"/>
        <v>छैन</v>
      </c>
      <c r="BU138" s="27">
        <f>VLOOKUP($A138,'[1]Raw Data'!$A$3:$FB$285,77,FALSE)</f>
        <v>900</v>
      </c>
      <c r="BV138" s="27">
        <f>VLOOKUP($A138,'[1]Raw Data'!$A$3:$FB$285,78,FALSE)</f>
        <v>355900</v>
      </c>
      <c r="BW138" s="27" t="str">
        <f>VLOOKUP($A138,'[1]Raw Data'!$A$3:$FB$285,79,FALSE)</f>
        <v>N</v>
      </c>
      <c r="BX138" s="27" t="str">
        <f t="shared" si="23"/>
        <v>छैन</v>
      </c>
      <c r="BY138" s="27">
        <f>VLOOKUP($A138,'[1]Raw Data'!$A$3:$FB$285,80,FALSE)</f>
        <v>1000</v>
      </c>
      <c r="BZ138" s="27">
        <f>VLOOKUP($A138,'[1]Raw Data'!$A$3:$FB$285,81,FALSE)</f>
        <v>1150131</v>
      </c>
      <c r="CA138" s="27" t="str">
        <f>VLOOKUP($A138,'[1]Raw Data'!$A$3:$FB$285,82,FALSE)</f>
        <v>N</v>
      </c>
      <c r="CB138" s="27" t="str">
        <f t="shared" si="24"/>
        <v>छैन</v>
      </c>
      <c r="CC138" s="27">
        <f>VLOOKUP($A138,'[1]Raw Data'!$A$3:$FB$285,83,FALSE)</f>
        <v>94</v>
      </c>
      <c r="CD138" s="27">
        <f>VLOOKUP($A138,'[1]Raw Data'!$A$3:$FB$285,84,FALSE)</f>
        <v>14533</v>
      </c>
      <c r="CE138" s="27" t="str">
        <f>VLOOKUP($A138,'[1]Raw Data'!$A$3:$FB$285,85,FALSE)</f>
        <v/>
      </c>
      <c r="CF138" s="27" t="str">
        <f t="shared" si="25"/>
        <v/>
      </c>
      <c r="CG138" s="27" t="str">
        <f>VLOOKUP($A138,'[1]Raw Data'!$A$3:$FB$285,86,FALSE)</f>
        <v/>
      </c>
      <c r="CH138" s="27">
        <f>VLOOKUP($A138,'[1]Raw Data'!$A$3:$FB$285,87,FALSE)</f>
        <v>846407</v>
      </c>
      <c r="CI138" s="27" t="str">
        <f>VLOOKUP($A138,'[1]Raw Data'!$A$3:$FB$285,88,FALSE)</f>
        <v/>
      </c>
      <c r="CJ138" s="27" t="str">
        <f t="shared" si="26"/>
        <v/>
      </c>
      <c r="CK138" s="27" t="str">
        <f>VLOOKUP($A138,'[1]Raw Data'!$A$3:$FB$285,89,FALSE)</f>
        <v/>
      </c>
      <c r="CL138" s="27">
        <f>VLOOKUP($A138,'[1]Raw Data'!$A$3:$FB$285,91,FALSE)</f>
        <v>1500</v>
      </c>
      <c r="CM138" s="27">
        <f>VLOOKUP($A138,'[1]Raw Data'!$A$3:$FB$285,93,FALSE)</f>
        <v>1000</v>
      </c>
      <c r="CN138" s="27" t="str">
        <f>VLOOKUP($A138,'[1]Raw Data'!$A$3:$FB$285,94,FALSE)</f>
        <v/>
      </c>
      <c r="CO138" s="27" t="str">
        <f>VLOOKUP($A138,'[1]Raw Data'!$A$3:$FB$285,95,FALSE)</f>
        <v/>
      </c>
      <c r="CP138" s="27" t="str">
        <f>VLOOKUP($A138,'[1]Raw Data'!$A$3:$FB$285,96,FALSE)</f>
        <v/>
      </c>
      <c r="CQ138" s="27" t="str">
        <f>VLOOKUP($A138,'[1]Raw Data'!$A$3:$FB$285,97,FALSE)</f>
        <v/>
      </c>
      <c r="CR138" s="27" t="str">
        <f>VLOOKUP($A138,'[1]Raw Data'!$A$3:$FB$285,98,FALSE)</f>
        <v/>
      </c>
      <c r="CS138" s="27" t="str">
        <f>VLOOKUP($A138,'[1]Raw Data'!$A$3:$FB$285,99,FALSE)</f>
        <v/>
      </c>
      <c r="CT138" s="27" t="str">
        <f>VLOOKUP($A138,'[1]Raw Data'!$A$3:$FB$285,101,FALSE)</f>
        <v>Santa Bahadur Ghale</v>
      </c>
      <c r="CU138" s="27" t="s">
        <v>1238</v>
      </c>
      <c r="CV138" s="27" t="str">
        <f>VLOOKUP($A138,'[1]Raw Data'!$A$3:$FB$285,102,FALSE)</f>
        <v>Mayor</v>
      </c>
      <c r="CW138" s="27" t="s">
        <v>834</v>
      </c>
      <c r="CX138" s="27">
        <f>VLOOKUP($A138,'[1]Raw Data'!$A$3:$FB$285,103,FALSE)</f>
        <v>9851147432</v>
      </c>
      <c r="CY138" s="27" t="str">
        <f>VLOOKUP($A138,'[1]Raw Data'!$A$3:$FB$285,105,FALSE)</f>
        <v>Manju Budathoki</v>
      </c>
      <c r="CZ138" s="27" t="s">
        <v>1239</v>
      </c>
      <c r="DA138" s="27" t="str">
        <f>VLOOKUP($A138,'[1]Raw Data'!$A$3:$FB$285,106,FALSE)</f>
        <v>Deputy Mayor</v>
      </c>
      <c r="DB138" s="27" t="s">
        <v>888</v>
      </c>
      <c r="DC138" s="27">
        <f>VLOOKUP($A138,'[1]Raw Data'!$A$3:$FB$285,107,FALSE)</f>
        <v>9851062078</v>
      </c>
      <c r="DD138" s="27" t="str">
        <f>VLOOKUP($A138,'[1]Raw Data'!$A$3:$FB$285,109,FALSE)</f>
        <v>Uttam Khatiwoda</v>
      </c>
      <c r="DE138" s="27" t="s">
        <v>1240</v>
      </c>
      <c r="DF138" s="27" t="str">
        <f>VLOOKUP($A138,'[1]Raw Data'!$A$3:$FB$285,110,FALSE)</f>
        <v>Adminstration Officer</v>
      </c>
      <c r="DG138" s="27" t="s">
        <v>880</v>
      </c>
      <c r="DH138" s="27">
        <f>VLOOKUP($A138,'[1]Raw Data'!$A$3:$FB$285,111,FALSE)</f>
        <v>9751023326</v>
      </c>
      <c r="DI138" s="27" t="str">
        <f>VLOOKUP($A138,'[1]Raw Data'!$A$3:$FB$285,121,FALSE)</f>
        <v/>
      </c>
      <c r="DK138" s="27" t="str">
        <f>VLOOKUP($A138,'[1]Raw Data'!$A$3:$FB$285,122,FALSE)</f>
        <v>Focal Person</v>
      </c>
      <c r="DL138" s="27" t="s">
        <v>881</v>
      </c>
      <c r="DM138" s="27" t="str">
        <f>VLOOKUP($A138,'[1]Raw Data'!$A$3:$FB$285,123,FALSE)</f>
        <v/>
      </c>
      <c r="DN138" s="27" t="str">
        <f>VLOOKUP($A138,'[1]Raw Data'!$A$3:$FB$285,113,FALSE)</f>
        <v/>
      </c>
      <c r="DP138" s="27" t="str">
        <f>VLOOKUP($A138,'[1]Raw Data'!$A$3:$FB$285,114,FALSE)</f>
        <v>NRA Chief-District</v>
      </c>
      <c r="DQ138" s="27" t="s">
        <v>882</v>
      </c>
      <c r="DR138" s="27" t="str">
        <f>VLOOKUP($A138,'[1]Raw Data'!$A$3:$FB$285,115,FALSE)</f>
        <v/>
      </c>
      <c r="DS138" s="27" t="str">
        <f>VLOOKUP($A138,'[1]Raw Data'!$A$3:$FB$285,117,FALSE)</f>
        <v/>
      </c>
      <c r="DU138" s="27" t="str">
        <f>VLOOKUP($A138,'[1]Raw Data'!$A$3:$FB$285,118,FALSE)</f>
        <v>DUDBC.DLPIU Chief</v>
      </c>
      <c r="DV138" s="27" t="s">
        <v>883</v>
      </c>
      <c r="DW138" s="27" t="str">
        <f>VLOOKUP($A138,'[1]Raw Data'!$A$3:$FB$285,119,FALSE)</f>
        <v/>
      </c>
      <c r="DX138" s="27" t="s">
        <v>339</v>
      </c>
      <c r="DY138" s="27" t="str">
        <f>VLOOKUP($A138,'[1]Raw Data'!$A$3:$FB$285,124,FALSE)</f>
        <v>35</v>
      </c>
      <c r="DZ138" s="27" t="s">
        <v>884</v>
      </c>
      <c r="EA138" s="27" t="str">
        <f>VLOOKUP($A138,'[1]Raw Data'!$A$3:$FB$285,125,FALSE)</f>
        <v/>
      </c>
      <c r="EB138" s="27" t="s">
        <v>341</v>
      </c>
      <c r="EC138" s="27" t="str">
        <f>VLOOKUP($A138,'[1]Raw Data'!$A$3:$FB$285,126,FALSE)</f>
        <v>20</v>
      </c>
      <c r="ED138" t="s">
        <v>478</v>
      </c>
      <c r="EE138" s="27" t="str">
        <f>VLOOKUP($A138,'[1]Raw Data'!$A$3:$FB$285,127,FALSE)</f>
        <v>15</v>
      </c>
      <c r="EF138" s="27" t="s">
        <v>343</v>
      </c>
      <c r="EG138" s="27" t="str">
        <f>VLOOKUP($A138,'[1]Raw Data'!$A$3:$FB$285,128,FALSE)</f>
        <v>100</v>
      </c>
      <c r="EH138" t="s">
        <v>344</v>
      </c>
      <c r="EI138" s="27" t="str">
        <f>VLOOKUP($A138,'[1]Raw Data'!$A$3:$FB$285,129,FALSE)</f>
        <v>700</v>
      </c>
      <c r="EM138" s="27" t="str">
        <f>VLOOKUP($A138,'[1]Raw Data'!$A$3:$FB$285,130,FALSE)</f>
        <v/>
      </c>
      <c r="EN138" s="27" t="str">
        <f>VLOOKUP($A138,'[1]Raw Data'!$A$3:$FB$285,131,FALSE)</f>
        <v/>
      </c>
      <c r="EO138" s="27" t="str">
        <f>VLOOKUP($A138,'[1]Raw Data'!$A$3:$FB$285,132,FALSE)</f>
        <v/>
      </c>
      <c r="EP138" s="27" t="str">
        <f>VLOOKUP($A138,'[1]Raw Data'!$A$3:$FB$285,133,FALSE)</f>
        <v/>
      </c>
      <c r="EQ138" s="27" t="str">
        <f>VLOOKUP($A138,'[1]Raw Data'!$A$3:$FB$285,134,FALSE)</f>
        <v/>
      </c>
      <c r="ER138" s="27" t="str">
        <f>VLOOKUP($A138,'[1]Raw Data'!$A$3:$FB$285,135,FALSE)</f>
        <v/>
      </c>
      <c r="ES138" s="27" t="str">
        <f>VLOOKUP($A138,'[1]Raw Data'!$A$3:$FB$285,136,FALSE)</f>
        <v/>
      </c>
      <c r="ET138" s="27" t="str">
        <f>VLOOKUP($A138,'[1]Raw Data'!$A$3:$FB$285,137,FALSE)</f>
        <v/>
      </c>
      <c r="EU138" s="27" t="str">
        <f>VLOOKUP($A138,'[1]Raw Data'!$A$3:$FB$285,138,FALSE)</f>
        <v/>
      </c>
      <c r="EV138" s="27" t="str">
        <f>VLOOKUP($A138,'[1]Raw Data'!$A$3:$FB$285,139,FALSE)</f>
        <v/>
      </c>
      <c r="EW138" s="38">
        <f>VLOOKUP($A138,[1]Training!$A$2:$I$284,5,FALSE)</f>
        <v>386.07692307692309</v>
      </c>
      <c r="EX138" s="31">
        <f>VLOOKUP($A138,[1]Training!$A$2:$I$284,6,FALSE)</f>
        <v>143</v>
      </c>
      <c r="EY138" s="38">
        <f>VLOOKUP($A138,[1]Training!$A$2:$I$284,8,FALSE)</f>
        <v>492.5997173366834</v>
      </c>
      <c r="EZ138" s="31">
        <f>VLOOKUP($A138,[1]Training!$A$2:$I$284,9,FALSE)</f>
        <v>0</v>
      </c>
      <c r="FA138" s="27">
        <v>1</v>
      </c>
      <c r="FB138" s="27">
        <v>2</v>
      </c>
      <c r="FC138" s="27" t="str">
        <f>VLOOKUP($A138,'[1]Raw Data'!$A$3:$FB$285,148,FALSE)</f>
        <v>Badri Pyakurel</v>
      </c>
      <c r="FD138" s="27" t="s">
        <v>1215</v>
      </c>
      <c r="FE138" s="27" t="str">
        <f>VLOOKUP($A138,'[1]Raw Data'!$A$3:$FB$285,149,FALSE)</f>
        <v>District Coordinator</v>
      </c>
      <c r="FF138" s="27" t="s">
        <v>885</v>
      </c>
      <c r="FG138" s="27">
        <f>VLOOKUP($A138,'[1]Raw Data'!$A$3:$FB$285,150,FALSE)</f>
        <v>9851154201</v>
      </c>
      <c r="FH138" s="27" t="str">
        <f>VLOOKUP($A138,'[1]Raw Data'!$A$3:$FB$285,156,FALSE)</f>
        <v/>
      </c>
      <c r="FJ138" s="27" t="str">
        <f>VLOOKUP($A138,'[1]Raw Data'!$A$3:$FB$285,157,FALSE)</f>
        <v>District Technical Officer</v>
      </c>
      <c r="FK138" s="27" t="s">
        <v>886</v>
      </c>
      <c r="FL138" s="27" t="str">
        <f>VLOOKUP($A138,'[1]Raw Data'!$A$3:$FB$285,158,FALSE)</f>
        <v/>
      </c>
      <c r="FM138" s="27" t="str">
        <f>VLOOKUP($A138,'[1]Raw Data'!$A$3:$FB$285,152,FALSE)</f>
        <v>Budhha Singh Thakuri</v>
      </c>
      <c r="FN138" s="27" t="s">
        <v>1216</v>
      </c>
      <c r="FO138" s="27" t="str">
        <f>VLOOKUP($A138,'[1]Raw Data'!$A$3:$FB$285,153,FALSE)</f>
        <v>District Information Management Officer</v>
      </c>
      <c r="FP138" s="27" t="s">
        <v>887</v>
      </c>
      <c r="FQ138" s="27">
        <f>VLOOKUP($A138,'[1]Raw Data'!$A$3:$FB$285,154,FALSE)</f>
        <v>9841961829</v>
      </c>
    </row>
    <row r="139" spans="1:173" ht="24" x14ac:dyDescent="0.45">
      <c r="A139" s="27">
        <v>28011</v>
      </c>
      <c r="B139" s="36" t="str">
        <f ca="1">IFERROR(__xludf.DUMMYFUNCTION("""COMPUTED_VALUE"""),"Tadi Gaunpalika")</f>
        <v>Tadi Gaunpalika</v>
      </c>
      <c r="C139" s="37" t="str">
        <f>VLOOKUP(A139,'[1]Palika and District in Nepali '!$D$1:$F$283,3,FALSE)</f>
        <v>सुर्यगढी गाउँपालिका</v>
      </c>
      <c r="D139" s="36" t="str">
        <f ca="1">IFERROR(__xludf.DUMMYFUNCTION("""COMPUTED_VALUE"""),"Nuwakot")</f>
        <v>Nuwakot</v>
      </c>
      <c r="E139" s="36"/>
      <c r="F139" s="27">
        <f>VLOOKUP(A139,'[1]Raw Data'!$A$3:$FB$285,4,FALSE)</f>
        <v>72</v>
      </c>
      <c r="G139" s="27">
        <f>VLOOKUP(A139,'[1]Raw Data'!$A$3:$FB$285,5,FALSE)</f>
        <v>4404</v>
      </c>
      <c r="H139" s="27">
        <f>VLOOKUP(A139,'[1]Raw Data'!$A$3:$FB$285,6,FALSE)</f>
        <v>4476</v>
      </c>
      <c r="I139" s="27">
        <f>VLOOKUP($A139,'[1]Raw Data'!$A$3:$FB$285,8,FALSE)</f>
        <v>0.11</v>
      </c>
      <c r="J139" s="27">
        <f>VLOOKUP($A139,'[1]Raw Data'!$A$3:$FB$285,9,FALSE)</f>
        <v>0.64</v>
      </c>
      <c r="K139" s="27">
        <f>VLOOKUP($A139,'[1]Raw Data'!$A$3:$FB$285,11,FALSE)</f>
        <v>97.23</v>
      </c>
      <c r="L139" s="27">
        <f>VLOOKUP($A139,'[1]Raw Data'!$A$3:$FB$285,12,FALSE)</f>
        <v>89.07</v>
      </c>
      <c r="M139" s="27">
        <f>VLOOKUP($A139,'[1]Raw Data'!$A$3:$FB$285,14,FALSE)</f>
        <v>0.34</v>
      </c>
      <c r="N139" s="27">
        <f>VLOOKUP($A139,'[1]Raw Data'!$A$3:$FB$285,15,FALSE)</f>
        <v>2.11</v>
      </c>
      <c r="O139" s="27">
        <f>VLOOKUP($A139,'[1]Raw Data'!$A$3:$FB$285,17,FALSE)</f>
        <v>7.0000000000000007E-2</v>
      </c>
      <c r="P139" s="27">
        <f>VLOOKUP($A139,'[1]Raw Data'!$A$3:$FB$285,18,FALSE)</f>
        <v>0.51</v>
      </c>
      <c r="Q139" s="27">
        <f>VLOOKUP($A139,'[1]Raw Data'!$A$3:$FB$285,20,FALSE)</f>
        <v>0.94</v>
      </c>
      <c r="R139" s="27">
        <f>VLOOKUP($A139,'[1]Raw Data'!$A$3:$FB$285,21,FALSE)</f>
        <v>3.05</v>
      </c>
      <c r="S139" s="27">
        <f>VLOOKUP($A139,'[1]Raw Data'!$A$3:$FB$285,23,FALSE)</f>
        <v>0</v>
      </c>
      <c r="T139" s="27">
        <f>VLOOKUP($A139,'[1]Raw Data'!$A$3:$FB$285,24,FALSE)</f>
        <v>0</v>
      </c>
      <c r="U139" s="27">
        <f>VLOOKUP($A139,'[1]Raw Data'!$A$3:$FB$285,26,FALSE)</f>
        <v>0.16</v>
      </c>
      <c r="V139" s="27">
        <f>VLOOKUP($A139,'[1]Raw Data'!$A$3:$FB$285,27,FALSE)</f>
        <v>0.15</v>
      </c>
      <c r="W139" s="27">
        <f>VLOOKUP($A139,'[1]Raw Data'!$A$3:$FB$285,29,FALSE)</f>
        <v>0</v>
      </c>
      <c r="X139" s="27">
        <f>VLOOKUP($A139,'[1]Raw Data'!$A$3:$FB$285,30,FALSE)</f>
        <v>0</v>
      </c>
      <c r="Y139" s="27">
        <f>VLOOKUP($A139,'[1]Raw Data'!$A$3:$FB$285,32,FALSE)</f>
        <v>7.0000000000000007E-2</v>
      </c>
      <c r="Z139" s="27">
        <f>VLOOKUP($A139,'[1]Raw Data'!$A$3:$FB$285,33,FALSE)</f>
        <v>0.17</v>
      </c>
      <c r="AA139" s="27">
        <f>VLOOKUP($A139,'[1]Raw Data'!$A$3:$FB$285,35,FALSE)</f>
        <v>1.03</v>
      </c>
      <c r="AB139" s="27">
        <f>VLOOKUP($A139,'[1]Raw Data'!$A$3:$FB$285,36,FALSE)</f>
        <v>4.25</v>
      </c>
      <c r="AC139" s="27">
        <f>VLOOKUP($A139,'[1]Raw Data'!$A$3:$FB$285,38,FALSE)</f>
        <v>7.0000000000000007E-2</v>
      </c>
      <c r="AD139" s="27">
        <f>VLOOKUP($A139,'[1]Raw Data'!$A$3:$FB$285,39,FALSE)</f>
        <v>0.05</v>
      </c>
      <c r="AE139" s="27">
        <f>VLOOKUP($A139,'[1]Raw Data'!$A$3:$FB$285,41,FALSE)</f>
        <v>0</v>
      </c>
      <c r="AF139" s="27">
        <f>VLOOKUP($A139,'[1]Raw Data'!$A$3:$FB$285,42,FALSE)</f>
        <v>0</v>
      </c>
      <c r="AG139" s="27">
        <f>VLOOKUP($A139,'[1]Raw Data'!$A$3:$FB$285,44,FALSE)</f>
        <v>0</v>
      </c>
      <c r="AH139" s="27">
        <f>VLOOKUP($A139,'[1]Raw Data'!$A$3:$FB$285,45,FALSE)</f>
        <v>0</v>
      </c>
      <c r="AI139" s="27">
        <f>VLOOKUP($A139,'[1]Raw Data'!$A$3:$FB$285,46,FALSE)</f>
        <v>4590</v>
      </c>
      <c r="AJ139" s="27">
        <f>VLOOKUP($A139,'[1]Raw Data'!$A$3:$FB$285,47,FALSE)</f>
        <v>4273</v>
      </c>
      <c r="AK139" s="27">
        <f>VLOOKUP($A139,'[1]Raw Data'!$A$3:$FB$285,48,FALSE)</f>
        <v>4408</v>
      </c>
      <c r="AL139" s="27">
        <f>VLOOKUP($A139,'[1]Raw Data'!$A$3:$FB$285,49,FALSE)</f>
        <v>4006</v>
      </c>
      <c r="AM139" s="27">
        <f>VLOOKUP($A139,'[1]Raw Data'!$A$3:$FB$285,50,FALSE)</f>
        <v>2489</v>
      </c>
      <c r="AN139" s="27">
        <f>VLOOKUP($A139,'[1]Raw Data'!$A$3:$FB$285,51,FALSE)</f>
        <v>4136</v>
      </c>
      <c r="AO139" s="27" t="str">
        <f>VLOOKUP($A139,'[1]Raw Data'!$A$3:$FB$285,52,FALSE)</f>
        <v/>
      </c>
      <c r="AP139" s="27">
        <f>VLOOKUP($A139,'[1]Raw Data'!$A$3:$FB$285,53,FALSE)</f>
        <v>18</v>
      </c>
      <c r="AQ139" s="27">
        <f>VLOOKUP($A139,'[1]Raw Data'!$A$3:$FB$285,54,FALSE)</f>
        <v>0</v>
      </c>
      <c r="AR139" s="27">
        <f>VLOOKUP($A139,'[1]Raw Data'!$A$3:$FB$285,55,FALSE)</f>
        <v>0</v>
      </c>
      <c r="AS139" s="27">
        <f>VLOOKUP($A139,'[1]Raw Data'!$A$3:$FB$285,56,FALSE)</f>
        <v>0</v>
      </c>
      <c r="AT139" s="27">
        <f>VLOOKUP($A139,'[1]Raw Data'!$A$3:$FB$285,57,FALSE)</f>
        <v>701</v>
      </c>
      <c r="AU139" s="27">
        <f>VLOOKUP($A139,'[1]Raw Data'!$A$3:$FB$285,58,FALSE)</f>
        <v>373</v>
      </c>
      <c r="AV139" s="27" t="str">
        <f>VLOOKUP($A139,'[1]Raw Data'!$A$3:$FB$285,59,FALSE)</f>
        <v/>
      </c>
      <c r="AW139" s="27" t="str">
        <f>VLOOKUP($A139,'[1]Raw Data'!$A$3:$FB$285,60,FALSE)</f>
        <v/>
      </c>
      <c r="AX139" s="27" t="str">
        <f>VLOOKUP(A139,'[1]PO''s List'!A137:E419,4,FALSE)</f>
        <v>NRCS(Livelihood,Education,Employment ,Health,Shelter,Health),NSET(Shelter),OXFAM-GB(Shelter),WVIN(Livelihood,DRR,Employment ,Health)</v>
      </c>
      <c r="AZ139" s="27" t="str">
        <f>VLOOKUP(A139,'[1]PO''s List'!$A$3:$E$285,5,FALSE)</f>
        <v>GIZ(Health),IMC(Health),MIDSON(Health),RoomTR(Education),SP-N(Education,Health),WFP(Employment )</v>
      </c>
      <c r="BB139" s="27">
        <f>VLOOKUP($A139,'[1]Raw Data'!$A$3:$FB$285,63,FALSE)</f>
        <v>97852</v>
      </c>
      <c r="BC139" s="27" t="str">
        <f>VLOOKUP($A139,'[1]Raw Data'!$A$3:$FB$285,64,FALSE)</f>
        <v>Y</v>
      </c>
      <c r="BD139" s="27" t="str">
        <f t="shared" si="18"/>
        <v>छ</v>
      </c>
      <c r="BE139" s="27">
        <f>VLOOKUP($A139,'[1]Raw Data'!$A$3:$FB$285,65,FALSE)</f>
        <v>7000</v>
      </c>
      <c r="BF139" s="27">
        <f>VLOOKUP($A139,'[1]Raw Data'!$A$3:$FB$285,66,FALSE)</f>
        <v>99454</v>
      </c>
      <c r="BG139" s="27" t="str">
        <f>VLOOKUP($A139,'[1]Raw Data'!$A$3:$FB$285,67,FALSE)</f>
        <v>Y</v>
      </c>
      <c r="BH139" s="27" t="str">
        <f t="shared" si="19"/>
        <v>छ</v>
      </c>
      <c r="BI139" s="27">
        <f>VLOOKUP($A139,'[1]Raw Data'!$A$3:$FB$285,68,FALSE)</f>
        <v>7000</v>
      </c>
      <c r="BJ139" s="27">
        <f>VLOOKUP($A139,'[1]Raw Data'!$A$3:$FB$285,69,FALSE)</f>
        <v>10441</v>
      </c>
      <c r="BK139" s="27" t="str">
        <f>VLOOKUP($A139,'[1]Raw Data'!$A$3:$FB$285,70,FALSE)</f>
        <v>Y</v>
      </c>
      <c r="BL139" s="27" t="str">
        <f t="shared" si="20"/>
        <v>छ</v>
      </c>
      <c r="BM139" s="27">
        <f>VLOOKUP($A139,'[1]Raw Data'!$A$3:$FB$285,71,FALSE)</f>
        <v>11000</v>
      </c>
      <c r="BN139" s="27">
        <f>VLOOKUP($A139,'[1]Raw Data'!$A$3:$FB$285,72,FALSE)</f>
        <v>12021</v>
      </c>
      <c r="BO139" s="27" t="str">
        <f>VLOOKUP($A139,'[1]Raw Data'!$A$3:$FB$285,73,FALSE)</f>
        <v/>
      </c>
      <c r="BP139" s="27" t="str">
        <f t="shared" si="21"/>
        <v/>
      </c>
      <c r="BQ139" s="27" t="str">
        <f>VLOOKUP($A139,'[1]Raw Data'!$A$3:$FB$285,74,FALSE)</f>
        <v/>
      </c>
      <c r="BR139" s="27" t="str">
        <f>VLOOKUP($A139,'[1]Raw Data'!$A$3:$FB$285,75,FALSE)</f>
        <v/>
      </c>
      <c r="BS139" s="27" t="str">
        <f>VLOOKUP($A139,'[1]Raw Data'!$A$3:$FB$285,76,FALSE)</f>
        <v>Y</v>
      </c>
      <c r="BT139" s="27" t="str">
        <f t="shared" si="22"/>
        <v>छ</v>
      </c>
      <c r="BU139" s="27">
        <f>VLOOKUP($A139,'[1]Raw Data'!$A$3:$FB$285,77,FALSE)</f>
        <v>1000</v>
      </c>
      <c r="BV139" s="27">
        <f>VLOOKUP($A139,'[1]Raw Data'!$A$3:$FB$285,78,FALSE)</f>
        <v>330492</v>
      </c>
      <c r="BW139" s="27" t="str">
        <f>VLOOKUP($A139,'[1]Raw Data'!$A$3:$FB$285,79,FALSE)</f>
        <v>Y</v>
      </c>
      <c r="BX139" s="27" t="str">
        <f t="shared" si="23"/>
        <v>छ</v>
      </c>
      <c r="BY139" s="27">
        <f>VLOOKUP($A139,'[1]Raw Data'!$A$3:$FB$285,80,FALSE)</f>
        <v>1100</v>
      </c>
      <c r="BZ139" s="27">
        <f>VLOOKUP($A139,'[1]Raw Data'!$A$3:$FB$285,81,FALSE)</f>
        <v>1063195</v>
      </c>
      <c r="CA139" s="27" t="str">
        <f>VLOOKUP($A139,'[1]Raw Data'!$A$3:$FB$285,82,FALSE)</f>
        <v>Y</v>
      </c>
      <c r="CB139" s="27" t="str">
        <f t="shared" si="24"/>
        <v>छ</v>
      </c>
      <c r="CC139" s="27">
        <f>VLOOKUP($A139,'[1]Raw Data'!$A$3:$FB$285,83,FALSE)</f>
        <v>100</v>
      </c>
      <c r="CD139" s="27">
        <f>VLOOKUP($A139,'[1]Raw Data'!$A$3:$FB$285,84,FALSE)</f>
        <v>13510</v>
      </c>
      <c r="CE139" s="27" t="str">
        <f>VLOOKUP($A139,'[1]Raw Data'!$A$3:$FB$285,85,FALSE)</f>
        <v/>
      </c>
      <c r="CF139" s="27" t="str">
        <f t="shared" si="25"/>
        <v/>
      </c>
      <c r="CG139" s="27" t="str">
        <f>VLOOKUP($A139,'[1]Raw Data'!$A$3:$FB$285,86,FALSE)</f>
        <v/>
      </c>
      <c r="CH139" s="27">
        <f>VLOOKUP($A139,'[1]Raw Data'!$A$3:$FB$285,87,FALSE)</f>
        <v>1158128</v>
      </c>
      <c r="CI139" s="27" t="str">
        <f>VLOOKUP($A139,'[1]Raw Data'!$A$3:$FB$285,88,FALSE)</f>
        <v/>
      </c>
      <c r="CJ139" s="27" t="str">
        <f t="shared" si="26"/>
        <v/>
      </c>
      <c r="CK139" s="27" t="str">
        <f>VLOOKUP($A139,'[1]Raw Data'!$A$3:$FB$285,89,FALSE)</f>
        <v/>
      </c>
      <c r="CL139" s="27">
        <f>VLOOKUP($A139,'[1]Raw Data'!$A$3:$FB$285,91,FALSE)</f>
        <v>1300</v>
      </c>
      <c r="CM139" s="27">
        <f>VLOOKUP($A139,'[1]Raw Data'!$A$3:$FB$285,93,FALSE)</f>
        <v>1000</v>
      </c>
      <c r="CN139" s="27" t="str">
        <f>VLOOKUP($A139,'[1]Raw Data'!$A$3:$FB$285,94,FALSE)</f>
        <v/>
      </c>
      <c r="CO139" s="27" t="str">
        <f>VLOOKUP($A139,'[1]Raw Data'!$A$3:$FB$285,95,FALSE)</f>
        <v/>
      </c>
      <c r="CP139" s="27" t="str">
        <f>VLOOKUP($A139,'[1]Raw Data'!$A$3:$FB$285,96,FALSE)</f>
        <v/>
      </c>
      <c r="CQ139" s="27" t="str">
        <f>VLOOKUP($A139,'[1]Raw Data'!$A$3:$FB$285,97,FALSE)</f>
        <v/>
      </c>
      <c r="CR139" s="27" t="str">
        <f>VLOOKUP($A139,'[1]Raw Data'!$A$3:$FB$285,98,FALSE)</f>
        <v/>
      </c>
      <c r="CS139" s="27" t="str">
        <f>VLOOKUP($A139,'[1]Raw Data'!$A$3:$FB$285,99,FALSE)</f>
        <v/>
      </c>
      <c r="CT139" s="27" t="str">
        <f>VLOOKUP($A139,'[1]Raw Data'!$A$3:$FB$285,101,FALSE)</f>
        <v>Narayan Prasad Pandey</v>
      </c>
      <c r="CU139" s="27" t="s">
        <v>1241</v>
      </c>
      <c r="CV139" s="27" t="str">
        <f>VLOOKUP($A139,'[1]Raw Data'!$A$3:$FB$285,102,FALSE)</f>
        <v>Mayor</v>
      </c>
      <c r="CW139" s="27" t="s">
        <v>834</v>
      </c>
      <c r="CX139" s="27" t="str">
        <f>VLOOKUP($A139,'[1]Raw Data'!$A$3:$FB$285,103,FALSE)</f>
        <v/>
      </c>
      <c r="CY139" s="27" t="str">
        <f>VLOOKUP($A139,'[1]Raw Data'!$A$3:$FB$285,105,FALSE)</f>
        <v>Ishwori Neupane</v>
      </c>
      <c r="CZ139" s="27" t="s">
        <v>1242</v>
      </c>
      <c r="DA139" s="27" t="str">
        <f>VLOOKUP($A139,'[1]Raw Data'!$A$3:$FB$285,106,FALSE)</f>
        <v>Deputy Mayor</v>
      </c>
      <c r="DB139" s="27" t="s">
        <v>888</v>
      </c>
      <c r="DC139" s="27">
        <f>VLOOKUP($A139,'[1]Raw Data'!$A$3:$FB$285,107,FALSE)</f>
        <v>9841167206</v>
      </c>
      <c r="DD139" s="27" t="str">
        <f>VLOOKUP($A139,'[1]Raw Data'!$A$3:$FB$285,109,FALSE)</f>
        <v>Ashok Bista</v>
      </c>
      <c r="DE139" s="27" t="s">
        <v>1243</v>
      </c>
      <c r="DF139" s="27" t="str">
        <f>VLOOKUP($A139,'[1]Raw Data'!$A$3:$FB$285,110,FALSE)</f>
        <v>Adminstration Officer</v>
      </c>
      <c r="DG139" s="27" t="s">
        <v>880</v>
      </c>
      <c r="DH139" s="27">
        <f>VLOOKUP($A139,'[1]Raw Data'!$A$3:$FB$285,111,FALSE)</f>
        <v>9841284598</v>
      </c>
      <c r="DI139" s="27" t="str">
        <f>VLOOKUP($A139,'[1]Raw Data'!$A$3:$FB$285,121,FALSE)</f>
        <v/>
      </c>
      <c r="DK139" s="27" t="str">
        <f>VLOOKUP($A139,'[1]Raw Data'!$A$3:$FB$285,122,FALSE)</f>
        <v>Focal Person</v>
      </c>
      <c r="DL139" s="27" t="s">
        <v>881</v>
      </c>
      <c r="DM139" s="27" t="str">
        <f>VLOOKUP($A139,'[1]Raw Data'!$A$3:$FB$285,123,FALSE)</f>
        <v/>
      </c>
      <c r="DN139" s="27" t="str">
        <f>VLOOKUP($A139,'[1]Raw Data'!$A$3:$FB$285,113,FALSE)</f>
        <v/>
      </c>
      <c r="DP139" s="27" t="str">
        <f>VLOOKUP($A139,'[1]Raw Data'!$A$3:$FB$285,114,FALSE)</f>
        <v>NRA Chief-District</v>
      </c>
      <c r="DQ139" s="27" t="s">
        <v>882</v>
      </c>
      <c r="DR139" s="27" t="str">
        <f>VLOOKUP($A139,'[1]Raw Data'!$A$3:$FB$285,115,FALSE)</f>
        <v/>
      </c>
      <c r="DS139" s="27" t="str">
        <f>VLOOKUP($A139,'[1]Raw Data'!$A$3:$FB$285,117,FALSE)</f>
        <v/>
      </c>
      <c r="DU139" s="27" t="str">
        <f>VLOOKUP($A139,'[1]Raw Data'!$A$3:$FB$285,118,FALSE)</f>
        <v>DUDBC.DLPIU Chief</v>
      </c>
      <c r="DV139" s="27" t="s">
        <v>883</v>
      </c>
      <c r="DW139" s="27" t="str">
        <f>VLOOKUP($A139,'[1]Raw Data'!$A$3:$FB$285,119,FALSE)</f>
        <v/>
      </c>
      <c r="DX139" s="27" t="s">
        <v>339</v>
      </c>
      <c r="DY139" s="27" t="str">
        <f>VLOOKUP($A139,'[1]Raw Data'!$A$3:$FB$285,124,FALSE)</f>
        <v>110</v>
      </c>
      <c r="DZ139" s="27" t="s">
        <v>884</v>
      </c>
      <c r="EA139" s="27" t="str">
        <f>VLOOKUP($A139,'[1]Raw Data'!$A$3:$FB$285,125,FALSE)</f>
        <v>48</v>
      </c>
      <c r="EB139" s="27" t="s">
        <v>341</v>
      </c>
      <c r="EC139" s="27" t="str">
        <f>VLOOKUP($A139,'[1]Raw Data'!$A$3:$FB$285,126,FALSE)</f>
        <v>100</v>
      </c>
      <c r="ED139" t="s">
        <v>478</v>
      </c>
      <c r="EE139" s="27" t="str">
        <f>VLOOKUP($A139,'[1]Raw Data'!$A$3:$FB$285,127,FALSE)</f>
        <v>15</v>
      </c>
      <c r="EF139" s="27" t="s">
        <v>343</v>
      </c>
      <c r="EG139" s="27" t="str">
        <f>VLOOKUP($A139,'[1]Raw Data'!$A$3:$FB$285,128,FALSE)</f>
        <v>40</v>
      </c>
      <c r="EH139" t="s">
        <v>344</v>
      </c>
      <c r="EI139" s="27" t="str">
        <f>VLOOKUP($A139,'[1]Raw Data'!$A$3:$FB$285,129,FALSE)</f>
        <v>18</v>
      </c>
      <c r="EM139" s="27" t="str">
        <f>VLOOKUP($A139,'[1]Raw Data'!$A$3:$FB$285,130,FALSE)</f>
        <v/>
      </c>
      <c r="EN139" s="27" t="str">
        <f>VLOOKUP($A139,'[1]Raw Data'!$A$3:$FB$285,131,FALSE)</f>
        <v/>
      </c>
      <c r="EO139" s="27" t="str">
        <f>VLOOKUP($A139,'[1]Raw Data'!$A$3:$FB$285,132,FALSE)</f>
        <v/>
      </c>
      <c r="EP139" s="27" t="str">
        <f>VLOOKUP($A139,'[1]Raw Data'!$A$3:$FB$285,133,FALSE)</f>
        <v/>
      </c>
      <c r="EQ139" s="27" t="str">
        <f>VLOOKUP($A139,'[1]Raw Data'!$A$3:$FB$285,134,FALSE)</f>
        <v/>
      </c>
      <c r="ER139" s="27" t="str">
        <f>VLOOKUP($A139,'[1]Raw Data'!$A$3:$FB$285,135,FALSE)</f>
        <v/>
      </c>
      <c r="ES139" s="27" t="str">
        <f>VLOOKUP($A139,'[1]Raw Data'!$A$3:$FB$285,136,FALSE)</f>
        <v/>
      </c>
      <c r="ET139" s="27" t="str">
        <f>VLOOKUP($A139,'[1]Raw Data'!$A$3:$FB$285,137,FALSE)</f>
        <v/>
      </c>
      <c r="EU139" s="27" t="str">
        <f>VLOOKUP($A139,'[1]Raw Data'!$A$3:$FB$285,138,FALSE)</f>
        <v/>
      </c>
      <c r="EV139" s="27" t="str">
        <f>VLOOKUP($A139,'[1]Raw Data'!$A$3:$FB$285,139,FALSE)</f>
        <v/>
      </c>
      <c r="EW139" s="38">
        <f>VLOOKUP($A139,[1]Training!$A$2:$I$284,5,FALSE)</f>
        <v>353.07692307692309</v>
      </c>
      <c r="EX139" s="31">
        <f>VLOOKUP($A139,[1]Training!$A$2:$I$284,6,FALSE)</f>
        <v>132</v>
      </c>
      <c r="EY139" s="38">
        <f>VLOOKUP($A139,[1]Training!$A$2:$I$284,8,FALSE)</f>
        <v>450.4946608040201</v>
      </c>
      <c r="EZ139" s="31">
        <f>VLOOKUP($A139,[1]Training!$A$2:$I$284,9,FALSE)</f>
        <v>0</v>
      </c>
      <c r="FA139" s="27">
        <v>1</v>
      </c>
      <c r="FB139" s="27">
        <v>2</v>
      </c>
      <c r="FC139" s="27" t="str">
        <f>VLOOKUP($A139,'[1]Raw Data'!$A$3:$FB$285,148,FALSE)</f>
        <v>Badri Pyakurel</v>
      </c>
      <c r="FD139" s="27" t="s">
        <v>1215</v>
      </c>
      <c r="FE139" s="27" t="str">
        <f>VLOOKUP($A139,'[1]Raw Data'!$A$3:$FB$285,149,FALSE)</f>
        <v>District Coordinator</v>
      </c>
      <c r="FF139" s="27" t="s">
        <v>885</v>
      </c>
      <c r="FG139" s="27">
        <f>VLOOKUP($A139,'[1]Raw Data'!$A$3:$FB$285,150,FALSE)</f>
        <v>9851154201</v>
      </c>
      <c r="FH139" s="27" t="str">
        <f>VLOOKUP($A139,'[1]Raw Data'!$A$3:$FB$285,156,FALSE)</f>
        <v/>
      </c>
      <c r="FJ139" s="27" t="str">
        <f>VLOOKUP($A139,'[1]Raw Data'!$A$3:$FB$285,157,FALSE)</f>
        <v>District Technical Officer</v>
      </c>
      <c r="FK139" s="27" t="s">
        <v>886</v>
      </c>
      <c r="FL139" s="27" t="str">
        <f>VLOOKUP($A139,'[1]Raw Data'!$A$3:$FB$285,158,FALSE)</f>
        <v/>
      </c>
      <c r="FM139" s="27" t="str">
        <f>VLOOKUP($A139,'[1]Raw Data'!$A$3:$FB$285,152,FALSE)</f>
        <v>Budhha Singh Thakuri</v>
      </c>
      <c r="FN139" s="27" t="s">
        <v>1216</v>
      </c>
      <c r="FO139" s="27" t="str">
        <f>VLOOKUP($A139,'[1]Raw Data'!$A$3:$FB$285,153,FALSE)</f>
        <v>District Information Management Officer</v>
      </c>
      <c r="FP139" s="27" t="s">
        <v>887</v>
      </c>
      <c r="FQ139" s="27">
        <f>VLOOKUP($A139,'[1]Raw Data'!$A$3:$FB$285,154,FALSE)</f>
        <v>9841961829</v>
      </c>
    </row>
    <row r="140" spans="1:173" ht="24" x14ac:dyDescent="0.45">
      <c r="A140" s="27">
        <v>28012</v>
      </c>
      <c r="B140" s="36" t="str">
        <f ca="1">IFERROR(__xludf.DUMMYFUNCTION("""COMPUTED_VALUE"""),"Tarkeshwar Gaunpalika")</f>
        <v>Tarkeshwar Gaunpalika</v>
      </c>
      <c r="C140" s="37" t="str">
        <f>VLOOKUP(A140,'[1]Palika and District in Nepali '!$D$1:$F$283,3,FALSE)</f>
        <v>तारकेश्वर गाउँपालिका</v>
      </c>
      <c r="D140" s="36" t="str">
        <f ca="1">IFERROR(__xludf.DUMMYFUNCTION("""COMPUTED_VALUE"""),"Nuwakot")</f>
        <v>Nuwakot</v>
      </c>
      <c r="E140" s="36"/>
      <c r="F140" s="27">
        <f>VLOOKUP(A140,'[1]Raw Data'!$A$3:$FB$285,4,FALSE)</f>
        <v>202</v>
      </c>
      <c r="G140" s="27">
        <f>VLOOKUP(A140,'[1]Raw Data'!$A$3:$FB$285,5,FALSE)</f>
        <v>4371</v>
      </c>
      <c r="H140" s="27">
        <f>VLOOKUP(A140,'[1]Raw Data'!$A$3:$FB$285,6,FALSE)</f>
        <v>4573</v>
      </c>
      <c r="I140" s="27">
        <f>VLOOKUP($A140,'[1]Raw Data'!$A$3:$FB$285,8,FALSE)</f>
        <v>0.18</v>
      </c>
      <c r="J140" s="27">
        <f>VLOOKUP($A140,'[1]Raw Data'!$A$3:$FB$285,9,FALSE)</f>
        <v>0.64</v>
      </c>
      <c r="K140" s="27">
        <f>VLOOKUP($A140,'[1]Raw Data'!$A$3:$FB$285,11,FALSE)</f>
        <v>98.42</v>
      </c>
      <c r="L140" s="27">
        <f>VLOOKUP($A140,'[1]Raw Data'!$A$3:$FB$285,12,FALSE)</f>
        <v>89.07</v>
      </c>
      <c r="M140" s="27">
        <f>VLOOKUP($A140,'[1]Raw Data'!$A$3:$FB$285,14,FALSE)</f>
        <v>0.33</v>
      </c>
      <c r="N140" s="27">
        <f>VLOOKUP($A140,'[1]Raw Data'!$A$3:$FB$285,15,FALSE)</f>
        <v>2.11</v>
      </c>
      <c r="O140" s="27">
        <f>VLOOKUP($A140,'[1]Raw Data'!$A$3:$FB$285,17,FALSE)</f>
        <v>0.02</v>
      </c>
      <c r="P140" s="27">
        <f>VLOOKUP($A140,'[1]Raw Data'!$A$3:$FB$285,18,FALSE)</f>
        <v>0.51</v>
      </c>
      <c r="Q140" s="27">
        <f>VLOOKUP($A140,'[1]Raw Data'!$A$3:$FB$285,20,FALSE)</f>
        <v>0.56999999999999995</v>
      </c>
      <c r="R140" s="27">
        <f>VLOOKUP($A140,'[1]Raw Data'!$A$3:$FB$285,21,FALSE)</f>
        <v>3.05</v>
      </c>
      <c r="S140" s="27">
        <f>VLOOKUP($A140,'[1]Raw Data'!$A$3:$FB$285,23,FALSE)</f>
        <v>0</v>
      </c>
      <c r="T140" s="27">
        <f>VLOOKUP($A140,'[1]Raw Data'!$A$3:$FB$285,24,FALSE)</f>
        <v>0</v>
      </c>
      <c r="U140" s="27">
        <f>VLOOKUP($A140,'[1]Raw Data'!$A$3:$FB$285,26,FALSE)</f>
        <v>7.0000000000000007E-2</v>
      </c>
      <c r="V140" s="27">
        <f>VLOOKUP($A140,'[1]Raw Data'!$A$3:$FB$285,27,FALSE)</f>
        <v>0.15</v>
      </c>
      <c r="W140" s="27">
        <f>VLOOKUP($A140,'[1]Raw Data'!$A$3:$FB$285,29,FALSE)</f>
        <v>0</v>
      </c>
      <c r="X140" s="27">
        <f>VLOOKUP($A140,'[1]Raw Data'!$A$3:$FB$285,30,FALSE)</f>
        <v>0</v>
      </c>
      <c r="Y140" s="27">
        <f>VLOOKUP($A140,'[1]Raw Data'!$A$3:$FB$285,32,FALSE)</f>
        <v>0.09</v>
      </c>
      <c r="Z140" s="27">
        <f>VLOOKUP($A140,'[1]Raw Data'!$A$3:$FB$285,33,FALSE)</f>
        <v>0.17</v>
      </c>
      <c r="AA140" s="27">
        <f>VLOOKUP($A140,'[1]Raw Data'!$A$3:$FB$285,35,FALSE)</f>
        <v>0.33</v>
      </c>
      <c r="AB140" s="27">
        <f>VLOOKUP($A140,'[1]Raw Data'!$A$3:$FB$285,36,FALSE)</f>
        <v>4.25</v>
      </c>
      <c r="AC140" s="27">
        <f>VLOOKUP($A140,'[1]Raw Data'!$A$3:$FB$285,38,FALSE)</f>
        <v>0</v>
      </c>
      <c r="AD140" s="27">
        <f>VLOOKUP($A140,'[1]Raw Data'!$A$3:$FB$285,39,FALSE)</f>
        <v>0.05</v>
      </c>
      <c r="AE140" s="27">
        <f>VLOOKUP($A140,'[1]Raw Data'!$A$3:$FB$285,41,FALSE)</f>
        <v>0</v>
      </c>
      <c r="AF140" s="27">
        <f>VLOOKUP($A140,'[1]Raw Data'!$A$3:$FB$285,42,FALSE)</f>
        <v>0</v>
      </c>
      <c r="AG140" s="27">
        <f>VLOOKUP($A140,'[1]Raw Data'!$A$3:$FB$285,44,FALSE)</f>
        <v>0</v>
      </c>
      <c r="AH140" s="27">
        <f>VLOOKUP($A140,'[1]Raw Data'!$A$3:$FB$285,45,FALSE)</f>
        <v>0</v>
      </c>
      <c r="AI140" s="27">
        <f>VLOOKUP($A140,'[1]Raw Data'!$A$3:$FB$285,46,FALSE)</f>
        <v>4707</v>
      </c>
      <c r="AJ140" s="27">
        <f>VLOOKUP($A140,'[1]Raw Data'!$A$3:$FB$285,47,FALSE)</f>
        <v>3563</v>
      </c>
      <c r="AK140" s="27">
        <f>VLOOKUP($A140,'[1]Raw Data'!$A$3:$FB$285,48,FALSE)</f>
        <v>4156</v>
      </c>
      <c r="AL140" s="27">
        <f>VLOOKUP($A140,'[1]Raw Data'!$A$3:$FB$285,49,FALSE)</f>
        <v>3685</v>
      </c>
      <c r="AM140" s="27">
        <f>VLOOKUP($A140,'[1]Raw Data'!$A$3:$FB$285,50,FALSE)</f>
        <v>2686</v>
      </c>
      <c r="AN140" s="27">
        <f>VLOOKUP($A140,'[1]Raw Data'!$A$3:$FB$285,51,FALSE)</f>
        <v>3531</v>
      </c>
      <c r="AO140" s="27" t="str">
        <f>VLOOKUP($A140,'[1]Raw Data'!$A$3:$FB$285,52,FALSE)</f>
        <v/>
      </c>
      <c r="AP140" s="27">
        <f>VLOOKUP($A140,'[1]Raw Data'!$A$3:$FB$285,53,FALSE)</f>
        <v>170</v>
      </c>
      <c r="AQ140" s="27">
        <f>VLOOKUP($A140,'[1]Raw Data'!$A$3:$FB$285,54,FALSE)</f>
        <v>0</v>
      </c>
      <c r="AR140" s="27">
        <f>VLOOKUP($A140,'[1]Raw Data'!$A$3:$FB$285,55,FALSE)</f>
        <v>0</v>
      </c>
      <c r="AS140" s="27">
        <f>VLOOKUP($A140,'[1]Raw Data'!$A$3:$FB$285,56,FALSE)</f>
        <v>0</v>
      </c>
      <c r="AT140" s="27">
        <f>VLOOKUP($A140,'[1]Raw Data'!$A$3:$FB$285,57,FALSE)</f>
        <v>672</v>
      </c>
      <c r="AU140" s="27">
        <f>VLOOKUP($A140,'[1]Raw Data'!$A$3:$FB$285,58,FALSE)</f>
        <v>593</v>
      </c>
      <c r="AV140" s="27" t="str">
        <f>VLOOKUP($A140,'[1]Raw Data'!$A$3:$FB$285,59,FALSE)</f>
        <v/>
      </c>
      <c r="AW140" s="27" t="str">
        <f>VLOOKUP($A140,'[1]Raw Data'!$A$3:$FB$285,60,FALSE)</f>
        <v/>
      </c>
      <c r="AX140" s="27" t="str">
        <f>VLOOKUP(A140,'[1]PO''s List'!A138:E420,4,FALSE)</f>
        <v>NRCS(Health),NSET(Shelter)</v>
      </c>
      <c r="AZ140" s="27" t="str">
        <f>VLOOKUP(A140,'[1]PO''s List'!$A$3:$E$285,5,FALSE)</f>
        <v>ACF(Shelter),GIZ(Health),OXFAM-GB(Shelter),SCI(DRR,Education,Employment ,Shelter,Social Protection,Health)</v>
      </c>
      <c r="BB140" s="27">
        <f>VLOOKUP($A140,'[1]Raw Data'!$A$3:$FB$285,63,FALSE)</f>
        <v>76162</v>
      </c>
      <c r="BC140" s="27" t="str">
        <f>VLOOKUP($A140,'[1]Raw Data'!$A$3:$FB$285,64,FALSE)</f>
        <v/>
      </c>
      <c r="BD140" s="27" t="str">
        <f t="shared" si="18"/>
        <v/>
      </c>
      <c r="BE140" s="27" t="str">
        <f>VLOOKUP($A140,'[1]Raw Data'!$A$3:$FB$285,65,FALSE)</f>
        <v/>
      </c>
      <c r="BF140" s="27">
        <f>VLOOKUP($A140,'[1]Raw Data'!$A$3:$FB$285,66,FALSE)</f>
        <v>79252</v>
      </c>
      <c r="BG140" s="27" t="str">
        <f>VLOOKUP($A140,'[1]Raw Data'!$A$3:$FB$285,67,FALSE)</f>
        <v/>
      </c>
      <c r="BH140" s="27" t="str">
        <f t="shared" si="19"/>
        <v/>
      </c>
      <c r="BI140" s="27" t="str">
        <f>VLOOKUP($A140,'[1]Raw Data'!$A$3:$FB$285,68,FALSE)</f>
        <v/>
      </c>
      <c r="BJ140" s="27">
        <f>VLOOKUP($A140,'[1]Raw Data'!$A$3:$FB$285,69,FALSE)</f>
        <v>8142</v>
      </c>
      <c r="BK140" s="27" t="str">
        <f>VLOOKUP($A140,'[1]Raw Data'!$A$3:$FB$285,70,FALSE)</f>
        <v/>
      </c>
      <c r="BL140" s="27" t="str">
        <f t="shared" si="20"/>
        <v/>
      </c>
      <c r="BM140" s="27" t="str">
        <f>VLOOKUP($A140,'[1]Raw Data'!$A$3:$FB$285,71,FALSE)</f>
        <v/>
      </c>
      <c r="BN140" s="27">
        <f>VLOOKUP($A140,'[1]Raw Data'!$A$3:$FB$285,72,FALSE)</f>
        <v>9433</v>
      </c>
      <c r="BO140" s="27" t="str">
        <f>VLOOKUP($A140,'[1]Raw Data'!$A$3:$FB$285,73,FALSE)</f>
        <v/>
      </c>
      <c r="BP140" s="27" t="str">
        <f t="shared" si="21"/>
        <v/>
      </c>
      <c r="BQ140" s="27" t="str">
        <f>VLOOKUP($A140,'[1]Raw Data'!$A$3:$FB$285,74,FALSE)</f>
        <v/>
      </c>
      <c r="BR140" s="27" t="str">
        <f>VLOOKUP($A140,'[1]Raw Data'!$A$3:$FB$285,75,FALSE)</f>
        <v/>
      </c>
      <c r="BS140" s="27" t="str">
        <f>VLOOKUP($A140,'[1]Raw Data'!$A$3:$FB$285,76,FALSE)</f>
        <v/>
      </c>
      <c r="BT140" s="27" t="str">
        <f t="shared" si="22"/>
        <v/>
      </c>
      <c r="BU140" s="27" t="str">
        <f>VLOOKUP($A140,'[1]Raw Data'!$A$3:$FB$285,77,FALSE)</f>
        <v/>
      </c>
      <c r="BV140" s="27">
        <f>VLOOKUP($A140,'[1]Raw Data'!$A$3:$FB$285,78,FALSE)</f>
        <v>262074</v>
      </c>
      <c r="BW140" s="27" t="str">
        <f>VLOOKUP($A140,'[1]Raw Data'!$A$3:$FB$285,79,FALSE)</f>
        <v/>
      </c>
      <c r="BX140" s="27" t="str">
        <f t="shared" si="23"/>
        <v/>
      </c>
      <c r="BY140" s="27" t="str">
        <f>VLOOKUP($A140,'[1]Raw Data'!$A$3:$FB$285,80,FALSE)</f>
        <v/>
      </c>
      <c r="BZ140" s="27">
        <f>VLOOKUP($A140,'[1]Raw Data'!$A$3:$FB$285,81,FALSE)</f>
        <v>823462</v>
      </c>
      <c r="CA140" s="27" t="str">
        <f>VLOOKUP($A140,'[1]Raw Data'!$A$3:$FB$285,82,FALSE)</f>
        <v/>
      </c>
      <c r="CB140" s="27" t="str">
        <f t="shared" si="24"/>
        <v/>
      </c>
      <c r="CC140" s="27" t="str">
        <f>VLOOKUP($A140,'[1]Raw Data'!$A$3:$FB$285,83,FALSE)</f>
        <v/>
      </c>
      <c r="CD140" s="27">
        <f>VLOOKUP($A140,'[1]Raw Data'!$A$3:$FB$285,84,FALSE)</f>
        <v>10710</v>
      </c>
      <c r="CE140" s="27" t="str">
        <f>VLOOKUP($A140,'[1]Raw Data'!$A$3:$FB$285,85,FALSE)</f>
        <v/>
      </c>
      <c r="CF140" s="27" t="str">
        <f t="shared" si="25"/>
        <v/>
      </c>
      <c r="CG140" s="27" t="str">
        <f>VLOOKUP($A140,'[1]Raw Data'!$A$3:$FB$285,86,FALSE)</f>
        <v/>
      </c>
      <c r="CH140" s="27">
        <f>VLOOKUP($A140,'[1]Raw Data'!$A$3:$FB$285,87,FALSE)</f>
        <v>618317</v>
      </c>
      <c r="CI140" s="27" t="str">
        <f>VLOOKUP($A140,'[1]Raw Data'!$A$3:$FB$285,88,FALSE)</f>
        <v/>
      </c>
      <c r="CJ140" s="27" t="str">
        <f t="shared" si="26"/>
        <v/>
      </c>
      <c r="CK140" s="27" t="str">
        <f>VLOOKUP($A140,'[1]Raw Data'!$A$3:$FB$285,89,FALSE)</f>
        <v/>
      </c>
      <c r="CL140" s="27">
        <f>VLOOKUP($A140,'[1]Raw Data'!$A$3:$FB$285,91,FALSE)</f>
        <v>1200</v>
      </c>
      <c r="CM140" s="27">
        <f>VLOOKUP($A140,'[1]Raw Data'!$A$3:$FB$285,93,FALSE)</f>
        <v>1000</v>
      </c>
      <c r="CN140" s="27" t="str">
        <f>VLOOKUP($A140,'[1]Raw Data'!$A$3:$FB$285,94,FALSE)</f>
        <v/>
      </c>
      <c r="CO140" s="27" t="str">
        <f>VLOOKUP($A140,'[1]Raw Data'!$A$3:$FB$285,95,FALSE)</f>
        <v/>
      </c>
      <c r="CP140" s="27" t="str">
        <f>VLOOKUP($A140,'[1]Raw Data'!$A$3:$FB$285,96,FALSE)</f>
        <v/>
      </c>
      <c r="CQ140" s="27" t="str">
        <f>VLOOKUP($A140,'[1]Raw Data'!$A$3:$FB$285,97,FALSE)</f>
        <v/>
      </c>
      <c r="CR140" s="27" t="str">
        <f>VLOOKUP($A140,'[1]Raw Data'!$A$3:$FB$285,98,FALSE)</f>
        <v/>
      </c>
      <c r="CS140" s="27" t="str">
        <f>VLOOKUP($A140,'[1]Raw Data'!$A$3:$FB$285,99,FALSE)</f>
        <v/>
      </c>
      <c r="CT140" s="27" t="str">
        <f>VLOOKUP($A140,'[1]Raw Data'!$A$3:$FB$285,101,FALSE)</f>
        <v>Ramesh Wosthi</v>
      </c>
      <c r="CU140" s="27" t="s">
        <v>1244</v>
      </c>
      <c r="CV140" s="27" t="str">
        <f>VLOOKUP($A140,'[1]Raw Data'!$A$3:$FB$285,102,FALSE)</f>
        <v>Mayor</v>
      </c>
      <c r="CW140" s="27" t="s">
        <v>834</v>
      </c>
      <c r="CX140" s="27">
        <f>VLOOKUP($A140,'[1]Raw Data'!$A$3:$FB$285,103,FALSE)</f>
        <v>9841291082</v>
      </c>
      <c r="CY140" s="27" t="str">
        <f>VLOOKUP($A140,'[1]Raw Data'!$A$3:$FB$285,105,FALSE)</f>
        <v>Taradevi Rimal</v>
      </c>
      <c r="CZ140" s="27" t="s">
        <v>1245</v>
      </c>
      <c r="DA140" s="27" t="str">
        <f>VLOOKUP($A140,'[1]Raw Data'!$A$3:$FB$285,106,FALSE)</f>
        <v>Deputy Mayor</v>
      </c>
      <c r="DB140" s="27" t="s">
        <v>888</v>
      </c>
      <c r="DC140" s="27">
        <f>VLOOKUP($A140,'[1]Raw Data'!$A$3:$FB$285,107,FALSE)</f>
        <v>9841548330</v>
      </c>
      <c r="DD140" s="27" t="str">
        <f>VLOOKUP($A140,'[1]Raw Data'!$A$3:$FB$285,109,FALSE)</f>
        <v>Ashok Prasad Dahal</v>
      </c>
      <c r="DE140" s="27" t="s">
        <v>1246</v>
      </c>
      <c r="DF140" s="27" t="str">
        <f>VLOOKUP($A140,'[1]Raw Data'!$A$3:$FB$285,110,FALSE)</f>
        <v>Adminstration Officer</v>
      </c>
      <c r="DG140" s="27" t="s">
        <v>880</v>
      </c>
      <c r="DH140" s="27">
        <f>VLOOKUP($A140,'[1]Raw Data'!$A$3:$FB$285,111,FALSE)</f>
        <v>9851246206</v>
      </c>
      <c r="DI140" s="27" t="str">
        <f>VLOOKUP($A140,'[1]Raw Data'!$A$3:$FB$285,121,FALSE)</f>
        <v/>
      </c>
      <c r="DK140" s="27" t="str">
        <f>VLOOKUP($A140,'[1]Raw Data'!$A$3:$FB$285,122,FALSE)</f>
        <v>Focal Person</v>
      </c>
      <c r="DL140" s="27" t="s">
        <v>881</v>
      </c>
      <c r="DM140" s="27" t="str">
        <f>VLOOKUP($A140,'[1]Raw Data'!$A$3:$FB$285,123,FALSE)</f>
        <v/>
      </c>
      <c r="DN140" s="27" t="str">
        <f>VLOOKUP($A140,'[1]Raw Data'!$A$3:$FB$285,113,FALSE)</f>
        <v/>
      </c>
      <c r="DP140" s="27" t="str">
        <f>VLOOKUP($A140,'[1]Raw Data'!$A$3:$FB$285,114,FALSE)</f>
        <v>NRA Chief-District</v>
      </c>
      <c r="DQ140" s="27" t="s">
        <v>882</v>
      </c>
      <c r="DR140" s="27" t="str">
        <f>VLOOKUP($A140,'[1]Raw Data'!$A$3:$FB$285,115,FALSE)</f>
        <v/>
      </c>
      <c r="DS140" s="27" t="str">
        <f>VLOOKUP($A140,'[1]Raw Data'!$A$3:$FB$285,117,FALSE)</f>
        <v/>
      </c>
      <c r="DU140" s="27" t="str">
        <f>VLOOKUP($A140,'[1]Raw Data'!$A$3:$FB$285,118,FALSE)</f>
        <v>DUDBC.DLPIU Chief</v>
      </c>
      <c r="DV140" s="27" t="s">
        <v>883</v>
      </c>
      <c r="DW140" s="27" t="str">
        <f>VLOOKUP($A140,'[1]Raw Data'!$A$3:$FB$285,119,FALSE)</f>
        <v/>
      </c>
      <c r="DX140" s="27" t="s">
        <v>339</v>
      </c>
      <c r="DY140" s="27" t="str">
        <f>VLOOKUP($A140,'[1]Raw Data'!$A$3:$FB$285,124,FALSE)</f>
        <v>20</v>
      </c>
      <c r="DZ140" s="27" t="s">
        <v>884</v>
      </c>
      <c r="EA140" s="27" t="str">
        <f>VLOOKUP($A140,'[1]Raw Data'!$A$3:$FB$285,125,FALSE)</f>
        <v/>
      </c>
      <c r="EB140" s="27" t="s">
        <v>341</v>
      </c>
      <c r="EC140" s="27" t="str">
        <f>VLOOKUP($A140,'[1]Raw Data'!$A$3:$FB$285,126,FALSE)</f>
        <v/>
      </c>
      <c r="ED140" t="s">
        <v>478</v>
      </c>
      <c r="EE140" s="27" t="str">
        <f>VLOOKUP($A140,'[1]Raw Data'!$A$3:$FB$285,127,FALSE)</f>
        <v/>
      </c>
      <c r="EF140" s="27" t="s">
        <v>343</v>
      </c>
      <c r="EG140" s="27" t="str">
        <f>VLOOKUP($A140,'[1]Raw Data'!$A$3:$FB$285,128,FALSE)</f>
        <v/>
      </c>
      <c r="EH140" t="s">
        <v>344</v>
      </c>
      <c r="EI140" s="27" t="str">
        <f>VLOOKUP($A140,'[1]Raw Data'!$A$3:$FB$285,129,FALSE)</f>
        <v>250</v>
      </c>
      <c r="EM140" s="27" t="str">
        <f>VLOOKUP($A140,'[1]Raw Data'!$A$3:$FB$285,130,FALSE)</f>
        <v/>
      </c>
      <c r="EN140" s="27" t="str">
        <f>VLOOKUP($A140,'[1]Raw Data'!$A$3:$FB$285,131,FALSE)</f>
        <v/>
      </c>
      <c r="EO140" s="27" t="str">
        <f>VLOOKUP($A140,'[1]Raw Data'!$A$3:$FB$285,132,FALSE)</f>
        <v/>
      </c>
      <c r="EP140" s="27" t="str">
        <f>VLOOKUP($A140,'[1]Raw Data'!$A$3:$FB$285,133,FALSE)</f>
        <v/>
      </c>
      <c r="EQ140" s="27" t="str">
        <f>VLOOKUP($A140,'[1]Raw Data'!$A$3:$FB$285,134,FALSE)</f>
        <v/>
      </c>
      <c r="ER140" s="27" t="str">
        <f>VLOOKUP($A140,'[1]Raw Data'!$A$3:$FB$285,135,FALSE)</f>
        <v/>
      </c>
      <c r="ES140" s="27" t="str">
        <f>VLOOKUP($A140,'[1]Raw Data'!$A$3:$FB$285,136,FALSE)</f>
        <v/>
      </c>
      <c r="ET140" s="27" t="str">
        <f>VLOOKUP($A140,'[1]Raw Data'!$A$3:$FB$285,137,FALSE)</f>
        <v/>
      </c>
      <c r="EU140" s="27" t="str">
        <f>VLOOKUP($A140,'[1]Raw Data'!$A$3:$FB$285,138,FALSE)</f>
        <v/>
      </c>
      <c r="EV140" s="27" t="str">
        <f>VLOOKUP($A140,'[1]Raw Data'!$A$3:$FB$285,139,FALSE)</f>
        <v/>
      </c>
      <c r="EW140" s="38">
        <f>VLOOKUP($A140,[1]Training!$A$2:$I$284,5,FALSE)</f>
        <v>362.07692307692309</v>
      </c>
      <c r="EX140" s="31">
        <f>VLOOKUP($A140,[1]Training!$A$2:$I$284,6,FALSE)</f>
        <v>343</v>
      </c>
      <c r="EY140" s="38">
        <f>VLOOKUP($A140,[1]Training!$A$2:$I$284,8,FALSE)</f>
        <v>461.977858040201</v>
      </c>
      <c r="EZ140" s="31">
        <f>VLOOKUP($A140,[1]Training!$A$2:$I$284,9,FALSE)</f>
        <v>0</v>
      </c>
      <c r="FA140" s="27">
        <v>1</v>
      </c>
      <c r="FB140" s="27">
        <v>2</v>
      </c>
      <c r="FC140" s="27" t="str">
        <f>VLOOKUP($A140,'[1]Raw Data'!$A$3:$FB$285,148,FALSE)</f>
        <v>Badri Pyakurel</v>
      </c>
      <c r="FD140" s="27" t="s">
        <v>1215</v>
      </c>
      <c r="FE140" s="27" t="str">
        <f>VLOOKUP($A140,'[1]Raw Data'!$A$3:$FB$285,149,FALSE)</f>
        <v>District Coordinator</v>
      </c>
      <c r="FF140" s="27" t="s">
        <v>885</v>
      </c>
      <c r="FG140" s="27">
        <f>VLOOKUP($A140,'[1]Raw Data'!$A$3:$FB$285,150,FALSE)</f>
        <v>9851154201</v>
      </c>
      <c r="FH140" s="27" t="str">
        <f>VLOOKUP($A140,'[1]Raw Data'!$A$3:$FB$285,156,FALSE)</f>
        <v/>
      </c>
      <c r="FJ140" s="27" t="str">
        <f>VLOOKUP($A140,'[1]Raw Data'!$A$3:$FB$285,157,FALSE)</f>
        <v>District Technical Officer</v>
      </c>
      <c r="FK140" s="27" t="s">
        <v>886</v>
      </c>
      <c r="FL140" s="27" t="str">
        <f>VLOOKUP($A140,'[1]Raw Data'!$A$3:$FB$285,158,FALSE)</f>
        <v/>
      </c>
      <c r="FM140" s="27" t="str">
        <f>VLOOKUP($A140,'[1]Raw Data'!$A$3:$FB$285,152,FALSE)</f>
        <v>Budhha Singh Thakuri</v>
      </c>
      <c r="FN140" s="27" t="s">
        <v>1216</v>
      </c>
      <c r="FO140" s="27" t="str">
        <f>VLOOKUP($A140,'[1]Raw Data'!$A$3:$FB$285,153,FALSE)</f>
        <v>District Information Management Officer</v>
      </c>
      <c r="FP140" s="27" t="s">
        <v>887</v>
      </c>
      <c r="FQ140" s="27">
        <f>VLOOKUP($A140,'[1]Raw Data'!$A$3:$FB$285,154,FALSE)</f>
        <v>9841961829</v>
      </c>
    </row>
    <row r="141" spans="1:173" ht="24" x14ac:dyDescent="0.45">
      <c r="A141" s="27">
        <v>29001</v>
      </c>
      <c r="B141" s="36" t="str">
        <f ca="1">IFERROR(__xludf.DUMMYFUNCTION("""COMPUTED_VALUE"""),"Gosaikunda Gaunpalika")</f>
        <v>Gosaikunda Gaunpalika</v>
      </c>
      <c r="C141" s="37" t="str">
        <f>VLOOKUP(A141,'[1]Palika and District in Nepali '!$D$1:$F$283,3,FALSE)</f>
        <v>गोसाईकुण्ड गाउँपालिका</v>
      </c>
      <c r="D141" s="36" t="str">
        <f ca="1">IFERROR(__xludf.DUMMYFUNCTION("""COMPUTED_VALUE"""),"Rasuwa")</f>
        <v>Rasuwa</v>
      </c>
      <c r="E141" s="36"/>
      <c r="F141" s="27">
        <f>VLOOKUP(A141,'[1]Raw Data'!$A$3:$FB$285,4,FALSE)</f>
        <v>284</v>
      </c>
      <c r="G141" s="27">
        <f>VLOOKUP(A141,'[1]Raw Data'!$A$3:$FB$285,5,FALSE)</f>
        <v>1940</v>
      </c>
      <c r="H141" s="27">
        <f>VLOOKUP(A141,'[1]Raw Data'!$A$3:$FB$285,6,FALSE)</f>
        <v>2224</v>
      </c>
      <c r="I141" s="27">
        <f>VLOOKUP($A141,'[1]Raw Data'!$A$3:$FB$285,8,FALSE)</f>
        <v>8.77</v>
      </c>
      <c r="J141" s="27">
        <f>VLOOKUP($A141,'[1]Raw Data'!$A$3:$FB$285,9,FALSE)</f>
        <v>3.07</v>
      </c>
      <c r="K141" s="27">
        <f>VLOOKUP($A141,'[1]Raw Data'!$A$3:$FB$285,11,FALSE)</f>
        <v>41.19</v>
      </c>
      <c r="L141" s="27">
        <f>VLOOKUP($A141,'[1]Raw Data'!$A$3:$FB$285,12,FALSE)</f>
        <v>70.819999999999993</v>
      </c>
      <c r="M141" s="27">
        <f>VLOOKUP($A141,'[1]Raw Data'!$A$3:$FB$285,14,FALSE)</f>
        <v>0.99</v>
      </c>
      <c r="N141" s="27">
        <f>VLOOKUP($A141,'[1]Raw Data'!$A$3:$FB$285,15,FALSE)</f>
        <v>0.93</v>
      </c>
      <c r="O141" s="27">
        <f>VLOOKUP($A141,'[1]Raw Data'!$A$3:$FB$285,17,FALSE)</f>
        <v>0.09</v>
      </c>
      <c r="P141" s="27">
        <f>VLOOKUP($A141,'[1]Raw Data'!$A$3:$FB$285,18,FALSE)</f>
        <v>0.04</v>
      </c>
      <c r="Q141" s="27">
        <f>VLOOKUP($A141,'[1]Raw Data'!$A$3:$FB$285,20,FALSE)</f>
        <v>4.41</v>
      </c>
      <c r="R141" s="27">
        <f>VLOOKUP($A141,'[1]Raw Data'!$A$3:$FB$285,21,FALSE)</f>
        <v>1.73</v>
      </c>
      <c r="S141" s="27">
        <f>VLOOKUP($A141,'[1]Raw Data'!$A$3:$FB$285,23,FALSE)</f>
        <v>0</v>
      </c>
      <c r="T141" s="27">
        <f>VLOOKUP($A141,'[1]Raw Data'!$A$3:$FB$285,24,FALSE)</f>
        <v>0</v>
      </c>
      <c r="U141" s="27">
        <f>VLOOKUP($A141,'[1]Raw Data'!$A$3:$FB$285,26,FALSE)</f>
        <v>1.1200000000000001</v>
      </c>
      <c r="V141" s="27">
        <f>VLOOKUP($A141,'[1]Raw Data'!$A$3:$FB$285,27,FALSE)</f>
        <v>0.75</v>
      </c>
      <c r="W141" s="27">
        <f>VLOOKUP($A141,'[1]Raw Data'!$A$3:$FB$285,29,FALSE)</f>
        <v>0</v>
      </c>
      <c r="X141" s="27">
        <f>VLOOKUP($A141,'[1]Raw Data'!$A$3:$FB$285,30,FALSE)</f>
        <v>0</v>
      </c>
      <c r="Y141" s="27">
        <f>VLOOKUP($A141,'[1]Raw Data'!$A$3:$FB$285,32,FALSE)</f>
        <v>42.76</v>
      </c>
      <c r="Z141" s="27">
        <f>VLOOKUP($A141,'[1]Raw Data'!$A$3:$FB$285,33,FALSE)</f>
        <v>22.25</v>
      </c>
      <c r="AA141" s="27">
        <f>VLOOKUP($A141,'[1]Raw Data'!$A$3:$FB$285,35,FALSE)</f>
        <v>0.63</v>
      </c>
      <c r="AB141" s="27">
        <f>VLOOKUP($A141,'[1]Raw Data'!$A$3:$FB$285,36,FALSE)</f>
        <v>0.36</v>
      </c>
      <c r="AC141" s="27">
        <f>VLOOKUP($A141,'[1]Raw Data'!$A$3:$FB$285,38,FALSE)</f>
        <v>0.04</v>
      </c>
      <c r="AD141" s="27">
        <f>VLOOKUP($A141,'[1]Raw Data'!$A$3:$FB$285,39,FALSE)</f>
        <v>0.06</v>
      </c>
      <c r="AE141" s="27">
        <f>VLOOKUP($A141,'[1]Raw Data'!$A$3:$FB$285,41,FALSE)</f>
        <v>0</v>
      </c>
      <c r="AF141" s="27">
        <f>VLOOKUP($A141,'[1]Raw Data'!$A$3:$FB$285,42,FALSE)</f>
        <v>0</v>
      </c>
      <c r="AG141" s="27">
        <f>VLOOKUP($A141,'[1]Raw Data'!$A$3:$FB$285,44,FALSE)</f>
        <v>0</v>
      </c>
      <c r="AH141" s="27">
        <f>VLOOKUP($A141,'[1]Raw Data'!$A$3:$FB$285,45,FALSE)</f>
        <v>0</v>
      </c>
      <c r="AI141" s="27">
        <f>VLOOKUP($A141,'[1]Raw Data'!$A$3:$FB$285,46,FALSE)</f>
        <v>1979</v>
      </c>
      <c r="AJ141" s="27">
        <f>VLOOKUP($A141,'[1]Raw Data'!$A$3:$FB$285,47,FALSE)</f>
        <v>1836</v>
      </c>
      <c r="AK141" s="27">
        <f>VLOOKUP($A141,'[1]Raw Data'!$A$3:$FB$285,48,FALSE)</f>
        <v>1838</v>
      </c>
      <c r="AL141" s="27">
        <f>VLOOKUP($A141,'[1]Raw Data'!$A$3:$FB$285,49,FALSE)</f>
        <v>1649</v>
      </c>
      <c r="AM141" s="27">
        <f>VLOOKUP($A141,'[1]Raw Data'!$A$3:$FB$285,50,FALSE)</f>
        <v>1248</v>
      </c>
      <c r="AN141" s="27">
        <f>VLOOKUP($A141,'[1]Raw Data'!$A$3:$FB$285,51,FALSE)</f>
        <v>590</v>
      </c>
      <c r="AO141" s="27">
        <f>VLOOKUP($A141,'[1]Raw Data'!$A$3:$FB$285,52,FALSE)</f>
        <v>1248</v>
      </c>
      <c r="AP141" s="27">
        <f>VLOOKUP($A141,'[1]Raw Data'!$A$3:$FB$285,53,FALSE)</f>
        <v>84</v>
      </c>
      <c r="AQ141" s="27">
        <f>VLOOKUP($A141,'[1]Raw Data'!$A$3:$FB$285,54,FALSE)</f>
        <v>60</v>
      </c>
      <c r="AR141" s="27">
        <f>VLOOKUP($A141,'[1]Raw Data'!$A$3:$FB$285,55,FALSE)</f>
        <v>60</v>
      </c>
      <c r="AS141" s="27">
        <f>VLOOKUP($A141,'[1]Raw Data'!$A$3:$FB$285,56,FALSE)</f>
        <v>0</v>
      </c>
      <c r="AT141" s="27">
        <f>VLOOKUP($A141,'[1]Raw Data'!$A$3:$FB$285,57,FALSE)</f>
        <v>257</v>
      </c>
      <c r="AU141" s="27">
        <f>VLOOKUP($A141,'[1]Raw Data'!$A$3:$FB$285,58,FALSE)</f>
        <v>257</v>
      </c>
      <c r="AV141" s="27">
        <f>VLOOKUP($A141,'[1]Raw Data'!$A$3:$FB$285,59,FALSE)</f>
        <v>90</v>
      </c>
      <c r="AW141" s="27">
        <f>VLOOKUP($A141,'[1]Raw Data'!$A$3:$FB$285,60,FALSE)</f>
        <v>70</v>
      </c>
      <c r="AX141" s="27" t="str">
        <f>VLOOKUP(A141,'[1]PO''s List'!A139:E421,4,FALSE)</f>
        <v>NRCS(Health)</v>
      </c>
      <c r="AZ141" s="27" t="str">
        <f>VLOOKUP(A141,'[1]PO''s List'!$A$3:$E$285,5,FALSE)</f>
        <v>AA(DRR,Employment ,GESI),ACF(Health,Shelter,Health),CTEVT(Shelter),GIZ(Shelter),GOAL(Shelter),GON(Shelter),HELVETAS(Shelter),PIN and CSRC(Shelter),SCI(Education,Shelter,Social Protection,Health),SP-N(Shelter,Health)</v>
      </c>
      <c r="BB141" s="27">
        <f>VLOOKUP($A141,'[1]Raw Data'!$A$3:$FB$285,63,FALSE)</f>
        <v>53778</v>
      </c>
      <c r="BC141" s="27" t="str">
        <f>VLOOKUP($A141,'[1]Raw Data'!$A$3:$FB$285,64,FALSE)</f>
        <v>Y</v>
      </c>
      <c r="BD141" s="27" t="str">
        <f t="shared" si="18"/>
        <v>छ</v>
      </c>
      <c r="BE141" s="27">
        <f>VLOOKUP($A141,'[1]Raw Data'!$A$3:$FB$285,65,FALSE)</f>
        <v>600</v>
      </c>
      <c r="BF141" s="27">
        <f>VLOOKUP($A141,'[1]Raw Data'!$A$3:$FB$285,66,FALSE)</f>
        <v>39616</v>
      </c>
      <c r="BG141" s="27" t="str">
        <f>VLOOKUP($A141,'[1]Raw Data'!$A$3:$FB$285,67,FALSE)</f>
        <v>N</v>
      </c>
      <c r="BH141" s="27" t="str">
        <f t="shared" si="19"/>
        <v>छैन</v>
      </c>
      <c r="BI141" s="27">
        <f>VLOOKUP($A141,'[1]Raw Data'!$A$3:$FB$285,68,FALSE)</f>
        <v>3000</v>
      </c>
      <c r="BJ141" s="27">
        <f>VLOOKUP($A141,'[1]Raw Data'!$A$3:$FB$285,69,FALSE)</f>
        <v>5599</v>
      </c>
      <c r="BK141" s="27" t="str">
        <f>VLOOKUP($A141,'[1]Raw Data'!$A$3:$FB$285,70,FALSE)</f>
        <v>N</v>
      </c>
      <c r="BL141" s="27" t="str">
        <f t="shared" si="20"/>
        <v>छैन</v>
      </c>
      <c r="BM141" s="27">
        <f>VLOOKUP($A141,'[1]Raw Data'!$A$3:$FB$285,71,FALSE)</f>
        <v>4500</v>
      </c>
      <c r="BN141" s="27">
        <f>VLOOKUP($A141,'[1]Raw Data'!$A$3:$FB$285,72,FALSE)</f>
        <v>5936</v>
      </c>
      <c r="BO141" s="27" t="str">
        <f>VLOOKUP($A141,'[1]Raw Data'!$A$3:$FB$285,73,FALSE)</f>
        <v>N</v>
      </c>
      <c r="BP141" s="27" t="str">
        <f t="shared" si="21"/>
        <v>छैन</v>
      </c>
      <c r="BQ141" s="27" t="str">
        <f>VLOOKUP($A141,'[1]Raw Data'!$A$3:$FB$285,74,FALSE)</f>
        <v>0</v>
      </c>
      <c r="BR141" s="27" t="str">
        <f>VLOOKUP($A141,'[1]Raw Data'!$A$3:$FB$285,75,FALSE)</f>
        <v/>
      </c>
      <c r="BS141" s="27" t="str">
        <f>VLOOKUP($A141,'[1]Raw Data'!$A$3:$FB$285,76,FALSE)</f>
        <v>N</v>
      </c>
      <c r="BT141" s="27" t="str">
        <f t="shared" si="22"/>
        <v>छैन</v>
      </c>
      <c r="BU141" s="27">
        <f>VLOOKUP($A141,'[1]Raw Data'!$A$3:$FB$285,77,FALSE)</f>
        <v>900</v>
      </c>
      <c r="BV141" s="27">
        <f>VLOOKUP($A141,'[1]Raw Data'!$A$3:$FB$285,78,FALSE)</f>
        <v>135175</v>
      </c>
      <c r="BW141" s="27" t="str">
        <f>VLOOKUP($A141,'[1]Raw Data'!$A$3:$FB$285,79,FALSE)</f>
        <v>N</v>
      </c>
      <c r="BX141" s="27" t="str">
        <f t="shared" si="23"/>
        <v>छैन</v>
      </c>
      <c r="BY141" s="27">
        <f>VLOOKUP($A141,'[1]Raw Data'!$A$3:$FB$285,80,FALSE)</f>
        <v>1000</v>
      </c>
      <c r="BZ141" s="27">
        <f>VLOOKUP($A141,'[1]Raw Data'!$A$3:$FB$285,81,FALSE)</f>
        <v>608207</v>
      </c>
      <c r="CA141" s="27" t="str">
        <f>VLOOKUP($A141,'[1]Raw Data'!$A$3:$FB$285,82,FALSE)</f>
        <v>N</v>
      </c>
      <c r="CB141" s="27" t="str">
        <f t="shared" si="24"/>
        <v>छैन</v>
      </c>
      <c r="CC141" s="27">
        <f>VLOOKUP($A141,'[1]Raw Data'!$A$3:$FB$285,83,FALSE)</f>
        <v>96</v>
      </c>
      <c r="CD141" s="27">
        <f>VLOOKUP($A141,'[1]Raw Data'!$A$3:$FB$285,84,FALSE)</f>
        <v>5509</v>
      </c>
      <c r="CE141" s="27" t="str">
        <f>VLOOKUP($A141,'[1]Raw Data'!$A$3:$FB$285,85,FALSE)</f>
        <v>N</v>
      </c>
      <c r="CF141" s="27" t="str">
        <f t="shared" si="25"/>
        <v>छैन</v>
      </c>
      <c r="CG141" s="27" t="str">
        <f>VLOOKUP($A141,'[1]Raw Data'!$A$3:$FB$285,86,FALSE)</f>
        <v>9000</v>
      </c>
      <c r="CH141" s="27">
        <f>VLOOKUP($A141,'[1]Raw Data'!$A$3:$FB$285,87,FALSE)</f>
        <v>1882752</v>
      </c>
      <c r="CI141" s="27" t="str">
        <f>VLOOKUP($A141,'[1]Raw Data'!$A$3:$FB$285,88,FALSE)</f>
        <v>N</v>
      </c>
      <c r="CJ141" s="27" t="str">
        <f t="shared" si="26"/>
        <v>छैन</v>
      </c>
      <c r="CK141" s="27">
        <f>VLOOKUP($A141,'[1]Raw Data'!$A$3:$FB$285,89,FALSE)</f>
        <v>20</v>
      </c>
      <c r="CL141" s="27">
        <f>VLOOKUP($A141,'[1]Raw Data'!$A$3:$FB$285,91,FALSE)</f>
        <v>1200</v>
      </c>
      <c r="CM141" s="27">
        <f>VLOOKUP($A141,'[1]Raw Data'!$A$3:$FB$285,93,FALSE)</f>
        <v>800</v>
      </c>
      <c r="CN141" s="27" t="str">
        <f>VLOOKUP($A141,'[1]Raw Data'!$A$3:$FB$285,94,FALSE)</f>
        <v/>
      </c>
      <c r="CO141" s="27" t="str">
        <f>VLOOKUP($A141,'[1]Raw Data'!$A$3:$FB$285,95,FALSE)</f>
        <v/>
      </c>
      <c r="CP141" s="27" t="str">
        <f>VLOOKUP($A141,'[1]Raw Data'!$A$3:$FB$285,96,FALSE)</f>
        <v/>
      </c>
      <c r="CQ141" s="27" t="str">
        <f>VLOOKUP($A141,'[1]Raw Data'!$A$3:$FB$285,97,FALSE)</f>
        <v/>
      </c>
      <c r="CR141" s="27" t="str">
        <f>VLOOKUP($A141,'[1]Raw Data'!$A$3:$FB$285,98,FALSE)</f>
        <v/>
      </c>
      <c r="CS141" s="27" t="str">
        <f>VLOOKUP($A141,'[1]Raw Data'!$A$3:$FB$285,99,FALSE)</f>
        <v/>
      </c>
      <c r="CT141" s="27" t="str">
        <f>VLOOKUP($A141,'[1]Raw Data'!$A$3:$FB$285,101,FALSE)</f>
        <v xml:space="preserve">Kaisang Nurpu Tamang </v>
      </c>
      <c r="CU141" s="27" t="s">
        <v>1247</v>
      </c>
      <c r="CV141" s="27" t="str">
        <f>VLOOKUP($A141,'[1]Raw Data'!$A$3:$FB$285,102,FALSE)</f>
        <v>Chairman</v>
      </c>
      <c r="CW141" s="27" t="s">
        <v>878</v>
      </c>
      <c r="CX141" s="27">
        <f>VLOOKUP($A141,'[1]Raw Data'!$A$3:$FB$285,103,FALSE)</f>
        <v>9851111829</v>
      </c>
      <c r="CY141" s="27" t="str">
        <f>VLOOKUP($A141,'[1]Raw Data'!$A$3:$FB$285,105,FALSE)</f>
        <v>KarGyalmo Shrestha</v>
      </c>
      <c r="CZ141" s="27" t="s">
        <v>1248</v>
      </c>
      <c r="DA141" s="27" t="str">
        <f>VLOOKUP($A141,'[1]Raw Data'!$A$3:$FB$285,106,FALSE)</f>
        <v>Deputy Chairman</v>
      </c>
      <c r="DB141" s="27" t="s">
        <v>879</v>
      </c>
      <c r="DC141" s="27">
        <f>VLOOKUP($A141,'[1]Raw Data'!$A$3:$FB$285,107,FALSE)</f>
        <v>9851259626</v>
      </c>
      <c r="DD141" s="27" t="str">
        <f>VLOOKUP($A141,'[1]Raw Data'!$A$3:$FB$285,109,FALSE)</f>
        <v>Purshowtam Sapkota</v>
      </c>
      <c r="DE141" s="27" t="s">
        <v>1249</v>
      </c>
      <c r="DF141" s="27" t="str">
        <f>VLOOKUP($A141,'[1]Raw Data'!$A$3:$FB$285,110,FALSE)</f>
        <v>Chief Adminstration Officer</v>
      </c>
      <c r="DG141" s="27" t="s">
        <v>880</v>
      </c>
      <c r="DH141" s="27">
        <f>VLOOKUP($A141,'[1]Raw Data'!$A$3:$FB$285,111,FALSE)</f>
        <v>9855075303</v>
      </c>
      <c r="DI141" s="27" t="str">
        <f>VLOOKUP($A141,'[1]Raw Data'!$A$3:$FB$285,121,FALSE)</f>
        <v>Arjun Parsad Dottal</v>
      </c>
      <c r="DJ141" s="27" t="s">
        <v>1250</v>
      </c>
      <c r="DK141" s="27" t="str">
        <f>VLOOKUP($A141,'[1]Raw Data'!$A$3:$FB$285,122,FALSE)</f>
        <v>Focal Person</v>
      </c>
      <c r="DL141" s="27" t="s">
        <v>881</v>
      </c>
      <c r="DM141" s="27">
        <f>VLOOKUP($A141,'[1]Raw Data'!$A$3:$FB$285,123,FALSE)</f>
        <v>9841559270</v>
      </c>
      <c r="DN141" s="27" t="str">
        <f>VLOOKUP($A141,'[1]Raw Data'!$A$3:$FB$285,113,FALSE)</f>
        <v>Krishna Kant Upadheya</v>
      </c>
      <c r="DO141" s="27" t="s">
        <v>1251</v>
      </c>
      <c r="DP141" s="27" t="str">
        <f>VLOOKUP($A141,'[1]Raw Data'!$A$3:$FB$285,114,FALSE)</f>
        <v>NRA Chief-District</v>
      </c>
      <c r="DQ141" s="27" t="s">
        <v>882</v>
      </c>
      <c r="DR141" s="27">
        <f>VLOOKUP($A141,'[1]Raw Data'!$A$3:$FB$285,115,FALSE)</f>
        <v>9843588686</v>
      </c>
      <c r="DS141" s="27" t="str">
        <f>VLOOKUP($A141,'[1]Raw Data'!$A$3:$FB$285,117,FALSE)</f>
        <v>Kosh Nath Adhikari</v>
      </c>
      <c r="DT141" s="27" t="s">
        <v>1252</v>
      </c>
      <c r="DU141" s="27" t="str">
        <f>VLOOKUP($A141,'[1]Raw Data'!$A$3:$FB$285,118,FALSE)</f>
        <v>DUDBC.DLPIU Chief</v>
      </c>
      <c r="DV141" s="27" t="s">
        <v>883</v>
      </c>
      <c r="DW141" s="27">
        <f>VLOOKUP($A141,'[1]Raw Data'!$A$3:$FB$285,119,FALSE)</f>
        <v>9855046584</v>
      </c>
      <c r="DX141" s="27" t="s">
        <v>339</v>
      </c>
      <c r="DY141" s="27" t="str">
        <f>VLOOKUP($A141,'[1]Raw Data'!$A$3:$FB$285,124,FALSE)</f>
        <v>20</v>
      </c>
      <c r="DZ141" s="27" t="s">
        <v>884</v>
      </c>
      <c r="EA141" s="27" t="str">
        <f>VLOOKUP($A141,'[1]Raw Data'!$A$3:$FB$285,125,FALSE)</f>
        <v/>
      </c>
      <c r="EB141" s="27" t="s">
        <v>341</v>
      </c>
      <c r="EC141" s="27" t="str">
        <f>VLOOKUP($A141,'[1]Raw Data'!$A$3:$FB$285,126,FALSE)</f>
        <v/>
      </c>
      <c r="ED141" t="s">
        <v>478</v>
      </c>
      <c r="EE141" s="27" t="str">
        <f>VLOOKUP($A141,'[1]Raw Data'!$A$3:$FB$285,127,FALSE)</f>
        <v/>
      </c>
      <c r="EF141" s="27" t="s">
        <v>343</v>
      </c>
      <c r="EG141" s="27" t="str">
        <f>VLOOKUP($A141,'[1]Raw Data'!$A$3:$FB$285,128,FALSE)</f>
        <v/>
      </c>
      <c r="EH141" t="s">
        <v>344</v>
      </c>
      <c r="EI141" s="27" t="str">
        <f>VLOOKUP($A141,'[1]Raw Data'!$A$3:$FB$285,129,FALSE)</f>
        <v/>
      </c>
      <c r="EM141" s="31">
        <f>VLOOKUP($A141,'[1]Raw Data'!$A$3:$FB$285,130,FALSE)</f>
        <v>4</v>
      </c>
      <c r="EN141" s="31" t="str">
        <f>VLOOKUP($A141,'[1]Raw Data'!$A$3:$FB$285,131,FALSE)</f>
        <v>6</v>
      </c>
      <c r="EO141" s="31">
        <f>VLOOKUP($A141,'[1]Raw Data'!$A$3:$FB$285,132,FALSE)</f>
        <v>7</v>
      </c>
      <c r="EP141" s="31" t="str">
        <f>VLOOKUP($A141,'[1]Raw Data'!$A$3:$FB$285,133,FALSE)</f>
        <v>6</v>
      </c>
      <c r="EQ141" s="31">
        <f>VLOOKUP($A141,'[1]Raw Data'!$A$3:$FB$285,134,FALSE)</f>
        <v>5</v>
      </c>
      <c r="ER141" s="31" t="str">
        <f>VLOOKUP($A141,'[1]Raw Data'!$A$3:$FB$285,135,FALSE)</f>
        <v>6</v>
      </c>
      <c r="ES141" s="27" t="str">
        <f>VLOOKUP($A141,'[1]Raw Data'!$A$3:$FB$285,136,FALSE)</f>
        <v>372</v>
      </c>
      <c r="ET141" s="27" t="str">
        <f>VLOOKUP($A141,'[1]Raw Data'!$A$3:$FB$285,137,FALSE)</f>
        <v/>
      </c>
      <c r="EU141" s="27" t="str">
        <f>VLOOKUP($A141,'[1]Raw Data'!$A$3:$FB$285,138,FALSE)</f>
        <v>360</v>
      </c>
      <c r="EV141" s="27" t="str">
        <f>VLOOKUP($A141,'[1]Raw Data'!$A$3:$FB$285,139,FALSE)</f>
        <v/>
      </c>
      <c r="EW141" s="38">
        <f>VLOOKUP($A141,[1]Training!$A$2:$I$284,5,FALSE)</f>
        <v>152.23076923076923</v>
      </c>
      <c r="EX141" s="31">
        <f>VLOOKUP($A141,[1]Training!$A$2:$I$284,6,FALSE)</f>
        <v>226</v>
      </c>
      <c r="EY141" s="38">
        <f>VLOOKUP($A141,[1]Training!$A$2:$I$284,8,FALSE)</f>
        <v>190.10566762728146</v>
      </c>
      <c r="EZ141" s="31">
        <f>VLOOKUP($A141,[1]Training!$A$2:$I$284,9,FALSE)</f>
        <v>0</v>
      </c>
      <c r="FA141" s="27">
        <v>1</v>
      </c>
      <c r="FB141" s="27">
        <v>2</v>
      </c>
      <c r="FC141" s="27" t="str">
        <f>VLOOKUP($A141,'[1]Raw Data'!$A$3:$FB$285,148,FALSE)</f>
        <v>Rijan Gajurel</v>
      </c>
      <c r="FD141" s="27" t="s">
        <v>1253</v>
      </c>
      <c r="FE141" s="27" t="str">
        <f>VLOOKUP($A141,'[1]Raw Data'!$A$3:$FB$285,149,FALSE)</f>
        <v>District Coordinator</v>
      </c>
      <c r="FF141" s="27" t="s">
        <v>885</v>
      </c>
      <c r="FG141" s="27">
        <f>VLOOKUP($A141,'[1]Raw Data'!$A$3:$FB$285,150,FALSE)</f>
        <v>9851114937</v>
      </c>
      <c r="FH141" s="27" t="str">
        <f>VLOOKUP($A141,'[1]Raw Data'!$A$3:$FB$285,156,FALSE)</f>
        <v>Biren Shah</v>
      </c>
      <c r="FI141" s="27" t="s">
        <v>1254</v>
      </c>
      <c r="FJ141" s="27" t="str">
        <f>VLOOKUP($A141,'[1]Raw Data'!$A$3:$FB$285,157,FALSE)</f>
        <v>District Technical Officer</v>
      </c>
      <c r="FK141" s="27" t="s">
        <v>886</v>
      </c>
      <c r="FL141" s="27">
        <f>VLOOKUP($A141,'[1]Raw Data'!$A$3:$FB$285,158,FALSE)</f>
        <v>9817396852</v>
      </c>
      <c r="FM141" s="27" t="str">
        <f>VLOOKUP($A141,'[1]Raw Data'!$A$3:$FB$285,152,FALSE)</f>
        <v>Rijan Gajurel</v>
      </c>
      <c r="FN141" s="27" t="s">
        <v>1253</v>
      </c>
      <c r="FO141" s="27" t="str">
        <f>VLOOKUP($A141,'[1]Raw Data'!$A$3:$FB$285,153,FALSE)</f>
        <v>DIstrict Information Management Officer</v>
      </c>
      <c r="FP141" s="27" t="s">
        <v>887</v>
      </c>
      <c r="FQ141" s="27">
        <f>VLOOKUP($A141,'[1]Raw Data'!$A$3:$FB$285,154,FALSE)</f>
        <v>9851114937</v>
      </c>
    </row>
    <row r="142" spans="1:173" ht="24" x14ac:dyDescent="0.45">
      <c r="A142" s="27">
        <v>29002</v>
      </c>
      <c r="B142" s="36" t="str">
        <f ca="1">IFERROR(__xludf.DUMMYFUNCTION("""COMPUTED_VALUE"""),"Kalika Gaunpalika")</f>
        <v>Kalika Gaunpalika</v>
      </c>
      <c r="C142" s="37" t="str">
        <f>VLOOKUP(A142,'[1]Palika and District in Nepali '!$D$1:$F$283,3,FALSE)</f>
        <v>कालिका गाउँपालिका</v>
      </c>
      <c r="D142" s="36" t="str">
        <f ca="1">IFERROR(__xludf.DUMMYFUNCTION("""COMPUTED_VALUE"""),"Rasuwa")</f>
        <v>Rasuwa</v>
      </c>
      <c r="E142" s="36"/>
      <c r="F142" s="27">
        <f>VLOOKUP(A142,'[1]Raw Data'!$A$3:$FB$285,4,FALSE)</f>
        <v>125</v>
      </c>
      <c r="G142" s="27">
        <f>VLOOKUP(A142,'[1]Raw Data'!$A$3:$FB$285,5,FALSE)</f>
        <v>2405</v>
      </c>
      <c r="H142" s="27">
        <f>VLOOKUP(A142,'[1]Raw Data'!$A$3:$FB$285,6,FALSE)</f>
        <v>2530</v>
      </c>
      <c r="I142" s="27">
        <f>VLOOKUP($A142,'[1]Raw Data'!$A$3:$FB$285,8,FALSE)</f>
        <v>2.85</v>
      </c>
      <c r="J142" s="27">
        <f>VLOOKUP($A142,'[1]Raw Data'!$A$3:$FB$285,9,FALSE)</f>
        <v>3.07</v>
      </c>
      <c r="K142" s="27">
        <f>VLOOKUP($A142,'[1]Raw Data'!$A$3:$FB$285,11,FALSE)</f>
        <v>91.7</v>
      </c>
      <c r="L142" s="27">
        <f>VLOOKUP($A142,'[1]Raw Data'!$A$3:$FB$285,12,FALSE)</f>
        <v>70.819999999999993</v>
      </c>
      <c r="M142" s="27">
        <f>VLOOKUP($A142,'[1]Raw Data'!$A$3:$FB$285,14,FALSE)</f>
        <v>1.66</v>
      </c>
      <c r="N142" s="27">
        <f>VLOOKUP($A142,'[1]Raw Data'!$A$3:$FB$285,15,FALSE)</f>
        <v>0.93</v>
      </c>
      <c r="O142" s="27">
        <f>VLOOKUP($A142,'[1]Raw Data'!$A$3:$FB$285,17,FALSE)</f>
        <v>0.08</v>
      </c>
      <c r="P142" s="27">
        <f>VLOOKUP($A142,'[1]Raw Data'!$A$3:$FB$285,18,FALSE)</f>
        <v>0.04</v>
      </c>
      <c r="Q142" s="27">
        <f>VLOOKUP($A142,'[1]Raw Data'!$A$3:$FB$285,20,FALSE)</f>
        <v>2.81</v>
      </c>
      <c r="R142" s="27">
        <f>VLOOKUP($A142,'[1]Raw Data'!$A$3:$FB$285,21,FALSE)</f>
        <v>1.73</v>
      </c>
      <c r="S142" s="27">
        <f>VLOOKUP($A142,'[1]Raw Data'!$A$3:$FB$285,23,FALSE)</f>
        <v>0</v>
      </c>
      <c r="T142" s="27">
        <f>VLOOKUP($A142,'[1]Raw Data'!$A$3:$FB$285,24,FALSE)</f>
        <v>0</v>
      </c>
      <c r="U142" s="27">
        <f>VLOOKUP($A142,'[1]Raw Data'!$A$3:$FB$285,26,FALSE)</f>
        <v>0.36</v>
      </c>
      <c r="V142" s="27">
        <f>VLOOKUP($A142,'[1]Raw Data'!$A$3:$FB$285,27,FALSE)</f>
        <v>0.75</v>
      </c>
      <c r="W142" s="27">
        <f>VLOOKUP($A142,'[1]Raw Data'!$A$3:$FB$285,29,FALSE)</f>
        <v>0</v>
      </c>
      <c r="X142" s="27">
        <f>VLOOKUP($A142,'[1]Raw Data'!$A$3:$FB$285,30,FALSE)</f>
        <v>0</v>
      </c>
      <c r="Y142" s="27">
        <f>VLOOKUP($A142,'[1]Raw Data'!$A$3:$FB$285,32,FALSE)</f>
        <v>0.08</v>
      </c>
      <c r="Z142" s="27">
        <f>VLOOKUP($A142,'[1]Raw Data'!$A$3:$FB$285,33,FALSE)</f>
        <v>22.25</v>
      </c>
      <c r="AA142" s="27">
        <f>VLOOKUP($A142,'[1]Raw Data'!$A$3:$FB$285,35,FALSE)</f>
        <v>0.47</v>
      </c>
      <c r="AB142" s="27">
        <f>VLOOKUP($A142,'[1]Raw Data'!$A$3:$FB$285,36,FALSE)</f>
        <v>0.36</v>
      </c>
      <c r="AC142" s="27">
        <f>VLOOKUP($A142,'[1]Raw Data'!$A$3:$FB$285,38,FALSE)</f>
        <v>0</v>
      </c>
      <c r="AD142" s="27">
        <f>VLOOKUP($A142,'[1]Raw Data'!$A$3:$FB$285,39,FALSE)</f>
        <v>0.06</v>
      </c>
      <c r="AE142" s="27">
        <f>VLOOKUP($A142,'[1]Raw Data'!$A$3:$FB$285,41,FALSE)</f>
        <v>0</v>
      </c>
      <c r="AF142" s="27">
        <f>VLOOKUP($A142,'[1]Raw Data'!$A$3:$FB$285,42,FALSE)</f>
        <v>0</v>
      </c>
      <c r="AG142" s="27">
        <f>VLOOKUP($A142,'[1]Raw Data'!$A$3:$FB$285,44,FALSE)</f>
        <v>0</v>
      </c>
      <c r="AH142" s="27">
        <f>VLOOKUP($A142,'[1]Raw Data'!$A$3:$FB$285,45,FALSE)</f>
        <v>0</v>
      </c>
      <c r="AI142" s="27">
        <f>VLOOKUP($A142,'[1]Raw Data'!$A$3:$FB$285,46,FALSE)</f>
        <v>2569</v>
      </c>
      <c r="AJ142" s="27">
        <f>VLOOKUP($A142,'[1]Raw Data'!$A$3:$FB$285,47,FALSE)</f>
        <v>2456</v>
      </c>
      <c r="AK142" s="27">
        <f>VLOOKUP($A142,'[1]Raw Data'!$A$3:$FB$285,48,FALSE)</f>
        <v>2456</v>
      </c>
      <c r="AL142" s="27">
        <f>VLOOKUP($A142,'[1]Raw Data'!$A$3:$FB$285,49,FALSE)</f>
        <v>2308</v>
      </c>
      <c r="AM142" s="27">
        <f>VLOOKUP($A142,'[1]Raw Data'!$A$3:$FB$285,50,FALSE)</f>
        <v>2121</v>
      </c>
      <c r="AN142" s="27">
        <f>VLOOKUP($A142,'[1]Raw Data'!$A$3:$FB$285,51,FALSE)</f>
        <v>335</v>
      </c>
      <c r="AO142" s="27">
        <f>VLOOKUP($A142,'[1]Raw Data'!$A$3:$FB$285,52,FALSE)</f>
        <v>1985</v>
      </c>
      <c r="AP142" s="27">
        <f>VLOOKUP($A142,'[1]Raw Data'!$A$3:$FB$285,53,FALSE)</f>
        <v>33</v>
      </c>
      <c r="AQ142" s="27">
        <f>VLOOKUP($A142,'[1]Raw Data'!$A$3:$FB$285,54,FALSE)</f>
        <v>10</v>
      </c>
      <c r="AR142" s="27">
        <f>VLOOKUP($A142,'[1]Raw Data'!$A$3:$FB$285,55,FALSE)</f>
        <v>10</v>
      </c>
      <c r="AS142" s="27">
        <f>VLOOKUP($A142,'[1]Raw Data'!$A$3:$FB$285,56,FALSE)</f>
        <v>0</v>
      </c>
      <c r="AT142" s="27">
        <f>VLOOKUP($A142,'[1]Raw Data'!$A$3:$FB$285,57,FALSE)</f>
        <v>277</v>
      </c>
      <c r="AU142" s="27">
        <f>VLOOKUP($A142,'[1]Raw Data'!$A$3:$FB$285,58,FALSE)</f>
        <v>277</v>
      </c>
      <c r="AV142" s="27">
        <f>VLOOKUP($A142,'[1]Raw Data'!$A$3:$FB$285,59,FALSE)</f>
        <v>106</v>
      </c>
      <c r="AW142" s="27">
        <f>VLOOKUP($A142,'[1]Raw Data'!$A$3:$FB$285,60,FALSE)</f>
        <v>75</v>
      </c>
      <c r="AX142" s="27" t="str">
        <f>VLOOKUP(A142,'[1]PO''s List'!A140:E422,4,FALSE)</f>
        <v>NRCS(Livelihood,Education,Employment ,Health,Shelter,Health)</v>
      </c>
      <c r="AZ142" s="27" t="str">
        <f>VLOOKUP(A142,'[1]PO''s List'!$A$3:$E$285,5,FALSE)</f>
        <v>AA(DRR,Education,Employment ,GESI),ACF(Health,Shelter,Health),CTEVT(Shelter),DEPROSC(Shelter),GON(Shelter),HELVETAS(Shelter),KaurnaF(Shelter),LUMANTI(DRR,Health,Shelter),LWF(Shelter,Health),PIN and CSRC(DRR,Governance,Shelter),SP-N(Health)</v>
      </c>
      <c r="BB142" s="27">
        <f>VLOOKUP($A142,'[1]Raw Data'!$A$3:$FB$285,63,FALSE)</f>
        <v>61975</v>
      </c>
      <c r="BC142" s="27" t="str">
        <f>VLOOKUP($A142,'[1]Raw Data'!$A$3:$FB$285,64,FALSE)</f>
        <v>Y</v>
      </c>
      <c r="BD142" s="27" t="str">
        <f t="shared" si="18"/>
        <v>छ</v>
      </c>
      <c r="BE142" s="27">
        <f>VLOOKUP($A142,'[1]Raw Data'!$A$3:$FB$285,65,FALSE)</f>
        <v>500</v>
      </c>
      <c r="BF142" s="27">
        <f>VLOOKUP($A142,'[1]Raw Data'!$A$3:$FB$285,66,FALSE)</f>
        <v>51612</v>
      </c>
      <c r="BG142" s="27" t="str">
        <f>VLOOKUP($A142,'[1]Raw Data'!$A$3:$FB$285,67,FALSE)</f>
        <v>N</v>
      </c>
      <c r="BH142" s="27" t="str">
        <f t="shared" si="19"/>
        <v>छैन</v>
      </c>
      <c r="BI142" s="27">
        <f>VLOOKUP($A142,'[1]Raw Data'!$A$3:$FB$285,68,FALSE)</f>
        <v>3500</v>
      </c>
      <c r="BJ142" s="27">
        <f>VLOOKUP($A142,'[1]Raw Data'!$A$3:$FB$285,69,FALSE)</f>
        <v>6503</v>
      </c>
      <c r="BK142" s="27" t="str">
        <f>VLOOKUP($A142,'[1]Raw Data'!$A$3:$FB$285,70,FALSE)</f>
        <v>N</v>
      </c>
      <c r="BL142" s="27" t="str">
        <f t="shared" si="20"/>
        <v>छैन</v>
      </c>
      <c r="BM142" s="27">
        <f>VLOOKUP($A142,'[1]Raw Data'!$A$3:$FB$285,71,FALSE)</f>
        <v>5500</v>
      </c>
      <c r="BN142" s="27">
        <f>VLOOKUP($A142,'[1]Raw Data'!$A$3:$FB$285,72,FALSE)</f>
        <v>7088</v>
      </c>
      <c r="BO142" s="27" t="str">
        <f>VLOOKUP($A142,'[1]Raw Data'!$A$3:$FB$285,73,FALSE)</f>
        <v>N</v>
      </c>
      <c r="BP142" s="27" t="str">
        <f t="shared" si="21"/>
        <v>छैन</v>
      </c>
      <c r="BQ142" s="27" t="str">
        <f>VLOOKUP($A142,'[1]Raw Data'!$A$3:$FB$285,74,FALSE)</f>
        <v>0</v>
      </c>
      <c r="BR142" s="27" t="str">
        <f>VLOOKUP($A142,'[1]Raw Data'!$A$3:$FB$285,75,FALSE)</f>
        <v/>
      </c>
      <c r="BS142" s="27" t="str">
        <f>VLOOKUP($A142,'[1]Raw Data'!$A$3:$FB$285,76,FALSE)</f>
        <v>N</v>
      </c>
      <c r="BT142" s="27" t="str">
        <f t="shared" si="22"/>
        <v>छैन</v>
      </c>
      <c r="BU142" s="27">
        <f>VLOOKUP($A142,'[1]Raw Data'!$A$3:$FB$285,77,FALSE)</f>
        <v>900</v>
      </c>
      <c r="BV142" s="27">
        <f>VLOOKUP($A142,'[1]Raw Data'!$A$3:$FB$285,78,FALSE)</f>
        <v>171333</v>
      </c>
      <c r="BW142" s="27" t="str">
        <f>VLOOKUP($A142,'[1]Raw Data'!$A$3:$FB$285,79,FALSE)</f>
        <v>N</v>
      </c>
      <c r="BX142" s="27" t="str">
        <f t="shared" si="23"/>
        <v>छैन</v>
      </c>
      <c r="BY142" s="27">
        <f>VLOOKUP($A142,'[1]Raw Data'!$A$3:$FB$285,80,FALSE)</f>
        <v>1000</v>
      </c>
      <c r="BZ142" s="27">
        <f>VLOOKUP($A142,'[1]Raw Data'!$A$3:$FB$285,81,FALSE)</f>
        <v>687631</v>
      </c>
      <c r="CA142" s="27" t="str">
        <f>VLOOKUP($A142,'[1]Raw Data'!$A$3:$FB$285,82,FALSE)</f>
        <v>N</v>
      </c>
      <c r="CB142" s="27" t="str">
        <f t="shared" si="24"/>
        <v>छैन</v>
      </c>
      <c r="CC142" s="27">
        <f>VLOOKUP($A142,'[1]Raw Data'!$A$3:$FB$285,83,FALSE)</f>
        <v>96</v>
      </c>
      <c r="CD142" s="27">
        <f>VLOOKUP($A142,'[1]Raw Data'!$A$3:$FB$285,84,FALSE)</f>
        <v>6974</v>
      </c>
      <c r="CE142" s="27" t="str">
        <f>VLOOKUP($A142,'[1]Raw Data'!$A$3:$FB$285,85,FALSE)</f>
        <v>N</v>
      </c>
      <c r="CF142" s="27" t="str">
        <f t="shared" si="25"/>
        <v>छैन</v>
      </c>
      <c r="CG142" s="27" t="str">
        <f>VLOOKUP($A142,'[1]Raw Data'!$A$3:$FB$285,86,FALSE)</f>
        <v>9500</v>
      </c>
      <c r="CH142" s="27">
        <f>VLOOKUP($A142,'[1]Raw Data'!$A$3:$FB$285,87,FALSE)</f>
        <v>1240470</v>
      </c>
      <c r="CI142" s="27" t="str">
        <f>VLOOKUP($A142,'[1]Raw Data'!$A$3:$FB$285,88,FALSE)</f>
        <v>N</v>
      </c>
      <c r="CJ142" s="27" t="str">
        <f t="shared" si="26"/>
        <v>छैन</v>
      </c>
      <c r="CK142" s="27">
        <f>VLOOKUP($A142,'[1]Raw Data'!$A$3:$FB$285,89,FALSE)</f>
        <v>20</v>
      </c>
      <c r="CL142" s="27">
        <f>VLOOKUP($A142,'[1]Raw Data'!$A$3:$FB$285,91,FALSE)</f>
        <v>1200</v>
      </c>
      <c r="CM142" s="27">
        <f>VLOOKUP($A142,'[1]Raw Data'!$A$3:$FB$285,93,FALSE)</f>
        <v>1000</v>
      </c>
      <c r="CN142" s="27" t="str">
        <f>VLOOKUP($A142,'[1]Raw Data'!$A$3:$FB$285,94,FALSE)</f>
        <v/>
      </c>
      <c r="CO142" s="27" t="str">
        <f>VLOOKUP($A142,'[1]Raw Data'!$A$3:$FB$285,95,FALSE)</f>
        <v/>
      </c>
      <c r="CP142" s="27" t="str">
        <f>VLOOKUP($A142,'[1]Raw Data'!$A$3:$FB$285,96,FALSE)</f>
        <v/>
      </c>
      <c r="CQ142" s="27" t="str">
        <f>VLOOKUP($A142,'[1]Raw Data'!$A$3:$FB$285,97,FALSE)</f>
        <v/>
      </c>
      <c r="CR142" s="27" t="str">
        <f>VLOOKUP($A142,'[1]Raw Data'!$A$3:$FB$285,98,FALSE)</f>
        <v/>
      </c>
      <c r="CS142" s="27" t="str">
        <f>VLOOKUP($A142,'[1]Raw Data'!$A$3:$FB$285,99,FALSE)</f>
        <v/>
      </c>
      <c r="CT142" s="27" t="str">
        <f>VLOOKUP($A142,'[1]Raw Data'!$A$3:$FB$285,101,FALSE)</f>
        <v>Sita Adhikari Poudel</v>
      </c>
      <c r="CU142" s="27" t="s">
        <v>1255</v>
      </c>
      <c r="CV142" s="27" t="str">
        <f>VLOOKUP($A142,'[1]Raw Data'!$A$3:$FB$285,102,FALSE)</f>
        <v>Chairman</v>
      </c>
      <c r="CW142" s="27" t="s">
        <v>878</v>
      </c>
      <c r="CX142" s="27">
        <f>VLOOKUP($A142,'[1]Raw Data'!$A$3:$FB$285,103,FALSE)</f>
        <v>9841705405</v>
      </c>
      <c r="CY142" s="27" t="str">
        <f>VLOOKUP($A142,'[1]Raw Data'!$A$3:$FB$285,105,FALSE)</f>
        <v>Bhavani Parsad Neupane</v>
      </c>
      <c r="CZ142" s="27" t="s">
        <v>1256</v>
      </c>
      <c r="DA142" s="27" t="str">
        <f>VLOOKUP($A142,'[1]Raw Data'!$A$3:$FB$285,106,FALSE)</f>
        <v>Deputy Chairman</v>
      </c>
      <c r="DB142" s="27" t="s">
        <v>879</v>
      </c>
      <c r="DC142" s="27">
        <f>VLOOKUP($A142,'[1]Raw Data'!$A$3:$FB$285,107,FALSE)</f>
        <v>9841611272</v>
      </c>
      <c r="DD142" s="27" t="str">
        <f>VLOOKUP($A142,'[1]Raw Data'!$A$3:$FB$285,109,FALSE)</f>
        <v>Sarmila Neupane</v>
      </c>
      <c r="DE142" s="27" t="s">
        <v>1257</v>
      </c>
      <c r="DF142" s="27" t="str">
        <f>VLOOKUP($A142,'[1]Raw Data'!$A$3:$FB$285,110,FALSE)</f>
        <v>Chief Adminstration Officer</v>
      </c>
      <c r="DG142" s="27" t="s">
        <v>880</v>
      </c>
      <c r="DH142" s="27">
        <f>VLOOKUP($A142,'[1]Raw Data'!$A$3:$FB$285,111,FALSE)</f>
        <v>9851232096</v>
      </c>
      <c r="DI142" s="27" t="str">
        <f>VLOOKUP($A142,'[1]Raw Data'!$A$3:$FB$285,121,FALSE)</f>
        <v xml:space="preserve">Lila nath Nepal </v>
      </c>
      <c r="DJ142" s="27" t="s">
        <v>1258</v>
      </c>
      <c r="DK142" s="27" t="str">
        <f>VLOOKUP($A142,'[1]Raw Data'!$A$3:$FB$285,122,FALSE)</f>
        <v>Focal Person</v>
      </c>
      <c r="DL142" s="27" t="s">
        <v>881</v>
      </c>
      <c r="DM142" s="27">
        <f>VLOOKUP($A142,'[1]Raw Data'!$A$3:$FB$285,123,FALSE)</f>
        <v>9860056384</v>
      </c>
      <c r="DN142" s="27" t="str">
        <f>VLOOKUP($A142,'[1]Raw Data'!$A$3:$FB$285,113,FALSE)</f>
        <v>Krishna Kant Upadheya</v>
      </c>
      <c r="DO142" s="27" t="s">
        <v>1251</v>
      </c>
      <c r="DP142" s="27" t="str">
        <f>VLOOKUP($A142,'[1]Raw Data'!$A$3:$FB$285,114,FALSE)</f>
        <v>NRA Chief-District</v>
      </c>
      <c r="DQ142" s="27" t="s">
        <v>882</v>
      </c>
      <c r="DR142" s="27">
        <f>VLOOKUP($A142,'[1]Raw Data'!$A$3:$FB$285,115,FALSE)</f>
        <v>9843588686</v>
      </c>
      <c r="DS142" s="27" t="str">
        <f>VLOOKUP($A142,'[1]Raw Data'!$A$3:$FB$285,117,FALSE)</f>
        <v>Kosh Nath Adhikari</v>
      </c>
      <c r="DT142" s="27" t="s">
        <v>1252</v>
      </c>
      <c r="DU142" s="27" t="str">
        <f>VLOOKUP($A142,'[1]Raw Data'!$A$3:$FB$285,118,FALSE)</f>
        <v>DUDBC.DLPIU Chief</v>
      </c>
      <c r="DV142" s="27" t="s">
        <v>883</v>
      </c>
      <c r="DW142" s="27">
        <f>VLOOKUP($A142,'[1]Raw Data'!$A$3:$FB$285,119,FALSE)</f>
        <v>9855046584</v>
      </c>
      <c r="DX142" s="27" t="s">
        <v>339</v>
      </c>
      <c r="DY142" s="27" t="str">
        <f>VLOOKUP($A142,'[1]Raw Data'!$A$3:$FB$285,124,FALSE)</f>
        <v>25</v>
      </c>
      <c r="DZ142" s="27" t="s">
        <v>884</v>
      </c>
      <c r="EA142" s="27" t="str">
        <f>VLOOKUP($A142,'[1]Raw Data'!$A$3:$FB$285,125,FALSE)</f>
        <v/>
      </c>
      <c r="EB142" s="27" t="s">
        <v>341</v>
      </c>
      <c r="EC142" s="27" t="str">
        <f>VLOOKUP($A142,'[1]Raw Data'!$A$3:$FB$285,126,FALSE)</f>
        <v/>
      </c>
      <c r="ED142" t="s">
        <v>478</v>
      </c>
      <c r="EE142" s="27" t="str">
        <f>VLOOKUP($A142,'[1]Raw Data'!$A$3:$FB$285,127,FALSE)</f>
        <v/>
      </c>
      <c r="EF142" s="27" t="s">
        <v>343</v>
      </c>
      <c r="EG142" s="27" t="str">
        <f>VLOOKUP($A142,'[1]Raw Data'!$A$3:$FB$285,128,FALSE)</f>
        <v/>
      </c>
      <c r="EH142" t="s">
        <v>344</v>
      </c>
      <c r="EI142" s="27" t="str">
        <f>VLOOKUP($A142,'[1]Raw Data'!$A$3:$FB$285,129,FALSE)</f>
        <v/>
      </c>
      <c r="EM142" s="31">
        <f>VLOOKUP($A142,'[1]Raw Data'!$A$3:$FB$285,130,FALSE)</f>
        <v>3</v>
      </c>
      <c r="EN142" s="31" t="str">
        <f>VLOOKUP($A142,'[1]Raw Data'!$A$3:$FB$285,131,FALSE)</f>
        <v>5</v>
      </c>
      <c r="EO142" s="31">
        <f>VLOOKUP($A142,'[1]Raw Data'!$A$3:$FB$285,132,FALSE)</f>
        <v>5</v>
      </c>
      <c r="EP142" s="31" t="str">
        <f>VLOOKUP($A142,'[1]Raw Data'!$A$3:$FB$285,133,FALSE)</f>
        <v>5</v>
      </c>
      <c r="EQ142" s="31">
        <f>VLOOKUP($A142,'[1]Raw Data'!$A$3:$FB$285,134,FALSE)</f>
        <v>5</v>
      </c>
      <c r="ER142" s="31" t="str">
        <f>VLOOKUP($A142,'[1]Raw Data'!$A$3:$FB$285,135,FALSE)</f>
        <v>5</v>
      </c>
      <c r="ES142" s="27" t="str">
        <f>VLOOKUP($A142,'[1]Raw Data'!$A$3:$FB$285,136,FALSE)</f>
        <v>337</v>
      </c>
      <c r="ET142" s="27" t="str">
        <f>VLOOKUP($A142,'[1]Raw Data'!$A$3:$FB$285,137,FALSE)</f>
        <v/>
      </c>
      <c r="EU142" s="27" t="str">
        <f>VLOOKUP($A142,'[1]Raw Data'!$A$3:$FB$285,138,FALSE)</f>
        <v>360</v>
      </c>
      <c r="EV142" s="27" t="str">
        <f>VLOOKUP($A142,'[1]Raw Data'!$A$3:$FB$285,139,FALSE)</f>
        <v/>
      </c>
      <c r="EW142" s="38">
        <f>VLOOKUP($A142,[1]Training!$A$2:$I$284,5,FALSE)</f>
        <v>197.61538461538461</v>
      </c>
      <c r="EX142" s="31">
        <f>VLOOKUP($A142,[1]Training!$A$2:$I$284,6,FALSE)</f>
        <v>262</v>
      </c>
      <c r="EY142" s="38">
        <f>VLOOKUP($A142,[1]Training!$A$2:$I$284,8,FALSE)</f>
        <v>246.7819404418828</v>
      </c>
      <c r="EZ142" s="31">
        <f>VLOOKUP($A142,[1]Training!$A$2:$I$284,9,FALSE)</f>
        <v>637</v>
      </c>
      <c r="FA142" s="27">
        <v>1</v>
      </c>
      <c r="FB142" s="27">
        <v>2</v>
      </c>
      <c r="FC142" s="27" t="str">
        <f>VLOOKUP($A142,'[1]Raw Data'!$A$3:$FB$285,148,FALSE)</f>
        <v>Rijan Gajurel</v>
      </c>
      <c r="FD142" s="27" t="s">
        <v>1253</v>
      </c>
      <c r="FE142" s="27" t="str">
        <f>VLOOKUP($A142,'[1]Raw Data'!$A$3:$FB$285,149,FALSE)</f>
        <v>District Coordinator</v>
      </c>
      <c r="FF142" s="27" t="s">
        <v>885</v>
      </c>
      <c r="FG142" s="27">
        <f>VLOOKUP($A142,'[1]Raw Data'!$A$3:$FB$285,150,FALSE)</f>
        <v>9851114937</v>
      </c>
      <c r="FH142" s="27" t="str">
        <f>VLOOKUP($A142,'[1]Raw Data'!$A$3:$FB$285,156,FALSE)</f>
        <v>Biren Shah</v>
      </c>
      <c r="FI142" s="27" t="s">
        <v>1254</v>
      </c>
      <c r="FJ142" s="27" t="str">
        <f>VLOOKUP($A142,'[1]Raw Data'!$A$3:$FB$285,157,FALSE)</f>
        <v>District Technical Officer</v>
      </c>
      <c r="FK142" s="27" t="s">
        <v>886</v>
      </c>
      <c r="FL142" s="27">
        <f>VLOOKUP($A142,'[1]Raw Data'!$A$3:$FB$285,158,FALSE)</f>
        <v>9817396852</v>
      </c>
      <c r="FM142" s="27" t="str">
        <f>VLOOKUP($A142,'[1]Raw Data'!$A$3:$FB$285,152,FALSE)</f>
        <v>Rijan Gajurel</v>
      </c>
      <c r="FN142" s="27" t="s">
        <v>1253</v>
      </c>
      <c r="FO142" s="27" t="str">
        <f>VLOOKUP($A142,'[1]Raw Data'!$A$3:$FB$285,153,FALSE)</f>
        <v>DIstrict Information Management Officer</v>
      </c>
      <c r="FP142" s="27" t="s">
        <v>887</v>
      </c>
      <c r="FQ142" s="27">
        <f>VLOOKUP($A142,'[1]Raw Data'!$A$3:$FB$285,154,FALSE)</f>
        <v>9851114937</v>
      </c>
    </row>
    <row r="143" spans="1:173" ht="24" x14ac:dyDescent="0.45">
      <c r="A143" s="27">
        <v>29003</v>
      </c>
      <c r="B143" s="36" t="str">
        <f ca="1">IFERROR(__xludf.DUMMYFUNCTION("""COMPUTED_VALUE"""),"Naukunda Gaunpalika")</f>
        <v>Naukunda Gaunpalika</v>
      </c>
      <c r="C143" s="37" t="str">
        <f>VLOOKUP(A143,'[1]Palika and District in Nepali '!$D$1:$F$283,3,FALSE)</f>
        <v>नाउकुण्ड गाउँपालिका</v>
      </c>
      <c r="D143" s="36" t="str">
        <f ca="1">IFERROR(__xludf.DUMMYFUNCTION("""COMPUTED_VALUE"""),"Rasuwa")</f>
        <v>Rasuwa</v>
      </c>
      <c r="E143" s="36"/>
      <c r="F143" s="27">
        <f>VLOOKUP(A143,'[1]Raw Data'!$A$3:$FB$285,4,FALSE)</f>
        <v>14</v>
      </c>
      <c r="G143" s="27">
        <f>VLOOKUP(A143,'[1]Raw Data'!$A$3:$FB$285,5,FALSE)</f>
        <v>3284</v>
      </c>
      <c r="H143" s="27">
        <f>VLOOKUP(A143,'[1]Raw Data'!$A$3:$FB$285,6,FALSE)</f>
        <v>3298</v>
      </c>
      <c r="I143" s="27">
        <f>VLOOKUP($A143,'[1]Raw Data'!$A$3:$FB$285,8,FALSE)</f>
        <v>0.55000000000000004</v>
      </c>
      <c r="J143" s="27">
        <f>VLOOKUP($A143,'[1]Raw Data'!$A$3:$FB$285,9,FALSE)</f>
        <v>3.07</v>
      </c>
      <c r="K143" s="27">
        <f>VLOOKUP($A143,'[1]Raw Data'!$A$3:$FB$285,11,FALSE)</f>
        <v>96.81</v>
      </c>
      <c r="L143" s="27">
        <f>VLOOKUP($A143,'[1]Raw Data'!$A$3:$FB$285,12,FALSE)</f>
        <v>70.819999999999993</v>
      </c>
      <c r="M143" s="27">
        <f>VLOOKUP($A143,'[1]Raw Data'!$A$3:$FB$285,14,FALSE)</f>
        <v>0.06</v>
      </c>
      <c r="N143" s="27">
        <f>VLOOKUP($A143,'[1]Raw Data'!$A$3:$FB$285,15,FALSE)</f>
        <v>0.93</v>
      </c>
      <c r="O143" s="27">
        <f>VLOOKUP($A143,'[1]Raw Data'!$A$3:$FB$285,17,FALSE)</f>
        <v>0</v>
      </c>
      <c r="P143" s="27">
        <f>VLOOKUP($A143,'[1]Raw Data'!$A$3:$FB$285,18,FALSE)</f>
        <v>0.04</v>
      </c>
      <c r="Q143" s="27">
        <f>VLOOKUP($A143,'[1]Raw Data'!$A$3:$FB$285,20,FALSE)</f>
        <v>0.76</v>
      </c>
      <c r="R143" s="27">
        <f>VLOOKUP($A143,'[1]Raw Data'!$A$3:$FB$285,21,FALSE)</f>
        <v>1.73</v>
      </c>
      <c r="S143" s="27">
        <f>VLOOKUP($A143,'[1]Raw Data'!$A$3:$FB$285,23,FALSE)</f>
        <v>0</v>
      </c>
      <c r="T143" s="27">
        <f>VLOOKUP($A143,'[1]Raw Data'!$A$3:$FB$285,24,FALSE)</f>
        <v>0</v>
      </c>
      <c r="U143" s="27">
        <f>VLOOKUP($A143,'[1]Raw Data'!$A$3:$FB$285,26,FALSE)</f>
        <v>0.12</v>
      </c>
      <c r="V143" s="27">
        <f>VLOOKUP($A143,'[1]Raw Data'!$A$3:$FB$285,27,FALSE)</f>
        <v>0.75</v>
      </c>
      <c r="W143" s="27">
        <f>VLOOKUP($A143,'[1]Raw Data'!$A$3:$FB$285,29,FALSE)</f>
        <v>0</v>
      </c>
      <c r="X143" s="27">
        <f>VLOOKUP($A143,'[1]Raw Data'!$A$3:$FB$285,30,FALSE)</f>
        <v>0</v>
      </c>
      <c r="Y143" s="27">
        <f>VLOOKUP($A143,'[1]Raw Data'!$A$3:$FB$285,32,FALSE)</f>
        <v>1.18</v>
      </c>
      <c r="Z143" s="27">
        <f>VLOOKUP($A143,'[1]Raw Data'!$A$3:$FB$285,33,FALSE)</f>
        <v>22.25</v>
      </c>
      <c r="AA143" s="27">
        <f>VLOOKUP($A143,'[1]Raw Data'!$A$3:$FB$285,35,FALSE)</f>
        <v>0.49</v>
      </c>
      <c r="AB143" s="27">
        <f>VLOOKUP($A143,'[1]Raw Data'!$A$3:$FB$285,36,FALSE)</f>
        <v>0.36</v>
      </c>
      <c r="AC143" s="27">
        <f>VLOOKUP($A143,'[1]Raw Data'!$A$3:$FB$285,38,FALSE)</f>
        <v>0.03</v>
      </c>
      <c r="AD143" s="27">
        <f>VLOOKUP($A143,'[1]Raw Data'!$A$3:$FB$285,39,FALSE)</f>
        <v>0.06</v>
      </c>
      <c r="AE143" s="27">
        <f>VLOOKUP($A143,'[1]Raw Data'!$A$3:$FB$285,41,FALSE)</f>
        <v>0</v>
      </c>
      <c r="AF143" s="27">
        <f>VLOOKUP($A143,'[1]Raw Data'!$A$3:$FB$285,42,FALSE)</f>
        <v>0</v>
      </c>
      <c r="AG143" s="27">
        <f>VLOOKUP($A143,'[1]Raw Data'!$A$3:$FB$285,44,FALSE)</f>
        <v>0</v>
      </c>
      <c r="AH143" s="27">
        <f>VLOOKUP($A143,'[1]Raw Data'!$A$3:$FB$285,45,FALSE)</f>
        <v>0</v>
      </c>
      <c r="AI143" s="27">
        <f>VLOOKUP($A143,'[1]Raw Data'!$A$3:$FB$285,46,FALSE)</f>
        <v>3349</v>
      </c>
      <c r="AJ143" s="27">
        <f>VLOOKUP($A143,'[1]Raw Data'!$A$3:$FB$285,47,FALSE)</f>
        <v>3291</v>
      </c>
      <c r="AK143" s="27">
        <f>VLOOKUP($A143,'[1]Raw Data'!$A$3:$FB$285,48,FALSE)</f>
        <v>3291</v>
      </c>
      <c r="AL143" s="27">
        <f>VLOOKUP($A143,'[1]Raw Data'!$A$3:$FB$285,49,FALSE)</f>
        <v>3038</v>
      </c>
      <c r="AM143" s="27">
        <f>VLOOKUP($A143,'[1]Raw Data'!$A$3:$FB$285,50,FALSE)</f>
        <v>2758</v>
      </c>
      <c r="AN143" s="27">
        <f>VLOOKUP($A143,'[1]Raw Data'!$A$3:$FB$285,51,FALSE)</f>
        <v>533</v>
      </c>
      <c r="AO143" s="27">
        <f>VLOOKUP($A143,'[1]Raw Data'!$A$3:$FB$285,52,FALSE)</f>
        <v>2758</v>
      </c>
      <c r="AP143" s="27">
        <f>VLOOKUP($A143,'[1]Raw Data'!$A$3:$FB$285,53,FALSE)</f>
        <v>18</v>
      </c>
      <c r="AQ143" s="27">
        <f>VLOOKUP($A143,'[1]Raw Data'!$A$3:$FB$285,54,FALSE)</f>
        <v>11</v>
      </c>
      <c r="AR143" s="27">
        <f>VLOOKUP($A143,'[1]Raw Data'!$A$3:$FB$285,55,FALSE)</f>
        <v>11</v>
      </c>
      <c r="AS143" s="27">
        <f>VLOOKUP($A143,'[1]Raw Data'!$A$3:$FB$285,56,FALSE)</f>
        <v>0</v>
      </c>
      <c r="AT143" s="27">
        <f>VLOOKUP($A143,'[1]Raw Data'!$A$3:$FB$285,57,FALSE)</f>
        <v>237</v>
      </c>
      <c r="AU143" s="27">
        <f>VLOOKUP($A143,'[1]Raw Data'!$A$3:$FB$285,58,FALSE)</f>
        <v>237</v>
      </c>
      <c r="AV143" s="27">
        <f>VLOOKUP($A143,'[1]Raw Data'!$A$3:$FB$285,59,FALSE)</f>
        <v>57</v>
      </c>
      <c r="AW143" s="27">
        <f>VLOOKUP($A143,'[1]Raw Data'!$A$3:$FB$285,60,FALSE)</f>
        <v>40</v>
      </c>
      <c r="AX143" s="27" t="str">
        <f>VLOOKUP(A143,'[1]PO''s List'!A141:E423,4,FALSE)</f>
        <v>NRCS(Livelihood,Education,Employment ,Health,Shelter,Health)</v>
      </c>
      <c r="AZ143" s="27" t="str">
        <f>VLOOKUP(A143,'[1]PO''s List'!$A$3:$E$285,5,FALSE)</f>
        <v>ACF(Health,Shelter),DEPROSC(Shelter),GON(Shelter),HELVETAS(Shelter),LWF(Employment ,Shelter),NAF(Shelter),PIN and CSRC(DRR,Governance,Shelter),SCI(Education,Shelter,Social Protection,Health),SEED(Education),SP-N(Health)</v>
      </c>
      <c r="BB143" s="27">
        <f>VLOOKUP($A143,'[1]Raw Data'!$A$3:$FB$285,63,FALSE)</f>
        <v>82706</v>
      </c>
      <c r="BC143" s="27" t="str">
        <f>VLOOKUP($A143,'[1]Raw Data'!$A$3:$FB$285,64,FALSE)</f>
        <v>Y</v>
      </c>
      <c r="BD143" s="27" t="str">
        <f t="shared" si="18"/>
        <v>छ</v>
      </c>
      <c r="BE143" s="27">
        <f>VLOOKUP($A143,'[1]Raw Data'!$A$3:$FB$285,65,FALSE)</f>
        <v>480</v>
      </c>
      <c r="BF143" s="27">
        <f>VLOOKUP($A143,'[1]Raw Data'!$A$3:$FB$285,66,FALSE)</f>
        <v>81750</v>
      </c>
      <c r="BG143" s="27" t="str">
        <f>VLOOKUP($A143,'[1]Raw Data'!$A$3:$FB$285,67,FALSE)</f>
        <v>N</v>
      </c>
      <c r="BH143" s="27" t="str">
        <f t="shared" si="19"/>
        <v>छैन</v>
      </c>
      <c r="BI143" s="27">
        <f>VLOOKUP($A143,'[1]Raw Data'!$A$3:$FB$285,68,FALSE)</f>
        <v>5000</v>
      </c>
      <c r="BJ143" s="27">
        <f>VLOOKUP($A143,'[1]Raw Data'!$A$3:$FB$285,69,FALSE)</f>
        <v>8809</v>
      </c>
      <c r="BK143" s="27" t="str">
        <f>VLOOKUP($A143,'[1]Raw Data'!$A$3:$FB$285,70,FALSE)</f>
        <v>N</v>
      </c>
      <c r="BL143" s="27" t="str">
        <f t="shared" si="20"/>
        <v>छैन</v>
      </c>
      <c r="BM143" s="27">
        <f>VLOOKUP($A143,'[1]Raw Data'!$A$3:$FB$285,71,FALSE)</f>
        <v>7200</v>
      </c>
      <c r="BN143" s="27">
        <f>VLOOKUP($A143,'[1]Raw Data'!$A$3:$FB$285,72,FALSE)</f>
        <v>10080</v>
      </c>
      <c r="BO143" s="27" t="str">
        <f>VLOOKUP($A143,'[1]Raw Data'!$A$3:$FB$285,73,FALSE)</f>
        <v>N</v>
      </c>
      <c r="BP143" s="27" t="str">
        <f t="shared" si="21"/>
        <v>छैन</v>
      </c>
      <c r="BQ143" s="27" t="str">
        <f>VLOOKUP($A143,'[1]Raw Data'!$A$3:$FB$285,74,FALSE)</f>
        <v>0</v>
      </c>
      <c r="BR143" s="27" t="str">
        <f>VLOOKUP($A143,'[1]Raw Data'!$A$3:$FB$285,75,FALSE)</f>
        <v/>
      </c>
      <c r="BS143" s="27" t="str">
        <f>VLOOKUP($A143,'[1]Raw Data'!$A$3:$FB$285,76,FALSE)</f>
        <v>N</v>
      </c>
      <c r="BT143" s="27" t="str">
        <f t="shared" si="22"/>
        <v>छैन</v>
      </c>
      <c r="BU143" s="27">
        <f>VLOOKUP($A143,'[1]Raw Data'!$A$3:$FB$285,77,FALSE)</f>
        <v>1000</v>
      </c>
      <c r="BV143" s="27">
        <f>VLOOKUP($A143,'[1]Raw Data'!$A$3:$FB$285,78,FALSE)</f>
        <v>275827</v>
      </c>
      <c r="BW143" s="27" t="str">
        <f>VLOOKUP($A143,'[1]Raw Data'!$A$3:$FB$285,79,FALSE)</f>
        <v>N</v>
      </c>
      <c r="BX143" s="27" t="str">
        <f t="shared" si="23"/>
        <v>छैन</v>
      </c>
      <c r="BY143" s="27">
        <f>VLOOKUP($A143,'[1]Raw Data'!$A$3:$FB$285,80,FALSE)</f>
        <v>1100</v>
      </c>
      <c r="BZ143" s="27">
        <f>VLOOKUP($A143,'[1]Raw Data'!$A$3:$FB$285,81,FALSE)</f>
        <v>907156</v>
      </c>
      <c r="CA143" s="27" t="str">
        <f>VLOOKUP($A143,'[1]Raw Data'!$A$3:$FB$285,82,FALSE)</f>
        <v>N</v>
      </c>
      <c r="CB143" s="27" t="str">
        <f t="shared" si="24"/>
        <v>छैन</v>
      </c>
      <c r="CC143" s="27">
        <f>VLOOKUP($A143,'[1]Raw Data'!$A$3:$FB$285,83,FALSE)</f>
        <v>105</v>
      </c>
      <c r="CD143" s="27">
        <f>VLOOKUP($A143,'[1]Raw Data'!$A$3:$FB$285,84,FALSE)</f>
        <v>11295</v>
      </c>
      <c r="CE143" s="27" t="str">
        <f>VLOOKUP($A143,'[1]Raw Data'!$A$3:$FB$285,85,FALSE)</f>
        <v>N</v>
      </c>
      <c r="CF143" s="27" t="str">
        <f t="shared" si="25"/>
        <v>छैन</v>
      </c>
      <c r="CG143" s="27" t="str">
        <f>VLOOKUP($A143,'[1]Raw Data'!$A$3:$FB$285,86,FALSE)</f>
        <v>11000</v>
      </c>
      <c r="CH143" s="27">
        <f>VLOOKUP($A143,'[1]Raw Data'!$A$3:$FB$285,87,FALSE)</f>
        <v>1725447</v>
      </c>
      <c r="CI143" s="27" t="str">
        <f>VLOOKUP($A143,'[1]Raw Data'!$A$3:$FB$285,88,FALSE)</f>
        <v>N</v>
      </c>
      <c r="CJ143" s="27" t="str">
        <f t="shared" si="26"/>
        <v>छैन</v>
      </c>
      <c r="CK143" s="27">
        <f>VLOOKUP($A143,'[1]Raw Data'!$A$3:$FB$285,89,FALSE)</f>
        <v>25</v>
      </c>
      <c r="CL143" s="27">
        <f>VLOOKUP($A143,'[1]Raw Data'!$A$3:$FB$285,91,FALSE)</f>
        <v>1000</v>
      </c>
      <c r="CM143" s="27">
        <f>VLOOKUP($A143,'[1]Raw Data'!$A$3:$FB$285,93,FALSE)</f>
        <v>900</v>
      </c>
      <c r="CN143" s="27" t="str">
        <f>VLOOKUP($A143,'[1]Raw Data'!$A$3:$FB$285,94,FALSE)</f>
        <v/>
      </c>
      <c r="CO143" s="27" t="str">
        <f>VLOOKUP($A143,'[1]Raw Data'!$A$3:$FB$285,95,FALSE)</f>
        <v/>
      </c>
      <c r="CP143" s="27" t="str">
        <f>VLOOKUP($A143,'[1]Raw Data'!$A$3:$FB$285,96,FALSE)</f>
        <v/>
      </c>
      <c r="CQ143" s="27" t="str">
        <f>VLOOKUP($A143,'[1]Raw Data'!$A$3:$FB$285,97,FALSE)</f>
        <v/>
      </c>
      <c r="CR143" s="27" t="str">
        <f>VLOOKUP($A143,'[1]Raw Data'!$A$3:$FB$285,98,FALSE)</f>
        <v/>
      </c>
      <c r="CS143" s="27" t="str">
        <f>VLOOKUP($A143,'[1]Raw Data'!$A$3:$FB$285,99,FALSE)</f>
        <v/>
      </c>
      <c r="CT143" s="27" t="str">
        <f>VLOOKUP($A143,'[1]Raw Data'!$A$3:$FB$285,101,FALSE)</f>
        <v>Nurpu Sangbo Ghale</v>
      </c>
      <c r="CU143" s="27" t="s">
        <v>1259</v>
      </c>
      <c r="CV143" s="27" t="str">
        <f>VLOOKUP($A143,'[1]Raw Data'!$A$3:$FB$285,102,FALSE)</f>
        <v>Chairman</v>
      </c>
      <c r="CW143" s="27" t="s">
        <v>878</v>
      </c>
      <c r="CX143" s="27">
        <f>VLOOKUP($A143,'[1]Raw Data'!$A$3:$FB$285,103,FALSE)</f>
        <v>9823507707</v>
      </c>
      <c r="CY143" s="27" t="str">
        <f>VLOOKUP($A143,'[1]Raw Data'!$A$3:$FB$285,105,FALSE)</f>
        <v>Sirjina Lama</v>
      </c>
      <c r="CZ143" s="27" t="s">
        <v>1260</v>
      </c>
      <c r="DA143" s="27" t="str">
        <f>VLOOKUP($A143,'[1]Raw Data'!$A$3:$FB$285,106,FALSE)</f>
        <v>Deputy Chairman</v>
      </c>
      <c r="DB143" s="27" t="s">
        <v>879</v>
      </c>
      <c r="DC143" s="27">
        <f>VLOOKUP($A143,'[1]Raw Data'!$A$3:$FB$285,107,FALSE)</f>
        <v>9813446584</v>
      </c>
      <c r="DD143" s="27" t="str">
        <f>VLOOKUP($A143,'[1]Raw Data'!$A$3:$FB$285,109,FALSE)</f>
        <v>Harihar Karki</v>
      </c>
      <c r="DE143" s="27" t="s">
        <v>1261</v>
      </c>
      <c r="DF143" s="27" t="str">
        <f>VLOOKUP($A143,'[1]Raw Data'!$A$3:$FB$285,110,FALSE)</f>
        <v>Chief Adminstration Officer</v>
      </c>
      <c r="DG143" s="27" t="s">
        <v>880</v>
      </c>
      <c r="DH143" s="27">
        <f>VLOOKUP($A143,'[1]Raw Data'!$A$3:$FB$285,111,FALSE)</f>
        <v>9803172565</v>
      </c>
      <c r="DI143" s="27" t="str">
        <f>VLOOKUP($A143,'[1]Raw Data'!$A$3:$FB$285,121,FALSE)</f>
        <v>Sumit kumar Sangraula</v>
      </c>
      <c r="DJ143" s="27" t="s">
        <v>1262</v>
      </c>
      <c r="DK143" s="27" t="str">
        <f>VLOOKUP($A143,'[1]Raw Data'!$A$3:$FB$285,122,FALSE)</f>
        <v>Focal Person</v>
      </c>
      <c r="DL143" s="27" t="s">
        <v>881</v>
      </c>
      <c r="DM143" s="27">
        <f>VLOOKUP($A143,'[1]Raw Data'!$A$3:$FB$285,123,FALSE)</f>
        <v>9823290882</v>
      </c>
      <c r="DN143" s="27" t="str">
        <f>VLOOKUP($A143,'[1]Raw Data'!$A$3:$FB$285,113,FALSE)</f>
        <v>Krishna Kant Upadheya</v>
      </c>
      <c r="DO143" s="27" t="s">
        <v>1251</v>
      </c>
      <c r="DP143" s="27" t="str">
        <f>VLOOKUP($A143,'[1]Raw Data'!$A$3:$FB$285,114,FALSE)</f>
        <v>NRA Chief-District</v>
      </c>
      <c r="DQ143" s="27" t="s">
        <v>882</v>
      </c>
      <c r="DR143" s="27">
        <f>VLOOKUP($A143,'[1]Raw Data'!$A$3:$FB$285,115,FALSE)</f>
        <v>9843588686</v>
      </c>
      <c r="DS143" s="27" t="str">
        <f>VLOOKUP($A143,'[1]Raw Data'!$A$3:$FB$285,117,FALSE)</f>
        <v>Kosh Nath Adhikari</v>
      </c>
      <c r="DT143" s="27" t="s">
        <v>1252</v>
      </c>
      <c r="DU143" s="27" t="str">
        <f>VLOOKUP($A143,'[1]Raw Data'!$A$3:$FB$285,118,FALSE)</f>
        <v>DUDBC.DLPIU Chief</v>
      </c>
      <c r="DV143" s="27" t="s">
        <v>883</v>
      </c>
      <c r="DW143" s="27">
        <f>VLOOKUP($A143,'[1]Raw Data'!$A$3:$FB$285,119,FALSE)</f>
        <v>9855046584</v>
      </c>
      <c r="DX143" s="27" t="s">
        <v>339</v>
      </c>
      <c r="DY143" s="27" t="str">
        <f>VLOOKUP($A143,'[1]Raw Data'!$A$3:$FB$285,124,FALSE)</f>
        <v>126</v>
      </c>
      <c r="DZ143" s="27" t="s">
        <v>884</v>
      </c>
      <c r="EA143" s="27" t="str">
        <f>VLOOKUP($A143,'[1]Raw Data'!$A$3:$FB$285,125,FALSE)</f>
        <v/>
      </c>
      <c r="EB143" s="27" t="s">
        <v>341</v>
      </c>
      <c r="EC143" s="27" t="str">
        <f>VLOOKUP($A143,'[1]Raw Data'!$A$3:$FB$285,126,FALSE)</f>
        <v/>
      </c>
      <c r="ED143" t="s">
        <v>478</v>
      </c>
      <c r="EE143" s="27" t="str">
        <f>VLOOKUP($A143,'[1]Raw Data'!$A$3:$FB$285,127,FALSE)</f>
        <v/>
      </c>
      <c r="EF143" s="27" t="s">
        <v>343</v>
      </c>
      <c r="EG143" s="27" t="str">
        <f>VLOOKUP($A143,'[1]Raw Data'!$A$3:$FB$285,128,FALSE)</f>
        <v/>
      </c>
      <c r="EH143" t="s">
        <v>344</v>
      </c>
      <c r="EI143" s="27" t="str">
        <f>VLOOKUP($A143,'[1]Raw Data'!$A$3:$FB$285,129,FALSE)</f>
        <v/>
      </c>
      <c r="EM143" s="31">
        <f>VLOOKUP($A143,'[1]Raw Data'!$A$3:$FB$285,130,FALSE)</f>
        <v>9</v>
      </c>
      <c r="EN143" s="31" t="str">
        <f>VLOOKUP($A143,'[1]Raw Data'!$A$3:$FB$285,131,FALSE)</f>
        <v>6</v>
      </c>
      <c r="EO143" s="31">
        <f>VLOOKUP($A143,'[1]Raw Data'!$A$3:$FB$285,132,FALSE)</f>
        <v>8</v>
      </c>
      <c r="EP143" s="31" t="str">
        <f>VLOOKUP($A143,'[1]Raw Data'!$A$3:$FB$285,133,FALSE)</f>
        <v>6</v>
      </c>
      <c r="EQ143" s="31">
        <f>VLOOKUP($A143,'[1]Raw Data'!$A$3:$FB$285,134,FALSE)</f>
        <v>4</v>
      </c>
      <c r="ER143" s="31" t="str">
        <f>VLOOKUP($A143,'[1]Raw Data'!$A$3:$FB$285,135,FALSE)</f>
        <v>6</v>
      </c>
      <c r="ES143" s="27" t="str">
        <f>VLOOKUP($A143,'[1]Raw Data'!$A$3:$FB$285,136,FALSE)</f>
        <v>359</v>
      </c>
      <c r="ET143" s="27" t="str">
        <f>VLOOKUP($A143,'[1]Raw Data'!$A$3:$FB$285,137,FALSE)</f>
        <v/>
      </c>
      <c r="EU143" s="27" t="str">
        <f>VLOOKUP($A143,'[1]Raw Data'!$A$3:$FB$285,138,FALSE)</f>
        <v>350</v>
      </c>
      <c r="EV143" s="27" t="str">
        <f>VLOOKUP($A143,'[1]Raw Data'!$A$3:$FB$285,139,FALSE)</f>
        <v/>
      </c>
      <c r="EW143" s="38">
        <f>VLOOKUP($A143,[1]Training!$A$2:$I$284,5,FALSE)</f>
        <v>257.61538461538464</v>
      </c>
      <c r="EX143" s="31">
        <f>VLOOKUP($A143,[1]Training!$A$2:$I$284,6,FALSE)</f>
        <v>275</v>
      </c>
      <c r="EY143" s="38">
        <f>VLOOKUP($A143,[1]Training!$A$2:$I$284,8,FALSE)</f>
        <v>321.7098943323727</v>
      </c>
      <c r="EZ143" s="31">
        <f>VLOOKUP($A143,[1]Training!$A$2:$I$284,9,FALSE)</f>
        <v>239</v>
      </c>
      <c r="FA143" s="27">
        <v>1</v>
      </c>
      <c r="FB143" s="27">
        <v>2</v>
      </c>
      <c r="FC143" s="27" t="str">
        <f>VLOOKUP($A143,'[1]Raw Data'!$A$3:$FB$285,148,FALSE)</f>
        <v>Rijan Gajurel</v>
      </c>
      <c r="FD143" s="27" t="s">
        <v>1253</v>
      </c>
      <c r="FE143" s="27" t="str">
        <f>VLOOKUP($A143,'[1]Raw Data'!$A$3:$FB$285,149,FALSE)</f>
        <v>District Coordinator</v>
      </c>
      <c r="FF143" s="27" t="s">
        <v>885</v>
      </c>
      <c r="FG143" s="27">
        <f>VLOOKUP($A143,'[1]Raw Data'!$A$3:$FB$285,150,FALSE)</f>
        <v>9851114937</v>
      </c>
      <c r="FH143" s="27" t="str">
        <f>VLOOKUP($A143,'[1]Raw Data'!$A$3:$FB$285,156,FALSE)</f>
        <v>Biren Shah</v>
      </c>
      <c r="FI143" s="27" t="s">
        <v>1254</v>
      </c>
      <c r="FJ143" s="27" t="str">
        <f>VLOOKUP($A143,'[1]Raw Data'!$A$3:$FB$285,157,FALSE)</f>
        <v>District Technical Officer</v>
      </c>
      <c r="FK143" s="27" t="s">
        <v>886</v>
      </c>
      <c r="FL143" s="27">
        <f>VLOOKUP($A143,'[1]Raw Data'!$A$3:$FB$285,158,FALSE)</f>
        <v>9817396852</v>
      </c>
      <c r="FM143" s="27" t="str">
        <f>VLOOKUP($A143,'[1]Raw Data'!$A$3:$FB$285,152,FALSE)</f>
        <v>Rijan Gajurel</v>
      </c>
      <c r="FN143" s="27" t="s">
        <v>1253</v>
      </c>
      <c r="FO143" s="27" t="str">
        <f>VLOOKUP($A143,'[1]Raw Data'!$A$3:$FB$285,153,FALSE)</f>
        <v>DIstrict Information Management Officer</v>
      </c>
      <c r="FP143" s="27" t="s">
        <v>887</v>
      </c>
      <c r="FQ143" s="27">
        <f>VLOOKUP($A143,'[1]Raw Data'!$A$3:$FB$285,154,FALSE)</f>
        <v>9851114937</v>
      </c>
    </row>
    <row r="144" spans="1:173" ht="24" x14ac:dyDescent="0.45">
      <c r="A144" s="27">
        <v>29004</v>
      </c>
      <c r="B144" s="36" t="str">
        <f ca="1">IFERROR(__xludf.DUMMYFUNCTION("""COMPUTED_VALUE"""),"Parbati Kunda Gaunpalika")</f>
        <v>Parbati Kunda Gaunpalika</v>
      </c>
      <c r="C144" s="37" t="str">
        <f>VLOOKUP(A144,'[1]Palika and District in Nepali '!$D$1:$F$283,3,FALSE)</f>
        <v>आमाछोदिङमो गाउँपालिका</v>
      </c>
      <c r="D144" s="36" t="str">
        <f ca="1">IFERROR(__xludf.DUMMYFUNCTION("""COMPUTED_VALUE"""),"Rasuwa")</f>
        <v>Rasuwa</v>
      </c>
      <c r="E144" s="36"/>
      <c r="F144" s="27">
        <f>VLOOKUP(A144,'[1]Raw Data'!$A$3:$FB$285,4,FALSE)</f>
        <v>107</v>
      </c>
      <c r="G144" s="27">
        <f>VLOOKUP(A144,'[1]Raw Data'!$A$3:$FB$285,5,FALSE)</f>
        <v>1874</v>
      </c>
      <c r="H144" s="27">
        <f>VLOOKUP(A144,'[1]Raw Data'!$A$3:$FB$285,6,FALSE)</f>
        <v>1981</v>
      </c>
      <c r="I144" s="27">
        <f>VLOOKUP($A144,'[1]Raw Data'!$A$3:$FB$285,8,FALSE)</f>
        <v>2.4300000000000002</v>
      </c>
      <c r="J144" s="27">
        <f>VLOOKUP($A144,'[1]Raw Data'!$A$3:$FB$285,9,FALSE)</f>
        <v>3.07</v>
      </c>
      <c r="K144" s="27">
        <f>VLOOKUP($A144,'[1]Raw Data'!$A$3:$FB$285,11,FALSE)</f>
        <v>3.9</v>
      </c>
      <c r="L144" s="27">
        <f>VLOOKUP($A144,'[1]Raw Data'!$A$3:$FB$285,12,FALSE)</f>
        <v>70.819999999999993</v>
      </c>
      <c r="M144" s="27">
        <f>VLOOKUP($A144,'[1]Raw Data'!$A$3:$FB$285,14,FALSE)</f>
        <v>0</v>
      </c>
      <c r="N144" s="27">
        <f>VLOOKUP($A144,'[1]Raw Data'!$A$3:$FB$285,15,FALSE)</f>
        <v>0.93</v>
      </c>
      <c r="O144" s="27">
        <f>VLOOKUP($A144,'[1]Raw Data'!$A$3:$FB$285,17,FALSE)</f>
        <v>0.05</v>
      </c>
      <c r="P144" s="27">
        <f>VLOOKUP($A144,'[1]Raw Data'!$A$3:$FB$285,18,FALSE)</f>
        <v>0.04</v>
      </c>
      <c r="Q144" s="27">
        <f>VLOOKUP($A144,'[1]Raw Data'!$A$3:$FB$285,20,FALSE)</f>
        <v>0.76</v>
      </c>
      <c r="R144" s="27">
        <f>VLOOKUP($A144,'[1]Raw Data'!$A$3:$FB$285,21,FALSE)</f>
        <v>1.73</v>
      </c>
      <c r="S144" s="27">
        <f>VLOOKUP($A144,'[1]Raw Data'!$A$3:$FB$285,23,FALSE)</f>
        <v>0</v>
      </c>
      <c r="T144" s="27">
        <f>VLOOKUP($A144,'[1]Raw Data'!$A$3:$FB$285,24,FALSE)</f>
        <v>0</v>
      </c>
      <c r="U144" s="27">
        <f>VLOOKUP($A144,'[1]Raw Data'!$A$3:$FB$285,26,FALSE)</f>
        <v>2.68</v>
      </c>
      <c r="V144" s="27">
        <f>VLOOKUP($A144,'[1]Raw Data'!$A$3:$FB$285,27,FALSE)</f>
        <v>0.75</v>
      </c>
      <c r="W144" s="27">
        <f>VLOOKUP($A144,'[1]Raw Data'!$A$3:$FB$285,29,FALSE)</f>
        <v>0</v>
      </c>
      <c r="X144" s="27">
        <f>VLOOKUP($A144,'[1]Raw Data'!$A$3:$FB$285,30,FALSE)</f>
        <v>0</v>
      </c>
      <c r="Y144" s="27">
        <f>VLOOKUP($A144,'[1]Raw Data'!$A$3:$FB$285,32,FALSE)</f>
        <v>89.93</v>
      </c>
      <c r="Z144" s="27">
        <f>VLOOKUP($A144,'[1]Raw Data'!$A$3:$FB$285,33,FALSE)</f>
        <v>22.25</v>
      </c>
      <c r="AA144" s="27">
        <f>VLOOKUP($A144,'[1]Raw Data'!$A$3:$FB$285,35,FALSE)</f>
        <v>0</v>
      </c>
      <c r="AB144" s="27">
        <f>VLOOKUP($A144,'[1]Raw Data'!$A$3:$FB$285,36,FALSE)</f>
        <v>0.36</v>
      </c>
      <c r="AC144" s="27">
        <f>VLOOKUP($A144,'[1]Raw Data'!$A$3:$FB$285,38,FALSE)</f>
        <v>0.25</v>
      </c>
      <c r="AD144" s="27">
        <f>VLOOKUP($A144,'[1]Raw Data'!$A$3:$FB$285,39,FALSE)</f>
        <v>0.06</v>
      </c>
      <c r="AE144" s="27">
        <f>VLOOKUP($A144,'[1]Raw Data'!$A$3:$FB$285,41,FALSE)</f>
        <v>0</v>
      </c>
      <c r="AF144" s="27">
        <f>VLOOKUP($A144,'[1]Raw Data'!$A$3:$FB$285,42,FALSE)</f>
        <v>0</v>
      </c>
      <c r="AG144" s="27">
        <f>VLOOKUP($A144,'[1]Raw Data'!$A$3:$FB$285,44,FALSE)</f>
        <v>0</v>
      </c>
      <c r="AH144" s="27">
        <f>VLOOKUP($A144,'[1]Raw Data'!$A$3:$FB$285,45,FALSE)</f>
        <v>0</v>
      </c>
      <c r="AI144" s="27">
        <f>VLOOKUP($A144,'[1]Raw Data'!$A$3:$FB$285,46,FALSE)</f>
        <v>1964</v>
      </c>
      <c r="AJ144" s="27">
        <f>VLOOKUP($A144,'[1]Raw Data'!$A$3:$FB$285,47,FALSE)</f>
        <v>1802</v>
      </c>
      <c r="AK144" s="27">
        <f>VLOOKUP($A144,'[1]Raw Data'!$A$3:$FB$285,48,FALSE)</f>
        <v>1802</v>
      </c>
      <c r="AL144" s="27">
        <f>VLOOKUP($A144,'[1]Raw Data'!$A$3:$FB$285,49,FALSE)</f>
        <v>1560</v>
      </c>
      <c r="AM144" s="27">
        <f>VLOOKUP($A144,'[1]Raw Data'!$A$3:$FB$285,50,FALSE)</f>
        <v>1273</v>
      </c>
      <c r="AN144" s="27">
        <f>VLOOKUP($A144,'[1]Raw Data'!$A$3:$FB$285,51,FALSE)</f>
        <v>691</v>
      </c>
      <c r="AO144" s="27">
        <f>VLOOKUP($A144,'[1]Raw Data'!$A$3:$FB$285,52,FALSE)</f>
        <v>1273</v>
      </c>
      <c r="AP144" s="27">
        <f>VLOOKUP($A144,'[1]Raw Data'!$A$3:$FB$285,53,FALSE)</f>
        <v>59</v>
      </c>
      <c r="AQ144" s="27">
        <f>VLOOKUP($A144,'[1]Raw Data'!$A$3:$FB$285,54,FALSE)</f>
        <v>2</v>
      </c>
      <c r="AR144" s="27">
        <f>VLOOKUP($A144,'[1]Raw Data'!$A$3:$FB$285,55,FALSE)</f>
        <v>2</v>
      </c>
      <c r="AS144" s="27">
        <f>VLOOKUP($A144,'[1]Raw Data'!$A$3:$FB$285,56,FALSE)</f>
        <v>0</v>
      </c>
      <c r="AT144" s="27">
        <f>VLOOKUP($A144,'[1]Raw Data'!$A$3:$FB$285,57,FALSE)</f>
        <v>239</v>
      </c>
      <c r="AU144" s="27">
        <f>VLOOKUP($A144,'[1]Raw Data'!$A$3:$FB$285,58,FALSE)</f>
        <v>239</v>
      </c>
      <c r="AV144" s="27">
        <f>VLOOKUP($A144,'[1]Raw Data'!$A$3:$FB$285,59,FALSE)</f>
        <v>54</v>
      </c>
      <c r="AW144" s="27">
        <f>VLOOKUP($A144,'[1]Raw Data'!$A$3:$FB$285,60,FALSE)</f>
        <v>40</v>
      </c>
      <c r="AX144" s="27" t="str">
        <f>VLOOKUP(A144,'[1]PO''s List'!A142:E424,4,FALSE)</f>
        <v/>
      </c>
      <c r="AZ144" s="27" t="str">
        <f>VLOOKUP(A144,'[1]PO''s List'!$A$3:$E$285,5,FALSE)</f>
        <v>ACF(Health,Shelter),GOAL(Shelter),GON(Shelter),HELVETAS(Shelter),LUMANTI(Shelter),LWF(Shelter),PIN and CSRC(Shelter),SCI(DRR,Education,Shelter,Social Protection,Health)</v>
      </c>
      <c r="BB144" s="27">
        <f>VLOOKUP($A144,'[1]Raw Data'!$A$3:$FB$285,63,FALSE)</f>
        <v>20464</v>
      </c>
      <c r="BC144" s="27" t="str">
        <f>VLOOKUP($A144,'[1]Raw Data'!$A$3:$FB$285,64,FALSE)</f>
        <v>Y</v>
      </c>
      <c r="BD144" s="27" t="str">
        <f t="shared" si="18"/>
        <v>छ</v>
      </c>
      <c r="BE144" s="27">
        <f>VLOOKUP($A144,'[1]Raw Data'!$A$3:$FB$285,65,FALSE)</f>
        <v>600</v>
      </c>
      <c r="BF144" s="27">
        <f>VLOOKUP($A144,'[1]Raw Data'!$A$3:$FB$285,66,FALSE)</f>
        <v>19465</v>
      </c>
      <c r="BG144" s="27" t="str">
        <f>VLOOKUP($A144,'[1]Raw Data'!$A$3:$FB$285,67,FALSE)</f>
        <v>N</v>
      </c>
      <c r="BH144" s="27" t="str">
        <f t="shared" si="19"/>
        <v>छैन</v>
      </c>
      <c r="BI144" s="27">
        <f>VLOOKUP($A144,'[1]Raw Data'!$A$3:$FB$285,68,FALSE)</f>
        <v>3500</v>
      </c>
      <c r="BJ144" s="27">
        <f>VLOOKUP($A144,'[1]Raw Data'!$A$3:$FB$285,69,FALSE)</f>
        <v>2171</v>
      </c>
      <c r="BK144" s="27" t="str">
        <f>VLOOKUP($A144,'[1]Raw Data'!$A$3:$FB$285,70,FALSE)</f>
        <v>N</v>
      </c>
      <c r="BL144" s="27" t="str">
        <f t="shared" si="20"/>
        <v>छैन</v>
      </c>
      <c r="BM144" s="27">
        <f>VLOOKUP($A144,'[1]Raw Data'!$A$3:$FB$285,71,FALSE)</f>
        <v>5500</v>
      </c>
      <c r="BN144" s="27">
        <f>VLOOKUP($A144,'[1]Raw Data'!$A$3:$FB$285,72,FALSE)</f>
        <v>2453</v>
      </c>
      <c r="BO144" s="27" t="str">
        <f>VLOOKUP($A144,'[1]Raw Data'!$A$3:$FB$285,73,FALSE)</f>
        <v>Y</v>
      </c>
      <c r="BP144" s="27" t="str">
        <f t="shared" si="21"/>
        <v>छ</v>
      </c>
      <c r="BQ144" s="27" t="str">
        <f>VLOOKUP($A144,'[1]Raw Data'!$A$3:$FB$285,74,FALSE)</f>
        <v>0</v>
      </c>
      <c r="BR144" s="27" t="str">
        <f>VLOOKUP($A144,'[1]Raw Data'!$A$3:$FB$285,75,FALSE)</f>
        <v/>
      </c>
      <c r="BS144" s="27" t="str">
        <f>VLOOKUP($A144,'[1]Raw Data'!$A$3:$FB$285,76,FALSE)</f>
        <v>N</v>
      </c>
      <c r="BT144" s="27" t="str">
        <f t="shared" si="22"/>
        <v>छैन</v>
      </c>
      <c r="BU144" s="27">
        <f>VLOOKUP($A144,'[1]Raw Data'!$A$3:$FB$285,77,FALSE)</f>
        <v>1050</v>
      </c>
      <c r="BV144" s="27">
        <f>VLOOKUP($A144,'[1]Raw Data'!$A$3:$FB$285,78,FALSE)</f>
        <v>64802</v>
      </c>
      <c r="BW144" s="27" t="str">
        <f>VLOOKUP($A144,'[1]Raw Data'!$A$3:$FB$285,79,FALSE)</f>
        <v>N</v>
      </c>
      <c r="BX144" s="27" t="str">
        <f t="shared" si="23"/>
        <v>छैन</v>
      </c>
      <c r="BY144" s="27">
        <f>VLOOKUP($A144,'[1]Raw Data'!$A$3:$FB$285,80,FALSE)</f>
        <v>1150</v>
      </c>
      <c r="BZ144" s="27">
        <f>VLOOKUP($A144,'[1]Raw Data'!$A$3:$FB$285,81,FALSE)</f>
        <v>224201</v>
      </c>
      <c r="CA144" s="27" t="str">
        <f>VLOOKUP($A144,'[1]Raw Data'!$A$3:$FB$285,82,FALSE)</f>
        <v>N</v>
      </c>
      <c r="CB144" s="27" t="str">
        <f t="shared" si="24"/>
        <v>छैन</v>
      </c>
      <c r="CC144" s="27">
        <f>VLOOKUP($A144,'[1]Raw Data'!$A$3:$FB$285,83,FALSE)</f>
        <v>100</v>
      </c>
      <c r="CD144" s="27">
        <f>VLOOKUP($A144,'[1]Raw Data'!$A$3:$FB$285,84,FALSE)</f>
        <v>2646</v>
      </c>
      <c r="CE144" s="27" t="str">
        <f>VLOOKUP($A144,'[1]Raw Data'!$A$3:$FB$285,85,FALSE)</f>
        <v>N</v>
      </c>
      <c r="CF144" s="27" t="str">
        <f t="shared" si="25"/>
        <v>छैन</v>
      </c>
      <c r="CG144" s="27" t="str">
        <f>VLOOKUP($A144,'[1]Raw Data'!$A$3:$FB$285,86,FALSE)</f>
        <v>10500</v>
      </c>
      <c r="CH144" s="27">
        <f>VLOOKUP($A144,'[1]Raw Data'!$A$3:$FB$285,87,FALSE)</f>
        <v>322738</v>
      </c>
      <c r="CI144" s="27" t="str">
        <f>VLOOKUP($A144,'[1]Raw Data'!$A$3:$FB$285,88,FALSE)</f>
        <v>N</v>
      </c>
      <c r="CJ144" s="27" t="str">
        <f t="shared" si="26"/>
        <v>छैन</v>
      </c>
      <c r="CK144" s="27">
        <f>VLOOKUP($A144,'[1]Raw Data'!$A$3:$FB$285,89,FALSE)</f>
        <v>20</v>
      </c>
      <c r="CL144" s="27">
        <f>VLOOKUP($A144,'[1]Raw Data'!$A$3:$FB$285,91,FALSE)</f>
        <v>1500</v>
      </c>
      <c r="CM144" s="27">
        <f>VLOOKUP($A144,'[1]Raw Data'!$A$3:$FB$285,93,FALSE)</f>
        <v>1200</v>
      </c>
      <c r="CN144" s="27" t="str">
        <f>VLOOKUP($A144,'[1]Raw Data'!$A$3:$FB$285,94,FALSE)</f>
        <v/>
      </c>
      <c r="CO144" s="27" t="str">
        <f>VLOOKUP($A144,'[1]Raw Data'!$A$3:$FB$285,95,FALSE)</f>
        <v/>
      </c>
      <c r="CP144" s="27" t="str">
        <f>VLOOKUP($A144,'[1]Raw Data'!$A$3:$FB$285,96,FALSE)</f>
        <v/>
      </c>
      <c r="CQ144" s="27" t="str">
        <f>VLOOKUP($A144,'[1]Raw Data'!$A$3:$FB$285,97,FALSE)</f>
        <v/>
      </c>
      <c r="CR144" s="27" t="str">
        <f>VLOOKUP($A144,'[1]Raw Data'!$A$3:$FB$285,98,FALSE)</f>
        <v/>
      </c>
      <c r="CS144" s="27" t="str">
        <f>VLOOKUP($A144,'[1]Raw Data'!$A$3:$FB$285,99,FALSE)</f>
        <v/>
      </c>
      <c r="CT144" s="27" t="str">
        <f>VLOOKUP($A144,'[1]Raw Data'!$A$3:$FB$285,101,FALSE)</f>
        <v>Bhujung Tamang</v>
      </c>
      <c r="CU144" s="27" t="s">
        <v>1263</v>
      </c>
      <c r="CV144" s="27" t="str">
        <f>VLOOKUP($A144,'[1]Raw Data'!$A$3:$FB$285,102,FALSE)</f>
        <v>Chairman</v>
      </c>
      <c r="CW144" s="27" t="s">
        <v>878</v>
      </c>
      <c r="CX144" s="27">
        <f>VLOOKUP($A144,'[1]Raw Data'!$A$3:$FB$285,103,FALSE)</f>
        <v>9841893178</v>
      </c>
      <c r="CY144" s="27" t="str">
        <f>VLOOKUP($A144,'[1]Raw Data'!$A$3:$FB$285,105,FALSE)</f>
        <v>Nabina Tamang</v>
      </c>
      <c r="CZ144" s="27" t="s">
        <v>1264</v>
      </c>
      <c r="DA144" s="27" t="str">
        <f>VLOOKUP($A144,'[1]Raw Data'!$A$3:$FB$285,106,FALSE)</f>
        <v>Deputy Chairman</v>
      </c>
      <c r="DB144" s="27" t="s">
        <v>879</v>
      </c>
      <c r="DC144" s="27">
        <f>VLOOKUP($A144,'[1]Raw Data'!$A$3:$FB$285,107,FALSE)</f>
        <v>9841083353</v>
      </c>
      <c r="DD144" s="27" t="str">
        <f>VLOOKUP($A144,'[1]Raw Data'!$A$3:$FB$285,109,FALSE)</f>
        <v>Bikram Lambu</v>
      </c>
      <c r="DE144" s="27" t="s">
        <v>1265</v>
      </c>
      <c r="DF144" s="27" t="str">
        <f>VLOOKUP($A144,'[1]Raw Data'!$A$3:$FB$285,110,FALSE)</f>
        <v>Chief Adminstration Officer</v>
      </c>
      <c r="DG144" s="27" t="s">
        <v>880</v>
      </c>
      <c r="DH144" s="27">
        <f>VLOOKUP($A144,'[1]Raw Data'!$A$3:$FB$285,111,FALSE)</f>
        <v>9851235533</v>
      </c>
      <c r="DI144" s="27" t="str">
        <f>VLOOKUP($A144,'[1]Raw Data'!$A$3:$FB$285,121,FALSE)</f>
        <v>Ramesh Kumar Gupta</v>
      </c>
      <c r="DJ144" s="27" t="s">
        <v>1266</v>
      </c>
      <c r="DK144" s="27" t="str">
        <f>VLOOKUP($A144,'[1]Raw Data'!$A$3:$FB$285,122,FALSE)</f>
        <v>Focal Person</v>
      </c>
      <c r="DL144" s="27" t="s">
        <v>881</v>
      </c>
      <c r="DM144" s="27">
        <f>VLOOKUP($A144,'[1]Raw Data'!$A$3:$FB$285,123,FALSE)</f>
        <v>9843683307</v>
      </c>
      <c r="DN144" s="27" t="str">
        <f>VLOOKUP($A144,'[1]Raw Data'!$A$3:$FB$285,113,FALSE)</f>
        <v>Krishna Kant Upadheya</v>
      </c>
      <c r="DO144" s="27" t="s">
        <v>1251</v>
      </c>
      <c r="DP144" s="27" t="str">
        <f>VLOOKUP($A144,'[1]Raw Data'!$A$3:$FB$285,114,FALSE)</f>
        <v>NRA Chief-District</v>
      </c>
      <c r="DQ144" s="27" t="s">
        <v>882</v>
      </c>
      <c r="DR144" s="27">
        <f>VLOOKUP($A144,'[1]Raw Data'!$A$3:$FB$285,115,FALSE)</f>
        <v>9843588686</v>
      </c>
      <c r="DS144" s="27" t="str">
        <f>VLOOKUP($A144,'[1]Raw Data'!$A$3:$FB$285,117,FALSE)</f>
        <v>Kosh Nath Adhikari</v>
      </c>
      <c r="DT144" s="27" t="s">
        <v>1252</v>
      </c>
      <c r="DU144" s="27" t="str">
        <f>VLOOKUP($A144,'[1]Raw Data'!$A$3:$FB$285,118,FALSE)</f>
        <v>DUDBC.DLPIU Chief</v>
      </c>
      <c r="DV144" s="27" t="s">
        <v>883</v>
      </c>
      <c r="DW144" s="27">
        <f>VLOOKUP($A144,'[1]Raw Data'!$A$3:$FB$285,119,FALSE)</f>
        <v>9855046584</v>
      </c>
      <c r="DX144" s="27" t="s">
        <v>339</v>
      </c>
      <c r="DY144" s="27" t="str">
        <f>VLOOKUP($A144,'[1]Raw Data'!$A$3:$FB$285,124,FALSE)</f>
        <v>194</v>
      </c>
      <c r="DZ144" s="27" t="s">
        <v>884</v>
      </c>
      <c r="EA144" s="27" t="str">
        <f>VLOOKUP($A144,'[1]Raw Data'!$A$3:$FB$285,125,FALSE)</f>
        <v/>
      </c>
      <c r="EB144" s="27" t="s">
        <v>341</v>
      </c>
      <c r="EC144" s="27" t="str">
        <f>VLOOKUP($A144,'[1]Raw Data'!$A$3:$FB$285,126,FALSE)</f>
        <v/>
      </c>
      <c r="ED144" t="s">
        <v>478</v>
      </c>
      <c r="EE144" s="27" t="str">
        <f>VLOOKUP($A144,'[1]Raw Data'!$A$3:$FB$285,127,FALSE)</f>
        <v/>
      </c>
      <c r="EF144" s="27" t="s">
        <v>343</v>
      </c>
      <c r="EG144" s="27" t="str">
        <f>VLOOKUP($A144,'[1]Raw Data'!$A$3:$FB$285,128,FALSE)</f>
        <v/>
      </c>
      <c r="EH144" t="s">
        <v>344</v>
      </c>
      <c r="EI144" s="27" t="str">
        <f>VLOOKUP($A144,'[1]Raw Data'!$A$3:$FB$285,129,FALSE)</f>
        <v/>
      </c>
      <c r="EM144" s="31">
        <f>VLOOKUP($A144,'[1]Raw Data'!$A$3:$FB$285,130,FALSE)</f>
        <v>1</v>
      </c>
      <c r="EN144" s="31" t="str">
        <f>VLOOKUP($A144,'[1]Raw Data'!$A$3:$FB$285,131,FALSE)</f>
        <v>5</v>
      </c>
      <c r="EO144" s="31">
        <f>VLOOKUP($A144,'[1]Raw Data'!$A$3:$FB$285,132,FALSE)</f>
        <v>4</v>
      </c>
      <c r="EP144" s="31" t="str">
        <f>VLOOKUP($A144,'[1]Raw Data'!$A$3:$FB$285,133,FALSE)</f>
        <v>5</v>
      </c>
      <c r="EQ144" s="31">
        <f>VLOOKUP($A144,'[1]Raw Data'!$A$3:$FB$285,134,FALSE)</f>
        <v>5</v>
      </c>
      <c r="ER144" s="31" t="str">
        <f>VLOOKUP($A144,'[1]Raw Data'!$A$3:$FB$285,135,FALSE)</f>
        <v>5</v>
      </c>
      <c r="ES144" s="27" t="str">
        <f>VLOOKUP($A144,'[1]Raw Data'!$A$3:$FB$285,136,FALSE)</f>
        <v>456</v>
      </c>
      <c r="ET144" s="27" t="str">
        <f>VLOOKUP($A144,'[1]Raw Data'!$A$3:$FB$285,137,FALSE)</f>
        <v/>
      </c>
      <c r="EU144" s="27" t="str">
        <f>VLOOKUP($A144,'[1]Raw Data'!$A$3:$FB$285,138,FALSE)</f>
        <v>151</v>
      </c>
      <c r="EV144" s="27" t="str">
        <f>VLOOKUP($A144,'[1]Raw Data'!$A$3:$FB$285,139,FALSE)</f>
        <v/>
      </c>
      <c r="EW144" s="38">
        <f>VLOOKUP($A144,[1]Training!$A$2:$I$284,5,FALSE)</f>
        <v>151.07692307692307</v>
      </c>
      <c r="EX144" s="31">
        <f>VLOOKUP($A144,[1]Training!$A$2:$I$284,6,FALSE)</f>
        <v>295</v>
      </c>
      <c r="EY144" s="38">
        <f>VLOOKUP($A144,[1]Training!$A$2:$I$284,8,FALSE)</f>
        <v>188.66474543707972</v>
      </c>
      <c r="EZ144" s="31">
        <f>VLOOKUP($A144,[1]Training!$A$2:$I$284,9,FALSE)</f>
        <v>320</v>
      </c>
      <c r="FA144" s="27">
        <v>1</v>
      </c>
      <c r="FB144" s="27">
        <v>2</v>
      </c>
      <c r="FC144" s="27" t="str">
        <f>VLOOKUP($A144,'[1]Raw Data'!$A$3:$FB$285,148,FALSE)</f>
        <v>Rijan Gajurel</v>
      </c>
      <c r="FD144" s="27" t="s">
        <v>1253</v>
      </c>
      <c r="FE144" s="27" t="str">
        <f>VLOOKUP($A144,'[1]Raw Data'!$A$3:$FB$285,149,FALSE)</f>
        <v>District Coordinator</v>
      </c>
      <c r="FF144" s="27" t="s">
        <v>885</v>
      </c>
      <c r="FG144" s="27">
        <f>VLOOKUP($A144,'[1]Raw Data'!$A$3:$FB$285,150,FALSE)</f>
        <v>9851114937</v>
      </c>
      <c r="FH144" s="27" t="str">
        <f>VLOOKUP($A144,'[1]Raw Data'!$A$3:$FB$285,156,FALSE)</f>
        <v>Biren Shah</v>
      </c>
      <c r="FI144" s="27" t="s">
        <v>1254</v>
      </c>
      <c r="FJ144" s="27" t="str">
        <f>VLOOKUP($A144,'[1]Raw Data'!$A$3:$FB$285,157,FALSE)</f>
        <v>District Technical Officer</v>
      </c>
      <c r="FK144" s="27" t="s">
        <v>886</v>
      </c>
      <c r="FL144" s="27">
        <f>VLOOKUP($A144,'[1]Raw Data'!$A$3:$FB$285,158,FALSE)</f>
        <v>9817396852</v>
      </c>
      <c r="FM144" s="27" t="str">
        <f>VLOOKUP($A144,'[1]Raw Data'!$A$3:$FB$285,152,FALSE)</f>
        <v>Rijan Gajurel</v>
      </c>
      <c r="FN144" s="27" t="s">
        <v>1253</v>
      </c>
      <c r="FO144" s="27" t="str">
        <f>VLOOKUP($A144,'[1]Raw Data'!$A$3:$FB$285,153,FALSE)</f>
        <v>DIstrict Information Management Officer</v>
      </c>
      <c r="FP144" s="27" t="s">
        <v>887</v>
      </c>
      <c r="FQ144" s="27">
        <f>VLOOKUP($A144,'[1]Raw Data'!$A$3:$FB$285,154,FALSE)</f>
        <v>9851114937</v>
      </c>
    </row>
    <row r="145" spans="1:173" ht="24" x14ac:dyDescent="0.45">
      <c r="A145" s="27">
        <v>29005</v>
      </c>
      <c r="B145" s="36" t="str">
        <f ca="1">IFERROR(__xludf.DUMMYFUNCTION("""COMPUTED_VALUE"""),"Uttargaya Gaunpalika")</f>
        <v>Uttargaya Gaunpalika</v>
      </c>
      <c r="C145" s="37" t="str">
        <f>VLOOKUP(A145,'[1]Palika and District in Nepali '!$D$1:$F$283,3,FALSE)</f>
        <v>उत्तरगया गाउँपालिका</v>
      </c>
      <c r="D145" s="36" t="str">
        <f ca="1">IFERROR(__xludf.DUMMYFUNCTION("""COMPUTED_VALUE"""),"Rasuwa")</f>
        <v>Rasuwa</v>
      </c>
      <c r="E145" s="36"/>
      <c r="F145" s="27">
        <f>VLOOKUP(A145,'[1]Raw Data'!$A$3:$FB$285,4,FALSE)</f>
        <v>90</v>
      </c>
      <c r="G145" s="27">
        <f>VLOOKUP(A145,'[1]Raw Data'!$A$3:$FB$285,5,FALSE)</f>
        <v>2521</v>
      </c>
      <c r="H145" s="27">
        <f>VLOOKUP(A145,'[1]Raw Data'!$A$3:$FB$285,6,FALSE)</f>
        <v>2611</v>
      </c>
      <c r="I145" s="27">
        <f>VLOOKUP($A145,'[1]Raw Data'!$A$3:$FB$285,8,FALSE)</f>
        <v>2.11</v>
      </c>
      <c r="J145" s="27">
        <f>VLOOKUP($A145,'[1]Raw Data'!$A$3:$FB$285,9,FALSE)</f>
        <v>3.07</v>
      </c>
      <c r="K145" s="27">
        <f>VLOOKUP($A145,'[1]Raw Data'!$A$3:$FB$285,11,FALSE)</f>
        <v>93.72</v>
      </c>
      <c r="L145" s="27">
        <f>VLOOKUP($A145,'[1]Raw Data'!$A$3:$FB$285,12,FALSE)</f>
        <v>70.819999999999993</v>
      </c>
      <c r="M145" s="27">
        <f>VLOOKUP($A145,'[1]Raw Data'!$A$3:$FB$285,14,FALSE)</f>
        <v>1.99</v>
      </c>
      <c r="N145" s="27">
        <f>VLOOKUP($A145,'[1]Raw Data'!$A$3:$FB$285,15,FALSE)</f>
        <v>0.93</v>
      </c>
      <c r="O145" s="27">
        <f>VLOOKUP($A145,'[1]Raw Data'!$A$3:$FB$285,17,FALSE)</f>
        <v>0</v>
      </c>
      <c r="P145" s="27">
        <f>VLOOKUP($A145,'[1]Raw Data'!$A$3:$FB$285,18,FALSE)</f>
        <v>0.04</v>
      </c>
      <c r="Q145" s="27">
        <f>VLOOKUP($A145,'[1]Raw Data'!$A$3:$FB$285,20,FALSE)</f>
        <v>0.34</v>
      </c>
      <c r="R145" s="27">
        <f>VLOOKUP($A145,'[1]Raw Data'!$A$3:$FB$285,21,FALSE)</f>
        <v>1.73</v>
      </c>
      <c r="S145" s="27">
        <f>VLOOKUP($A145,'[1]Raw Data'!$A$3:$FB$285,23,FALSE)</f>
        <v>0</v>
      </c>
      <c r="T145" s="27">
        <f>VLOOKUP($A145,'[1]Raw Data'!$A$3:$FB$285,24,FALSE)</f>
        <v>0</v>
      </c>
      <c r="U145" s="27">
        <f>VLOOKUP($A145,'[1]Raw Data'!$A$3:$FB$285,26,FALSE)</f>
        <v>0.15</v>
      </c>
      <c r="V145" s="27">
        <f>VLOOKUP($A145,'[1]Raw Data'!$A$3:$FB$285,27,FALSE)</f>
        <v>0.75</v>
      </c>
      <c r="W145" s="27">
        <f>VLOOKUP($A145,'[1]Raw Data'!$A$3:$FB$285,29,FALSE)</f>
        <v>0</v>
      </c>
      <c r="X145" s="27">
        <f>VLOOKUP($A145,'[1]Raw Data'!$A$3:$FB$285,30,FALSE)</f>
        <v>0</v>
      </c>
      <c r="Y145" s="27">
        <f>VLOOKUP($A145,'[1]Raw Data'!$A$3:$FB$285,32,FALSE)</f>
        <v>1.57</v>
      </c>
      <c r="Z145" s="27">
        <f>VLOOKUP($A145,'[1]Raw Data'!$A$3:$FB$285,33,FALSE)</f>
        <v>22.25</v>
      </c>
      <c r="AA145" s="27">
        <f>VLOOKUP($A145,'[1]Raw Data'!$A$3:$FB$285,35,FALSE)</f>
        <v>0.11</v>
      </c>
      <c r="AB145" s="27">
        <f>VLOOKUP($A145,'[1]Raw Data'!$A$3:$FB$285,36,FALSE)</f>
        <v>0.36</v>
      </c>
      <c r="AC145" s="27">
        <f>VLOOKUP($A145,'[1]Raw Data'!$A$3:$FB$285,38,FALSE)</f>
        <v>0</v>
      </c>
      <c r="AD145" s="27">
        <f>VLOOKUP($A145,'[1]Raw Data'!$A$3:$FB$285,39,FALSE)</f>
        <v>0.06</v>
      </c>
      <c r="AE145" s="27">
        <f>VLOOKUP($A145,'[1]Raw Data'!$A$3:$FB$285,41,FALSE)</f>
        <v>0</v>
      </c>
      <c r="AF145" s="27">
        <f>VLOOKUP($A145,'[1]Raw Data'!$A$3:$FB$285,42,FALSE)</f>
        <v>0</v>
      </c>
      <c r="AG145" s="27">
        <f>VLOOKUP($A145,'[1]Raw Data'!$A$3:$FB$285,44,FALSE)</f>
        <v>0</v>
      </c>
      <c r="AH145" s="27">
        <f>VLOOKUP($A145,'[1]Raw Data'!$A$3:$FB$285,45,FALSE)</f>
        <v>0</v>
      </c>
      <c r="AI145" s="27">
        <f>VLOOKUP($A145,'[1]Raw Data'!$A$3:$FB$285,46,FALSE)</f>
        <v>2631</v>
      </c>
      <c r="AJ145" s="27">
        <f>VLOOKUP($A145,'[1]Raw Data'!$A$3:$FB$285,47,FALSE)</f>
        <v>2274</v>
      </c>
      <c r="AK145" s="27">
        <f>VLOOKUP($A145,'[1]Raw Data'!$A$3:$FB$285,48,FALSE)</f>
        <v>2274</v>
      </c>
      <c r="AL145" s="27">
        <f>VLOOKUP($A145,'[1]Raw Data'!$A$3:$FB$285,49,FALSE)</f>
        <v>1958</v>
      </c>
      <c r="AM145" s="27">
        <f>VLOOKUP($A145,'[1]Raw Data'!$A$3:$FB$285,50,FALSE)</f>
        <v>1725</v>
      </c>
      <c r="AN145" s="27">
        <f>VLOOKUP($A145,'[1]Raw Data'!$A$3:$FB$285,51,FALSE)</f>
        <v>549</v>
      </c>
      <c r="AO145" s="27">
        <f>VLOOKUP($A145,'[1]Raw Data'!$A$3:$FB$285,52,FALSE)</f>
        <v>1725</v>
      </c>
      <c r="AP145" s="27">
        <f>VLOOKUP($A145,'[1]Raw Data'!$A$3:$FB$285,53,FALSE)</f>
        <v>25</v>
      </c>
      <c r="AQ145" s="27">
        <f>VLOOKUP($A145,'[1]Raw Data'!$A$3:$FB$285,54,FALSE)</f>
        <v>11</v>
      </c>
      <c r="AR145" s="27">
        <f>VLOOKUP($A145,'[1]Raw Data'!$A$3:$FB$285,55,FALSE)</f>
        <v>11</v>
      </c>
      <c r="AS145" s="27">
        <f>VLOOKUP($A145,'[1]Raw Data'!$A$3:$FB$285,56,FALSE)</f>
        <v>0</v>
      </c>
      <c r="AT145" s="27">
        <f>VLOOKUP($A145,'[1]Raw Data'!$A$3:$FB$285,57,FALSE)</f>
        <v>246</v>
      </c>
      <c r="AU145" s="27">
        <f>VLOOKUP($A145,'[1]Raw Data'!$A$3:$FB$285,58,FALSE)</f>
        <v>246</v>
      </c>
      <c r="AV145" s="27">
        <f>VLOOKUP($A145,'[1]Raw Data'!$A$3:$FB$285,59,FALSE)</f>
        <v>127</v>
      </c>
      <c r="AW145" s="27">
        <f>VLOOKUP($A145,'[1]Raw Data'!$A$3:$FB$285,60,FALSE)</f>
        <v>88</v>
      </c>
      <c r="AX145" s="27" t="str">
        <f>VLOOKUP(A145,'[1]PO''s List'!A143:E425,4,FALSE)</f>
        <v/>
      </c>
      <c r="AZ145" s="27" t="str">
        <f>VLOOKUP(A145,'[1]PO''s List'!$A$3:$E$285,5,FALSE)</f>
        <v>OM-N(Shelter)</v>
      </c>
      <c r="BB145" s="27">
        <f>VLOOKUP($A145,'[1]Raw Data'!$A$3:$FB$285,63,FALSE)</f>
        <v>32769</v>
      </c>
      <c r="BC145" s="27" t="str">
        <f>VLOOKUP($A145,'[1]Raw Data'!$A$3:$FB$285,64,FALSE)</f>
        <v>Y</v>
      </c>
      <c r="BD145" s="27" t="str">
        <f t="shared" si="18"/>
        <v>छ</v>
      </c>
      <c r="BE145" s="27">
        <f>VLOOKUP($A145,'[1]Raw Data'!$A$3:$FB$285,65,FALSE)</f>
        <v>560</v>
      </c>
      <c r="BF145" s="27">
        <f>VLOOKUP($A145,'[1]Raw Data'!$A$3:$FB$285,66,FALSE)</f>
        <v>30886</v>
      </c>
      <c r="BG145" s="27" t="str">
        <f>VLOOKUP($A145,'[1]Raw Data'!$A$3:$FB$285,67,FALSE)</f>
        <v>N</v>
      </c>
      <c r="BH145" s="27" t="str">
        <f t="shared" si="19"/>
        <v>छैन</v>
      </c>
      <c r="BI145" s="27">
        <f>VLOOKUP($A145,'[1]Raw Data'!$A$3:$FB$285,68,FALSE)</f>
        <v>4000</v>
      </c>
      <c r="BJ145" s="27">
        <f>VLOOKUP($A145,'[1]Raw Data'!$A$3:$FB$285,69,FALSE)</f>
        <v>3475</v>
      </c>
      <c r="BK145" s="27" t="str">
        <f>VLOOKUP($A145,'[1]Raw Data'!$A$3:$FB$285,70,FALSE)</f>
        <v>N</v>
      </c>
      <c r="BL145" s="27" t="str">
        <f t="shared" si="20"/>
        <v>छैन</v>
      </c>
      <c r="BM145" s="27">
        <f>VLOOKUP($A145,'[1]Raw Data'!$A$3:$FB$285,71,FALSE)</f>
        <v>4500</v>
      </c>
      <c r="BN145" s="27">
        <f>VLOOKUP($A145,'[1]Raw Data'!$A$3:$FB$285,72,FALSE)</f>
        <v>3920</v>
      </c>
      <c r="BO145" s="27" t="str">
        <f>VLOOKUP($A145,'[1]Raw Data'!$A$3:$FB$285,73,FALSE)</f>
        <v>N</v>
      </c>
      <c r="BP145" s="27" t="str">
        <f t="shared" si="21"/>
        <v>छैन</v>
      </c>
      <c r="BQ145" s="27" t="str">
        <f>VLOOKUP($A145,'[1]Raw Data'!$A$3:$FB$285,74,FALSE)</f>
        <v>0</v>
      </c>
      <c r="BR145" s="27" t="str">
        <f>VLOOKUP($A145,'[1]Raw Data'!$A$3:$FB$285,75,FALSE)</f>
        <v/>
      </c>
      <c r="BS145" s="27" t="str">
        <f>VLOOKUP($A145,'[1]Raw Data'!$A$3:$FB$285,76,FALSE)</f>
        <v>N</v>
      </c>
      <c r="BT145" s="27" t="str">
        <f t="shared" si="22"/>
        <v>छैन</v>
      </c>
      <c r="BU145" s="27">
        <f>VLOOKUP($A145,'[1]Raw Data'!$A$3:$FB$285,77,FALSE)</f>
        <v>1000</v>
      </c>
      <c r="BV145" s="27">
        <f>VLOOKUP($A145,'[1]Raw Data'!$A$3:$FB$285,78,FALSE)</f>
        <v>103551</v>
      </c>
      <c r="BW145" s="27" t="str">
        <f>VLOOKUP($A145,'[1]Raw Data'!$A$3:$FB$285,79,FALSE)</f>
        <v>N</v>
      </c>
      <c r="BX145" s="27" t="str">
        <f t="shared" si="23"/>
        <v>छैन</v>
      </c>
      <c r="BY145" s="27">
        <f>VLOOKUP($A145,'[1]Raw Data'!$A$3:$FB$285,80,FALSE)</f>
        <v>1200</v>
      </c>
      <c r="BZ145" s="27">
        <f>VLOOKUP($A145,'[1]Raw Data'!$A$3:$FB$285,81,FALSE)</f>
        <v>360359</v>
      </c>
      <c r="CA145" s="27" t="str">
        <f>VLOOKUP($A145,'[1]Raw Data'!$A$3:$FB$285,82,FALSE)</f>
        <v>N</v>
      </c>
      <c r="CB145" s="27" t="str">
        <f t="shared" si="24"/>
        <v>छैन</v>
      </c>
      <c r="CC145" s="27">
        <f>VLOOKUP($A145,'[1]Raw Data'!$A$3:$FB$285,83,FALSE)</f>
        <v>98</v>
      </c>
      <c r="CD145" s="27">
        <f>VLOOKUP($A145,'[1]Raw Data'!$A$3:$FB$285,84,FALSE)</f>
        <v>4232</v>
      </c>
      <c r="CE145" s="27" t="str">
        <f>VLOOKUP($A145,'[1]Raw Data'!$A$3:$FB$285,85,FALSE)</f>
        <v>N</v>
      </c>
      <c r="CF145" s="27" t="str">
        <f t="shared" si="25"/>
        <v>छैन</v>
      </c>
      <c r="CG145" s="27" t="str">
        <f>VLOOKUP($A145,'[1]Raw Data'!$A$3:$FB$285,86,FALSE)</f>
        <v>10000</v>
      </c>
      <c r="CH145" s="27">
        <f>VLOOKUP($A145,'[1]Raw Data'!$A$3:$FB$285,87,FALSE)</f>
        <v>641303</v>
      </c>
      <c r="CI145" s="27" t="str">
        <f>VLOOKUP($A145,'[1]Raw Data'!$A$3:$FB$285,88,FALSE)</f>
        <v>N</v>
      </c>
      <c r="CJ145" s="27" t="str">
        <f t="shared" si="26"/>
        <v>छैन</v>
      </c>
      <c r="CK145" s="27">
        <f>VLOOKUP($A145,'[1]Raw Data'!$A$3:$FB$285,89,FALSE)</f>
        <v>20</v>
      </c>
      <c r="CL145" s="27">
        <f>VLOOKUP($A145,'[1]Raw Data'!$A$3:$FB$285,91,FALSE)</f>
        <v>1200</v>
      </c>
      <c r="CM145" s="27">
        <f>VLOOKUP($A145,'[1]Raw Data'!$A$3:$FB$285,93,FALSE)</f>
        <v>1000</v>
      </c>
      <c r="CN145" s="27" t="str">
        <f>VLOOKUP($A145,'[1]Raw Data'!$A$3:$FB$285,94,FALSE)</f>
        <v/>
      </c>
      <c r="CO145" s="27" t="str">
        <f>VLOOKUP($A145,'[1]Raw Data'!$A$3:$FB$285,95,FALSE)</f>
        <v/>
      </c>
      <c r="CP145" s="27" t="str">
        <f>VLOOKUP($A145,'[1]Raw Data'!$A$3:$FB$285,96,FALSE)</f>
        <v/>
      </c>
      <c r="CQ145" s="27" t="str">
        <f>VLOOKUP($A145,'[1]Raw Data'!$A$3:$FB$285,97,FALSE)</f>
        <v/>
      </c>
      <c r="CR145" s="27" t="str">
        <f>VLOOKUP($A145,'[1]Raw Data'!$A$3:$FB$285,98,FALSE)</f>
        <v/>
      </c>
      <c r="CS145" s="27" t="str">
        <f>VLOOKUP($A145,'[1]Raw Data'!$A$3:$FB$285,99,FALSE)</f>
        <v/>
      </c>
      <c r="CT145" s="27" t="str">
        <f>VLOOKUP($A145,'[1]Raw Data'!$A$3:$FB$285,101,FALSE)</f>
        <v>Uppendra Lamsal</v>
      </c>
      <c r="CU145" s="27" t="s">
        <v>1267</v>
      </c>
      <c r="CV145" s="27" t="str">
        <f>VLOOKUP($A145,'[1]Raw Data'!$A$3:$FB$285,102,FALSE)</f>
        <v>Chairman</v>
      </c>
      <c r="CW145" s="27" t="s">
        <v>878</v>
      </c>
      <c r="CX145" s="27">
        <f>VLOOKUP($A145,'[1]Raw Data'!$A$3:$FB$285,103,FALSE)</f>
        <v>9841483196</v>
      </c>
      <c r="CY145" s="27" t="str">
        <f>VLOOKUP($A145,'[1]Raw Data'!$A$3:$FB$285,105,FALSE)</f>
        <v>Chamali Gurung</v>
      </c>
      <c r="CZ145" s="27" t="s">
        <v>1268</v>
      </c>
      <c r="DA145" s="27" t="str">
        <f>VLOOKUP($A145,'[1]Raw Data'!$A$3:$FB$285,106,FALSE)</f>
        <v>Deputy Chairman</v>
      </c>
      <c r="DB145" s="27" t="s">
        <v>879</v>
      </c>
      <c r="DC145" s="27">
        <f>VLOOKUP($A145,'[1]Raw Data'!$A$3:$FB$285,107,FALSE)</f>
        <v>9851143196</v>
      </c>
      <c r="DD145" s="27" t="str">
        <f>VLOOKUP($A145,'[1]Raw Data'!$A$3:$FB$285,109,FALSE)</f>
        <v>Basanta Badhur Khatri</v>
      </c>
      <c r="DE145" s="27" t="s">
        <v>1269</v>
      </c>
      <c r="DF145" s="27" t="str">
        <f>VLOOKUP($A145,'[1]Raw Data'!$A$3:$FB$285,110,FALSE)</f>
        <v>Chief Adminstration Officer</v>
      </c>
      <c r="DG145" s="27" t="s">
        <v>880</v>
      </c>
      <c r="DH145" s="27">
        <f>VLOOKUP($A145,'[1]Raw Data'!$A$3:$FB$285,111,FALSE)</f>
        <v>9851254790</v>
      </c>
      <c r="DI145" s="27" t="str">
        <f>VLOOKUP($A145,'[1]Raw Data'!$A$3:$FB$285,121,FALSE)</f>
        <v>Udasave Adhikari</v>
      </c>
      <c r="DJ145" s="27" t="s">
        <v>1270</v>
      </c>
      <c r="DK145" s="27" t="str">
        <f>VLOOKUP($A145,'[1]Raw Data'!$A$3:$FB$285,122,FALSE)</f>
        <v>Focal Person</v>
      </c>
      <c r="DL145" s="27" t="s">
        <v>881</v>
      </c>
      <c r="DM145" s="27">
        <f>VLOOKUP($A145,'[1]Raw Data'!$A$3:$FB$285,123,FALSE)</f>
        <v>9849607903</v>
      </c>
      <c r="DN145" s="27" t="str">
        <f>VLOOKUP($A145,'[1]Raw Data'!$A$3:$FB$285,113,FALSE)</f>
        <v>Krishna Kant Upadheya</v>
      </c>
      <c r="DO145" s="27" t="s">
        <v>1251</v>
      </c>
      <c r="DP145" s="27" t="str">
        <f>VLOOKUP($A145,'[1]Raw Data'!$A$3:$FB$285,114,FALSE)</f>
        <v>NRA Chief-District</v>
      </c>
      <c r="DQ145" s="27" t="s">
        <v>882</v>
      </c>
      <c r="DR145" s="27">
        <f>VLOOKUP($A145,'[1]Raw Data'!$A$3:$FB$285,115,FALSE)</f>
        <v>9843588686</v>
      </c>
      <c r="DS145" s="27" t="str">
        <f>VLOOKUP($A145,'[1]Raw Data'!$A$3:$FB$285,117,FALSE)</f>
        <v>Kosh Nath Adhikari</v>
      </c>
      <c r="DT145" s="27" t="s">
        <v>1252</v>
      </c>
      <c r="DU145" s="27" t="str">
        <f>VLOOKUP($A145,'[1]Raw Data'!$A$3:$FB$285,118,FALSE)</f>
        <v>DUDBC.DLPIU Chief</v>
      </c>
      <c r="DV145" s="27" t="s">
        <v>883</v>
      </c>
      <c r="DW145" s="27">
        <f>VLOOKUP($A145,'[1]Raw Data'!$A$3:$FB$285,119,FALSE)</f>
        <v>9855046584</v>
      </c>
      <c r="DX145" s="27" t="s">
        <v>339</v>
      </c>
      <c r="DY145" s="27" t="str">
        <f>VLOOKUP($A145,'[1]Raw Data'!$A$3:$FB$285,124,FALSE)</f>
        <v>642</v>
      </c>
      <c r="DZ145" s="27" t="s">
        <v>884</v>
      </c>
      <c r="EA145" s="27" t="str">
        <f>VLOOKUP($A145,'[1]Raw Data'!$A$3:$FB$285,125,FALSE)</f>
        <v/>
      </c>
      <c r="EB145" s="27" t="s">
        <v>341</v>
      </c>
      <c r="EC145" s="27" t="str">
        <f>VLOOKUP($A145,'[1]Raw Data'!$A$3:$FB$285,126,FALSE)</f>
        <v/>
      </c>
      <c r="ED145" t="s">
        <v>478</v>
      </c>
      <c r="EE145" s="27" t="str">
        <f>VLOOKUP($A145,'[1]Raw Data'!$A$3:$FB$285,127,FALSE)</f>
        <v/>
      </c>
      <c r="EF145" s="27" t="s">
        <v>343</v>
      </c>
      <c r="EG145" s="27" t="str">
        <f>VLOOKUP($A145,'[1]Raw Data'!$A$3:$FB$285,128,FALSE)</f>
        <v/>
      </c>
      <c r="EH145" t="s">
        <v>344</v>
      </c>
      <c r="EI145" s="27" t="str">
        <f>VLOOKUP($A145,'[1]Raw Data'!$A$3:$FB$285,129,FALSE)</f>
        <v/>
      </c>
      <c r="EM145" s="31">
        <f>VLOOKUP($A145,'[1]Raw Data'!$A$3:$FB$285,130,FALSE)</f>
        <v>3</v>
      </c>
      <c r="EN145" s="31" t="str">
        <f>VLOOKUP($A145,'[1]Raw Data'!$A$3:$FB$285,131,FALSE)</f>
        <v>5</v>
      </c>
      <c r="EO145" s="31">
        <f>VLOOKUP($A145,'[1]Raw Data'!$A$3:$FB$285,132,FALSE)</f>
        <v>8</v>
      </c>
      <c r="EP145" s="31" t="str">
        <f>VLOOKUP($A145,'[1]Raw Data'!$A$3:$FB$285,133,FALSE)</f>
        <v>5</v>
      </c>
      <c r="EQ145" s="31">
        <f>VLOOKUP($A145,'[1]Raw Data'!$A$3:$FB$285,134,FALSE)</f>
        <v>6</v>
      </c>
      <c r="ER145" s="31" t="str">
        <f>VLOOKUP($A145,'[1]Raw Data'!$A$3:$FB$285,135,FALSE)</f>
        <v>5</v>
      </c>
      <c r="ES145" s="27" t="str">
        <f>VLOOKUP($A145,'[1]Raw Data'!$A$3:$FB$285,136,FALSE)</f>
        <v>606</v>
      </c>
      <c r="ET145" s="27" t="str">
        <f>VLOOKUP($A145,'[1]Raw Data'!$A$3:$FB$285,137,FALSE)</f>
        <v/>
      </c>
      <c r="EU145" s="27" t="str">
        <f>VLOOKUP($A145,'[1]Raw Data'!$A$3:$FB$285,138,FALSE)</f>
        <v>151</v>
      </c>
      <c r="EV145" s="27" t="str">
        <f>VLOOKUP($A145,'[1]Raw Data'!$A$3:$FB$285,139,FALSE)</f>
        <v/>
      </c>
      <c r="EW145" s="38">
        <f>VLOOKUP($A145,[1]Training!$A$2:$I$284,5,FALSE)</f>
        <v>202.38461538461539</v>
      </c>
      <c r="EX145" s="31">
        <f>VLOOKUP($A145,[1]Training!$A$2:$I$284,6,FALSE)</f>
        <v>432</v>
      </c>
      <c r="EY145" s="38">
        <f>VLOOKUP($A145,[1]Training!$A$2:$I$284,8,FALSE)</f>
        <v>252.73775216138327</v>
      </c>
      <c r="EZ145" s="31">
        <f>VLOOKUP($A145,[1]Training!$A$2:$I$284,9,FALSE)</f>
        <v>80</v>
      </c>
      <c r="FA145" s="27">
        <v>1</v>
      </c>
      <c r="FB145" s="27">
        <v>2</v>
      </c>
      <c r="FC145" s="27" t="str">
        <f>VLOOKUP($A145,'[1]Raw Data'!$A$3:$FB$285,148,FALSE)</f>
        <v>Rijan Gajurel</v>
      </c>
      <c r="FD145" s="27" t="s">
        <v>1253</v>
      </c>
      <c r="FE145" s="27" t="str">
        <f>VLOOKUP($A145,'[1]Raw Data'!$A$3:$FB$285,149,FALSE)</f>
        <v>District Coordinator</v>
      </c>
      <c r="FF145" s="27" t="s">
        <v>885</v>
      </c>
      <c r="FG145" s="27">
        <f>VLOOKUP($A145,'[1]Raw Data'!$A$3:$FB$285,150,FALSE)</f>
        <v>9851114937</v>
      </c>
      <c r="FH145" s="27" t="str">
        <f>VLOOKUP($A145,'[1]Raw Data'!$A$3:$FB$285,156,FALSE)</f>
        <v>Biren Shah</v>
      </c>
      <c r="FI145" s="27" t="s">
        <v>1254</v>
      </c>
      <c r="FJ145" s="27" t="str">
        <f>VLOOKUP($A145,'[1]Raw Data'!$A$3:$FB$285,157,FALSE)</f>
        <v>District Technical Officer</v>
      </c>
      <c r="FK145" s="27" t="s">
        <v>886</v>
      </c>
      <c r="FL145" s="27">
        <f>VLOOKUP($A145,'[1]Raw Data'!$A$3:$FB$285,158,FALSE)</f>
        <v>9817396852</v>
      </c>
      <c r="FM145" s="27" t="str">
        <f>VLOOKUP($A145,'[1]Raw Data'!$A$3:$FB$285,152,FALSE)</f>
        <v>Rijan Gajurel</v>
      </c>
      <c r="FN145" s="27" t="s">
        <v>1253</v>
      </c>
      <c r="FO145" s="27" t="str">
        <f>VLOOKUP($A145,'[1]Raw Data'!$A$3:$FB$285,153,FALSE)</f>
        <v>DIstrict Information Management Officer</v>
      </c>
      <c r="FP145" s="27" t="s">
        <v>887</v>
      </c>
      <c r="FQ145" s="27">
        <f>VLOOKUP($A145,'[1]Raw Data'!$A$3:$FB$285,154,FALSE)</f>
        <v>9851114937</v>
      </c>
    </row>
    <row r="146" spans="1:173" ht="24" x14ac:dyDescent="0.45">
      <c r="A146" s="27">
        <v>30001</v>
      </c>
      <c r="B146" s="36" t="str">
        <f ca="1">IFERROR(__xludf.DUMMYFUNCTION("""COMPUTED_VALUE"""),"Benighat Rorang Gaunpalika")</f>
        <v>Benighat Rorang Gaunpalika</v>
      </c>
      <c r="C146" s="37" t="str">
        <f>VLOOKUP(A146,'[1]Palika and District in Nepali '!$D$1:$F$283,3,FALSE)</f>
        <v>बेनीघाट रोरांग गाउँपालिका</v>
      </c>
      <c r="D146" s="36" t="str">
        <f ca="1">IFERROR(__xludf.DUMMYFUNCTION("""COMPUTED_VALUE"""),"Dhading")</f>
        <v>Dhading</v>
      </c>
      <c r="E146" s="36"/>
      <c r="F146" s="27">
        <f>VLOOKUP(A146,'[1]Raw Data'!$A$3:$FB$285,4,FALSE)</f>
        <v>1877</v>
      </c>
      <c r="G146" s="27">
        <f>VLOOKUP(A146,'[1]Raw Data'!$A$3:$FB$285,5,FALSE)</f>
        <v>5133</v>
      </c>
      <c r="H146" s="27">
        <f>VLOOKUP(A146,'[1]Raw Data'!$A$3:$FB$285,6,FALSE)</f>
        <v>7010</v>
      </c>
      <c r="I146" s="27">
        <f>VLOOKUP($A146,'[1]Raw Data'!$A$3:$FB$285,8,FALSE)</f>
        <v>0.36</v>
      </c>
      <c r="J146" s="27">
        <f>VLOOKUP($A146,'[1]Raw Data'!$A$3:$FB$285,9,FALSE)</f>
        <v>1.1000000000000001</v>
      </c>
      <c r="K146" s="27">
        <f>VLOOKUP($A146,'[1]Raw Data'!$A$3:$FB$285,11,FALSE)</f>
        <v>80.87</v>
      </c>
      <c r="L146" s="27">
        <f>VLOOKUP($A146,'[1]Raw Data'!$A$3:$FB$285,12,FALSE)</f>
        <v>85.43</v>
      </c>
      <c r="M146" s="27">
        <f>VLOOKUP($A146,'[1]Raw Data'!$A$3:$FB$285,14,FALSE)</f>
        <v>6.46</v>
      </c>
      <c r="N146" s="27">
        <f>VLOOKUP($A146,'[1]Raw Data'!$A$3:$FB$285,15,FALSE)</f>
        <v>3.73</v>
      </c>
      <c r="O146" s="27">
        <f>VLOOKUP($A146,'[1]Raw Data'!$A$3:$FB$285,17,FALSE)</f>
        <v>0.11</v>
      </c>
      <c r="P146" s="27">
        <f>VLOOKUP($A146,'[1]Raw Data'!$A$3:$FB$285,18,FALSE)</f>
        <v>0.48</v>
      </c>
      <c r="Q146" s="27">
        <f>VLOOKUP($A146,'[1]Raw Data'!$A$3:$FB$285,20,FALSE)</f>
        <v>7.86</v>
      </c>
      <c r="R146" s="27">
        <f>VLOOKUP($A146,'[1]Raw Data'!$A$3:$FB$285,21,FALSE)</f>
        <v>3.25</v>
      </c>
      <c r="S146" s="27">
        <f>VLOOKUP($A146,'[1]Raw Data'!$A$3:$FB$285,23,FALSE)</f>
        <v>0</v>
      </c>
      <c r="T146" s="27">
        <f>VLOOKUP($A146,'[1]Raw Data'!$A$3:$FB$285,24,FALSE)</f>
        <v>0</v>
      </c>
      <c r="U146" s="27">
        <f>VLOOKUP($A146,'[1]Raw Data'!$A$3:$FB$285,26,FALSE)</f>
        <v>3.42</v>
      </c>
      <c r="V146" s="27">
        <f>VLOOKUP($A146,'[1]Raw Data'!$A$3:$FB$285,27,FALSE)</f>
        <v>0.64</v>
      </c>
      <c r="W146" s="27">
        <f>VLOOKUP($A146,'[1]Raw Data'!$A$3:$FB$285,29,FALSE)</f>
        <v>0</v>
      </c>
      <c r="X146" s="27">
        <f>VLOOKUP($A146,'[1]Raw Data'!$A$3:$FB$285,30,FALSE)</f>
        <v>0</v>
      </c>
      <c r="Y146" s="27">
        <f>VLOOKUP($A146,'[1]Raw Data'!$A$3:$FB$285,32,FALSE)</f>
        <v>0.14000000000000001</v>
      </c>
      <c r="Z146" s="27">
        <f>VLOOKUP($A146,'[1]Raw Data'!$A$3:$FB$285,33,FALSE)</f>
        <v>1.79</v>
      </c>
      <c r="AA146" s="27">
        <f>VLOOKUP($A146,'[1]Raw Data'!$A$3:$FB$285,35,FALSE)</f>
        <v>0.19</v>
      </c>
      <c r="AB146" s="27">
        <f>VLOOKUP($A146,'[1]Raw Data'!$A$3:$FB$285,36,FALSE)</f>
        <v>3.32</v>
      </c>
      <c r="AC146" s="27">
        <f>VLOOKUP($A146,'[1]Raw Data'!$A$3:$FB$285,38,FALSE)</f>
        <v>0.59</v>
      </c>
      <c r="AD146" s="27">
        <f>VLOOKUP($A146,'[1]Raw Data'!$A$3:$FB$285,39,FALSE)</f>
        <v>0.25</v>
      </c>
      <c r="AE146" s="27">
        <f>VLOOKUP($A146,'[1]Raw Data'!$A$3:$FB$285,41,FALSE)</f>
        <v>0</v>
      </c>
      <c r="AF146" s="27">
        <f>VLOOKUP($A146,'[1]Raw Data'!$A$3:$FB$285,42,FALSE)</f>
        <v>0</v>
      </c>
      <c r="AG146" s="27">
        <f>VLOOKUP($A146,'[1]Raw Data'!$A$3:$FB$285,44,FALSE)</f>
        <v>0</v>
      </c>
      <c r="AH146" s="27">
        <f>VLOOKUP($A146,'[1]Raw Data'!$A$3:$FB$285,45,FALSE)</f>
        <v>0</v>
      </c>
      <c r="AI146" s="27">
        <f>VLOOKUP($A146,'[1]Raw Data'!$A$3:$FB$285,46,FALSE)</f>
        <v>4910</v>
      </c>
      <c r="AJ146" s="27">
        <f>VLOOKUP($A146,'[1]Raw Data'!$A$3:$FB$285,47,FALSE)</f>
        <v>4349</v>
      </c>
      <c r="AK146" s="27">
        <f>VLOOKUP($A146,'[1]Raw Data'!$A$3:$FB$285,48,FALSE)</f>
        <v>4349</v>
      </c>
      <c r="AL146" s="27">
        <f>VLOOKUP($A146,'[1]Raw Data'!$A$3:$FB$285,49,FALSE)</f>
        <v>3682</v>
      </c>
      <c r="AM146" s="27">
        <f>VLOOKUP($A146,'[1]Raw Data'!$A$3:$FB$285,50,FALSE)</f>
        <v>2393</v>
      </c>
      <c r="AN146" s="27">
        <f>VLOOKUP($A146,'[1]Raw Data'!$A$3:$FB$285,51,FALSE)</f>
        <v>0</v>
      </c>
      <c r="AO146" s="27">
        <f>VLOOKUP($A146,'[1]Raw Data'!$A$3:$FB$285,52,FALSE)</f>
        <v>2507</v>
      </c>
      <c r="AP146" s="27">
        <f>VLOOKUP($A146,'[1]Raw Data'!$A$3:$FB$285,53,FALSE)</f>
        <v>618</v>
      </c>
      <c r="AQ146" s="27">
        <f>VLOOKUP($A146,'[1]Raw Data'!$A$3:$FB$285,54,FALSE)</f>
        <v>618</v>
      </c>
      <c r="AR146" s="27">
        <f>VLOOKUP($A146,'[1]Raw Data'!$A$3:$FB$285,55,FALSE)</f>
        <v>0</v>
      </c>
      <c r="AS146" s="27">
        <f>VLOOKUP($A146,'[1]Raw Data'!$A$3:$FB$285,56,FALSE)</f>
        <v>0</v>
      </c>
      <c r="AT146" s="27">
        <f>VLOOKUP($A146,'[1]Raw Data'!$A$3:$FB$285,57,FALSE)</f>
        <v>1690</v>
      </c>
      <c r="AU146" s="27">
        <f>VLOOKUP($A146,'[1]Raw Data'!$A$3:$FB$285,58,FALSE)</f>
        <v>599</v>
      </c>
      <c r="AV146" s="27">
        <f>VLOOKUP($A146,'[1]Raw Data'!$A$3:$FB$285,59,FALSE)</f>
        <v>22</v>
      </c>
      <c r="AW146" s="27">
        <f>VLOOKUP($A146,'[1]Raw Data'!$A$3:$FB$285,60,FALSE)</f>
        <v>20</v>
      </c>
      <c r="AX146" s="27" t="str">
        <f>VLOOKUP(A146,'[1]PO''s List'!A144:E426,4,FALSE)</f>
        <v>NSET(Shelter),UMN(Education,Shelter,Health)</v>
      </c>
      <c r="AZ146" s="27" t="str">
        <f>VLOOKUP(A146,'[1]PO''s List'!$A$3:$E$285,5,FALSE)</f>
        <v>AATWIN(Social Protection),ADRA(Shelter),CY(Education),DCA(DRR,Employment ,Health,Shelter,Health),GON - DUDBC(Shelter),GON-PAF(Shelter),MCC(Livelihood,Health),OXFAM-GB(Shelter)</v>
      </c>
      <c r="BB146" s="27">
        <f>VLOOKUP($A146,'[1]Raw Data'!$A$3:$FB$285,63,FALSE)</f>
        <v>97205</v>
      </c>
      <c r="BC146" s="27" t="str">
        <f>VLOOKUP($A146,'[1]Raw Data'!$A$3:$FB$285,64,FALSE)</f>
        <v>Y</v>
      </c>
      <c r="BD146" s="27" t="str">
        <f t="shared" si="18"/>
        <v>छ</v>
      </c>
      <c r="BE146" s="27" t="str">
        <f>VLOOKUP($A146,'[1]Raw Data'!$A$3:$FB$285,65,FALSE)</f>
        <v/>
      </c>
      <c r="BF146" s="27">
        <f>VLOOKUP($A146,'[1]Raw Data'!$A$3:$FB$285,66,FALSE)</f>
        <v>82048</v>
      </c>
      <c r="BG146" s="27" t="str">
        <f>VLOOKUP($A146,'[1]Raw Data'!$A$3:$FB$285,67,FALSE)</f>
        <v>Y</v>
      </c>
      <c r="BH146" s="27" t="str">
        <f t="shared" si="19"/>
        <v>छ</v>
      </c>
      <c r="BI146" s="27" t="str">
        <f>VLOOKUP($A146,'[1]Raw Data'!$A$3:$FB$285,68,FALSE)</f>
        <v/>
      </c>
      <c r="BJ146" s="27">
        <f>VLOOKUP($A146,'[1]Raw Data'!$A$3:$FB$285,69,FALSE)</f>
        <v>10212</v>
      </c>
      <c r="BK146" s="27" t="str">
        <f>VLOOKUP($A146,'[1]Raw Data'!$A$3:$FB$285,70,FALSE)</f>
        <v>Y</v>
      </c>
      <c r="BL146" s="27" t="str">
        <f t="shared" si="20"/>
        <v>छ</v>
      </c>
      <c r="BM146" s="27" t="str">
        <f>VLOOKUP($A146,'[1]Raw Data'!$A$3:$FB$285,71,FALSE)</f>
        <v/>
      </c>
      <c r="BN146" s="27">
        <f>VLOOKUP($A146,'[1]Raw Data'!$A$3:$FB$285,72,FALSE)</f>
        <v>11173</v>
      </c>
      <c r="BO146" s="27" t="str">
        <f>VLOOKUP($A146,'[1]Raw Data'!$A$3:$FB$285,73,FALSE)</f>
        <v>Y</v>
      </c>
      <c r="BP146" s="27" t="str">
        <f t="shared" si="21"/>
        <v>छ</v>
      </c>
      <c r="BQ146" s="27" t="str">
        <f>VLOOKUP($A146,'[1]Raw Data'!$A$3:$FB$285,74,FALSE)</f>
        <v/>
      </c>
      <c r="BR146" s="27" t="str">
        <f>VLOOKUP($A146,'[1]Raw Data'!$A$3:$FB$285,75,FALSE)</f>
        <v/>
      </c>
      <c r="BS146" s="27" t="str">
        <f>VLOOKUP($A146,'[1]Raw Data'!$A$3:$FB$285,76,FALSE)</f>
        <v/>
      </c>
      <c r="BT146" s="27" t="str">
        <f t="shared" si="22"/>
        <v/>
      </c>
      <c r="BU146" s="27" t="str">
        <f>VLOOKUP($A146,'[1]Raw Data'!$A$3:$FB$285,77,FALSE)</f>
        <v/>
      </c>
      <c r="BV146" s="27">
        <f>VLOOKUP($A146,'[1]Raw Data'!$A$3:$FB$285,78,FALSE)</f>
        <v>273110</v>
      </c>
      <c r="BW146" s="27" t="str">
        <f>VLOOKUP($A146,'[1]Raw Data'!$A$3:$FB$285,79,FALSE)</f>
        <v/>
      </c>
      <c r="BX146" s="27" t="str">
        <f t="shared" si="23"/>
        <v/>
      </c>
      <c r="BY146" s="27" t="str">
        <f>VLOOKUP($A146,'[1]Raw Data'!$A$3:$FB$285,80,FALSE)</f>
        <v/>
      </c>
      <c r="BZ146" s="27">
        <f>VLOOKUP($A146,'[1]Raw Data'!$A$3:$FB$285,81,FALSE)</f>
        <v>1078112</v>
      </c>
      <c r="CA146" s="27" t="str">
        <f>VLOOKUP($A146,'[1]Raw Data'!$A$3:$FB$285,82,FALSE)</f>
        <v>Y</v>
      </c>
      <c r="CB146" s="27" t="str">
        <f t="shared" si="24"/>
        <v>छ</v>
      </c>
      <c r="CC146" s="27" t="str">
        <f>VLOOKUP($A146,'[1]Raw Data'!$A$3:$FB$285,83,FALSE)</f>
        <v/>
      </c>
      <c r="CD146" s="27">
        <f>VLOOKUP($A146,'[1]Raw Data'!$A$3:$FB$285,84,FALSE)</f>
        <v>11125</v>
      </c>
      <c r="CE146" s="27" t="str">
        <f>VLOOKUP($A146,'[1]Raw Data'!$A$3:$FB$285,85,FALSE)</f>
        <v>Y</v>
      </c>
      <c r="CF146" s="27" t="str">
        <f t="shared" si="25"/>
        <v>छ</v>
      </c>
      <c r="CG146" s="27" t="str">
        <f>VLOOKUP($A146,'[1]Raw Data'!$A$3:$FB$285,86,FALSE)</f>
        <v/>
      </c>
      <c r="CH146" s="27">
        <f>VLOOKUP($A146,'[1]Raw Data'!$A$3:$FB$285,87,FALSE)</f>
        <v>2006947</v>
      </c>
      <c r="CI146" s="27" t="str">
        <f>VLOOKUP($A146,'[1]Raw Data'!$A$3:$FB$285,88,FALSE)</f>
        <v>Y</v>
      </c>
      <c r="CJ146" s="27" t="str">
        <f t="shared" si="26"/>
        <v>छ</v>
      </c>
      <c r="CK146" s="27" t="str">
        <f>VLOOKUP($A146,'[1]Raw Data'!$A$3:$FB$285,89,FALSE)</f>
        <v/>
      </c>
      <c r="CL146" s="27" t="str">
        <f>VLOOKUP($A146,'[1]Raw Data'!$A$3:$FB$285,91,FALSE)</f>
        <v/>
      </c>
      <c r="CM146" s="27" t="str">
        <f>VLOOKUP($A146,'[1]Raw Data'!$A$3:$FB$285,93,FALSE)</f>
        <v/>
      </c>
      <c r="CN146" s="27" t="str">
        <f>VLOOKUP($A146,'[1]Raw Data'!$A$3:$FB$285,94,FALSE)</f>
        <v/>
      </c>
      <c r="CO146" s="27" t="str">
        <f>VLOOKUP($A146,'[1]Raw Data'!$A$3:$FB$285,95,FALSE)</f>
        <v/>
      </c>
      <c r="CP146" s="27" t="str">
        <f>VLOOKUP($A146,'[1]Raw Data'!$A$3:$FB$285,96,FALSE)</f>
        <v/>
      </c>
      <c r="CQ146" s="27" t="str">
        <f>VLOOKUP($A146,'[1]Raw Data'!$A$3:$FB$285,97,FALSE)</f>
        <v/>
      </c>
      <c r="CR146" s="27" t="str">
        <f>VLOOKUP($A146,'[1]Raw Data'!$A$3:$FB$285,98,FALSE)</f>
        <v/>
      </c>
      <c r="CS146" s="27" t="str">
        <f>VLOOKUP($A146,'[1]Raw Data'!$A$3:$FB$285,99,FALSE)</f>
        <v/>
      </c>
      <c r="CT146" s="27" t="str">
        <f>VLOOKUP($A146,'[1]Raw Data'!$A$3:$FB$285,101,FALSE)</f>
        <v>Pitta Bahadhur Dallakoti</v>
      </c>
      <c r="CU146" s="27" t="s">
        <v>1271</v>
      </c>
      <c r="CV146" s="27" t="str">
        <f>VLOOKUP($A146,'[1]Raw Data'!$A$3:$FB$285,102,FALSE)</f>
        <v>Mayor</v>
      </c>
      <c r="CW146" s="27" t="s">
        <v>834</v>
      </c>
      <c r="CX146" s="27">
        <f>VLOOKUP($A146,'[1]Raw Data'!$A$3:$FB$285,103,FALSE)</f>
        <v>9851229220</v>
      </c>
      <c r="CY146" s="27" t="str">
        <f>VLOOKUP($A146,'[1]Raw Data'!$A$3:$FB$285,105,FALSE)</f>
        <v>Devi Prasad Silwal</v>
      </c>
      <c r="CZ146" s="27" t="s">
        <v>1272</v>
      </c>
      <c r="DA146" s="27" t="str">
        <f>VLOOKUP($A146,'[1]Raw Data'!$A$3:$FB$285,106,FALSE)</f>
        <v>Deputy Mayor</v>
      </c>
      <c r="DB146" s="27" t="s">
        <v>888</v>
      </c>
      <c r="DC146" s="27">
        <f>VLOOKUP($A146,'[1]Raw Data'!$A$3:$FB$285,107,FALSE)</f>
        <v>9810254793</v>
      </c>
      <c r="DD146" s="27" t="str">
        <f>VLOOKUP($A146,'[1]Raw Data'!$A$3:$FB$285,109,FALSE)</f>
        <v/>
      </c>
      <c r="DF146" s="27" t="str">
        <f>VLOOKUP($A146,'[1]Raw Data'!$A$3:$FB$285,110,FALSE)</f>
        <v>Adminstration Officer</v>
      </c>
      <c r="DG146" s="27" t="s">
        <v>880</v>
      </c>
      <c r="DH146" s="27" t="str">
        <f>VLOOKUP($A146,'[1]Raw Data'!$A$3:$FB$285,111,FALSE)</f>
        <v/>
      </c>
      <c r="DI146" s="27" t="str">
        <f>VLOOKUP($A146,'[1]Raw Data'!$A$3:$FB$285,121,FALSE)</f>
        <v/>
      </c>
      <c r="DK146" s="27" t="str">
        <f>VLOOKUP($A146,'[1]Raw Data'!$A$3:$FB$285,122,FALSE)</f>
        <v>Focal Person</v>
      </c>
      <c r="DL146" s="27" t="s">
        <v>881</v>
      </c>
      <c r="DM146" s="27" t="str">
        <f>VLOOKUP($A146,'[1]Raw Data'!$A$3:$FB$285,123,FALSE)</f>
        <v/>
      </c>
      <c r="DN146" s="27" t="str">
        <f>VLOOKUP($A146,'[1]Raw Data'!$A$3:$FB$285,113,FALSE)</f>
        <v>Rajendra K. C.</v>
      </c>
      <c r="DO146" s="27" t="s">
        <v>1273</v>
      </c>
      <c r="DP146" s="27" t="str">
        <f>VLOOKUP($A146,'[1]Raw Data'!$A$3:$FB$285,114,FALSE)</f>
        <v>NRA Chief-District</v>
      </c>
      <c r="DQ146" s="27" t="s">
        <v>882</v>
      </c>
      <c r="DR146" s="27">
        <f>VLOOKUP($A146,'[1]Raw Data'!$A$3:$FB$285,115,FALSE)</f>
        <v>9851213604</v>
      </c>
      <c r="DS146" s="27" t="str">
        <f>VLOOKUP($A146,'[1]Raw Data'!$A$3:$FB$285,117,FALSE)</f>
        <v>Koshnath Adhikari</v>
      </c>
      <c r="DT146" s="27" t="s">
        <v>894</v>
      </c>
      <c r="DU146" s="27" t="str">
        <f>VLOOKUP($A146,'[1]Raw Data'!$A$3:$FB$285,118,FALSE)</f>
        <v>DUDBC.DLPIU Chief</v>
      </c>
      <c r="DV146" s="27" t="s">
        <v>883</v>
      </c>
      <c r="DW146" s="27">
        <f>VLOOKUP($A146,'[1]Raw Data'!$A$3:$FB$285,119,FALSE)</f>
        <v>9855046584</v>
      </c>
      <c r="DX146" s="27" t="s">
        <v>339</v>
      </c>
      <c r="DY146" s="27" t="str">
        <f>VLOOKUP($A146,'[1]Raw Data'!$A$3:$FB$285,124,FALSE)</f>
        <v/>
      </c>
      <c r="DZ146" s="27" t="s">
        <v>884</v>
      </c>
      <c r="EA146" s="27" t="str">
        <f>VLOOKUP($A146,'[1]Raw Data'!$A$3:$FB$285,125,FALSE)</f>
        <v/>
      </c>
      <c r="EB146" s="27" t="s">
        <v>341</v>
      </c>
      <c r="EC146" s="27" t="str">
        <f>VLOOKUP($A146,'[1]Raw Data'!$A$3:$FB$285,126,FALSE)</f>
        <v/>
      </c>
      <c r="ED146" t="s">
        <v>478</v>
      </c>
      <c r="EE146" s="27" t="str">
        <f>VLOOKUP($A146,'[1]Raw Data'!$A$3:$FB$285,127,FALSE)</f>
        <v/>
      </c>
      <c r="EF146" s="27" t="s">
        <v>343</v>
      </c>
      <c r="EG146" s="27" t="str">
        <f>VLOOKUP($A146,'[1]Raw Data'!$A$3:$FB$285,128,FALSE)</f>
        <v/>
      </c>
      <c r="EH146" t="s">
        <v>344</v>
      </c>
      <c r="EI146" s="27" t="str">
        <f>VLOOKUP($A146,'[1]Raw Data'!$A$3:$FB$285,129,FALSE)</f>
        <v/>
      </c>
      <c r="EM146" s="27" t="str">
        <f>VLOOKUP($A146,'[1]Raw Data'!$A$3:$FB$285,130,FALSE)</f>
        <v/>
      </c>
      <c r="EN146" s="27" t="str">
        <f>VLOOKUP($A146,'[1]Raw Data'!$A$3:$FB$285,131,FALSE)</f>
        <v/>
      </c>
      <c r="EO146" s="27" t="str">
        <f>VLOOKUP($A146,'[1]Raw Data'!$A$3:$FB$285,132,FALSE)</f>
        <v/>
      </c>
      <c r="EP146" s="27" t="str">
        <f>VLOOKUP($A146,'[1]Raw Data'!$A$3:$FB$285,133,FALSE)</f>
        <v/>
      </c>
      <c r="EQ146" s="27" t="str">
        <f>VLOOKUP($A146,'[1]Raw Data'!$A$3:$FB$285,134,FALSE)</f>
        <v/>
      </c>
      <c r="ER146" s="27" t="str">
        <f>VLOOKUP($A146,'[1]Raw Data'!$A$3:$FB$285,135,FALSE)</f>
        <v/>
      </c>
      <c r="ES146" s="27" t="str">
        <f>VLOOKUP($A146,'[1]Raw Data'!$A$3:$FB$285,136,FALSE)</f>
        <v/>
      </c>
      <c r="ET146" s="27" t="str">
        <f>VLOOKUP($A146,'[1]Raw Data'!$A$3:$FB$285,137,FALSE)</f>
        <v/>
      </c>
      <c r="EU146" s="27" t="str">
        <f>VLOOKUP($A146,'[1]Raw Data'!$A$3:$FB$285,138,FALSE)</f>
        <v/>
      </c>
      <c r="EV146" s="27" t="str">
        <f>VLOOKUP($A146,'[1]Raw Data'!$A$3:$FB$285,139,FALSE)</f>
        <v/>
      </c>
      <c r="EW146" s="38">
        <f>VLOOKUP($A146,[1]Training!$A$2:$I$284,5,FALSE)</f>
        <v>377.69230769230768</v>
      </c>
      <c r="EX146" s="31">
        <f>VLOOKUP($A146,[1]Training!$A$2:$I$284,6,FALSE)</f>
        <v>542</v>
      </c>
      <c r="EY146" s="38">
        <f>VLOOKUP($A146,[1]Training!$A$2:$I$284,8,FALSE)</f>
        <v>459.39985297066102</v>
      </c>
      <c r="EZ146" s="31">
        <f>VLOOKUP($A146,[1]Training!$A$2:$I$284,9,FALSE)</f>
        <v>50</v>
      </c>
      <c r="FA146" s="27">
        <v>1</v>
      </c>
      <c r="FB146" s="27">
        <v>2</v>
      </c>
      <c r="FC146" s="27" t="str">
        <f>VLOOKUP($A146,'[1]Raw Data'!$A$3:$FB$285,148,FALSE)</f>
        <v>Prabin Gautam</v>
      </c>
      <c r="FD146" s="27" t="s">
        <v>1274</v>
      </c>
      <c r="FE146" s="27" t="str">
        <f>VLOOKUP($A146,'[1]Raw Data'!$A$3:$FB$285,149,FALSE)</f>
        <v>District Coordinator</v>
      </c>
      <c r="FF146" s="27" t="s">
        <v>885</v>
      </c>
      <c r="FG146" s="27">
        <f>VLOOKUP($A146,'[1]Raw Data'!$A$3:$FB$285,150,FALSE)</f>
        <v>9860687776</v>
      </c>
      <c r="FH146" s="27" t="str">
        <f>VLOOKUP($A146,'[1]Raw Data'!$A$3:$FB$285,156,FALSE)</f>
        <v>Sachin Sapkota</v>
      </c>
      <c r="FI146" s="27" t="s">
        <v>1275</v>
      </c>
      <c r="FJ146" s="27" t="str">
        <f>VLOOKUP($A146,'[1]Raw Data'!$A$3:$FB$285,157,FALSE)</f>
        <v>District Technical Officer</v>
      </c>
      <c r="FK146" s="27" t="s">
        <v>886</v>
      </c>
      <c r="FL146" s="27">
        <f>VLOOKUP($A146,'[1]Raw Data'!$A$3:$FB$285,158,FALSE)</f>
        <v>9847621292</v>
      </c>
      <c r="FM146" s="27" t="str">
        <f>VLOOKUP($A146,'[1]Raw Data'!$A$3:$FB$285,152,FALSE)</f>
        <v/>
      </c>
      <c r="FO146" s="27" t="str">
        <f>VLOOKUP($A146,'[1]Raw Data'!$A$3:$FB$285,153,FALSE)</f>
        <v>DIstrict Information Management Officer</v>
      </c>
      <c r="FP146" s="27" t="s">
        <v>887</v>
      </c>
      <c r="FQ146" s="27" t="str">
        <f>VLOOKUP($A146,'[1]Raw Data'!$A$3:$FB$285,154,FALSE)</f>
        <v/>
      </c>
    </row>
    <row r="147" spans="1:173" ht="24" x14ac:dyDescent="0.45">
      <c r="A147" s="27">
        <v>30002</v>
      </c>
      <c r="B147" s="36" t="str">
        <f ca="1">IFERROR(__xludf.DUMMYFUNCTION("""COMPUTED_VALUE"""),"Dhunibesi Nagarpalika")</f>
        <v>Dhunibesi Nagarpalika</v>
      </c>
      <c r="C147" s="37" t="str">
        <f>VLOOKUP(A147,'[1]Palika and District in Nepali '!$D$1:$F$283,3,FALSE)</f>
        <v>धुनीबेसी नगरपालिका</v>
      </c>
      <c r="D147" s="36" t="str">
        <f ca="1">IFERROR(__xludf.DUMMYFUNCTION("""COMPUTED_VALUE"""),"Dhading")</f>
        <v>Dhading</v>
      </c>
      <c r="E147" s="36"/>
      <c r="F147" s="27">
        <f>VLOOKUP(A147,'[1]Raw Data'!$A$3:$FB$285,4,FALSE)</f>
        <v>738</v>
      </c>
      <c r="G147" s="27">
        <f>VLOOKUP(A147,'[1]Raw Data'!$A$3:$FB$285,5,FALSE)</f>
        <v>7474</v>
      </c>
      <c r="H147" s="27">
        <f>VLOOKUP(A147,'[1]Raw Data'!$A$3:$FB$285,6,FALSE)</f>
        <v>8212</v>
      </c>
      <c r="I147" s="27">
        <f>VLOOKUP($A147,'[1]Raw Data'!$A$3:$FB$285,8,FALSE)</f>
        <v>0.67</v>
      </c>
      <c r="J147" s="27">
        <f>VLOOKUP($A147,'[1]Raw Data'!$A$3:$FB$285,9,FALSE)</f>
        <v>1.1000000000000001</v>
      </c>
      <c r="K147" s="27">
        <f>VLOOKUP($A147,'[1]Raw Data'!$A$3:$FB$285,11,FALSE)</f>
        <v>88.32</v>
      </c>
      <c r="L147" s="27">
        <f>VLOOKUP($A147,'[1]Raw Data'!$A$3:$FB$285,12,FALSE)</f>
        <v>85.43</v>
      </c>
      <c r="M147" s="27">
        <f>VLOOKUP($A147,'[1]Raw Data'!$A$3:$FB$285,14,FALSE)</f>
        <v>3.85</v>
      </c>
      <c r="N147" s="27">
        <f>VLOOKUP($A147,'[1]Raw Data'!$A$3:$FB$285,15,FALSE)</f>
        <v>3.73</v>
      </c>
      <c r="O147" s="27">
        <f>VLOOKUP($A147,'[1]Raw Data'!$A$3:$FB$285,17,FALSE)</f>
        <v>0.45</v>
      </c>
      <c r="P147" s="27">
        <f>VLOOKUP($A147,'[1]Raw Data'!$A$3:$FB$285,18,FALSE)</f>
        <v>0.48</v>
      </c>
      <c r="Q147" s="27">
        <f>VLOOKUP($A147,'[1]Raw Data'!$A$3:$FB$285,20,FALSE)</f>
        <v>3.78</v>
      </c>
      <c r="R147" s="27">
        <f>VLOOKUP($A147,'[1]Raw Data'!$A$3:$FB$285,21,FALSE)</f>
        <v>3.25</v>
      </c>
      <c r="S147" s="27">
        <f>VLOOKUP($A147,'[1]Raw Data'!$A$3:$FB$285,23,FALSE)</f>
        <v>0</v>
      </c>
      <c r="T147" s="27">
        <f>VLOOKUP($A147,'[1]Raw Data'!$A$3:$FB$285,24,FALSE)</f>
        <v>0</v>
      </c>
      <c r="U147" s="27">
        <f>VLOOKUP($A147,'[1]Raw Data'!$A$3:$FB$285,26,FALSE)</f>
        <v>0.12</v>
      </c>
      <c r="V147" s="27">
        <f>VLOOKUP($A147,'[1]Raw Data'!$A$3:$FB$285,27,FALSE)</f>
        <v>0.64</v>
      </c>
      <c r="W147" s="27">
        <f>VLOOKUP($A147,'[1]Raw Data'!$A$3:$FB$285,29,FALSE)</f>
        <v>0</v>
      </c>
      <c r="X147" s="27">
        <f>VLOOKUP($A147,'[1]Raw Data'!$A$3:$FB$285,30,FALSE)</f>
        <v>0</v>
      </c>
      <c r="Y147" s="27">
        <f>VLOOKUP($A147,'[1]Raw Data'!$A$3:$FB$285,32,FALSE)</f>
        <v>7.0000000000000007E-2</v>
      </c>
      <c r="Z147" s="27">
        <f>VLOOKUP($A147,'[1]Raw Data'!$A$3:$FB$285,33,FALSE)</f>
        <v>1.79</v>
      </c>
      <c r="AA147" s="27">
        <f>VLOOKUP($A147,'[1]Raw Data'!$A$3:$FB$285,35,FALSE)</f>
        <v>2.62</v>
      </c>
      <c r="AB147" s="27">
        <f>VLOOKUP($A147,'[1]Raw Data'!$A$3:$FB$285,36,FALSE)</f>
        <v>3.32</v>
      </c>
      <c r="AC147" s="27">
        <f>VLOOKUP($A147,'[1]Raw Data'!$A$3:$FB$285,38,FALSE)</f>
        <v>0.12</v>
      </c>
      <c r="AD147" s="27">
        <f>VLOOKUP($A147,'[1]Raw Data'!$A$3:$FB$285,39,FALSE)</f>
        <v>0.25</v>
      </c>
      <c r="AE147" s="27">
        <f>VLOOKUP($A147,'[1]Raw Data'!$A$3:$FB$285,41,FALSE)</f>
        <v>0</v>
      </c>
      <c r="AF147" s="27">
        <f>VLOOKUP($A147,'[1]Raw Data'!$A$3:$FB$285,42,FALSE)</f>
        <v>0</v>
      </c>
      <c r="AG147" s="27">
        <f>VLOOKUP($A147,'[1]Raw Data'!$A$3:$FB$285,44,FALSE)</f>
        <v>0</v>
      </c>
      <c r="AH147" s="27">
        <f>VLOOKUP($A147,'[1]Raw Data'!$A$3:$FB$285,45,FALSE)</f>
        <v>0</v>
      </c>
      <c r="AI147" s="27">
        <f>VLOOKUP($A147,'[1]Raw Data'!$A$3:$FB$285,46,FALSE)</f>
        <v>7158</v>
      </c>
      <c r="AJ147" s="27">
        <f>VLOOKUP($A147,'[1]Raw Data'!$A$3:$FB$285,47,FALSE)</f>
        <v>6582</v>
      </c>
      <c r="AK147" s="27">
        <f>VLOOKUP($A147,'[1]Raw Data'!$A$3:$FB$285,48,FALSE)</f>
        <v>6582</v>
      </c>
      <c r="AL147" s="27">
        <f>VLOOKUP($A147,'[1]Raw Data'!$A$3:$FB$285,49,FALSE)</f>
        <v>4328</v>
      </c>
      <c r="AM147" s="27">
        <f>VLOOKUP($A147,'[1]Raw Data'!$A$3:$FB$285,50,FALSE)</f>
        <v>2910</v>
      </c>
      <c r="AN147" s="27">
        <f>VLOOKUP($A147,'[1]Raw Data'!$A$3:$FB$285,51,FALSE)</f>
        <v>0</v>
      </c>
      <c r="AO147" s="27">
        <f>VLOOKUP($A147,'[1]Raw Data'!$A$3:$FB$285,52,FALSE)</f>
        <v>3177</v>
      </c>
      <c r="AP147" s="27">
        <f>VLOOKUP($A147,'[1]Raw Data'!$A$3:$FB$285,53,FALSE)</f>
        <v>98</v>
      </c>
      <c r="AQ147" s="27">
        <f>VLOOKUP($A147,'[1]Raw Data'!$A$3:$FB$285,54,FALSE)</f>
        <v>98</v>
      </c>
      <c r="AR147" s="27">
        <f>VLOOKUP($A147,'[1]Raw Data'!$A$3:$FB$285,55,FALSE)</f>
        <v>9</v>
      </c>
      <c r="AS147" s="27">
        <f>VLOOKUP($A147,'[1]Raw Data'!$A$3:$FB$285,56,FALSE)</f>
        <v>0</v>
      </c>
      <c r="AT147" s="27">
        <f>VLOOKUP($A147,'[1]Raw Data'!$A$3:$FB$285,57,FALSE)</f>
        <v>1067</v>
      </c>
      <c r="AU147" s="27">
        <f>VLOOKUP($A147,'[1]Raw Data'!$A$3:$FB$285,58,FALSE)</f>
        <v>356</v>
      </c>
      <c r="AV147" s="27">
        <f>VLOOKUP($A147,'[1]Raw Data'!$A$3:$FB$285,59,FALSE)</f>
        <v>252</v>
      </c>
      <c r="AW147" s="27">
        <f>VLOOKUP($A147,'[1]Raw Data'!$A$3:$FB$285,60,FALSE)</f>
        <v>174</v>
      </c>
      <c r="AX147" s="27" t="str">
        <f>VLOOKUP(A147,'[1]PO''s List'!A145:E427,4,FALSE)</f>
        <v>NSET(Shelter)</v>
      </c>
      <c r="AZ147" s="27" t="str">
        <f>VLOOKUP(A147,'[1]PO''s List'!$A$3:$E$285,5,FALSE)</f>
        <v>ADRA(Shelter),GIZ(Shelter),GON(Shelter),GON - DUDBC(Shelter),RoomTR(Education)</v>
      </c>
      <c r="BB147" s="27">
        <f>VLOOKUP($A147,'[1]Raw Data'!$A$3:$FB$285,63,FALSE)</f>
        <v>117797</v>
      </c>
      <c r="BC147" s="27" t="str">
        <f>VLOOKUP($A147,'[1]Raw Data'!$A$3:$FB$285,64,FALSE)</f>
        <v>Y</v>
      </c>
      <c r="BD147" s="27" t="str">
        <f t="shared" si="18"/>
        <v>छ</v>
      </c>
      <c r="BE147" s="27" t="str">
        <f>VLOOKUP($A147,'[1]Raw Data'!$A$3:$FB$285,65,FALSE)</f>
        <v/>
      </c>
      <c r="BF147" s="27">
        <f>VLOOKUP($A147,'[1]Raw Data'!$A$3:$FB$285,66,FALSE)</f>
        <v>111454</v>
      </c>
      <c r="BG147" s="27" t="str">
        <f>VLOOKUP($A147,'[1]Raw Data'!$A$3:$FB$285,67,FALSE)</f>
        <v>Y</v>
      </c>
      <c r="BH147" s="27" t="str">
        <f t="shared" si="19"/>
        <v>छ</v>
      </c>
      <c r="BI147" s="27" t="str">
        <f>VLOOKUP($A147,'[1]Raw Data'!$A$3:$FB$285,68,FALSE)</f>
        <v/>
      </c>
      <c r="BJ147" s="27">
        <f>VLOOKUP($A147,'[1]Raw Data'!$A$3:$FB$285,69,FALSE)</f>
        <v>12495</v>
      </c>
      <c r="BK147" s="27" t="str">
        <f>VLOOKUP($A147,'[1]Raw Data'!$A$3:$FB$285,70,FALSE)</f>
        <v>Y</v>
      </c>
      <c r="BL147" s="27" t="str">
        <f t="shared" si="20"/>
        <v>छ</v>
      </c>
      <c r="BM147" s="27" t="str">
        <f>VLOOKUP($A147,'[1]Raw Data'!$A$3:$FB$285,71,FALSE)</f>
        <v/>
      </c>
      <c r="BN147" s="27">
        <f>VLOOKUP($A147,'[1]Raw Data'!$A$3:$FB$285,72,FALSE)</f>
        <v>14115</v>
      </c>
      <c r="BO147" s="27" t="str">
        <f>VLOOKUP($A147,'[1]Raw Data'!$A$3:$FB$285,73,FALSE)</f>
        <v>Y</v>
      </c>
      <c r="BP147" s="27" t="str">
        <f t="shared" si="21"/>
        <v>छ</v>
      </c>
      <c r="BQ147" s="27" t="str">
        <f>VLOOKUP($A147,'[1]Raw Data'!$A$3:$FB$285,74,FALSE)</f>
        <v/>
      </c>
      <c r="BR147" s="27" t="str">
        <f>VLOOKUP($A147,'[1]Raw Data'!$A$3:$FB$285,75,FALSE)</f>
        <v/>
      </c>
      <c r="BS147" s="27" t="str">
        <f>VLOOKUP($A147,'[1]Raw Data'!$A$3:$FB$285,76,FALSE)</f>
        <v/>
      </c>
      <c r="BT147" s="27" t="str">
        <f t="shared" si="22"/>
        <v/>
      </c>
      <c r="BU147" s="27" t="str">
        <f>VLOOKUP($A147,'[1]Raw Data'!$A$3:$FB$285,77,FALSE)</f>
        <v/>
      </c>
      <c r="BV147" s="27">
        <f>VLOOKUP($A147,'[1]Raw Data'!$A$3:$FB$285,78,FALSE)</f>
        <v>374273</v>
      </c>
      <c r="BW147" s="27" t="str">
        <f>VLOOKUP($A147,'[1]Raw Data'!$A$3:$FB$285,79,FALSE)</f>
        <v/>
      </c>
      <c r="BX147" s="27" t="str">
        <f t="shared" si="23"/>
        <v/>
      </c>
      <c r="BY147" s="27" t="str">
        <f>VLOOKUP($A147,'[1]Raw Data'!$A$3:$FB$285,80,FALSE)</f>
        <v/>
      </c>
      <c r="BZ147" s="27">
        <f>VLOOKUP($A147,'[1]Raw Data'!$A$3:$FB$285,81,FALSE)</f>
        <v>1295684</v>
      </c>
      <c r="CA147" s="27" t="str">
        <f>VLOOKUP($A147,'[1]Raw Data'!$A$3:$FB$285,82,FALSE)</f>
        <v>Y</v>
      </c>
      <c r="CB147" s="27" t="str">
        <f t="shared" si="24"/>
        <v>छ</v>
      </c>
      <c r="CC147" s="27" t="str">
        <f>VLOOKUP($A147,'[1]Raw Data'!$A$3:$FB$285,83,FALSE)</f>
        <v/>
      </c>
      <c r="CD147" s="27">
        <f>VLOOKUP($A147,'[1]Raw Data'!$A$3:$FB$285,84,FALSE)</f>
        <v>15303</v>
      </c>
      <c r="CE147" s="27" t="str">
        <f>VLOOKUP($A147,'[1]Raw Data'!$A$3:$FB$285,85,FALSE)</f>
        <v>Y</v>
      </c>
      <c r="CF147" s="27" t="str">
        <f t="shared" si="25"/>
        <v>छ</v>
      </c>
      <c r="CG147" s="27" t="str">
        <f>VLOOKUP($A147,'[1]Raw Data'!$A$3:$FB$285,86,FALSE)</f>
        <v/>
      </c>
      <c r="CH147" s="27">
        <f>VLOOKUP($A147,'[1]Raw Data'!$A$3:$FB$285,87,FALSE)</f>
        <v>2380750</v>
      </c>
      <c r="CI147" s="27" t="str">
        <f>VLOOKUP($A147,'[1]Raw Data'!$A$3:$FB$285,88,FALSE)</f>
        <v>Y</v>
      </c>
      <c r="CJ147" s="27" t="str">
        <f t="shared" si="26"/>
        <v>छ</v>
      </c>
      <c r="CK147" s="27" t="str">
        <f>VLOOKUP($A147,'[1]Raw Data'!$A$3:$FB$285,89,FALSE)</f>
        <v/>
      </c>
      <c r="CL147" s="27" t="str">
        <f>VLOOKUP($A147,'[1]Raw Data'!$A$3:$FB$285,91,FALSE)</f>
        <v/>
      </c>
      <c r="CM147" s="27" t="str">
        <f>VLOOKUP($A147,'[1]Raw Data'!$A$3:$FB$285,93,FALSE)</f>
        <v/>
      </c>
      <c r="CN147" s="27" t="str">
        <f>VLOOKUP($A147,'[1]Raw Data'!$A$3:$FB$285,94,FALSE)</f>
        <v/>
      </c>
      <c r="CO147" s="27" t="str">
        <f>VLOOKUP($A147,'[1]Raw Data'!$A$3:$FB$285,95,FALSE)</f>
        <v/>
      </c>
      <c r="CP147" s="27" t="str">
        <f>VLOOKUP($A147,'[1]Raw Data'!$A$3:$FB$285,96,FALSE)</f>
        <v/>
      </c>
      <c r="CQ147" s="27" t="str">
        <f>VLOOKUP($A147,'[1]Raw Data'!$A$3:$FB$285,97,FALSE)</f>
        <v/>
      </c>
      <c r="CR147" s="27" t="str">
        <f>VLOOKUP($A147,'[1]Raw Data'!$A$3:$FB$285,98,FALSE)</f>
        <v/>
      </c>
      <c r="CS147" s="27" t="str">
        <f>VLOOKUP($A147,'[1]Raw Data'!$A$3:$FB$285,99,FALSE)</f>
        <v/>
      </c>
      <c r="CT147" s="27" t="str">
        <f>VLOOKUP($A147,'[1]Raw Data'!$A$3:$FB$285,101,FALSE)</f>
        <v>Balkrishna Acharya</v>
      </c>
      <c r="CU147" s="27" t="s">
        <v>1276</v>
      </c>
      <c r="CV147" s="27" t="str">
        <f>VLOOKUP($A147,'[1]Raw Data'!$A$3:$FB$285,102,FALSE)</f>
        <v>Mayor</v>
      </c>
      <c r="CW147" s="27" t="s">
        <v>834</v>
      </c>
      <c r="CX147" s="27">
        <f>VLOOKUP($A147,'[1]Raw Data'!$A$3:$FB$285,103,FALSE)</f>
        <v>9851044657</v>
      </c>
      <c r="CY147" s="27" t="str">
        <f>VLOOKUP($A147,'[1]Raw Data'!$A$3:$FB$285,105,FALSE)</f>
        <v>Niru Kharel</v>
      </c>
      <c r="CZ147" s="27" t="s">
        <v>1277</v>
      </c>
      <c r="DA147" s="27" t="str">
        <f>VLOOKUP($A147,'[1]Raw Data'!$A$3:$FB$285,106,FALSE)</f>
        <v>Deputy Mayor</v>
      </c>
      <c r="DB147" s="27" t="s">
        <v>888</v>
      </c>
      <c r="DC147" s="27">
        <f>VLOOKUP($A147,'[1]Raw Data'!$A$3:$FB$285,107,FALSE)</f>
        <v>9841816258</v>
      </c>
      <c r="DD147" s="27" t="str">
        <f>VLOOKUP($A147,'[1]Raw Data'!$A$3:$FB$285,109,FALSE)</f>
        <v/>
      </c>
      <c r="DF147" s="27" t="str">
        <f>VLOOKUP($A147,'[1]Raw Data'!$A$3:$FB$285,110,FALSE)</f>
        <v>Adminstration Officer</v>
      </c>
      <c r="DG147" s="27" t="s">
        <v>880</v>
      </c>
      <c r="DH147" s="27" t="str">
        <f>VLOOKUP($A147,'[1]Raw Data'!$A$3:$FB$285,111,FALSE)</f>
        <v/>
      </c>
      <c r="DI147" s="27" t="str">
        <f>VLOOKUP($A147,'[1]Raw Data'!$A$3:$FB$285,121,FALSE)</f>
        <v/>
      </c>
      <c r="DK147" s="27" t="str">
        <f>VLOOKUP($A147,'[1]Raw Data'!$A$3:$FB$285,122,FALSE)</f>
        <v>Focal Person</v>
      </c>
      <c r="DL147" s="27" t="s">
        <v>881</v>
      </c>
      <c r="DM147" s="27" t="str">
        <f>VLOOKUP($A147,'[1]Raw Data'!$A$3:$FB$285,123,FALSE)</f>
        <v/>
      </c>
      <c r="DN147" s="27" t="str">
        <f>VLOOKUP($A147,'[1]Raw Data'!$A$3:$FB$285,113,FALSE)</f>
        <v>Rajendra K. C.</v>
      </c>
      <c r="DO147" s="27" t="s">
        <v>1273</v>
      </c>
      <c r="DP147" s="27" t="str">
        <f>VLOOKUP($A147,'[1]Raw Data'!$A$3:$FB$285,114,FALSE)</f>
        <v>NRA Chief-District</v>
      </c>
      <c r="DQ147" s="27" t="s">
        <v>882</v>
      </c>
      <c r="DR147" s="27">
        <f>VLOOKUP($A147,'[1]Raw Data'!$A$3:$FB$285,115,FALSE)</f>
        <v>9851213604</v>
      </c>
      <c r="DS147" s="27" t="str">
        <f>VLOOKUP($A147,'[1]Raw Data'!$A$3:$FB$285,117,FALSE)</f>
        <v>Koshnath Adhikari</v>
      </c>
      <c r="DT147" s="27" t="s">
        <v>894</v>
      </c>
      <c r="DU147" s="27" t="str">
        <f>VLOOKUP($A147,'[1]Raw Data'!$A$3:$FB$285,118,FALSE)</f>
        <v>DUDBC.DLPIU Chief</v>
      </c>
      <c r="DV147" s="27" t="s">
        <v>883</v>
      </c>
      <c r="DW147" s="27" t="str">
        <f>VLOOKUP($A147,'[1]Raw Data'!$A$3:$FB$285,119,FALSE)</f>
        <v/>
      </c>
      <c r="DX147" s="27" t="s">
        <v>339</v>
      </c>
      <c r="DY147" s="27" t="str">
        <f>VLOOKUP($A147,'[1]Raw Data'!$A$3:$FB$285,124,FALSE)</f>
        <v/>
      </c>
      <c r="DZ147" s="27" t="s">
        <v>884</v>
      </c>
      <c r="EA147" s="27" t="str">
        <f>VLOOKUP($A147,'[1]Raw Data'!$A$3:$FB$285,125,FALSE)</f>
        <v/>
      </c>
      <c r="EB147" s="27" t="s">
        <v>341</v>
      </c>
      <c r="EC147" s="27" t="str">
        <f>VLOOKUP($A147,'[1]Raw Data'!$A$3:$FB$285,126,FALSE)</f>
        <v/>
      </c>
      <c r="ED147" t="s">
        <v>478</v>
      </c>
      <c r="EE147" s="27" t="str">
        <f>VLOOKUP($A147,'[1]Raw Data'!$A$3:$FB$285,127,FALSE)</f>
        <v/>
      </c>
      <c r="EF147" s="27" t="s">
        <v>343</v>
      </c>
      <c r="EG147" s="27" t="str">
        <f>VLOOKUP($A147,'[1]Raw Data'!$A$3:$FB$285,128,FALSE)</f>
        <v/>
      </c>
      <c r="EH147" t="s">
        <v>344</v>
      </c>
      <c r="EI147" s="27" t="str">
        <f>VLOOKUP($A147,'[1]Raw Data'!$A$3:$FB$285,129,FALSE)</f>
        <v/>
      </c>
      <c r="EM147" s="27" t="str">
        <f>VLOOKUP($A147,'[1]Raw Data'!$A$3:$FB$285,130,FALSE)</f>
        <v/>
      </c>
      <c r="EN147" s="27" t="str">
        <f>VLOOKUP($A147,'[1]Raw Data'!$A$3:$FB$285,131,FALSE)</f>
        <v/>
      </c>
      <c r="EO147" s="27" t="str">
        <f>VLOOKUP($A147,'[1]Raw Data'!$A$3:$FB$285,132,FALSE)</f>
        <v/>
      </c>
      <c r="EP147" s="27" t="str">
        <f>VLOOKUP($A147,'[1]Raw Data'!$A$3:$FB$285,133,FALSE)</f>
        <v/>
      </c>
      <c r="EQ147" s="27" t="str">
        <f>VLOOKUP($A147,'[1]Raw Data'!$A$3:$FB$285,134,FALSE)</f>
        <v/>
      </c>
      <c r="ER147" s="27" t="str">
        <f>VLOOKUP($A147,'[1]Raw Data'!$A$3:$FB$285,135,FALSE)</f>
        <v/>
      </c>
      <c r="ES147" s="27" t="str">
        <f>VLOOKUP($A147,'[1]Raw Data'!$A$3:$FB$285,136,FALSE)</f>
        <v/>
      </c>
      <c r="ET147" s="27" t="str">
        <f>VLOOKUP($A147,'[1]Raw Data'!$A$3:$FB$285,137,FALSE)</f>
        <v/>
      </c>
      <c r="EU147" s="27" t="str">
        <f>VLOOKUP($A147,'[1]Raw Data'!$A$3:$FB$285,138,FALSE)</f>
        <v/>
      </c>
      <c r="EV147" s="27" t="str">
        <f>VLOOKUP($A147,'[1]Raw Data'!$A$3:$FB$285,139,FALSE)</f>
        <v/>
      </c>
      <c r="EW147" s="38">
        <f>VLOOKUP($A147,[1]Training!$A$2:$I$284,5,FALSE)</f>
        <v>550.61538461538464</v>
      </c>
      <c r="EX147" s="31">
        <f>VLOOKUP($A147,[1]Training!$A$2:$I$284,6,FALSE)</f>
        <v>164</v>
      </c>
      <c r="EY147" s="38">
        <f>VLOOKUP($A147,[1]Training!$A$2:$I$284,8,FALSE)</f>
        <v>669.73200561384749</v>
      </c>
      <c r="EZ147" s="31">
        <f>VLOOKUP($A147,[1]Training!$A$2:$I$284,9,FALSE)</f>
        <v>30</v>
      </c>
      <c r="FA147" s="27">
        <v>1</v>
      </c>
      <c r="FB147" s="27">
        <v>2</v>
      </c>
      <c r="FC147" s="27" t="str">
        <f>VLOOKUP($A147,'[1]Raw Data'!$A$3:$FB$285,148,FALSE)</f>
        <v>Prabin Gautam</v>
      </c>
      <c r="FD147" s="27" t="s">
        <v>1274</v>
      </c>
      <c r="FE147" s="27" t="str">
        <f>VLOOKUP($A147,'[1]Raw Data'!$A$3:$FB$285,149,FALSE)</f>
        <v>District Coordinator</v>
      </c>
      <c r="FF147" s="27" t="s">
        <v>885</v>
      </c>
      <c r="FG147" s="27">
        <f>VLOOKUP($A147,'[1]Raw Data'!$A$3:$FB$285,150,FALSE)</f>
        <v>9860687776</v>
      </c>
      <c r="FH147" s="27" t="str">
        <f>VLOOKUP($A147,'[1]Raw Data'!$A$3:$FB$285,156,FALSE)</f>
        <v>Sachin Sapkota</v>
      </c>
      <c r="FI147" s="27" t="s">
        <v>1275</v>
      </c>
      <c r="FJ147" s="27" t="str">
        <f>VLOOKUP($A147,'[1]Raw Data'!$A$3:$FB$285,157,FALSE)</f>
        <v>District Technical Officer</v>
      </c>
      <c r="FK147" s="27" t="s">
        <v>886</v>
      </c>
      <c r="FL147" s="27">
        <f>VLOOKUP($A147,'[1]Raw Data'!$A$3:$FB$285,158,FALSE)</f>
        <v>9847621292</v>
      </c>
      <c r="FM147" s="27" t="str">
        <f>VLOOKUP($A147,'[1]Raw Data'!$A$3:$FB$285,152,FALSE)</f>
        <v/>
      </c>
      <c r="FO147" s="27" t="str">
        <f>VLOOKUP($A147,'[1]Raw Data'!$A$3:$FB$285,153,FALSE)</f>
        <v>DIstrict Information Management Officer</v>
      </c>
      <c r="FP147" s="27" t="s">
        <v>887</v>
      </c>
      <c r="FQ147" s="27" t="str">
        <f>VLOOKUP($A147,'[1]Raw Data'!$A$3:$FB$285,154,FALSE)</f>
        <v/>
      </c>
    </row>
    <row r="148" spans="1:173" ht="24" x14ac:dyDescent="0.45">
      <c r="A148" s="27">
        <v>30003</v>
      </c>
      <c r="B148" s="36" t="str">
        <f ca="1">IFERROR(__xludf.DUMMYFUNCTION("""COMPUTED_VALUE"""),"Gajuri Gaunpalika")</f>
        <v>Gajuri Gaunpalika</v>
      </c>
      <c r="C148" s="37" t="str">
        <f>VLOOKUP(A148,'[1]Palika and District in Nepali '!$D$1:$F$283,3,FALSE)</f>
        <v>गजुरी गाऊँपालिका</v>
      </c>
      <c r="D148" s="36" t="str">
        <f ca="1">IFERROR(__xludf.DUMMYFUNCTION("""COMPUTED_VALUE"""),"Dhading")</f>
        <v>Dhading</v>
      </c>
      <c r="E148" s="36"/>
      <c r="F148" s="27">
        <f>VLOOKUP(A148,'[1]Raw Data'!$A$3:$FB$285,4,FALSE)</f>
        <v>1301</v>
      </c>
      <c r="G148" s="27">
        <f>VLOOKUP(A148,'[1]Raw Data'!$A$3:$FB$285,5,FALSE)</f>
        <v>5179</v>
      </c>
      <c r="H148" s="27">
        <f>VLOOKUP(A148,'[1]Raw Data'!$A$3:$FB$285,6,FALSE)</f>
        <v>6480</v>
      </c>
      <c r="I148" s="27">
        <f>VLOOKUP($A148,'[1]Raw Data'!$A$3:$FB$285,8,FALSE)</f>
        <v>1</v>
      </c>
      <c r="J148" s="27">
        <f>VLOOKUP($A148,'[1]Raw Data'!$A$3:$FB$285,9,FALSE)</f>
        <v>1.1000000000000001</v>
      </c>
      <c r="K148" s="27">
        <f>VLOOKUP($A148,'[1]Raw Data'!$A$3:$FB$285,11,FALSE)</f>
        <v>78.62</v>
      </c>
      <c r="L148" s="27">
        <f>VLOOKUP($A148,'[1]Raw Data'!$A$3:$FB$285,12,FALSE)</f>
        <v>85.43</v>
      </c>
      <c r="M148" s="27">
        <f>VLOOKUP($A148,'[1]Raw Data'!$A$3:$FB$285,14,FALSE)</f>
        <v>10.17</v>
      </c>
      <c r="N148" s="27">
        <f>VLOOKUP($A148,'[1]Raw Data'!$A$3:$FB$285,15,FALSE)</f>
        <v>3.73</v>
      </c>
      <c r="O148" s="27">
        <f>VLOOKUP($A148,'[1]Raw Data'!$A$3:$FB$285,17,FALSE)</f>
        <v>0.96</v>
      </c>
      <c r="P148" s="27">
        <f>VLOOKUP($A148,'[1]Raw Data'!$A$3:$FB$285,18,FALSE)</f>
        <v>0.48</v>
      </c>
      <c r="Q148" s="27">
        <f>VLOOKUP($A148,'[1]Raw Data'!$A$3:$FB$285,20,FALSE)</f>
        <v>1.73</v>
      </c>
      <c r="R148" s="27">
        <f>VLOOKUP($A148,'[1]Raw Data'!$A$3:$FB$285,21,FALSE)</f>
        <v>3.25</v>
      </c>
      <c r="S148" s="27">
        <f>VLOOKUP($A148,'[1]Raw Data'!$A$3:$FB$285,23,FALSE)</f>
        <v>0</v>
      </c>
      <c r="T148" s="27">
        <f>VLOOKUP($A148,'[1]Raw Data'!$A$3:$FB$285,24,FALSE)</f>
        <v>0</v>
      </c>
      <c r="U148" s="27">
        <f>VLOOKUP($A148,'[1]Raw Data'!$A$3:$FB$285,26,FALSE)</f>
        <v>1.27</v>
      </c>
      <c r="V148" s="27">
        <f>VLOOKUP($A148,'[1]Raw Data'!$A$3:$FB$285,27,FALSE)</f>
        <v>0.64</v>
      </c>
      <c r="W148" s="27">
        <f>VLOOKUP($A148,'[1]Raw Data'!$A$3:$FB$285,29,FALSE)</f>
        <v>0</v>
      </c>
      <c r="X148" s="27">
        <f>VLOOKUP($A148,'[1]Raw Data'!$A$3:$FB$285,30,FALSE)</f>
        <v>0</v>
      </c>
      <c r="Y148" s="27">
        <f>VLOOKUP($A148,'[1]Raw Data'!$A$3:$FB$285,32,FALSE)</f>
        <v>0.09</v>
      </c>
      <c r="Z148" s="27">
        <f>VLOOKUP($A148,'[1]Raw Data'!$A$3:$FB$285,33,FALSE)</f>
        <v>1.79</v>
      </c>
      <c r="AA148" s="27">
        <f>VLOOKUP($A148,'[1]Raw Data'!$A$3:$FB$285,35,FALSE)</f>
        <v>5.94</v>
      </c>
      <c r="AB148" s="27">
        <f>VLOOKUP($A148,'[1]Raw Data'!$A$3:$FB$285,36,FALSE)</f>
        <v>3.32</v>
      </c>
      <c r="AC148" s="27">
        <f>VLOOKUP($A148,'[1]Raw Data'!$A$3:$FB$285,38,FALSE)</f>
        <v>0.22</v>
      </c>
      <c r="AD148" s="27">
        <f>VLOOKUP($A148,'[1]Raw Data'!$A$3:$FB$285,39,FALSE)</f>
        <v>0.25</v>
      </c>
      <c r="AE148" s="27">
        <f>VLOOKUP($A148,'[1]Raw Data'!$A$3:$FB$285,41,FALSE)</f>
        <v>0</v>
      </c>
      <c r="AF148" s="27">
        <f>VLOOKUP($A148,'[1]Raw Data'!$A$3:$FB$285,42,FALSE)</f>
        <v>0</v>
      </c>
      <c r="AG148" s="27">
        <f>VLOOKUP($A148,'[1]Raw Data'!$A$3:$FB$285,44,FALSE)</f>
        <v>0</v>
      </c>
      <c r="AH148" s="27">
        <f>VLOOKUP($A148,'[1]Raw Data'!$A$3:$FB$285,45,FALSE)</f>
        <v>0</v>
      </c>
      <c r="AI148" s="27">
        <f>VLOOKUP($A148,'[1]Raw Data'!$A$3:$FB$285,46,FALSE)</f>
        <v>5105</v>
      </c>
      <c r="AJ148" s="27">
        <f>VLOOKUP($A148,'[1]Raw Data'!$A$3:$FB$285,47,FALSE)</f>
        <v>4655</v>
      </c>
      <c r="AK148" s="27">
        <f>VLOOKUP($A148,'[1]Raw Data'!$A$3:$FB$285,48,FALSE)</f>
        <v>4655</v>
      </c>
      <c r="AL148" s="27">
        <f>VLOOKUP($A148,'[1]Raw Data'!$A$3:$FB$285,49,FALSE)</f>
        <v>4100</v>
      </c>
      <c r="AM148" s="27">
        <f>VLOOKUP($A148,'[1]Raw Data'!$A$3:$FB$285,50,FALSE)</f>
        <v>2602</v>
      </c>
      <c r="AN148" s="27">
        <f>VLOOKUP($A148,'[1]Raw Data'!$A$3:$FB$285,51,FALSE)</f>
        <v>0</v>
      </c>
      <c r="AO148" s="27">
        <f>VLOOKUP($A148,'[1]Raw Data'!$A$3:$FB$285,52,FALSE)</f>
        <v>2731</v>
      </c>
      <c r="AP148" s="27">
        <f>VLOOKUP($A148,'[1]Raw Data'!$A$3:$FB$285,53,FALSE)</f>
        <v>432</v>
      </c>
      <c r="AQ148" s="27">
        <f>VLOOKUP($A148,'[1]Raw Data'!$A$3:$FB$285,54,FALSE)</f>
        <v>432</v>
      </c>
      <c r="AR148" s="27">
        <f>VLOOKUP($A148,'[1]Raw Data'!$A$3:$FB$285,55,FALSE)</f>
        <v>45</v>
      </c>
      <c r="AS148" s="27">
        <f>VLOOKUP($A148,'[1]Raw Data'!$A$3:$FB$285,56,FALSE)</f>
        <v>0</v>
      </c>
      <c r="AT148" s="27">
        <f>VLOOKUP($A148,'[1]Raw Data'!$A$3:$FB$285,57,FALSE)</f>
        <v>1427</v>
      </c>
      <c r="AU148" s="27">
        <f>VLOOKUP($A148,'[1]Raw Data'!$A$3:$FB$285,58,FALSE)</f>
        <v>285</v>
      </c>
      <c r="AV148" s="27">
        <f>VLOOKUP($A148,'[1]Raw Data'!$A$3:$FB$285,59,FALSE)</f>
        <v>268</v>
      </c>
      <c r="AW148" s="27">
        <f>VLOOKUP($A148,'[1]Raw Data'!$A$3:$FB$285,60,FALSE)</f>
        <v>207</v>
      </c>
      <c r="AX148" s="27" t="str">
        <f>VLOOKUP(A148,'[1]PO''s List'!A146:E428,4,FALSE)</f>
        <v>NSET(Shelter)</v>
      </c>
      <c r="AZ148" s="27" t="str">
        <f>VLOOKUP(A148,'[1]PO''s List'!$A$3:$E$285,5,FALSE)</f>
        <v>AATWIN(Social Protection),DCA(Shelter,Health),GON - DUDBC(Shelter),GON-PAF(Shelter),MCC(Health),OXFAM-GB(Shelter),SCI(DRR,Education,Shelter,Social Protection),UMN(Education,Shelter,Health)</v>
      </c>
      <c r="BB148" s="27">
        <f>VLOOKUP($A148,'[1]Raw Data'!$A$3:$FB$285,63,FALSE)</f>
        <v>146585</v>
      </c>
      <c r="BC148" s="27" t="str">
        <f>VLOOKUP($A148,'[1]Raw Data'!$A$3:$FB$285,64,FALSE)</f>
        <v>Y</v>
      </c>
      <c r="BD148" s="27" t="str">
        <f t="shared" si="18"/>
        <v>छ</v>
      </c>
      <c r="BE148" s="27" t="str">
        <f>VLOOKUP($A148,'[1]Raw Data'!$A$3:$FB$285,65,FALSE)</f>
        <v/>
      </c>
      <c r="BF148" s="27">
        <f>VLOOKUP($A148,'[1]Raw Data'!$A$3:$FB$285,66,FALSE)</f>
        <v>108911</v>
      </c>
      <c r="BG148" s="27" t="str">
        <f>VLOOKUP($A148,'[1]Raw Data'!$A$3:$FB$285,67,FALSE)</f>
        <v>Y</v>
      </c>
      <c r="BH148" s="27" t="str">
        <f t="shared" si="19"/>
        <v>छ</v>
      </c>
      <c r="BI148" s="27" t="str">
        <f>VLOOKUP($A148,'[1]Raw Data'!$A$3:$FB$285,68,FALSE)</f>
        <v/>
      </c>
      <c r="BJ148" s="27">
        <f>VLOOKUP($A148,'[1]Raw Data'!$A$3:$FB$285,69,FALSE)</f>
        <v>15259</v>
      </c>
      <c r="BK148" s="27" t="str">
        <f>VLOOKUP($A148,'[1]Raw Data'!$A$3:$FB$285,70,FALSE)</f>
        <v>Y</v>
      </c>
      <c r="BL148" s="27" t="str">
        <f t="shared" si="20"/>
        <v>छ</v>
      </c>
      <c r="BM148" s="27" t="str">
        <f>VLOOKUP($A148,'[1]Raw Data'!$A$3:$FB$285,71,FALSE)</f>
        <v/>
      </c>
      <c r="BN148" s="27">
        <f>VLOOKUP($A148,'[1]Raw Data'!$A$3:$FB$285,72,FALSE)</f>
        <v>16172</v>
      </c>
      <c r="BO148" s="27" t="str">
        <f>VLOOKUP($A148,'[1]Raw Data'!$A$3:$FB$285,73,FALSE)</f>
        <v>Y</v>
      </c>
      <c r="BP148" s="27" t="str">
        <f t="shared" si="21"/>
        <v>छ</v>
      </c>
      <c r="BQ148" s="27" t="str">
        <f>VLOOKUP($A148,'[1]Raw Data'!$A$3:$FB$285,74,FALSE)</f>
        <v/>
      </c>
      <c r="BR148" s="27" t="str">
        <f>VLOOKUP($A148,'[1]Raw Data'!$A$3:$FB$285,75,FALSE)</f>
        <v/>
      </c>
      <c r="BS148" s="27" t="str">
        <f>VLOOKUP($A148,'[1]Raw Data'!$A$3:$FB$285,76,FALSE)</f>
        <v/>
      </c>
      <c r="BT148" s="27" t="str">
        <f t="shared" si="22"/>
        <v/>
      </c>
      <c r="BU148" s="27" t="str">
        <f>VLOOKUP($A148,'[1]Raw Data'!$A$3:$FB$285,77,FALSE)</f>
        <v/>
      </c>
      <c r="BV148" s="27">
        <f>VLOOKUP($A148,'[1]Raw Data'!$A$3:$FB$285,78,FALSE)</f>
        <v>363610</v>
      </c>
      <c r="BW148" s="27" t="str">
        <f>VLOOKUP($A148,'[1]Raw Data'!$A$3:$FB$285,79,FALSE)</f>
        <v/>
      </c>
      <c r="BX148" s="27" t="str">
        <f t="shared" si="23"/>
        <v/>
      </c>
      <c r="BY148" s="27" t="str">
        <f>VLOOKUP($A148,'[1]Raw Data'!$A$3:$FB$285,80,FALSE)</f>
        <v/>
      </c>
      <c r="BZ148" s="27">
        <f>VLOOKUP($A148,'[1]Raw Data'!$A$3:$FB$285,81,FALSE)</f>
        <v>1646009</v>
      </c>
      <c r="CA148" s="27" t="str">
        <f>VLOOKUP($A148,'[1]Raw Data'!$A$3:$FB$285,82,FALSE)</f>
        <v>Y</v>
      </c>
      <c r="CB148" s="27" t="str">
        <f t="shared" si="24"/>
        <v>छ</v>
      </c>
      <c r="CC148" s="27" t="str">
        <f>VLOOKUP($A148,'[1]Raw Data'!$A$3:$FB$285,83,FALSE)</f>
        <v/>
      </c>
      <c r="CD148" s="27">
        <f>VLOOKUP($A148,'[1]Raw Data'!$A$3:$FB$285,84,FALSE)</f>
        <v>14774</v>
      </c>
      <c r="CE148" s="27" t="str">
        <f>VLOOKUP($A148,'[1]Raw Data'!$A$3:$FB$285,85,FALSE)</f>
        <v>Y</v>
      </c>
      <c r="CF148" s="27" t="str">
        <f t="shared" si="25"/>
        <v>छ</v>
      </c>
      <c r="CG148" s="27" t="str">
        <f>VLOOKUP($A148,'[1]Raw Data'!$A$3:$FB$285,86,FALSE)</f>
        <v/>
      </c>
      <c r="CH148" s="27">
        <f>VLOOKUP($A148,'[1]Raw Data'!$A$3:$FB$285,87,FALSE)</f>
        <v>3874991</v>
      </c>
      <c r="CI148" s="27" t="str">
        <f>VLOOKUP($A148,'[1]Raw Data'!$A$3:$FB$285,88,FALSE)</f>
        <v>Y</v>
      </c>
      <c r="CJ148" s="27" t="str">
        <f t="shared" si="26"/>
        <v>छ</v>
      </c>
      <c r="CK148" s="27" t="str">
        <f>VLOOKUP($A148,'[1]Raw Data'!$A$3:$FB$285,89,FALSE)</f>
        <v/>
      </c>
      <c r="CL148" s="27" t="str">
        <f>VLOOKUP($A148,'[1]Raw Data'!$A$3:$FB$285,91,FALSE)</f>
        <v/>
      </c>
      <c r="CM148" s="27" t="str">
        <f>VLOOKUP($A148,'[1]Raw Data'!$A$3:$FB$285,93,FALSE)</f>
        <v/>
      </c>
      <c r="CN148" s="27" t="str">
        <f>VLOOKUP($A148,'[1]Raw Data'!$A$3:$FB$285,94,FALSE)</f>
        <v/>
      </c>
      <c r="CO148" s="27" t="str">
        <f>VLOOKUP($A148,'[1]Raw Data'!$A$3:$FB$285,95,FALSE)</f>
        <v/>
      </c>
      <c r="CP148" s="27" t="str">
        <f>VLOOKUP($A148,'[1]Raw Data'!$A$3:$FB$285,96,FALSE)</f>
        <v/>
      </c>
      <c r="CQ148" s="27" t="str">
        <f>VLOOKUP($A148,'[1]Raw Data'!$A$3:$FB$285,97,FALSE)</f>
        <v/>
      </c>
      <c r="CR148" s="27" t="str">
        <f>VLOOKUP($A148,'[1]Raw Data'!$A$3:$FB$285,98,FALSE)</f>
        <v/>
      </c>
      <c r="CS148" s="27" t="str">
        <f>VLOOKUP($A148,'[1]Raw Data'!$A$3:$FB$285,99,FALSE)</f>
        <v/>
      </c>
      <c r="CT148" s="27" t="str">
        <f>VLOOKUP($A148,'[1]Raw Data'!$A$3:$FB$285,101,FALSE)</f>
        <v>Rajendra Bikram Basnet</v>
      </c>
      <c r="CU148" s="27" t="s">
        <v>1278</v>
      </c>
      <c r="CV148" s="27" t="str">
        <f>VLOOKUP($A148,'[1]Raw Data'!$A$3:$FB$285,102,FALSE)</f>
        <v>Mayor</v>
      </c>
      <c r="CW148" s="27" t="s">
        <v>834</v>
      </c>
      <c r="CX148" s="27">
        <f>VLOOKUP($A148,'[1]Raw Data'!$A$3:$FB$285,103,FALSE)</f>
        <v>9841476861</v>
      </c>
      <c r="CY148" s="27" t="str">
        <f>VLOOKUP($A148,'[1]Raw Data'!$A$3:$FB$285,105,FALSE)</f>
        <v>Sita Dhungana</v>
      </c>
      <c r="CZ148" s="27" t="s">
        <v>1279</v>
      </c>
      <c r="DA148" s="27" t="str">
        <f>VLOOKUP($A148,'[1]Raw Data'!$A$3:$FB$285,106,FALSE)</f>
        <v>Deputy Mayor</v>
      </c>
      <c r="DB148" s="27" t="s">
        <v>888</v>
      </c>
      <c r="DC148" s="27">
        <f>VLOOKUP($A148,'[1]Raw Data'!$A$3:$FB$285,107,FALSE)</f>
        <v>9841037229</v>
      </c>
      <c r="DD148" s="27" t="str">
        <f>VLOOKUP($A148,'[1]Raw Data'!$A$3:$FB$285,109,FALSE)</f>
        <v/>
      </c>
      <c r="DF148" s="27" t="str">
        <f>VLOOKUP($A148,'[1]Raw Data'!$A$3:$FB$285,110,FALSE)</f>
        <v>Adminstration Officer</v>
      </c>
      <c r="DG148" s="27" t="s">
        <v>880</v>
      </c>
      <c r="DH148" s="27" t="str">
        <f>VLOOKUP($A148,'[1]Raw Data'!$A$3:$FB$285,111,FALSE)</f>
        <v/>
      </c>
      <c r="DI148" s="27" t="str">
        <f>VLOOKUP($A148,'[1]Raw Data'!$A$3:$FB$285,121,FALSE)</f>
        <v/>
      </c>
      <c r="DK148" s="27" t="str">
        <f>VLOOKUP($A148,'[1]Raw Data'!$A$3:$FB$285,122,FALSE)</f>
        <v>Focal Person</v>
      </c>
      <c r="DL148" s="27" t="s">
        <v>881</v>
      </c>
      <c r="DM148" s="27" t="str">
        <f>VLOOKUP($A148,'[1]Raw Data'!$A$3:$FB$285,123,FALSE)</f>
        <v/>
      </c>
      <c r="DN148" s="27" t="str">
        <f>VLOOKUP($A148,'[1]Raw Data'!$A$3:$FB$285,113,FALSE)</f>
        <v>Rajendra K. C.</v>
      </c>
      <c r="DO148" s="27" t="s">
        <v>1273</v>
      </c>
      <c r="DP148" s="27" t="str">
        <f>VLOOKUP($A148,'[1]Raw Data'!$A$3:$FB$285,114,FALSE)</f>
        <v>NRA Chief-District</v>
      </c>
      <c r="DQ148" s="27" t="s">
        <v>882</v>
      </c>
      <c r="DR148" s="27">
        <f>VLOOKUP($A148,'[1]Raw Data'!$A$3:$FB$285,115,FALSE)</f>
        <v>9851213604</v>
      </c>
      <c r="DS148" s="27" t="str">
        <f>VLOOKUP($A148,'[1]Raw Data'!$A$3:$FB$285,117,FALSE)</f>
        <v>Koshnath Adhikari</v>
      </c>
      <c r="DT148" s="27" t="s">
        <v>894</v>
      </c>
      <c r="DU148" s="27" t="str">
        <f>VLOOKUP($A148,'[1]Raw Data'!$A$3:$FB$285,118,FALSE)</f>
        <v>DUDBC.DLPIU Chief</v>
      </c>
      <c r="DV148" s="27" t="s">
        <v>883</v>
      </c>
      <c r="DW148" s="27" t="str">
        <f>VLOOKUP($A148,'[1]Raw Data'!$A$3:$FB$285,119,FALSE)</f>
        <v/>
      </c>
      <c r="DX148" s="27" t="s">
        <v>339</v>
      </c>
      <c r="DY148" s="27" t="str">
        <f>VLOOKUP($A148,'[1]Raw Data'!$A$3:$FB$285,124,FALSE)</f>
        <v/>
      </c>
      <c r="DZ148" s="27" t="s">
        <v>884</v>
      </c>
      <c r="EA148" s="27" t="str">
        <f>VLOOKUP($A148,'[1]Raw Data'!$A$3:$FB$285,125,FALSE)</f>
        <v/>
      </c>
      <c r="EB148" s="27" t="s">
        <v>341</v>
      </c>
      <c r="EC148" s="27" t="str">
        <f>VLOOKUP($A148,'[1]Raw Data'!$A$3:$FB$285,126,FALSE)</f>
        <v/>
      </c>
      <c r="ED148" t="s">
        <v>478</v>
      </c>
      <c r="EE148" s="27" t="str">
        <f>VLOOKUP($A148,'[1]Raw Data'!$A$3:$FB$285,127,FALSE)</f>
        <v/>
      </c>
      <c r="EF148" s="27" t="s">
        <v>343</v>
      </c>
      <c r="EG148" s="27" t="str">
        <f>VLOOKUP($A148,'[1]Raw Data'!$A$3:$FB$285,128,FALSE)</f>
        <v/>
      </c>
      <c r="EH148" t="s">
        <v>344</v>
      </c>
      <c r="EI148" s="27" t="str">
        <f>VLOOKUP($A148,'[1]Raw Data'!$A$3:$FB$285,129,FALSE)</f>
        <v/>
      </c>
      <c r="EM148" s="27" t="str">
        <f>VLOOKUP($A148,'[1]Raw Data'!$A$3:$FB$285,130,FALSE)</f>
        <v/>
      </c>
      <c r="EN148" s="27" t="str">
        <f>VLOOKUP($A148,'[1]Raw Data'!$A$3:$FB$285,131,FALSE)</f>
        <v/>
      </c>
      <c r="EO148" s="27" t="str">
        <f>VLOOKUP($A148,'[1]Raw Data'!$A$3:$FB$285,132,FALSE)</f>
        <v/>
      </c>
      <c r="EP148" s="27" t="str">
        <f>VLOOKUP($A148,'[1]Raw Data'!$A$3:$FB$285,133,FALSE)</f>
        <v/>
      </c>
      <c r="EQ148" s="27" t="str">
        <f>VLOOKUP($A148,'[1]Raw Data'!$A$3:$FB$285,134,FALSE)</f>
        <v/>
      </c>
      <c r="ER148" s="27" t="str">
        <f>VLOOKUP($A148,'[1]Raw Data'!$A$3:$FB$285,135,FALSE)</f>
        <v/>
      </c>
      <c r="ES148" s="27" t="str">
        <f>VLOOKUP($A148,'[1]Raw Data'!$A$3:$FB$285,136,FALSE)</f>
        <v/>
      </c>
      <c r="ET148" s="27" t="str">
        <f>VLOOKUP($A148,'[1]Raw Data'!$A$3:$FB$285,137,FALSE)</f>
        <v/>
      </c>
      <c r="EU148" s="27" t="str">
        <f>VLOOKUP($A148,'[1]Raw Data'!$A$3:$FB$285,138,FALSE)</f>
        <v/>
      </c>
      <c r="EV148" s="27" t="str">
        <f>VLOOKUP($A148,'[1]Raw Data'!$A$3:$FB$285,139,FALSE)</f>
        <v/>
      </c>
      <c r="EW148" s="38">
        <f>VLOOKUP($A148,[1]Training!$A$2:$I$284,5,FALSE)</f>
        <v>392.69230769230768</v>
      </c>
      <c r="EX148" s="31">
        <f>VLOOKUP($A148,[1]Training!$A$2:$I$284,6,FALSE)</f>
        <v>334</v>
      </c>
      <c r="EY148" s="38">
        <f>VLOOKUP($A148,[1]Training!$A$2:$I$284,8,FALSE)</f>
        <v>477.64485731470967</v>
      </c>
      <c r="EZ148" s="31">
        <f>VLOOKUP($A148,[1]Training!$A$2:$I$284,9,FALSE)</f>
        <v>336</v>
      </c>
      <c r="FA148" s="27">
        <v>1</v>
      </c>
      <c r="FB148" s="27">
        <v>2</v>
      </c>
      <c r="FC148" s="27" t="str">
        <f>VLOOKUP($A148,'[1]Raw Data'!$A$3:$FB$285,148,FALSE)</f>
        <v>Prabin Gautam</v>
      </c>
      <c r="FD148" s="27" t="s">
        <v>1274</v>
      </c>
      <c r="FE148" s="27" t="str">
        <f>VLOOKUP($A148,'[1]Raw Data'!$A$3:$FB$285,149,FALSE)</f>
        <v>District Coordinator</v>
      </c>
      <c r="FF148" s="27" t="s">
        <v>885</v>
      </c>
      <c r="FG148" s="27">
        <f>VLOOKUP($A148,'[1]Raw Data'!$A$3:$FB$285,150,FALSE)</f>
        <v>9860687776</v>
      </c>
      <c r="FH148" s="27" t="str">
        <f>VLOOKUP($A148,'[1]Raw Data'!$A$3:$FB$285,156,FALSE)</f>
        <v>Sachin Sapkota</v>
      </c>
      <c r="FI148" s="27" t="s">
        <v>1275</v>
      </c>
      <c r="FJ148" s="27" t="str">
        <f>VLOOKUP($A148,'[1]Raw Data'!$A$3:$FB$285,157,FALSE)</f>
        <v>District Technical Officer</v>
      </c>
      <c r="FK148" s="27" t="s">
        <v>886</v>
      </c>
      <c r="FL148" s="27">
        <f>VLOOKUP($A148,'[1]Raw Data'!$A$3:$FB$285,158,FALSE)</f>
        <v>9847621292</v>
      </c>
      <c r="FM148" s="27" t="str">
        <f>VLOOKUP($A148,'[1]Raw Data'!$A$3:$FB$285,152,FALSE)</f>
        <v/>
      </c>
      <c r="FO148" s="27" t="str">
        <f>VLOOKUP($A148,'[1]Raw Data'!$A$3:$FB$285,153,FALSE)</f>
        <v>DIstrict Information Management Officer</v>
      </c>
      <c r="FP148" s="27" t="s">
        <v>887</v>
      </c>
      <c r="FQ148" s="27" t="str">
        <f>VLOOKUP($A148,'[1]Raw Data'!$A$3:$FB$285,154,FALSE)</f>
        <v/>
      </c>
    </row>
    <row r="149" spans="1:173" ht="24" x14ac:dyDescent="0.45">
      <c r="A149" s="27">
        <v>30004</v>
      </c>
      <c r="B149" s="36" t="str">
        <f ca="1">IFERROR(__xludf.DUMMYFUNCTION("""COMPUTED_VALUE"""),"Galchi Gaunpalika")</f>
        <v>Galchi Gaunpalika</v>
      </c>
      <c r="C149" s="37" t="str">
        <f>VLOOKUP(A149,'[1]Palika and District in Nepali '!$D$1:$F$283,3,FALSE)</f>
        <v>गल्छी गाउँपालिका</v>
      </c>
      <c r="D149" s="36" t="str">
        <f ca="1">IFERROR(__xludf.DUMMYFUNCTION("""COMPUTED_VALUE"""),"Dhading")</f>
        <v>Dhading</v>
      </c>
      <c r="E149" s="36"/>
      <c r="F149" s="27">
        <f>VLOOKUP(A149,'[1]Raw Data'!$A$3:$FB$285,4,FALSE)</f>
        <v>953</v>
      </c>
      <c r="G149" s="27">
        <f>VLOOKUP(A149,'[1]Raw Data'!$A$3:$FB$285,5,FALSE)</f>
        <v>5708</v>
      </c>
      <c r="H149" s="27">
        <f>VLOOKUP(A149,'[1]Raw Data'!$A$3:$FB$285,6,FALSE)</f>
        <v>6661</v>
      </c>
      <c r="I149" s="27">
        <f>VLOOKUP($A149,'[1]Raw Data'!$A$3:$FB$285,8,FALSE)</f>
        <v>0.72</v>
      </c>
      <c r="J149" s="27">
        <f>VLOOKUP($A149,'[1]Raw Data'!$A$3:$FB$285,9,FALSE)</f>
        <v>1.1000000000000001</v>
      </c>
      <c r="K149" s="27">
        <f>VLOOKUP($A149,'[1]Raw Data'!$A$3:$FB$285,11,FALSE)</f>
        <v>82.89</v>
      </c>
      <c r="L149" s="27">
        <f>VLOOKUP($A149,'[1]Raw Data'!$A$3:$FB$285,12,FALSE)</f>
        <v>85.43</v>
      </c>
      <c r="M149" s="27">
        <f>VLOOKUP($A149,'[1]Raw Data'!$A$3:$FB$285,14,FALSE)</f>
        <v>6.82</v>
      </c>
      <c r="N149" s="27">
        <f>VLOOKUP($A149,'[1]Raw Data'!$A$3:$FB$285,15,FALSE)</f>
        <v>3.73</v>
      </c>
      <c r="O149" s="27">
        <f>VLOOKUP($A149,'[1]Raw Data'!$A$3:$FB$285,17,FALSE)</f>
        <v>0.09</v>
      </c>
      <c r="P149" s="27">
        <f>VLOOKUP($A149,'[1]Raw Data'!$A$3:$FB$285,18,FALSE)</f>
        <v>0.48</v>
      </c>
      <c r="Q149" s="27">
        <f>VLOOKUP($A149,'[1]Raw Data'!$A$3:$FB$285,20,FALSE)</f>
        <v>0.6</v>
      </c>
      <c r="R149" s="27">
        <f>VLOOKUP($A149,'[1]Raw Data'!$A$3:$FB$285,21,FALSE)</f>
        <v>3.25</v>
      </c>
      <c r="S149" s="27">
        <f>VLOOKUP($A149,'[1]Raw Data'!$A$3:$FB$285,23,FALSE)</f>
        <v>0</v>
      </c>
      <c r="T149" s="27">
        <f>VLOOKUP($A149,'[1]Raw Data'!$A$3:$FB$285,24,FALSE)</f>
        <v>0</v>
      </c>
      <c r="U149" s="27">
        <f>VLOOKUP($A149,'[1]Raw Data'!$A$3:$FB$285,26,FALSE)</f>
        <v>0.24</v>
      </c>
      <c r="V149" s="27">
        <f>VLOOKUP($A149,'[1]Raw Data'!$A$3:$FB$285,27,FALSE)</f>
        <v>0.64</v>
      </c>
      <c r="W149" s="27">
        <f>VLOOKUP($A149,'[1]Raw Data'!$A$3:$FB$285,29,FALSE)</f>
        <v>0</v>
      </c>
      <c r="X149" s="27">
        <f>VLOOKUP($A149,'[1]Raw Data'!$A$3:$FB$285,30,FALSE)</f>
        <v>0</v>
      </c>
      <c r="Y149" s="27">
        <f>VLOOKUP($A149,'[1]Raw Data'!$A$3:$FB$285,32,FALSE)</f>
        <v>0.17</v>
      </c>
      <c r="Z149" s="27">
        <f>VLOOKUP($A149,'[1]Raw Data'!$A$3:$FB$285,33,FALSE)</f>
        <v>1.79</v>
      </c>
      <c r="AA149" s="27">
        <f>VLOOKUP($A149,'[1]Raw Data'!$A$3:$FB$285,35,FALSE)</f>
        <v>8.43</v>
      </c>
      <c r="AB149" s="27">
        <f>VLOOKUP($A149,'[1]Raw Data'!$A$3:$FB$285,36,FALSE)</f>
        <v>3.32</v>
      </c>
      <c r="AC149" s="27">
        <f>VLOOKUP($A149,'[1]Raw Data'!$A$3:$FB$285,38,FALSE)</f>
        <v>0.03</v>
      </c>
      <c r="AD149" s="27">
        <f>VLOOKUP($A149,'[1]Raw Data'!$A$3:$FB$285,39,FALSE)</f>
        <v>0.25</v>
      </c>
      <c r="AE149" s="27">
        <f>VLOOKUP($A149,'[1]Raw Data'!$A$3:$FB$285,41,FALSE)</f>
        <v>0</v>
      </c>
      <c r="AF149" s="27">
        <f>VLOOKUP($A149,'[1]Raw Data'!$A$3:$FB$285,42,FALSE)</f>
        <v>0</v>
      </c>
      <c r="AG149" s="27">
        <f>VLOOKUP($A149,'[1]Raw Data'!$A$3:$FB$285,44,FALSE)</f>
        <v>0</v>
      </c>
      <c r="AH149" s="27">
        <f>VLOOKUP($A149,'[1]Raw Data'!$A$3:$FB$285,45,FALSE)</f>
        <v>0</v>
      </c>
      <c r="AI149" s="27">
        <f>VLOOKUP($A149,'[1]Raw Data'!$A$3:$FB$285,46,FALSE)</f>
        <v>5997</v>
      </c>
      <c r="AJ149" s="27">
        <f>VLOOKUP($A149,'[1]Raw Data'!$A$3:$FB$285,47,FALSE)</f>
        <v>5657</v>
      </c>
      <c r="AK149" s="27">
        <f>VLOOKUP($A149,'[1]Raw Data'!$A$3:$FB$285,48,FALSE)</f>
        <v>5657</v>
      </c>
      <c r="AL149" s="27">
        <f>VLOOKUP($A149,'[1]Raw Data'!$A$3:$FB$285,49,FALSE)</f>
        <v>4978</v>
      </c>
      <c r="AM149" s="27">
        <f>VLOOKUP($A149,'[1]Raw Data'!$A$3:$FB$285,50,FALSE)</f>
        <v>2300</v>
      </c>
      <c r="AN149" s="27">
        <f>VLOOKUP($A149,'[1]Raw Data'!$A$3:$FB$285,51,FALSE)</f>
        <v>0</v>
      </c>
      <c r="AO149" s="27">
        <f>VLOOKUP($A149,'[1]Raw Data'!$A$3:$FB$285,52,FALSE)</f>
        <v>2545</v>
      </c>
      <c r="AP149" s="27">
        <f>VLOOKUP($A149,'[1]Raw Data'!$A$3:$FB$285,53,FALSE)</f>
        <v>314</v>
      </c>
      <c r="AQ149" s="27">
        <f>VLOOKUP($A149,'[1]Raw Data'!$A$3:$FB$285,54,FALSE)</f>
        <v>314</v>
      </c>
      <c r="AR149" s="27">
        <f>VLOOKUP($A149,'[1]Raw Data'!$A$3:$FB$285,55,FALSE)</f>
        <v>36</v>
      </c>
      <c r="AS149" s="27">
        <f>VLOOKUP($A149,'[1]Raw Data'!$A$3:$FB$285,56,FALSE)</f>
        <v>0</v>
      </c>
      <c r="AT149" s="27">
        <f>VLOOKUP($A149,'[1]Raw Data'!$A$3:$FB$285,57,FALSE)</f>
        <v>1273</v>
      </c>
      <c r="AU149" s="27">
        <f>VLOOKUP($A149,'[1]Raw Data'!$A$3:$FB$285,58,FALSE)</f>
        <v>728</v>
      </c>
      <c r="AV149" s="27">
        <f>VLOOKUP($A149,'[1]Raw Data'!$A$3:$FB$285,59,FALSE)</f>
        <v>130</v>
      </c>
      <c r="AW149" s="27">
        <f>VLOOKUP($A149,'[1]Raw Data'!$A$3:$FB$285,60,FALSE)</f>
        <v>91</v>
      </c>
      <c r="AX149" s="27" t="str">
        <f>VLOOKUP(A149,'[1]PO''s List'!A147:E429,4,FALSE)</f>
        <v>NSET(Shelter)</v>
      </c>
      <c r="AZ149" s="27" t="str">
        <f>VLOOKUP(A149,'[1]PO''s List'!$A$3:$E$285,5,FALSE)</f>
        <v>ADRA(Shelter),DCA(DRR,Health),GON(Shelter),GON - DUDBC(Shelter),GON-PAF(Shelter),HELVETAS(Shelter),NRCS(Livelihood,Education,Employment ,Health,Shelter,Health),Nyayik(Livelihood,Education,GESI),RainbowCN(Health),SCI(DRR,Education,Shelter,Social Protection,Health)</v>
      </c>
      <c r="BB149" s="27">
        <f>VLOOKUP($A149,'[1]Raw Data'!$A$3:$FB$285,63,FALSE)</f>
        <v>156389</v>
      </c>
      <c r="BC149" s="27" t="str">
        <f>VLOOKUP($A149,'[1]Raw Data'!$A$3:$FB$285,64,FALSE)</f>
        <v>Y</v>
      </c>
      <c r="BD149" s="27" t="str">
        <f t="shared" si="18"/>
        <v>छ</v>
      </c>
      <c r="BE149" s="27" t="str">
        <f>VLOOKUP($A149,'[1]Raw Data'!$A$3:$FB$285,65,FALSE)</f>
        <v/>
      </c>
      <c r="BF149" s="27">
        <f>VLOOKUP($A149,'[1]Raw Data'!$A$3:$FB$285,66,FALSE)</f>
        <v>139324</v>
      </c>
      <c r="BG149" s="27" t="str">
        <f>VLOOKUP($A149,'[1]Raw Data'!$A$3:$FB$285,67,FALSE)</f>
        <v>Y</v>
      </c>
      <c r="BH149" s="27" t="str">
        <f t="shared" si="19"/>
        <v>छ</v>
      </c>
      <c r="BI149" s="27" t="str">
        <f>VLOOKUP($A149,'[1]Raw Data'!$A$3:$FB$285,68,FALSE)</f>
        <v/>
      </c>
      <c r="BJ149" s="27">
        <f>VLOOKUP($A149,'[1]Raw Data'!$A$3:$FB$285,69,FALSE)</f>
        <v>16507</v>
      </c>
      <c r="BK149" s="27" t="str">
        <f>VLOOKUP($A149,'[1]Raw Data'!$A$3:$FB$285,70,FALSE)</f>
        <v>Y</v>
      </c>
      <c r="BL149" s="27" t="str">
        <f t="shared" si="20"/>
        <v>छ</v>
      </c>
      <c r="BM149" s="27" t="str">
        <f>VLOOKUP($A149,'[1]Raw Data'!$A$3:$FB$285,71,FALSE)</f>
        <v/>
      </c>
      <c r="BN149" s="27">
        <f>VLOOKUP($A149,'[1]Raw Data'!$A$3:$FB$285,72,FALSE)</f>
        <v>18343</v>
      </c>
      <c r="BO149" s="27" t="str">
        <f>VLOOKUP($A149,'[1]Raw Data'!$A$3:$FB$285,73,FALSE)</f>
        <v>Y</v>
      </c>
      <c r="BP149" s="27" t="str">
        <f t="shared" si="21"/>
        <v>छ</v>
      </c>
      <c r="BQ149" s="27" t="str">
        <f>VLOOKUP($A149,'[1]Raw Data'!$A$3:$FB$285,74,FALSE)</f>
        <v/>
      </c>
      <c r="BR149" s="27" t="str">
        <f>VLOOKUP($A149,'[1]Raw Data'!$A$3:$FB$285,75,FALSE)</f>
        <v/>
      </c>
      <c r="BS149" s="27" t="str">
        <f>VLOOKUP($A149,'[1]Raw Data'!$A$3:$FB$285,76,FALSE)</f>
        <v/>
      </c>
      <c r="BT149" s="27" t="str">
        <f t="shared" si="22"/>
        <v/>
      </c>
      <c r="BU149" s="27" t="str">
        <f>VLOOKUP($A149,'[1]Raw Data'!$A$3:$FB$285,77,FALSE)</f>
        <v/>
      </c>
      <c r="BV149" s="27">
        <f>VLOOKUP($A149,'[1]Raw Data'!$A$3:$FB$285,78,FALSE)</f>
        <v>468549</v>
      </c>
      <c r="BW149" s="27" t="str">
        <f>VLOOKUP($A149,'[1]Raw Data'!$A$3:$FB$285,79,FALSE)</f>
        <v/>
      </c>
      <c r="BX149" s="27" t="str">
        <f t="shared" si="23"/>
        <v/>
      </c>
      <c r="BY149" s="27" t="str">
        <f>VLOOKUP($A149,'[1]Raw Data'!$A$3:$FB$285,80,FALSE)</f>
        <v/>
      </c>
      <c r="BZ149" s="27">
        <f>VLOOKUP($A149,'[1]Raw Data'!$A$3:$FB$285,81,FALSE)</f>
        <v>1731683</v>
      </c>
      <c r="CA149" s="27" t="str">
        <f>VLOOKUP($A149,'[1]Raw Data'!$A$3:$FB$285,82,FALSE)</f>
        <v>Y</v>
      </c>
      <c r="CB149" s="27" t="str">
        <f t="shared" si="24"/>
        <v>छ</v>
      </c>
      <c r="CC149" s="27" t="str">
        <f>VLOOKUP($A149,'[1]Raw Data'!$A$3:$FB$285,83,FALSE)</f>
        <v/>
      </c>
      <c r="CD149" s="27">
        <f>VLOOKUP($A149,'[1]Raw Data'!$A$3:$FB$285,84,FALSE)</f>
        <v>19138</v>
      </c>
      <c r="CE149" s="27" t="str">
        <f>VLOOKUP($A149,'[1]Raw Data'!$A$3:$FB$285,85,FALSE)</f>
        <v>Y</v>
      </c>
      <c r="CF149" s="27" t="str">
        <f t="shared" si="25"/>
        <v>छ</v>
      </c>
      <c r="CG149" s="27" t="str">
        <f>VLOOKUP($A149,'[1]Raw Data'!$A$3:$FB$285,86,FALSE)</f>
        <v/>
      </c>
      <c r="CH149" s="27">
        <f>VLOOKUP($A149,'[1]Raw Data'!$A$3:$FB$285,87,FALSE)</f>
        <v>3624441</v>
      </c>
      <c r="CI149" s="27" t="str">
        <f>VLOOKUP($A149,'[1]Raw Data'!$A$3:$FB$285,88,FALSE)</f>
        <v>Y</v>
      </c>
      <c r="CJ149" s="27" t="str">
        <f t="shared" si="26"/>
        <v>छ</v>
      </c>
      <c r="CK149" s="27" t="str">
        <f>VLOOKUP($A149,'[1]Raw Data'!$A$3:$FB$285,89,FALSE)</f>
        <v/>
      </c>
      <c r="CL149" s="27" t="str">
        <f>VLOOKUP($A149,'[1]Raw Data'!$A$3:$FB$285,91,FALSE)</f>
        <v/>
      </c>
      <c r="CM149" s="27" t="str">
        <f>VLOOKUP($A149,'[1]Raw Data'!$A$3:$FB$285,93,FALSE)</f>
        <v/>
      </c>
      <c r="CN149" s="27" t="str">
        <f>VLOOKUP($A149,'[1]Raw Data'!$A$3:$FB$285,94,FALSE)</f>
        <v/>
      </c>
      <c r="CO149" s="27" t="str">
        <f>VLOOKUP($A149,'[1]Raw Data'!$A$3:$FB$285,95,FALSE)</f>
        <v/>
      </c>
      <c r="CP149" s="27" t="str">
        <f>VLOOKUP($A149,'[1]Raw Data'!$A$3:$FB$285,96,FALSE)</f>
        <v/>
      </c>
      <c r="CQ149" s="27" t="str">
        <f>VLOOKUP($A149,'[1]Raw Data'!$A$3:$FB$285,97,FALSE)</f>
        <v/>
      </c>
      <c r="CR149" s="27" t="str">
        <f>VLOOKUP($A149,'[1]Raw Data'!$A$3:$FB$285,98,FALSE)</f>
        <v/>
      </c>
      <c r="CS149" s="27" t="str">
        <f>VLOOKUP($A149,'[1]Raw Data'!$A$3:$FB$285,99,FALSE)</f>
        <v/>
      </c>
      <c r="CT149" s="27" t="str">
        <f>VLOOKUP($A149,'[1]Raw Data'!$A$3:$FB$285,101,FALSE)</f>
        <v>Krishnahari Shrestha</v>
      </c>
      <c r="CU149" s="27" t="s">
        <v>1280</v>
      </c>
      <c r="CV149" s="27" t="str">
        <f>VLOOKUP($A149,'[1]Raw Data'!$A$3:$FB$285,102,FALSE)</f>
        <v>Mayor</v>
      </c>
      <c r="CW149" s="27" t="s">
        <v>834</v>
      </c>
      <c r="CX149" s="27">
        <f>VLOOKUP($A149,'[1]Raw Data'!$A$3:$FB$285,103,FALSE)</f>
        <v>9851087251</v>
      </c>
      <c r="CY149" s="27" t="str">
        <f>VLOOKUP($A149,'[1]Raw Data'!$A$3:$FB$285,105,FALSE)</f>
        <v>Radha Timalsina</v>
      </c>
      <c r="CZ149" s="27" t="s">
        <v>1281</v>
      </c>
      <c r="DA149" s="27" t="str">
        <f>VLOOKUP($A149,'[1]Raw Data'!$A$3:$FB$285,106,FALSE)</f>
        <v>Deputy Mayor</v>
      </c>
      <c r="DB149" s="27" t="s">
        <v>888</v>
      </c>
      <c r="DC149" s="27">
        <f>VLOOKUP($A149,'[1]Raw Data'!$A$3:$FB$285,107,FALSE)</f>
        <v>9841686488</v>
      </c>
      <c r="DD149" s="27" t="str">
        <f>VLOOKUP($A149,'[1]Raw Data'!$A$3:$FB$285,109,FALSE)</f>
        <v/>
      </c>
      <c r="DF149" s="27" t="str">
        <f>VLOOKUP($A149,'[1]Raw Data'!$A$3:$FB$285,110,FALSE)</f>
        <v>Adminstration Officer</v>
      </c>
      <c r="DG149" s="27" t="s">
        <v>880</v>
      </c>
      <c r="DH149" s="27" t="str">
        <f>VLOOKUP($A149,'[1]Raw Data'!$A$3:$FB$285,111,FALSE)</f>
        <v/>
      </c>
      <c r="DI149" s="27" t="str">
        <f>VLOOKUP($A149,'[1]Raw Data'!$A$3:$FB$285,121,FALSE)</f>
        <v/>
      </c>
      <c r="DK149" s="27" t="str">
        <f>VLOOKUP($A149,'[1]Raw Data'!$A$3:$FB$285,122,FALSE)</f>
        <v>Focal Person</v>
      </c>
      <c r="DL149" s="27" t="s">
        <v>881</v>
      </c>
      <c r="DM149" s="27" t="str">
        <f>VLOOKUP($A149,'[1]Raw Data'!$A$3:$FB$285,123,FALSE)</f>
        <v/>
      </c>
      <c r="DN149" s="27" t="str">
        <f>VLOOKUP($A149,'[1]Raw Data'!$A$3:$FB$285,113,FALSE)</f>
        <v>Rajendra K. C.</v>
      </c>
      <c r="DO149" s="27" t="s">
        <v>1273</v>
      </c>
      <c r="DP149" s="27" t="str">
        <f>VLOOKUP($A149,'[1]Raw Data'!$A$3:$FB$285,114,FALSE)</f>
        <v>NRA Chief-District</v>
      </c>
      <c r="DQ149" s="27" t="s">
        <v>882</v>
      </c>
      <c r="DR149" s="27">
        <f>VLOOKUP($A149,'[1]Raw Data'!$A$3:$FB$285,115,FALSE)</f>
        <v>9851213604</v>
      </c>
      <c r="DS149" s="27" t="str">
        <f>VLOOKUP($A149,'[1]Raw Data'!$A$3:$FB$285,117,FALSE)</f>
        <v>Koshnath Adhikari</v>
      </c>
      <c r="DT149" s="27" t="s">
        <v>894</v>
      </c>
      <c r="DU149" s="27" t="str">
        <f>VLOOKUP($A149,'[1]Raw Data'!$A$3:$FB$285,118,FALSE)</f>
        <v>DUDBC.DLPIU Chief</v>
      </c>
      <c r="DV149" s="27" t="s">
        <v>883</v>
      </c>
      <c r="DW149" s="27" t="str">
        <f>VLOOKUP($A149,'[1]Raw Data'!$A$3:$FB$285,119,FALSE)</f>
        <v/>
      </c>
      <c r="DX149" s="27" t="s">
        <v>339</v>
      </c>
      <c r="DY149" s="27" t="str">
        <f>VLOOKUP($A149,'[1]Raw Data'!$A$3:$FB$285,124,FALSE)</f>
        <v/>
      </c>
      <c r="DZ149" s="27" t="s">
        <v>884</v>
      </c>
      <c r="EA149" s="27" t="str">
        <f>VLOOKUP($A149,'[1]Raw Data'!$A$3:$FB$285,125,FALSE)</f>
        <v/>
      </c>
      <c r="EB149" s="27" t="s">
        <v>341</v>
      </c>
      <c r="EC149" s="27" t="str">
        <f>VLOOKUP($A149,'[1]Raw Data'!$A$3:$FB$285,126,FALSE)</f>
        <v/>
      </c>
      <c r="ED149" t="s">
        <v>478</v>
      </c>
      <c r="EE149" s="27" t="str">
        <f>VLOOKUP($A149,'[1]Raw Data'!$A$3:$FB$285,127,FALSE)</f>
        <v/>
      </c>
      <c r="EF149" s="27" t="s">
        <v>343</v>
      </c>
      <c r="EG149" s="27" t="str">
        <f>VLOOKUP($A149,'[1]Raw Data'!$A$3:$FB$285,128,FALSE)</f>
        <v/>
      </c>
      <c r="EH149" t="s">
        <v>344</v>
      </c>
      <c r="EI149" s="27" t="str">
        <f>VLOOKUP($A149,'[1]Raw Data'!$A$3:$FB$285,129,FALSE)</f>
        <v/>
      </c>
      <c r="EM149" s="27" t="str">
        <f>VLOOKUP($A149,'[1]Raw Data'!$A$3:$FB$285,130,FALSE)</f>
        <v/>
      </c>
      <c r="EN149" s="27" t="str">
        <f>VLOOKUP($A149,'[1]Raw Data'!$A$3:$FB$285,131,FALSE)</f>
        <v/>
      </c>
      <c r="EO149" s="27" t="str">
        <f>VLOOKUP($A149,'[1]Raw Data'!$A$3:$FB$285,132,FALSE)</f>
        <v/>
      </c>
      <c r="EP149" s="27" t="str">
        <f>VLOOKUP($A149,'[1]Raw Data'!$A$3:$FB$285,133,FALSE)</f>
        <v/>
      </c>
      <c r="EQ149" s="27" t="str">
        <f>VLOOKUP($A149,'[1]Raw Data'!$A$3:$FB$285,134,FALSE)</f>
        <v/>
      </c>
      <c r="ER149" s="27" t="str">
        <f>VLOOKUP($A149,'[1]Raw Data'!$A$3:$FB$285,135,FALSE)</f>
        <v/>
      </c>
      <c r="ES149" s="27" t="str">
        <f>VLOOKUP($A149,'[1]Raw Data'!$A$3:$FB$285,136,FALSE)</f>
        <v/>
      </c>
      <c r="ET149" s="27" t="str">
        <f>VLOOKUP($A149,'[1]Raw Data'!$A$3:$FB$285,137,FALSE)</f>
        <v/>
      </c>
      <c r="EU149" s="27" t="str">
        <f>VLOOKUP($A149,'[1]Raw Data'!$A$3:$FB$285,138,FALSE)</f>
        <v/>
      </c>
      <c r="EV149" s="27" t="str">
        <f>VLOOKUP($A149,'[1]Raw Data'!$A$3:$FB$285,139,FALSE)</f>
        <v/>
      </c>
      <c r="EW149" s="38">
        <f>VLOOKUP($A149,[1]Training!$A$2:$I$284,5,FALSE)</f>
        <v>461.30769230769232</v>
      </c>
      <c r="EX149" s="31">
        <f>VLOOKUP($A149,[1]Training!$A$2:$I$284,6,FALSE)</f>
        <v>408</v>
      </c>
      <c r="EY149" s="38">
        <f>VLOOKUP($A149,[1]Training!$A$2:$I$284,8,FALSE)</f>
        <v>561.10405667312705</v>
      </c>
      <c r="EZ149" s="31">
        <f>VLOOKUP($A149,[1]Training!$A$2:$I$284,9,FALSE)</f>
        <v>260</v>
      </c>
      <c r="FA149" s="27">
        <v>1</v>
      </c>
      <c r="FB149" s="27">
        <v>2</v>
      </c>
      <c r="FC149" s="27" t="str">
        <f>VLOOKUP($A149,'[1]Raw Data'!$A$3:$FB$285,148,FALSE)</f>
        <v>Prabin Gautam</v>
      </c>
      <c r="FD149" s="27" t="s">
        <v>1274</v>
      </c>
      <c r="FE149" s="27" t="str">
        <f>VLOOKUP($A149,'[1]Raw Data'!$A$3:$FB$285,149,FALSE)</f>
        <v>District Coordinator</v>
      </c>
      <c r="FF149" s="27" t="s">
        <v>885</v>
      </c>
      <c r="FG149" s="27">
        <f>VLOOKUP($A149,'[1]Raw Data'!$A$3:$FB$285,150,FALSE)</f>
        <v>9860687776</v>
      </c>
      <c r="FH149" s="27" t="str">
        <f>VLOOKUP($A149,'[1]Raw Data'!$A$3:$FB$285,156,FALSE)</f>
        <v>Sachin Sapkota</v>
      </c>
      <c r="FI149" s="27" t="s">
        <v>1275</v>
      </c>
      <c r="FJ149" s="27" t="str">
        <f>VLOOKUP($A149,'[1]Raw Data'!$A$3:$FB$285,157,FALSE)</f>
        <v>District Technical Officer</v>
      </c>
      <c r="FK149" s="27" t="s">
        <v>886</v>
      </c>
      <c r="FL149" s="27">
        <f>VLOOKUP($A149,'[1]Raw Data'!$A$3:$FB$285,158,FALSE)</f>
        <v>9847621292</v>
      </c>
      <c r="FM149" s="27" t="str">
        <f>VLOOKUP($A149,'[1]Raw Data'!$A$3:$FB$285,152,FALSE)</f>
        <v/>
      </c>
      <c r="FO149" s="27" t="str">
        <f>VLOOKUP($A149,'[1]Raw Data'!$A$3:$FB$285,153,FALSE)</f>
        <v>DIstrict Information Management Officer</v>
      </c>
      <c r="FP149" s="27" t="s">
        <v>887</v>
      </c>
      <c r="FQ149" s="27" t="str">
        <f>VLOOKUP($A149,'[1]Raw Data'!$A$3:$FB$285,154,FALSE)</f>
        <v/>
      </c>
    </row>
    <row r="150" spans="1:173" ht="24" x14ac:dyDescent="0.45">
      <c r="A150" s="27">
        <v>30005</v>
      </c>
      <c r="B150" s="36" t="str">
        <f ca="1">IFERROR(__xludf.DUMMYFUNCTION("""COMPUTED_VALUE"""),"Gangajamuna Gaunpalika")</f>
        <v>Gangajamuna Gaunpalika</v>
      </c>
      <c r="C150" s="37" t="str">
        <f>VLOOKUP(A150,'[1]Palika and District in Nepali '!$D$1:$F$283,3,FALSE)</f>
        <v>गंगाजमुना गाउँपालिका</v>
      </c>
      <c r="D150" s="36" t="str">
        <f ca="1">IFERROR(__xludf.DUMMYFUNCTION("""COMPUTED_VALUE"""),"Dhading")</f>
        <v>Dhading</v>
      </c>
      <c r="E150" s="36"/>
      <c r="F150" s="27">
        <f>VLOOKUP(A150,'[1]Raw Data'!$A$3:$FB$285,4,FALSE)</f>
        <v>59</v>
      </c>
      <c r="G150" s="27">
        <f>VLOOKUP(A150,'[1]Raw Data'!$A$3:$FB$285,5,FALSE)</f>
        <v>6473</v>
      </c>
      <c r="H150" s="27">
        <f>VLOOKUP(A150,'[1]Raw Data'!$A$3:$FB$285,6,FALSE)</f>
        <v>6532</v>
      </c>
      <c r="I150" s="27">
        <f>VLOOKUP($A150,'[1]Raw Data'!$A$3:$FB$285,8,FALSE)</f>
        <v>0.23</v>
      </c>
      <c r="J150" s="27">
        <f>VLOOKUP($A150,'[1]Raw Data'!$A$3:$FB$285,9,FALSE)</f>
        <v>1.1000000000000001</v>
      </c>
      <c r="K150" s="27">
        <f>VLOOKUP($A150,'[1]Raw Data'!$A$3:$FB$285,11,FALSE)</f>
        <v>94.44</v>
      </c>
      <c r="L150" s="27">
        <f>VLOOKUP($A150,'[1]Raw Data'!$A$3:$FB$285,12,FALSE)</f>
        <v>85.43</v>
      </c>
      <c r="M150" s="27">
        <f>VLOOKUP($A150,'[1]Raw Data'!$A$3:$FB$285,14,FALSE)</f>
        <v>0.11</v>
      </c>
      <c r="N150" s="27">
        <f>VLOOKUP($A150,'[1]Raw Data'!$A$3:$FB$285,15,FALSE)</f>
        <v>3.73</v>
      </c>
      <c r="O150" s="27">
        <f>VLOOKUP($A150,'[1]Raw Data'!$A$3:$FB$285,17,FALSE)</f>
        <v>0.06</v>
      </c>
      <c r="P150" s="27">
        <f>VLOOKUP($A150,'[1]Raw Data'!$A$3:$FB$285,18,FALSE)</f>
        <v>0.48</v>
      </c>
      <c r="Q150" s="27">
        <f>VLOOKUP($A150,'[1]Raw Data'!$A$3:$FB$285,20,FALSE)</f>
        <v>0.26</v>
      </c>
      <c r="R150" s="27">
        <f>VLOOKUP($A150,'[1]Raw Data'!$A$3:$FB$285,21,FALSE)</f>
        <v>3.25</v>
      </c>
      <c r="S150" s="27">
        <f>VLOOKUP($A150,'[1]Raw Data'!$A$3:$FB$285,23,FALSE)</f>
        <v>0</v>
      </c>
      <c r="T150" s="27">
        <f>VLOOKUP($A150,'[1]Raw Data'!$A$3:$FB$285,24,FALSE)</f>
        <v>0</v>
      </c>
      <c r="U150" s="27">
        <f>VLOOKUP($A150,'[1]Raw Data'!$A$3:$FB$285,26,FALSE)</f>
        <v>0.2</v>
      </c>
      <c r="V150" s="27">
        <f>VLOOKUP($A150,'[1]Raw Data'!$A$3:$FB$285,27,FALSE)</f>
        <v>0.64</v>
      </c>
      <c r="W150" s="27">
        <f>VLOOKUP($A150,'[1]Raw Data'!$A$3:$FB$285,29,FALSE)</f>
        <v>0</v>
      </c>
      <c r="X150" s="27">
        <f>VLOOKUP($A150,'[1]Raw Data'!$A$3:$FB$285,30,FALSE)</f>
        <v>0</v>
      </c>
      <c r="Y150" s="27">
        <f>VLOOKUP($A150,'[1]Raw Data'!$A$3:$FB$285,32,FALSE)</f>
        <v>0.25</v>
      </c>
      <c r="Z150" s="27">
        <f>VLOOKUP($A150,'[1]Raw Data'!$A$3:$FB$285,33,FALSE)</f>
        <v>1.79</v>
      </c>
      <c r="AA150" s="27">
        <f>VLOOKUP($A150,'[1]Raw Data'!$A$3:$FB$285,35,FALSE)</f>
        <v>4.3600000000000003</v>
      </c>
      <c r="AB150" s="27">
        <f>VLOOKUP($A150,'[1]Raw Data'!$A$3:$FB$285,36,FALSE)</f>
        <v>3.32</v>
      </c>
      <c r="AC150" s="27">
        <f>VLOOKUP($A150,'[1]Raw Data'!$A$3:$FB$285,38,FALSE)</f>
        <v>0.09</v>
      </c>
      <c r="AD150" s="27">
        <f>VLOOKUP($A150,'[1]Raw Data'!$A$3:$FB$285,39,FALSE)</f>
        <v>0.25</v>
      </c>
      <c r="AE150" s="27">
        <f>VLOOKUP($A150,'[1]Raw Data'!$A$3:$FB$285,41,FALSE)</f>
        <v>0</v>
      </c>
      <c r="AF150" s="27">
        <f>VLOOKUP($A150,'[1]Raw Data'!$A$3:$FB$285,42,FALSE)</f>
        <v>0</v>
      </c>
      <c r="AG150" s="27">
        <f>VLOOKUP($A150,'[1]Raw Data'!$A$3:$FB$285,44,FALSE)</f>
        <v>0</v>
      </c>
      <c r="AH150" s="27">
        <f>VLOOKUP($A150,'[1]Raw Data'!$A$3:$FB$285,45,FALSE)</f>
        <v>0</v>
      </c>
      <c r="AI150" s="27">
        <f>VLOOKUP($A150,'[1]Raw Data'!$A$3:$FB$285,46,FALSE)</f>
        <v>6447</v>
      </c>
      <c r="AJ150" s="27">
        <f>VLOOKUP($A150,'[1]Raw Data'!$A$3:$FB$285,47,FALSE)</f>
        <v>6339</v>
      </c>
      <c r="AK150" s="27">
        <f>VLOOKUP($A150,'[1]Raw Data'!$A$3:$FB$285,48,FALSE)</f>
        <v>6339</v>
      </c>
      <c r="AL150" s="27">
        <f>VLOOKUP($A150,'[1]Raw Data'!$A$3:$FB$285,49,FALSE)</f>
        <v>5637</v>
      </c>
      <c r="AM150" s="27">
        <f>VLOOKUP($A150,'[1]Raw Data'!$A$3:$FB$285,50,FALSE)</f>
        <v>3958</v>
      </c>
      <c r="AN150" s="27">
        <f>VLOOKUP($A150,'[1]Raw Data'!$A$3:$FB$285,51,FALSE)</f>
        <v>0</v>
      </c>
      <c r="AO150" s="27">
        <f>VLOOKUP($A150,'[1]Raw Data'!$A$3:$FB$285,52,FALSE)</f>
        <v>4252</v>
      </c>
      <c r="AP150" s="27">
        <f>VLOOKUP($A150,'[1]Raw Data'!$A$3:$FB$285,53,FALSE)</f>
        <v>42</v>
      </c>
      <c r="AQ150" s="27">
        <f>VLOOKUP($A150,'[1]Raw Data'!$A$3:$FB$285,54,FALSE)</f>
        <v>42</v>
      </c>
      <c r="AR150" s="27">
        <f>VLOOKUP($A150,'[1]Raw Data'!$A$3:$FB$285,55,FALSE)</f>
        <v>2</v>
      </c>
      <c r="AS150" s="27">
        <f>VLOOKUP($A150,'[1]Raw Data'!$A$3:$FB$285,56,FALSE)</f>
        <v>0</v>
      </c>
      <c r="AT150" s="27">
        <f>VLOOKUP($A150,'[1]Raw Data'!$A$3:$FB$285,57,FALSE)</f>
        <v>720</v>
      </c>
      <c r="AU150" s="27">
        <f>VLOOKUP($A150,'[1]Raw Data'!$A$3:$FB$285,58,FALSE)</f>
        <v>285</v>
      </c>
      <c r="AV150" s="27">
        <f>VLOOKUP($A150,'[1]Raw Data'!$A$3:$FB$285,59,FALSE)</f>
        <v>31</v>
      </c>
      <c r="AW150" s="27">
        <f>VLOOKUP($A150,'[1]Raw Data'!$A$3:$FB$285,60,FALSE)</f>
        <v>27</v>
      </c>
      <c r="AX150" s="27" t="str">
        <f>VLOOKUP(A150,'[1]PO''s List'!A148:E430,4,FALSE)</f>
        <v>CARE-N(Livelihood,DRR,GESI,Shelter,Health),NSET(Shelter)</v>
      </c>
      <c r="AZ150" s="27" t="str">
        <f>VLOOKUP(A150,'[1]PO''s List'!$A$3:$E$285,5,FALSE)</f>
        <v>AATWIN(Social Protection),AMDA-M(Shelter),CSRC(Shelter),EPF-N(Education),GON(Shelter),GON-PAF(Shelter),MCC(Health,Health),SCI(Education,Shelter,Social Protection),UMN(Education,Shelter,Health),WFP(Employment ),WHH(Education)</v>
      </c>
      <c r="BB150" s="27">
        <f>VLOOKUP($A150,'[1]Raw Data'!$A$3:$FB$285,63,FALSE)</f>
        <v>103358</v>
      </c>
      <c r="BC150" s="27" t="str">
        <f>VLOOKUP($A150,'[1]Raw Data'!$A$3:$FB$285,64,FALSE)</f>
        <v>Y</v>
      </c>
      <c r="BD150" s="27" t="str">
        <f t="shared" si="18"/>
        <v>छ</v>
      </c>
      <c r="BE150" s="27" t="str">
        <f>VLOOKUP($A150,'[1]Raw Data'!$A$3:$FB$285,65,FALSE)</f>
        <v/>
      </c>
      <c r="BF150" s="27">
        <f>VLOOKUP($A150,'[1]Raw Data'!$A$3:$FB$285,66,FALSE)</f>
        <v>106265</v>
      </c>
      <c r="BG150" s="27" t="str">
        <f>VLOOKUP($A150,'[1]Raw Data'!$A$3:$FB$285,67,FALSE)</f>
        <v>Y</v>
      </c>
      <c r="BH150" s="27" t="str">
        <f t="shared" si="19"/>
        <v>छ</v>
      </c>
      <c r="BI150" s="27" t="str">
        <f>VLOOKUP($A150,'[1]Raw Data'!$A$3:$FB$285,68,FALSE)</f>
        <v/>
      </c>
      <c r="BJ150" s="27">
        <f>VLOOKUP($A150,'[1]Raw Data'!$A$3:$FB$285,69,FALSE)</f>
        <v>11040</v>
      </c>
      <c r="BK150" s="27" t="str">
        <f>VLOOKUP($A150,'[1]Raw Data'!$A$3:$FB$285,70,FALSE)</f>
        <v>N</v>
      </c>
      <c r="BL150" s="27" t="str">
        <f t="shared" si="20"/>
        <v>छैन</v>
      </c>
      <c r="BM150" s="27" t="str">
        <f>VLOOKUP($A150,'[1]Raw Data'!$A$3:$FB$285,71,FALSE)</f>
        <v/>
      </c>
      <c r="BN150" s="27">
        <f>VLOOKUP($A150,'[1]Raw Data'!$A$3:$FB$285,72,FALSE)</f>
        <v>12755</v>
      </c>
      <c r="BO150" s="27" t="str">
        <f>VLOOKUP($A150,'[1]Raw Data'!$A$3:$FB$285,73,FALSE)</f>
        <v>Y</v>
      </c>
      <c r="BP150" s="27" t="str">
        <f t="shared" si="21"/>
        <v>छ</v>
      </c>
      <c r="BQ150" s="27" t="str">
        <f>VLOOKUP($A150,'[1]Raw Data'!$A$3:$FB$285,74,FALSE)</f>
        <v/>
      </c>
      <c r="BR150" s="27" t="str">
        <f>VLOOKUP($A150,'[1]Raw Data'!$A$3:$FB$285,75,FALSE)</f>
        <v/>
      </c>
      <c r="BS150" s="27" t="str">
        <f>VLOOKUP($A150,'[1]Raw Data'!$A$3:$FB$285,76,FALSE)</f>
        <v/>
      </c>
      <c r="BT150" s="27" t="str">
        <f t="shared" si="22"/>
        <v/>
      </c>
      <c r="BU150" s="27" t="str">
        <f>VLOOKUP($A150,'[1]Raw Data'!$A$3:$FB$285,77,FALSE)</f>
        <v/>
      </c>
      <c r="BV150" s="27">
        <f>VLOOKUP($A150,'[1]Raw Data'!$A$3:$FB$285,78,FALSE)</f>
        <v>353389</v>
      </c>
      <c r="BW150" s="27" t="str">
        <f>VLOOKUP($A150,'[1]Raw Data'!$A$3:$FB$285,79,FALSE)</f>
        <v/>
      </c>
      <c r="BX150" s="27" t="str">
        <f t="shared" si="23"/>
        <v/>
      </c>
      <c r="BY150" s="27" t="str">
        <f>VLOOKUP($A150,'[1]Raw Data'!$A$3:$FB$285,80,FALSE)</f>
        <v/>
      </c>
      <c r="BZ150" s="27">
        <f>VLOOKUP($A150,'[1]Raw Data'!$A$3:$FB$285,81,FALSE)</f>
        <v>1121834</v>
      </c>
      <c r="CA150" s="27" t="str">
        <f>VLOOKUP($A150,'[1]Raw Data'!$A$3:$FB$285,82,FALSE)</f>
        <v>N</v>
      </c>
      <c r="CB150" s="27" t="str">
        <f t="shared" si="24"/>
        <v>छैन</v>
      </c>
      <c r="CC150" s="27" t="str">
        <f>VLOOKUP($A150,'[1]Raw Data'!$A$3:$FB$285,83,FALSE)</f>
        <v/>
      </c>
      <c r="CD150" s="27">
        <f>VLOOKUP($A150,'[1]Raw Data'!$A$3:$FB$285,84,FALSE)</f>
        <v>14451</v>
      </c>
      <c r="CE150" s="27" t="str">
        <f>VLOOKUP($A150,'[1]Raw Data'!$A$3:$FB$285,85,FALSE)</f>
        <v>N</v>
      </c>
      <c r="CF150" s="27" t="str">
        <f t="shared" si="25"/>
        <v>छैन</v>
      </c>
      <c r="CG150" s="27" t="str">
        <f>VLOOKUP($A150,'[1]Raw Data'!$A$3:$FB$285,86,FALSE)</f>
        <v/>
      </c>
      <c r="CH150" s="27">
        <f>VLOOKUP($A150,'[1]Raw Data'!$A$3:$FB$285,87,FALSE)</f>
        <v>1207085</v>
      </c>
      <c r="CI150" s="27" t="str">
        <f>VLOOKUP($A150,'[1]Raw Data'!$A$3:$FB$285,88,FALSE)</f>
        <v>N</v>
      </c>
      <c r="CJ150" s="27" t="str">
        <f t="shared" si="26"/>
        <v>छैन</v>
      </c>
      <c r="CK150" s="27" t="str">
        <f>VLOOKUP($A150,'[1]Raw Data'!$A$3:$FB$285,89,FALSE)</f>
        <v/>
      </c>
      <c r="CL150" s="27" t="str">
        <f>VLOOKUP($A150,'[1]Raw Data'!$A$3:$FB$285,91,FALSE)</f>
        <v/>
      </c>
      <c r="CM150" s="27" t="str">
        <f>VLOOKUP($A150,'[1]Raw Data'!$A$3:$FB$285,93,FALSE)</f>
        <v/>
      </c>
      <c r="CN150" s="27" t="str">
        <f>VLOOKUP($A150,'[1]Raw Data'!$A$3:$FB$285,94,FALSE)</f>
        <v/>
      </c>
      <c r="CO150" s="27" t="str">
        <f>VLOOKUP($A150,'[1]Raw Data'!$A$3:$FB$285,95,FALSE)</f>
        <v/>
      </c>
      <c r="CP150" s="27" t="str">
        <f>VLOOKUP($A150,'[1]Raw Data'!$A$3:$FB$285,96,FALSE)</f>
        <v/>
      </c>
      <c r="CQ150" s="27" t="str">
        <f>VLOOKUP($A150,'[1]Raw Data'!$A$3:$FB$285,97,FALSE)</f>
        <v/>
      </c>
      <c r="CR150" s="27" t="str">
        <f>VLOOKUP($A150,'[1]Raw Data'!$A$3:$FB$285,98,FALSE)</f>
        <v/>
      </c>
      <c r="CS150" s="27" t="str">
        <f>VLOOKUP($A150,'[1]Raw Data'!$A$3:$FB$285,99,FALSE)</f>
        <v/>
      </c>
      <c r="CT150" s="27" t="str">
        <f>VLOOKUP($A150,'[1]Raw Data'!$A$3:$FB$285,101,FALSE)</f>
        <v>Bal Bahadur Adhikari</v>
      </c>
      <c r="CU150" s="27" t="s">
        <v>1282</v>
      </c>
      <c r="CV150" s="27" t="str">
        <f>VLOOKUP($A150,'[1]Raw Data'!$A$3:$FB$285,102,FALSE)</f>
        <v>Mayor</v>
      </c>
      <c r="CW150" s="27" t="s">
        <v>834</v>
      </c>
      <c r="CX150" s="27">
        <f>VLOOKUP($A150,'[1]Raw Data'!$A$3:$FB$285,103,FALSE)</f>
        <v>9841433118</v>
      </c>
      <c r="CY150" s="27" t="str">
        <f>VLOOKUP($A150,'[1]Raw Data'!$A$3:$FB$285,105,FALSE)</f>
        <v>Angila Tamang</v>
      </c>
      <c r="CZ150" s="27" t="s">
        <v>1283</v>
      </c>
      <c r="DA150" s="27" t="str">
        <f>VLOOKUP($A150,'[1]Raw Data'!$A$3:$FB$285,106,FALSE)</f>
        <v>Deputy Mayor</v>
      </c>
      <c r="DB150" s="27" t="s">
        <v>888</v>
      </c>
      <c r="DC150" s="27">
        <f>VLOOKUP($A150,'[1]Raw Data'!$A$3:$FB$285,107,FALSE)</f>
        <v>9841720831</v>
      </c>
      <c r="DD150" s="27" t="str">
        <f>VLOOKUP($A150,'[1]Raw Data'!$A$3:$FB$285,109,FALSE)</f>
        <v/>
      </c>
      <c r="DF150" s="27" t="str">
        <f>VLOOKUP($A150,'[1]Raw Data'!$A$3:$FB$285,110,FALSE)</f>
        <v>Adminstration Officer</v>
      </c>
      <c r="DG150" s="27" t="s">
        <v>880</v>
      </c>
      <c r="DH150" s="27" t="str">
        <f>VLOOKUP($A150,'[1]Raw Data'!$A$3:$FB$285,111,FALSE)</f>
        <v/>
      </c>
      <c r="DI150" s="27" t="str">
        <f>VLOOKUP($A150,'[1]Raw Data'!$A$3:$FB$285,121,FALSE)</f>
        <v/>
      </c>
      <c r="DK150" s="27" t="str">
        <f>VLOOKUP($A150,'[1]Raw Data'!$A$3:$FB$285,122,FALSE)</f>
        <v>Focal Person</v>
      </c>
      <c r="DL150" s="27" t="s">
        <v>881</v>
      </c>
      <c r="DM150" s="27" t="str">
        <f>VLOOKUP($A150,'[1]Raw Data'!$A$3:$FB$285,123,FALSE)</f>
        <v/>
      </c>
      <c r="DN150" s="27" t="str">
        <f>VLOOKUP($A150,'[1]Raw Data'!$A$3:$FB$285,113,FALSE)</f>
        <v>Rajendra K. C.</v>
      </c>
      <c r="DO150" s="27" t="s">
        <v>1273</v>
      </c>
      <c r="DP150" s="27" t="str">
        <f>VLOOKUP($A150,'[1]Raw Data'!$A$3:$FB$285,114,FALSE)</f>
        <v>NRA Chief-District</v>
      </c>
      <c r="DQ150" s="27" t="s">
        <v>882</v>
      </c>
      <c r="DR150" s="27">
        <f>VLOOKUP($A150,'[1]Raw Data'!$A$3:$FB$285,115,FALSE)</f>
        <v>9851213604</v>
      </c>
      <c r="DS150" s="27" t="str">
        <f>VLOOKUP($A150,'[1]Raw Data'!$A$3:$FB$285,117,FALSE)</f>
        <v>Koshnath Adhikari</v>
      </c>
      <c r="DT150" s="27" t="s">
        <v>894</v>
      </c>
      <c r="DU150" s="27" t="str">
        <f>VLOOKUP($A150,'[1]Raw Data'!$A$3:$FB$285,118,FALSE)</f>
        <v>DUDBC.DLPIU Chief</v>
      </c>
      <c r="DV150" s="27" t="s">
        <v>883</v>
      </c>
      <c r="DW150" s="27" t="str">
        <f>VLOOKUP($A150,'[1]Raw Data'!$A$3:$FB$285,119,FALSE)</f>
        <v/>
      </c>
      <c r="DX150" s="27" t="s">
        <v>339</v>
      </c>
      <c r="DY150" s="27" t="str">
        <f>VLOOKUP($A150,'[1]Raw Data'!$A$3:$FB$285,124,FALSE)</f>
        <v/>
      </c>
      <c r="DZ150" s="27" t="s">
        <v>884</v>
      </c>
      <c r="EA150" s="27" t="str">
        <f>VLOOKUP($A150,'[1]Raw Data'!$A$3:$FB$285,125,FALSE)</f>
        <v/>
      </c>
      <c r="EB150" s="27" t="s">
        <v>341</v>
      </c>
      <c r="EC150" s="27" t="str">
        <f>VLOOKUP($A150,'[1]Raw Data'!$A$3:$FB$285,126,FALSE)</f>
        <v/>
      </c>
      <c r="ED150" t="s">
        <v>478</v>
      </c>
      <c r="EE150" s="27" t="str">
        <f>VLOOKUP($A150,'[1]Raw Data'!$A$3:$FB$285,127,FALSE)</f>
        <v/>
      </c>
      <c r="EF150" s="27" t="s">
        <v>343</v>
      </c>
      <c r="EG150" s="27" t="str">
        <f>VLOOKUP($A150,'[1]Raw Data'!$A$3:$FB$285,128,FALSE)</f>
        <v/>
      </c>
      <c r="EH150" t="s">
        <v>344</v>
      </c>
      <c r="EI150" s="27" t="str">
        <f>VLOOKUP($A150,'[1]Raw Data'!$A$3:$FB$285,129,FALSE)</f>
        <v/>
      </c>
      <c r="EM150" s="27" t="str">
        <f>VLOOKUP($A150,'[1]Raw Data'!$A$3:$FB$285,130,FALSE)</f>
        <v/>
      </c>
      <c r="EN150" s="27" t="str">
        <f>VLOOKUP($A150,'[1]Raw Data'!$A$3:$FB$285,131,FALSE)</f>
        <v/>
      </c>
      <c r="EO150" s="27" t="str">
        <f>VLOOKUP($A150,'[1]Raw Data'!$A$3:$FB$285,132,FALSE)</f>
        <v/>
      </c>
      <c r="EP150" s="27" t="str">
        <f>VLOOKUP($A150,'[1]Raw Data'!$A$3:$FB$285,133,FALSE)</f>
        <v/>
      </c>
      <c r="EQ150" s="27" t="str">
        <f>VLOOKUP($A150,'[1]Raw Data'!$A$3:$FB$285,134,FALSE)</f>
        <v/>
      </c>
      <c r="ER150" s="27" t="str">
        <f>VLOOKUP($A150,'[1]Raw Data'!$A$3:$FB$285,135,FALSE)</f>
        <v/>
      </c>
      <c r="ES150" s="27" t="str">
        <f>VLOOKUP($A150,'[1]Raw Data'!$A$3:$FB$285,136,FALSE)</f>
        <v/>
      </c>
      <c r="ET150" s="27" t="str">
        <f>VLOOKUP($A150,'[1]Raw Data'!$A$3:$FB$285,137,FALSE)</f>
        <v/>
      </c>
      <c r="EU150" s="27" t="str">
        <f>VLOOKUP($A150,'[1]Raw Data'!$A$3:$FB$285,138,FALSE)</f>
        <v/>
      </c>
      <c r="EV150" s="27" t="str">
        <f>VLOOKUP($A150,'[1]Raw Data'!$A$3:$FB$285,139,FALSE)</f>
        <v/>
      </c>
      <c r="EW150" s="38">
        <f>VLOOKUP($A150,[1]Training!$A$2:$I$284,5,FALSE)</f>
        <v>495.92307692307691</v>
      </c>
      <c r="EX150" s="31">
        <f>VLOOKUP($A150,[1]Training!$A$2:$I$284,6,FALSE)</f>
        <v>397</v>
      </c>
      <c r="EY150" s="38">
        <f>VLOOKUP($A150,[1]Training!$A$2:$I$284,8,FALSE)</f>
        <v>603.20791285170094</v>
      </c>
      <c r="EZ150" s="31">
        <f>VLOOKUP($A150,[1]Training!$A$2:$I$284,9,FALSE)</f>
        <v>281</v>
      </c>
      <c r="FA150" s="27">
        <v>1</v>
      </c>
      <c r="FB150" s="27">
        <v>2</v>
      </c>
      <c r="FC150" s="27" t="str">
        <f>VLOOKUP($A150,'[1]Raw Data'!$A$3:$FB$285,148,FALSE)</f>
        <v>Prabin Gautam</v>
      </c>
      <c r="FD150" s="27" t="s">
        <v>1274</v>
      </c>
      <c r="FE150" s="27" t="str">
        <f>VLOOKUP($A150,'[1]Raw Data'!$A$3:$FB$285,149,FALSE)</f>
        <v>District Coordinator</v>
      </c>
      <c r="FF150" s="27" t="s">
        <v>885</v>
      </c>
      <c r="FG150" s="27">
        <f>VLOOKUP($A150,'[1]Raw Data'!$A$3:$FB$285,150,FALSE)</f>
        <v>9860687776</v>
      </c>
      <c r="FH150" s="27" t="str">
        <f>VLOOKUP($A150,'[1]Raw Data'!$A$3:$FB$285,156,FALSE)</f>
        <v>Sachin Sapkota</v>
      </c>
      <c r="FI150" s="27" t="s">
        <v>1275</v>
      </c>
      <c r="FJ150" s="27" t="str">
        <f>VLOOKUP($A150,'[1]Raw Data'!$A$3:$FB$285,157,FALSE)</f>
        <v>District Technical Officer</v>
      </c>
      <c r="FK150" s="27" t="s">
        <v>886</v>
      </c>
      <c r="FL150" s="27">
        <f>VLOOKUP($A150,'[1]Raw Data'!$A$3:$FB$285,158,FALSE)</f>
        <v>9847621292</v>
      </c>
      <c r="FM150" s="27" t="str">
        <f>VLOOKUP($A150,'[1]Raw Data'!$A$3:$FB$285,152,FALSE)</f>
        <v/>
      </c>
      <c r="FO150" s="27" t="str">
        <f>VLOOKUP($A150,'[1]Raw Data'!$A$3:$FB$285,153,FALSE)</f>
        <v>DIstrict Information Management Officer</v>
      </c>
      <c r="FP150" s="27" t="s">
        <v>887</v>
      </c>
      <c r="FQ150" s="27" t="str">
        <f>VLOOKUP($A150,'[1]Raw Data'!$A$3:$FB$285,154,FALSE)</f>
        <v/>
      </c>
    </row>
    <row r="151" spans="1:173" ht="24" x14ac:dyDescent="0.45">
      <c r="A151" s="27">
        <v>30006</v>
      </c>
      <c r="B151" s="36" t="str">
        <f ca="1">IFERROR(__xludf.DUMMYFUNCTION("""COMPUTED_VALUE"""),"Jwalamukhi Gaunpalika")</f>
        <v>Jwalamukhi Gaunpalika</v>
      </c>
      <c r="C151" s="37" t="str">
        <f>VLOOKUP(A151,'[1]Palika and District in Nepali '!$D$1:$F$283,3,FALSE)</f>
        <v>ज्वालामुखी गाँपालिका</v>
      </c>
      <c r="D151" s="36" t="str">
        <f ca="1">IFERROR(__xludf.DUMMYFUNCTION("""COMPUTED_VALUE"""),"Dhading")</f>
        <v>Dhading</v>
      </c>
      <c r="E151" s="36"/>
      <c r="F151" s="27">
        <f>VLOOKUP(A151,'[1]Raw Data'!$A$3:$FB$285,4,FALSE)</f>
        <v>1792</v>
      </c>
      <c r="G151" s="27">
        <f>VLOOKUP(A151,'[1]Raw Data'!$A$3:$FB$285,5,FALSE)</f>
        <v>5463</v>
      </c>
      <c r="H151" s="27">
        <f>VLOOKUP(A151,'[1]Raw Data'!$A$3:$FB$285,6,FALSE)</f>
        <v>7255</v>
      </c>
      <c r="I151" s="27">
        <f>VLOOKUP($A151,'[1]Raw Data'!$A$3:$FB$285,8,FALSE)</f>
        <v>0.14000000000000001</v>
      </c>
      <c r="J151" s="27">
        <f>VLOOKUP($A151,'[1]Raw Data'!$A$3:$FB$285,9,FALSE)</f>
        <v>1.1000000000000001</v>
      </c>
      <c r="K151" s="27">
        <f>VLOOKUP($A151,'[1]Raw Data'!$A$3:$FB$285,11,FALSE)</f>
        <v>85.39</v>
      </c>
      <c r="L151" s="27">
        <f>VLOOKUP($A151,'[1]Raw Data'!$A$3:$FB$285,12,FALSE)</f>
        <v>85.43</v>
      </c>
      <c r="M151" s="27">
        <f>VLOOKUP($A151,'[1]Raw Data'!$A$3:$FB$285,14,FALSE)</f>
        <v>1.06</v>
      </c>
      <c r="N151" s="27">
        <f>VLOOKUP($A151,'[1]Raw Data'!$A$3:$FB$285,15,FALSE)</f>
        <v>3.73</v>
      </c>
      <c r="O151" s="27">
        <f>VLOOKUP($A151,'[1]Raw Data'!$A$3:$FB$285,17,FALSE)</f>
        <v>0.15</v>
      </c>
      <c r="P151" s="27">
        <f>VLOOKUP($A151,'[1]Raw Data'!$A$3:$FB$285,18,FALSE)</f>
        <v>0.48</v>
      </c>
      <c r="Q151" s="27">
        <f>VLOOKUP($A151,'[1]Raw Data'!$A$3:$FB$285,20,FALSE)</f>
        <v>0.21</v>
      </c>
      <c r="R151" s="27">
        <f>VLOOKUP($A151,'[1]Raw Data'!$A$3:$FB$285,21,FALSE)</f>
        <v>3.25</v>
      </c>
      <c r="S151" s="27">
        <f>VLOOKUP($A151,'[1]Raw Data'!$A$3:$FB$285,23,FALSE)</f>
        <v>0</v>
      </c>
      <c r="T151" s="27">
        <f>VLOOKUP($A151,'[1]Raw Data'!$A$3:$FB$285,24,FALSE)</f>
        <v>0</v>
      </c>
      <c r="U151" s="27">
        <f>VLOOKUP($A151,'[1]Raw Data'!$A$3:$FB$285,26,FALSE)</f>
        <v>0.54</v>
      </c>
      <c r="V151" s="27">
        <f>VLOOKUP($A151,'[1]Raw Data'!$A$3:$FB$285,27,FALSE)</f>
        <v>0.64</v>
      </c>
      <c r="W151" s="27">
        <f>VLOOKUP($A151,'[1]Raw Data'!$A$3:$FB$285,29,FALSE)</f>
        <v>0</v>
      </c>
      <c r="X151" s="27">
        <f>VLOOKUP($A151,'[1]Raw Data'!$A$3:$FB$285,30,FALSE)</f>
        <v>0</v>
      </c>
      <c r="Y151" s="27">
        <f>VLOOKUP($A151,'[1]Raw Data'!$A$3:$FB$285,32,FALSE)</f>
        <v>7.0000000000000007E-2</v>
      </c>
      <c r="Z151" s="27">
        <f>VLOOKUP($A151,'[1]Raw Data'!$A$3:$FB$285,33,FALSE)</f>
        <v>1.79</v>
      </c>
      <c r="AA151" s="27">
        <f>VLOOKUP($A151,'[1]Raw Data'!$A$3:$FB$285,35,FALSE)</f>
        <v>12</v>
      </c>
      <c r="AB151" s="27">
        <f>VLOOKUP($A151,'[1]Raw Data'!$A$3:$FB$285,36,FALSE)</f>
        <v>3.32</v>
      </c>
      <c r="AC151" s="27">
        <f>VLOOKUP($A151,'[1]Raw Data'!$A$3:$FB$285,38,FALSE)</f>
        <v>0.44</v>
      </c>
      <c r="AD151" s="27">
        <f>VLOOKUP($A151,'[1]Raw Data'!$A$3:$FB$285,39,FALSE)</f>
        <v>0.25</v>
      </c>
      <c r="AE151" s="27">
        <f>VLOOKUP($A151,'[1]Raw Data'!$A$3:$FB$285,41,FALSE)</f>
        <v>0</v>
      </c>
      <c r="AF151" s="27">
        <f>VLOOKUP($A151,'[1]Raw Data'!$A$3:$FB$285,42,FALSE)</f>
        <v>0</v>
      </c>
      <c r="AG151" s="27">
        <f>VLOOKUP($A151,'[1]Raw Data'!$A$3:$FB$285,44,FALSE)</f>
        <v>0</v>
      </c>
      <c r="AH151" s="27">
        <f>VLOOKUP($A151,'[1]Raw Data'!$A$3:$FB$285,45,FALSE)</f>
        <v>0</v>
      </c>
      <c r="AI151" s="27">
        <f>VLOOKUP($A151,'[1]Raw Data'!$A$3:$FB$285,46,FALSE)</f>
        <v>5390</v>
      </c>
      <c r="AJ151" s="27">
        <f>VLOOKUP($A151,'[1]Raw Data'!$A$3:$FB$285,47,FALSE)</f>
        <v>4910</v>
      </c>
      <c r="AK151" s="27">
        <f>VLOOKUP($A151,'[1]Raw Data'!$A$3:$FB$285,48,FALSE)</f>
        <v>4910</v>
      </c>
      <c r="AL151" s="27">
        <f>VLOOKUP($A151,'[1]Raw Data'!$A$3:$FB$285,49,FALSE)</f>
        <v>3760</v>
      </c>
      <c r="AM151" s="27">
        <f>VLOOKUP($A151,'[1]Raw Data'!$A$3:$FB$285,50,FALSE)</f>
        <v>2664</v>
      </c>
      <c r="AN151" s="27">
        <f>VLOOKUP($A151,'[1]Raw Data'!$A$3:$FB$285,51,FALSE)</f>
        <v>0</v>
      </c>
      <c r="AO151" s="27">
        <f>VLOOKUP($A151,'[1]Raw Data'!$A$3:$FB$285,52,FALSE)</f>
        <v>2848</v>
      </c>
      <c r="AP151" s="27">
        <f>VLOOKUP($A151,'[1]Raw Data'!$A$3:$FB$285,53,FALSE)</f>
        <v>675</v>
      </c>
      <c r="AQ151" s="27">
        <f>VLOOKUP($A151,'[1]Raw Data'!$A$3:$FB$285,54,FALSE)</f>
        <v>675</v>
      </c>
      <c r="AR151" s="27">
        <f>VLOOKUP($A151,'[1]Raw Data'!$A$3:$FB$285,55,FALSE)</f>
        <v>35</v>
      </c>
      <c r="AS151" s="27">
        <f>VLOOKUP($A151,'[1]Raw Data'!$A$3:$FB$285,56,FALSE)</f>
        <v>0</v>
      </c>
      <c r="AT151" s="27">
        <f>VLOOKUP($A151,'[1]Raw Data'!$A$3:$FB$285,57,FALSE)</f>
        <v>2424</v>
      </c>
      <c r="AU151" s="27">
        <f>VLOOKUP($A151,'[1]Raw Data'!$A$3:$FB$285,58,FALSE)</f>
        <v>700</v>
      </c>
      <c r="AV151" s="27">
        <f>VLOOKUP($A151,'[1]Raw Data'!$A$3:$FB$285,59,FALSE)</f>
        <v>87</v>
      </c>
      <c r="AW151" s="27">
        <f>VLOOKUP($A151,'[1]Raw Data'!$A$3:$FB$285,60,FALSE)</f>
        <v>73</v>
      </c>
      <c r="AX151" s="27" t="str">
        <f>VLOOKUP(A151,'[1]PO''s List'!A149:E431,4,FALSE)</f>
        <v>NSET(Shelter)</v>
      </c>
      <c r="AZ151" s="27" t="str">
        <f>VLOOKUP(A151,'[1]PO''s List'!$A$3:$E$285,5,FALSE)</f>
        <v>AATWIN(Social Protection),ADRA(Shelter),CA(Shelter,Health),CW(Education),DCA(Health,Shelter,Health),EHN(Education),GON - DUDBC(Shelter),GON-PAF(Shelter),MCC(Livelihood,Health)</v>
      </c>
      <c r="BB151" s="27">
        <f>VLOOKUP($A151,'[1]Raw Data'!$A$3:$FB$285,63,FALSE)</f>
        <v>94013</v>
      </c>
      <c r="BC151" s="27" t="str">
        <f>VLOOKUP($A151,'[1]Raw Data'!$A$3:$FB$285,64,FALSE)</f>
        <v>Y</v>
      </c>
      <c r="BD151" s="27" t="str">
        <f t="shared" si="18"/>
        <v>छ</v>
      </c>
      <c r="BE151" s="27" t="str">
        <f>VLOOKUP($A151,'[1]Raw Data'!$A$3:$FB$285,65,FALSE)</f>
        <v/>
      </c>
      <c r="BF151" s="27">
        <f>VLOOKUP($A151,'[1]Raw Data'!$A$3:$FB$285,66,FALSE)</f>
        <v>98184</v>
      </c>
      <c r="BG151" s="27" t="str">
        <f>VLOOKUP($A151,'[1]Raw Data'!$A$3:$FB$285,67,FALSE)</f>
        <v>Y</v>
      </c>
      <c r="BH151" s="27" t="str">
        <f t="shared" si="19"/>
        <v>छ</v>
      </c>
      <c r="BI151" s="27" t="str">
        <f>VLOOKUP($A151,'[1]Raw Data'!$A$3:$FB$285,68,FALSE)</f>
        <v/>
      </c>
      <c r="BJ151" s="27">
        <f>VLOOKUP($A151,'[1]Raw Data'!$A$3:$FB$285,69,FALSE)</f>
        <v>10053</v>
      </c>
      <c r="BK151" s="27" t="str">
        <f>VLOOKUP($A151,'[1]Raw Data'!$A$3:$FB$285,70,FALSE)</f>
        <v>Y</v>
      </c>
      <c r="BL151" s="27" t="str">
        <f t="shared" si="20"/>
        <v>छ</v>
      </c>
      <c r="BM151" s="27" t="str">
        <f>VLOOKUP($A151,'[1]Raw Data'!$A$3:$FB$285,71,FALSE)</f>
        <v/>
      </c>
      <c r="BN151" s="27">
        <f>VLOOKUP($A151,'[1]Raw Data'!$A$3:$FB$285,72,FALSE)</f>
        <v>11656</v>
      </c>
      <c r="BO151" s="27" t="str">
        <f>VLOOKUP($A151,'[1]Raw Data'!$A$3:$FB$285,73,FALSE)</f>
        <v>Y</v>
      </c>
      <c r="BP151" s="27" t="str">
        <f t="shared" si="21"/>
        <v>छ</v>
      </c>
      <c r="BQ151" s="27" t="str">
        <f>VLOOKUP($A151,'[1]Raw Data'!$A$3:$FB$285,74,FALSE)</f>
        <v/>
      </c>
      <c r="BR151" s="27" t="str">
        <f>VLOOKUP($A151,'[1]Raw Data'!$A$3:$FB$285,75,FALSE)</f>
        <v/>
      </c>
      <c r="BS151" s="27" t="str">
        <f>VLOOKUP($A151,'[1]Raw Data'!$A$3:$FB$285,76,FALSE)</f>
        <v/>
      </c>
      <c r="BT151" s="27" t="str">
        <f t="shared" si="22"/>
        <v/>
      </c>
      <c r="BU151" s="27" t="str">
        <f>VLOOKUP($A151,'[1]Raw Data'!$A$3:$FB$285,77,FALSE)</f>
        <v/>
      </c>
      <c r="BV151" s="27">
        <f>VLOOKUP($A151,'[1]Raw Data'!$A$3:$FB$285,78,FALSE)</f>
        <v>324013</v>
      </c>
      <c r="BW151" s="27" t="str">
        <f>VLOOKUP($A151,'[1]Raw Data'!$A$3:$FB$285,79,FALSE)</f>
        <v/>
      </c>
      <c r="BX151" s="27" t="str">
        <f t="shared" si="23"/>
        <v/>
      </c>
      <c r="BY151" s="27" t="str">
        <f>VLOOKUP($A151,'[1]Raw Data'!$A$3:$FB$285,80,FALSE)</f>
        <v/>
      </c>
      <c r="BZ151" s="27">
        <f>VLOOKUP($A151,'[1]Raw Data'!$A$3:$FB$285,81,FALSE)</f>
        <v>1015111</v>
      </c>
      <c r="CA151" s="27" t="str">
        <f>VLOOKUP($A151,'[1]Raw Data'!$A$3:$FB$285,82,FALSE)</f>
        <v>N</v>
      </c>
      <c r="CB151" s="27" t="str">
        <f t="shared" si="24"/>
        <v>छैन</v>
      </c>
      <c r="CC151" s="27" t="str">
        <f>VLOOKUP($A151,'[1]Raw Data'!$A$3:$FB$285,83,FALSE)</f>
        <v/>
      </c>
      <c r="CD151" s="27">
        <f>VLOOKUP($A151,'[1]Raw Data'!$A$3:$FB$285,84,FALSE)</f>
        <v>13239</v>
      </c>
      <c r="CE151" s="27" t="str">
        <f>VLOOKUP($A151,'[1]Raw Data'!$A$3:$FB$285,85,FALSE)</f>
        <v>N</v>
      </c>
      <c r="CF151" s="27" t="str">
        <f t="shared" si="25"/>
        <v>छैन</v>
      </c>
      <c r="CG151" s="27" t="str">
        <f>VLOOKUP($A151,'[1]Raw Data'!$A$3:$FB$285,86,FALSE)</f>
        <v/>
      </c>
      <c r="CH151" s="27">
        <f>VLOOKUP($A151,'[1]Raw Data'!$A$3:$FB$285,87,FALSE)</f>
        <v>643428</v>
      </c>
      <c r="CI151" s="27" t="str">
        <f>VLOOKUP($A151,'[1]Raw Data'!$A$3:$FB$285,88,FALSE)</f>
        <v>N</v>
      </c>
      <c r="CJ151" s="27" t="str">
        <f t="shared" si="26"/>
        <v>छैन</v>
      </c>
      <c r="CK151" s="27" t="str">
        <f>VLOOKUP($A151,'[1]Raw Data'!$A$3:$FB$285,89,FALSE)</f>
        <v/>
      </c>
      <c r="CL151" s="27" t="str">
        <f>VLOOKUP($A151,'[1]Raw Data'!$A$3:$FB$285,91,FALSE)</f>
        <v/>
      </c>
      <c r="CM151" s="27" t="str">
        <f>VLOOKUP($A151,'[1]Raw Data'!$A$3:$FB$285,93,FALSE)</f>
        <v/>
      </c>
      <c r="CN151" s="27" t="str">
        <f>VLOOKUP($A151,'[1]Raw Data'!$A$3:$FB$285,94,FALSE)</f>
        <v/>
      </c>
      <c r="CO151" s="27" t="str">
        <f>VLOOKUP($A151,'[1]Raw Data'!$A$3:$FB$285,95,FALSE)</f>
        <v/>
      </c>
      <c r="CP151" s="27" t="str">
        <f>VLOOKUP($A151,'[1]Raw Data'!$A$3:$FB$285,96,FALSE)</f>
        <v/>
      </c>
      <c r="CQ151" s="27" t="str">
        <f>VLOOKUP($A151,'[1]Raw Data'!$A$3:$FB$285,97,FALSE)</f>
        <v/>
      </c>
      <c r="CR151" s="27" t="str">
        <f>VLOOKUP($A151,'[1]Raw Data'!$A$3:$FB$285,98,FALSE)</f>
        <v/>
      </c>
      <c r="CS151" s="27" t="str">
        <f>VLOOKUP($A151,'[1]Raw Data'!$A$3:$FB$285,99,FALSE)</f>
        <v/>
      </c>
      <c r="CT151" s="27" t="str">
        <f>VLOOKUP($A151,'[1]Raw Data'!$A$3:$FB$285,101,FALSE)</f>
        <v>Binod Raj Timalsina</v>
      </c>
      <c r="CU151" s="27" t="s">
        <v>1284</v>
      </c>
      <c r="CV151" s="27" t="str">
        <f>VLOOKUP($A151,'[1]Raw Data'!$A$3:$FB$285,102,FALSE)</f>
        <v>Mayor</v>
      </c>
      <c r="CW151" s="27" t="s">
        <v>834</v>
      </c>
      <c r="CX151" s="27">
        <f>VLOOKUP($A151,'[1]Raw Data'!$A$3:$FB$285,103,FALSE)</f>
        <v>9851175175</v>
      </c>
      <c r="CY151" s="27" t="str">
        <f>VLOOKUP($A151,'[1]Raw Data'!$A$3:$FB$285,105,FALSE)</f>
        <v>Januka Singkhada</v>
      </c>
      <c r="CZ151" s="27" t="s">
        <v>1285</v>
      </c>
      <c r="DA151" s="27" t="str">
        <f>VLOOKUP($A151,'[1]Raw Data'!$A$3:$FB$285,106,FALSE)</f>
        <v>Deputy Mayor</v>
      </c>
      <c r="DB151" s="27" t="s">
        <v>888</v>
      </c>
      <c r="DC151" s="27">
        <f>VLOOKUP($A151,'[1]Raw Data'!$A$3:$FB$285,107,FALSE)</f>
        <v>9841546995</v>
      </c>
      <c r="DD151" s="27" t="str">
        <f>VLOOKUP($A151,'[1]Raw Data'!$A$3:$FB$285,109,FALSE)</f>
        <v/>
      </c>
      <c r="DF151" s="27" t="str">
        <f>VLOOKUP($A151,'[1]Raw Data'!$A$3:$FB$285,110,FALSE)</f>
        <v>Adminstration Officer</v>
      </c>
      <c r="DG151" s="27" t="s">
        <v>880</v>
      </c>
      <c r="DH151" s="27" t="str">
        <f>VLOOKUP($A151,'[1]Raw Data'!$A$3:$FB$285,111,FALSE)</f>
        <v/>
      </c>
      <c r="DI151" s="27" t="str">
        <f>VLOOKUP($A151,'[1]Raw Data'!$A$3:$FB$285,121,FALSE)</f>
        <v/>
      </c>
      <c r="DK151" s="27" t="str">
        <f>VLOOKUP($A151,'[1]Raw Data'!$A$3:$FB$285,122,FALSE)</f>
        <v>Focal Person</v>
      </c>
      <c r="DL151" s="27" t="s">
        <v>881</v>
      </c>
      <c r="DM151" s="27" t="str">
        <f>VLOOKUP($A151,'[1]Raw Data'!$A$3:$FB$285,123,FALSE)</f>
        <v/>
      </c>
      <c r="DN151" s="27" t="str">
        <f>VLOOKUP($A151,'[1]Raw Data'!$A$3:$FB$285,113,FALSE)</f>
        <v>Rajendra K. C.</v>
      </c>
      <c r="DO151" s="27" t="s">
        <v>1273</v>
      </c>
      <c r="DP151" s="27" t="str">
        <f>VLOOKUP($A151,'[1]Raw Data'!$A$3:$FB$285,114,FALSE)</f>
        <v>NRA Chief-District</v>
      </c>
      <c r="DQ151" s="27" t="s">
        <v>882</v>
      </c>
      <c r="DR151" s="27">
        <f>VLOOKUP($A151,'[1]Raw Data'!$A$3:$FB$285,115,FALSE)</f>
        <v>9851213604</v>
      </c>
      <c r="DS151" s="27" t="str">
        <f>VLOOKUP($A151,'[1]Raw Data'!$A$3:$FB$285,117,FALSE)</f>
        <v>Koshnath Adhikari</v>
      </c>
      <c r="DT151" s="27" t="s">
        <v>894</v>
      </c>
      <c r="DU151" s="27" t="str">
        <f>VLOOKUP($A151,'[1]Raw Data'!$A$3:$FB$285,118,FALSE)</f>
        <v>DUDBC.DLPIU Chief</v>
      </c>
      <c r="DV151" s="27" t="s">
        <v>883</v>
      </c>
      <c r="DW151" s="27" t="str">
        <f>VLOOKUP($A151,'[1]Raw Data'!$A$3:$FB$285,119,FALSE)</f>
        <v/>
      </c>
      <c r="DX151" s="27" t="s">
        <v>339</v>
      </c>
      <c r="DY151" s="27" t="str">
        <f>VLOOKUP($A151,'[1]Raw Data'!$A$3:$FB$285,124,FALSE)</f>
        <v/>
      </c>
      <c r="DZ151" s="27" t="s">
        <v>884</v>
      </c>
      <c r="EA151" s="27" t="str">
        <f>VLOOKUP($A151,'[1]Raw Data'!$A$3:$FB$285,125,FALSE)</f>
        <v/>
      </c>
      <c r="EB151" s="27" t="s">
        <v>341</v>
      </c>
      <c r="EC151" s="27" t="str">
        <f>VLOOKUP($A151,'[1]Raw Data'!$A$3:$FB$285,126,FALSE)</f>
        <v/>
      </c>
      <c r="ED151" t="s">
        <v>478</v>
      </c>
      <c r="EE151" s="27" t="str">
        <f>VLOOKUP($A151,'[1]Raw Data'!$A$3:$FB$285,127,FALSE)</f>
        <v/>
      </c>
      <c r="EF151" s="27" t="s">
        <v>343</v>
      </c>
      <c r="EG151" s="27" t="str">
        <f>VLOOKUP($A151,'[1]Raw Data'!$A$3:$FB$285,128,FALSE)</f>
        <v/>
      </c>
      <c r="EH151" t="s">
        <v>344</v>
      </c>
      <c r="EI151" s="27" t="str">
        <f>VLOOKUP($A151,'[1]Raw Data'!$A$3:$FB$285,129,FALSE)</f>
        <v/>
      </c>
      <c r="EM151" s="27" t="str">
        <f>VLOOKUP($A151,'[1]Raw Data'!$A$3:$FB$285,130,FALSE)</f>
        <v/>
      </c>
      <c r="EN151" s="27" t="str">
        <f>VLOOKUP($A151,'[1]Raw Data'!$A$3:$FB$285,131,FALSE)</f>
        <v/>
      </c>
      <c r="EO151" s="27" t="str">
        <f>VLOOKUP($A151,'[1]Raw Data'!$A$3:$FB$285,132,FALSE)</f>
        <v/>
      </c>
      <c r="EP151" s="27" t="str">
        <f>VLOOKUP($A151,'[1]Raw Data'!$A$3:$FB$285,133,FALSE)</f>
        <v/>
      </c>
      <c r="EQ151" s="27" t="str">
        <f>VLOOKUP($A151,'[1]Raw Data'!$A$3:$FB$285,134,FALSE)</f>
        <v/>
      </c>
      <c r="ER151" s="27" t="str">
        <f>VLOOKUP($A151,'[1]Raw Data'!$A$3:$FB$285,135,FALSE)</f>
        <v/>
      </c>
      <c r="ES151" s="27" t="str">
        <f>VLOOKUP($A151,'[1]Raw Data'!$A$3:$FB$285,136,FALSE)</f>
        <v/>
      </c>
      <c r="ET151" s="27" t="str">
        <f>VLOOKUP($A151,'[1]Raw Data'!$A$3:$FB$285,137,FALSE)</f>
        <v/>
      </c>
      <c r="EU151" s="27" t="str">
        <f>VLOOKUP($A151,'[1]Raw Data'!$A$3:$FB$285,138,FALSE)</f>
        <v/>
      </c>
      <c r="EV151" s="27" t="str">
        <f>VLOOKUP($A151,'[1]Raw Data'!$A$3:$FB$285,139,FALSE)</f>
        <v/>
      </c>
      <c r="EW151" s="38">
        <f>VLOOKUP($A151,[1]Training!$A$2:$I$284,5,FALSE)</f>
        <v>414.61538461538464</v>
      </c>
      <c r="EX151" s="31">
        <f>VLOOKUP($A151,[1]Training!$A$2:$I$284,6,FALSE)</f>
        <v>437</v>
      </c>
      <c r="EY151" s="38">
        <f>VLOOKUP($A151,[1]Training!$A$2:$I$284,8,FALSE)</f>
        <v>504.31063289447309</v>
      </c>
      <c r="EZ151" s="31">
        <f>VLOOKUP($A151,[1]Training!$A$2:$I$284,9,FALSE)</f>
        <v>340</v>
      </c>
      <c r="FA151" s="27">
        <v>1</v>
      </c>
      <c r="FB151" s="27">
        <v>2</v>
      </c>
      <c r="FC151" s="27" t="str">
        <f>VLOOKUP($A151,'[1]Raw Data'!$A$3:$FB$285,148,FALSE)</f>
        <v>Prabin Gautam</v>
      </c>
      <c r="FD151" s="27" t="s">
        <v>1274</v>
      </c>
      <c r="FE151" s="27" t="str">
        <f>VLOOKUP($A151,'[1]Raw Data'!$A$3:$FB$285,149,FALSE)</f>
        <v>District Coordinator</v>
      </c>
      <c r="FF151" s="27" t="s">
        <v>885</v>
      </c>
      <c r="FG151" s="27">
        <f>VLOOKUP($A151,'[1]Raw Data'!$A$3:$FB$285,150,FALSE)</f>
        <v>9860687776</v>
      </c>
      <c r="FH151" s="27" t="str">
        <f>VLOOKUP($A151,'[1]Raw Data'!$A$3:$FB$285,156,FALSE)</f>
        <v>Sachin Sapkota</v>
      </c>
      <c r="FI151" s="27" t="s">
        <v>1275</v>
      </c>
      <c r="FJ151" s="27" t="str">
        <f>VLOOKUP($A151,'[1]Raw Data'!$A$3:$FB$285,157,FALSE)</f>
        <v>District Technical Officer</v>
      </c>
      <c r="FK151" s="27" t="s">
        <v>886</v>
      </c>
      <c r="FL151" s="27">
        <f>VLOOKUP($A151,'[1]Raw Data'!$A$3:$FB$285,158,FALSE)</f>
        <v>9847621292</v>
      </c>
      <c r="FM151" s="27" t="str">
        <f>VLOOKUP($A151,'[1]Raw Data'!$A$3:$FB$285,152,FALSE)</f>
        <v/>
      </c>
      <c r="FO151" s="27" t="str">
        <f>VLOOKUP($A151,'[1]Raw Data'!$A$3:$FB$285,153,FALSE)</f>
        <v>DIstrict Information Management Officer</v>
      </c>
      <c r="FP151" s="27" t="s">
        <v>887</v>
      </c>
      <c r="FQ151" s="27" t="str">
        <f>VLOOKUP($A151,'[1]Raw Data'!$A$3:$FB$285,154,FALSE)</f>
        <v/>
      </c>
    </row>
    <row r="152" spans="1:173" ht="24" x14ac:dyDescent="0.45">
      <c r="A152" s="27">
        <v>30007</v>
      </c>
      <c r="B152" s="36" t="str">
        <f ca="1">IFERROR(__xludf.DUMMYFUNCTION("""COMPUTED_VALUE"""),"Khaniyabash Gaunpalika")</f>
        <v>Khaniyabash Gaunpalika</v>
      </c>
      <c r="C152" s="37" t="str">
        <f>VLOOKUP(A152,'[1]Palika and District in Nepali '!$D$1:$F$283,3,FALSE)</f>
        <v>खनियाबास गाउँपालिका</v>
      </c>
      <c r="D152" s="36" t="str">
        <f ca="1">IFERROR(__xludf.DUMMYFUNCTION("""COMPUTED_VALUE"""),"Dhading")</f>
        <v>Dhading</v>
      </c>
      <c r="E152" s="36"/>
      <c r="F152" s="27">
        <f>VLOOKUP(A152,'[1]Raw Data'!$A$3:$FB$285,4,FALSE)</f>
        <v>27</v>
      </c>
      <c r="G152" s="27">
        <f>VLOOKUP(A152,'[1]Raw Data'!$A$3:$FB$285,5,FALSE)</f>
        <v>3458</v>
      </c>
      <c r="H152" s="27">
        <f>VLOOKUP(A152,'[1]Raw Data'!$A$3:$FB$285,6,FALSE)</f>
        <v>3485</v>
      </c>
      <c r="I152" s="27">
        <f>VLOOKUP($A152,'[1]Raw Data'!$A$3:$FB$285,8,FALSE)</f>
        <v>0.37</v>
      </c>
      <c r="J152" s="27">
        <f>VLOOKUP($A152,'[1]Raw Data'!$A$3:$FB$285,9,FALSE)</f>
        <v>1.1000000000000001</v>
      </c>
      <c r="K152" s="27">
        <f>VLOOKUP($A152,'[1]Raw Data'!$A$3:$FB$285,11,FALSE)</f>
        <v>92.62</v>
      </c>
      <c r="L152" s="27">
        <f>VLOOKUP($A152,'[1]Raw Data'!$A$3:$FB$285,12,FALSE)</f>
        <v>85.43</v>
      </c>
      <c r="M152" s="27">
        <f>VLOOKUP($A152,'[1]Raw Data'!$A$3:$FB$285,14,FALSE)</f>
        <v>0.06</v>
      </c>
      <c r="N152" s="27">
        <f>VLOOKUP($A152,'[1]Raw Data'!$A$3:$FB$285,15,FALSE)</f>
        <v>3.73</v>
      </c>
      <c r="O152" s="27">
        <f>VLOOKUP($A152,'[1]Raw Data'!$A$3:$FB$285,17,FALSE)</f>
        <v>0</v>
      </c>
      <c r="P152" s="27">
        <f>VLOOKUP($A152,'[1]Raw Data'!$A$3:$FB$285,18,FALSE)</f>
        <v>0.48</v>
      </c>
      <c r="Q152" s="27">
        <f>VLOOKUP($A152,'[1]Raw Data'!$A$3:$FB$285,20,FALSE)</f>
        <v>0.06</v>
      </c>
      <c r="R152" s="27">
        <f>VLOOKUP($A152,'[1]Raw Data'!$A$3:$FB$285,21,FALSE)</f>
        <v>3.25</v>
      </c>
      <c r="S152" s="27">
        <f>VLOOKUP($A152,'[1]Raw Data'!$A$3:$FB$285,23,FALSE)</f>
        <v>0</v>
      </c>
      <c r="T152" s="27">
        <f>VLOOKUP($A152,'[1]Raw Data'!$A$3:$FB$285,24,FALSE)</f>
        <v>0</v>
      </c>
      <c r="U152" s="27">
        <f>VLOOKUP($A152,'[1]Raw Data'!$A$3:$FB$285,26,FALSE)</f>
        <v>0.52</v>
      </c>
      <c r="V152" s="27">
        <f>VLOOKUP($A152,'[1]Raw Data'!$A$3:$FB$285,27,FALSE)</f>
        <v>0.64</v>
      </c>
      <c r="W152" s="27">
        <f>VLOOKUP($A152,'[1]Raw Data'!$A$3:$FB$285,29,FALSE)</f>
        <v>0</v>
      </c>
      <c r="X152" s="27">
        <f>VLOOKUP($A152,'[1]Raw Data'!$A$3:$FB$285,30,FALSE)</f>
        <v>0</v>
      </c>
      <c r="Y152" s="27">
        <f>VLOOKUP($A152,'[1]Raw Data'!$A$3:$FB$285,32,FALSE)</f>
        <v>0.17</v>
      </c>
      <c r="Z152" s="27">
        <f>VLOOKUP($A152,'[1]Raw Data'!$A$3:$FB$285,33,FALSE)</f>
        <v>1.79</v>
      </c>
      <c r="AA152" s="27">
        <f>VLOOKUP($A152,'[1]Raw Data'!$A$3:$FB$285,35,FALSE)</f>
        <v>6.17</v>
      </c>
      <c r="AB152" s="27">
        <f>VLOOKUP($A152,'[1]Raw Data'!$A$3:$FB$285,36,FALSE)</f>
        <v>3.32</v>
      </c>
      <c r="AC152" s="27">
        <f>VLOOKUP($A152,'[1]Raw Data'!$A$3:$FB$285,38,FALSE)</f>
        <v>0.03</v>
      </c>
      <c r="AD152" s="27">
        <f>VLOOKUP($A152,'[1]Raw Data'!$A$3:$FB$285,39,FALSE)</f>
        <v>0.25</v>
      </c>
      <c r="AE152" s="27">
        <f>VLOOKUP($A152,'[1]Raw Data'!$A$3:$FB$285,41,FALSE)</f>
        <v>0</v>
      </c>
      <c r="AF152" s="27">
        <f>VLOOKUP($A152,'[1]Raw Data'!$A$3:$FB$285,42,FALSE)</f>
        <v>0</v>
      </c>
      <c r="AG152" s="27">
        <f>VLOOKUP($A152,'[1]Raw Data'!$A$3:$FB$285,44,FALSE)</f>
        <v>0</v>
      </c>
      <c r="AH152" s="27">
        <f>VLOOKUP($A152,'[1]Raw Data'!$A$3:$FB$285,45,FALSE)</f>
        <v>0</v>
      </c>
      <c r="AI152" s="27">
        <f>VLOOKUP($A152,'[1]Raw Data'!$A$3:$FB$285,46,FALSE)</f>
        <v>3469</v>
      </c>
      <c r="AJ152" s="27">
        <f>VLOOKUP($A152,'[1]Raw Data'!$A$3:$FB$285,47,FALSE)</f>
        <v>3392</v>
      </c>
      <c r="AK152" s="27">
        <f>VLOOKUP($A152,'[1]Raw Data'!$A$3:$FB$285,48,FALSE)</f>
        <v>3392</v>
      </c>
      <c r="AL152" s="27">
        <f>VLOOKUP($A152,'[1]Raw Data'!$A$3:$FB$285,49,FALSE)</f>
        <v>2948</v>
      </c>
      <c r="AM152" s="27">
        <f>VLOOKUP($A152,'[1]Raw Data'!$A$3:$FB$285,50,FALSE)</f>
        <v>1837</v>
      </c>
      <c r="AN152" s="27">
        <f>VLOOKUP($A152,'[1]Raw Data'!$A$3:$FB$285,51,FALSE)</f>
        <v>0</v>
      </c>
      <c r="AO152" s="27">
        <f>VLOOKUP($A152,'[1]Raw Data'!$A$3:$FB$285,52,FALSE)</f>
        <v>1874</v>
      </c>
      <c r="AP152" s="27">
        <f>VLOOKUP($A152,'[1]Raw Data'!$A$3:$FB$285,53,FALSE)</f>
        <v>12</v>
      </c>
      <c r="AQ152" s="27">
        <f>VLOOKUP($A152,'[1]Raw Data'!$A$3:$FB$285,54,FALSE)</f>
        <v>12</v>
      </c>
      <c r="AR152" s="27">
        <f>VLOOKUP($A152,'[1]Raw Data'!$A$3:$FB$285,55,FALSE)</f>
        <v>0</v>
      </c>
      <c r="AS152" s="27">
        <f>VLOOKUP($A152,'[1]Raw Data'!$A$3:$FB$285,56,FALSE)</f>
        <v>0</v>
      </c>
      <c r="AT152" s="27">
        <f>VLOOKUP($A152,'[1]Raw Data'!$A$3:$FB$285,57,FALSE)</f>
        <v>658</v>
      </c>
      <c r="AU152" s="27">
        <f>VLOOKUP($A152,'[1]Raw Data'!$A$3:$FB$285,58,FALSE)</f>
        <v>164</v>
      </c>
      <c r="AV152" s="27">
        <f>VLOOKUP($A152,'[1]Raw Data'!$A$3:$FB$285,59,FALSE)</f>
        <v>7</v>
      </c>
      <c r="AW152" s="27">
        <f>VLOOKUP($A152,'[1]Raw Data'!$A$3:$FB$285,60,FALSE)</f>
        <v>7</v>
      </c>
      <c r="AX152" s="27" t="str">
        <f>VLOOKUP(A152,'[1]PO''s List'!A150:E432,4,FALSE)</f>
        <v>NSET(Shelter)</v>
      </c>
      <c r="AZ152" s="27" t="str">
        <f>VLOOKUP(A152,'[1]PO''s List'!$A$3:$E$285,5,FALSE)</f>
        <v>AATWIN(Social Protection),AMDA-M(Shelter),GON-PAF(Shelter),OXFAM-GB(Shelter),UMN(Education,Shelter,Health),WFP(Employment )</v>
      </c>
      <c r="BB152" s="27">
        <f>VLOOKUP($A152,'[1]Raw Data'!$A$3:$FB$285,63,FALSE)</f>
        <v>70504</v>
      </c>
      <c r="BC152" s="27" t="str">
        <f>VLOOKUP($A152,'[1]Raw Data'!$A$3:$FB$285,64,FALSE)</f>
        <v>Y</v>
      </c>
      <c r="BD152" s="27" t="str">
        <f t="shared" si="18"/>
        <v>छ</v>
      </c>
      <c r="BE152" s="27" t="str">
        <f>VLOOKUP($A152,'[1]Raw Data'!$A$3:$FB$285,65,FALSE)</f>
        <v/>
      </c>
      <c r="BF152" s="27">
        <f>VLOOKUP($A152,'[1]Raw Data'!$A$3:$FB$285,66,FALSE)</f>
        <v>66826</v>
      </c>
      <c r="BG152" s="27" t="str">
        <f>VLOOKUP($A152,'[1]Raw Data'!$A$3:$FB$285,67,FALSE)</f>
        <v>Y</v>
      </c>
      <c r="BH152" s="27" t="str">
        <f t="shared" si="19"/>
        <v>छ</v>
      </c>
      <c r="BI152" s="27" t="str">
        <f>VLOOKUP($A152,'[1]Raw Data'!$A$3:$FB$285,68,FALSE)</f>
        <v/>
      </c>
      <c r="BJ152" s="27">
        <f>VLOOKUP($A152,'[1]Raw Data'!$A$3:$FB$285,69,FALSE)</f>
        <v>7490</v>
      </c>
      <c r="BK152" s="27" t="str">
        <f>VLOOKUP($A152,'[1]Raw Data'!$A$3:$FB$285,70,FALSE)</f>
        <v>Y</v>
      </c>
      <c r="BL152" s="27" t="str">
        <f t="shared" si="20"/>
        <v>छ</v>
      </c>
      <c r="BM152" s="27" t="str">
        <f>VLOOKUP($A152,'[1]Raw Data'!$A$3:$FB$285,71,FALSE)</f>
        <v/>
      </c>
      <c r="BN152" s="27">
        <f>VLOOKUP($A152,'[1]Raw Data'!$A$3:$FB$285,72,FALSE)</f>
        <v>8499</v>
      </c>
      <c r="BO152" s="27" t="str">
        <f>VLOOKUP($A152,'[1]Raw Data'!$A$3:$FB$285,73,FALSE)</f>
        <v>Y</v>
      </c>
      <c r="BP152" s="27" t="str">
        <f t="shared" si="21"/>
        <v>छ</v>
      </c>
      <c r="BQ152" s="27" t="str">
        <f>VLOOKUP($A152,'[1]Raw Data'!$A$3:$FB$285,74,FALSE)</f>
        <v/>
      </c>
      <c r="BR152" s="27" t="str">
        <f>VLOOKUP($A152,'[1]Raw Data'!$A$3:$FB$285,75,FALSE)</f>
        <v/>
      </c>
      <c r="BS152" s="27" t="str">
        <f>VLOOKUP($A152,'[1]Raw Data'!$A$3:$FB$285,76,FALSE)</f>
        <v/>
      </c>
      <c r="BT152" s="27" t="str">
        <f t="shared" si="22"/>
        <v/>
      </c>
      <c r="BU152" s="27" t="str">
        <f>VLOOKUP($A152,'[1]Raw Data'!$A$3:$FB$285,77,FALSE)</f>
        <v/>
      </c>
      <c r="BV152" s="27">
        <f>VLOOKUP($A152,'[1]Raw Data'!$A$3:$FB$285,78,FALSE)</f>
        <v>231514</v>
      </c>
      <c r="BW152" s="27" t="str">
        <f>VLOOKUP($A152,'[1]Raw Data'!$A$3:$FB$285,79,FALSE)</f>
        <v/>
      </c>
      <c r="BX152" s="27" t="str">
        <f t="shared" si="23"/>
        <v/>
      </c>
      <c r="BY152" s="27" t="str">
        <f>VLOOKUP($A152,'[1]Raw Data'!$A$3:$FB$285,80,FALSE)</f>
        <v/>
      </c>
      <c r="BZ152" s="27">
        <f>VLOOKUP($A152,'[1]Raw Data'!$A$3:$FB$285,81,FALSE)</f>
        <v>784868</v>
      </c>
      <c r="CA152" s="27" t="str">
        <f>VLOOKUP($A152,'[1]Raw Data'!$A$3:$FB$285,82,FALSE)</f>
        <v>N</v>
      </c>
      <c r="CB152" s="27" t="str">
        <f t="shared" si="24"/>
        <v>छैन</v>
      </c>
      <c r="CC152" s="27" t="str">
        <f>VLOOKUP($A152,'[1]Raw Data'!$A$3:$FB$285,83,FALSE)</f>
        <v/>
      </c>
      <c r="CD152" s="27">
        <f>VLOOKUP($A152,'[1]Raw Data'!$A$3:$FB$285,84,FALSE)</f>
        <v>9508</v>
      </c>
      <c r="CE152" s="27" t="str">
        <f>VLOOKUP($A152,'[1]Raw Data'!$A$3:$FB$285,85,FALSE)</f>
        <v>N</v>
      </c>
      <c r="CF152" s="27" t="str">
        <f t="shared" si="25"/>
        <v>छैन</v>
      </c>
      <c r="CG152" s="27" t="str">
        <f>VLOOKUP($A152,'[1]Raw Data'!$A$3:$FB$285,86,FALSE)</f>
        <v/>
      </c>
      <c r="CH152" s="27">
        <f>VLOOKUP($A152,'[1]Raw Data'!$A$3:$FB$285,87,FALSE)</f>
        <v>2507991</v>
      </c>
      <c r="CI152" s="27" t="str">
        <f>VLOOKUP($A152,'[1]Raw Data'!$A$3:$FB$285,88,FALSE)</f>
        <v>N</v>
      </c>
      <c r="CJ152" s="27" t="str">
        <f t="shared" si="26"/>
        <v>छैन</v>
      </c>
      <c r="CK152" s="27" t="str">
        <f>VLOOKUP($A152,'[1]Raw Data'!$A$3:$FB$285,89,FALSE)</f>
        <v/>
      </c>
      <c r="CL152" s="27" t="str">
        <f>VLOOKUP($A152,'[1]Raw Data'!$A$3:$FB$285,91,FALSE)</f>
        <v/>
      </c>
      <c r="CM152" s="27" t="str">
        <f>VLOOKUP($A152,'[1]Raw Data'!$A$3:$FB$285,93,FALSE)</f>
        <v/>
      </c>
      <c r="CN152" s="27" t="str">
        <f>VLOOKUP($A152,'[1]Raw Data'!$A$3:$FB$285,94,FALSE)</f>
        <v/>
      </c>
      <c r="CO152" s="27" t="str">
        <f>VLOOKUP($A152,'[1]Raw Data'!$A$3:$FB$285,95,FALSE)</f>
        <v/>
      </c>
      <c r="CP152" s="27" t="str">
        <f>VLOOKUP($A152,'[1]Raw Data'!$A$3:$FB$285,96,FALSE)</f>
        <v/>
      </c>
      <c r="CQ152" s="27" t="str">
        <f>VLOOKUP($A152,'[1]Raw Data'!$A$3:$FB$285,97,FALSE)</f>
        <v/>
      </c>
      <c r="CR152" s="27" t="str">
        <f>VLOOKUP($A152,'[1]Raw Data'!$A$3:$FB$285,98,FALSE)</f>
        <v/>
      </c>
      <c r="CS152" s="27" t="str">
        <f>VLOOKUP($A152,'[1]Raw Data'!$A$3:$FB$285,99,FALSE)</f>
        <v/>
      </c>
      <c r="CT152" s="27" t="str">
        <f>VLOOKUP($A152,'[1]Raw Data'!$A$3:$FB$285,101,FALSE)</f>
        <v>Rana Bahadur Tamang</v>
      </c>
      <c r="CU152" s="27" t="s">
        <v>1286</v>
      </c>
      <c r="CV152" s="27" t="str">
        <f>VLOOKUP($A152,'[1]Raw Data'!$A$3:$FB$285,102,FALSE)</f>
        <v>Mayor</v>
      </c>
      <c r="CW152" s="27" t="s">
        <v>834</v>
      </c>
      <c r="CX152" s="27">
        <f>VLOOKUP($A152,'[1]Raw Data'!$A$3:$FB$285,103,FALSE)</f>
        <v>9851040756</v>
      </c>
      <c r="CY152" s="27" t="str">
        <f>VLOOKUP($A152,'[1]Raw Data'!$A$3:$FB$285,105,FALSE)</f>
        <v>Yo Maya Tamang</v>
      </c>
      <c r="CZ152" s="27" t="s">
        <v>1287</v>
      </c>
      <c r="DA152" s="27" t="str">
        <f>VLOOKUP($A152,'[1]Raw Data'!$A$3:$FB$285,106,FALSE)</f>
        <v>Deputy Mayor</v>
      </c>
      <c r="DB152" s="27" t="s">
        <v>888</v>
      </c>
      <c r="DC152" s="27">
        <f>VLOOKUP($A152,'[1]Raw Data'!$A$3:$FB$285,107,FALSE)</f>
        <v>9861726335</v>
      </c>
      <c r="DD152" s="27" t="str">
        <f>VLOOKUP($A152,'[1]Raw Data'!$A$3:$FB$285,109,FALSE)</f>
        <v/>
      </c>
      <c r="DF152" s="27" t="str">
        <f>VLOOKUP($A152,'[1]Raw Data'!$A$3:$FB$285,110,FALSE)</f>
        <v>Adminstration Officer</v>
      </c>
      <c r="DG152" s="27" t="s">
        <v>880</v>
      </c>
      <c r="DH152" s="27" t="str">
        <f>VLOOKUP($A152,'[1]Raw Data'!$A$3:$FB$285,111,FALSE)</f>
        <v/>
      </c>
      <c r="DI152" s="27" t="str">
        <f>VLOOKUP($A152,'[1]Raw Data'!$A$3:$FB$285,121,FALSE)</f>
        <v/>
      </c>
      <c r="DK152" s="27" t="str">
        <f>VLOOKUP($A152,'[1]Raw Data'!$A$3:$FB$285,122,FALSE)</f>
        <v>Focal Person</v>
      </c>
      <c r="DL152" s="27" t="s">
        <v>881</v>
      </c>
      <c r="DM152" s="27" t="str">
        <f>VLOOKUP($A152,'[1]Raw Data'!$A$3:$FB$285,123,FALSE)</f>
        <v/>
      </c>
      <c r="DN152" s="27" t="str">
        <f>VLOOKUP($A152,'[1]Raw Data'!$A$3:$FB$285,113,FALSE)</f>
        <v>Rajendra K. C.</v>
      </c>
      <c r="DO152" s="27" t="s">
        <v>1273</v>
      </c>
      <c r="DP152" s="27" t="str">
        <f>VLOOKUP($A152,'[1]Raw Data'!$A$3:$FB$285,114,FALSE)</f>
        <v>NRA Chief-District</v>
      </c>
      <c r="DQ152" s="27" t="s">
        <v>882</v>
      </c>
      <c r="DR152" s="27">
        <f>VLOOKUP($A152,'[1]Raw Data'!$A$3:$FB$285,115,FALSE)</f>
        <v>9851213604</v>
      </c>
      <c r="DS152" s="27" t="str">
        <f>VLOOKUP($A152,'[1]Raw Data'!$A$3:$FB$285,117,FALSE)</f>
        <v>Koshnath Adhikari</v>
      </c>
      <c r="DT152" s="27" t="s">
        <v>894</v>
      </c>
      <c r="DU152" s="27" t="str">
        <f>VLOOKUP($A152,'[1]Raw Data'!$A$3:$FB$285,118,FALSE)</f>
        <v>DUDBC.DLPIU Chief</v>
      </c>
      <c r="DV152" s="27" t="s">
        <v>883</v>
      </c>
      <c r="DW152" s="27" t="str">
        <f>VLOOKUP($A152,'[1]Raw Data'!$A$3:$FB$285,119,FALSE)</f>
        <v/>
      </c>
      <c r="DX152" s="27" t="s">
        <v>339</v>
      </c>
      <c r="DY152" s="27" t="str">
        <f>VLOOKUP($A152,'[1]Raw Data'!$A$3:$FB$285,124,FALSE)</f>
        <v/>
      </c>
      <c r="DZ152" s="27" t="s">
        <v>884</v>
      </c>
      <c r="EA152" s="27" t="str">
        <f>VLOOKUP($A152,'[1]Raw Data'!$A$3:$FB$285,125,FALSE)</f>
        <v/>
      </c>
      <c r="EB152" s="27" t="s">
        <v>341</v>
      </c>
      <c r="EC152" s="27" t="str">
        <f>VLOOKUP($A152,'[1]Raw Data'!$A$3:$FB$285,126,FALSE)</f>
        <v/>
      </c>
      <c r="ED152" t="s">
        <v>478</v>
      </c>
      <c r="EE152" s="27" t="str">
        <f>VLOOKUP($A152,'[1]Raw Data'!$A$3:$FB$285,127,FALSE)</f>
        <v/>
      </c>
      <c r="EF152" s="27" t="s">
        <v>343</v>
      </c>
      <c r="EG152" s="27" t="str">
        <f>VLOOKUP($A152,'[1]Raw Data'!$A$3:$FB$285,128,FALSE)</f>
        <v/>
      </c>
      <c r="EH152" t="s">
        <v>344</v>
      </c>
      <c r="EI152" s="27" t="str">
        <f>VLOOKUP($A152,'[1]Raw Data'!$A$3:$FB$285,129,FALSE)</f>
        <v/>
      </c>
      <c r="EM152" s="27" t="str">
        <f>VLOOKUP($A152,'[1]Raw Data'!$A$3:$FB$285,130,FALSE)</f>
        <v/>
      </c>
      <c r="EN152" s="27" t="str">
        <f>VLOOKUP($A152,'[1]Raw Data'!$A$3:$FB$285,131,FALSE)</f>
        <v/>
      </c>
      <c r="EO152" s="27" t="str">
        <f>VLOOKUP($A152,'[1]Raw Data'!$A$3:$FB$285,132,FALSE)</f>
        <v/>
      </c>
      <c r="EP152" s="27" t="str">
        <f>VLOOKUP($A152,'[1]Raw Data'!$A$3:$FB$285,133,FALSE)</f>
        <v/>
      </c>
      <c r="EQ152" s="27" t="str">
        <f>VLOOKUP($A152,'[1]Raw Data'!$A$3:$FB$285,134,FALSE)</f>
        <v/>
      </c>
      <c r="ER152" s="27" t="str">
        <f>VLOOKUP($A152,'[1]Raw Data'!$A$3:$FB$285,135,FALSE)</f>
        <v/>
      </c>
      <c r="ES152" s="27" t="str">
        <f>VLOOKUP($A152,'[1]Raw Data'!$A$3:$FB$285,136,FALSE)</f>
        <v/>
      </c>
      <c r="ET152" s="27" t="str">
        <f>VLOOKUP($A152,'[1]Raw Data'!$A$3:$FB$285,137,FALSE)</f>
        <v/>
      </c>
      <c r="EU152" s="27" t="str">
        <f>VLOOKUP($A152,'[1]Raw Data'!$A$3:$FB$285,138,FALSE)</f>
        <v/>
      </c>
      <c r="EV152" s="27" t="str">
        <f>VLOOKUP($A152,'[1]Raw Data'!$A$3:$FB$285,139,FALSE)</f>
        <v/>
      </c>
      <c r="EW152" s="38">
        <f>VLOOKUP($A152,[1]Training!$A$2:$I$284,5,FALSE)</f>
        <v>266.84615384615387</v>
      </c>
      <c r="EX152" s="31">
        <f>VLOOKUP($A152,[1]Training!$A$2:$I$284,6,FALSE)</f>
        <v>337</v>
      </c>
      <c r="EY152" s="38">
        <f>VLOOKUP($A152,[1]Training!$A$2:$I$284,8,FALSE)</f>
        <v>324.57394907438351</v>
      </c>
      <c r="EZ152" s="31">
        <f>VLOOKUP($A152,[1]Training!$A$2:$I$284,9,FALSE)</f>
        <v>609</v>
      </c>
      <c r="FA152" s="27">
        <v>1</v>
      </c>
      <c r="FB152" s="27">
        <v>2</v>
      </c>
      <c r="FC152" s="27" t="str">
        <f>VLOOKUP($A152,'[1]Raw Data'!$A$3:$FB$285,148,FALSE)</f>
        <v>Prabin Gautam</v>
      </c>
      <c r="FD152" s="27" t="s">
        <v>1274</v>
      </c>
      <c r="FE152" s="27" t="str">
        <f>VLOOKUP($A152,'[1]Raw Data'!$A$3:$FB$285,149,FALSE)</f>
        <v>District Coordinator</v>
      </c>
      <c r="FF152" s="27" t="s">
        <v>885</v>
      </c>
      <c r="FG152" s="27">
        <f>VLOOKUP($A152,'[1]Raw Data'!$A$3:$FB$285,150,FALSE)</f>
        <v>9860687776</v>
      </c>
      <c r="FH152" s="27" t="str">
        <f>VLOOKUP($A152,'[1]Raw Data'!$A$3:$FB$285,156,FALSE)</f>
        <v>Sachin Sapkota</v>
      </c>
      <c r="FI152" s="27" t="s">
        <v>1275</v>
      </c>
      <c r="FJ152" s="27" t="str">
        <f>VLOOKUP($A152,'[1]Raw Data'!$A$3:$FB$285,157,FALSE)</f>
        <v>District Technical Officer</v>
      </c>
      <c r="FK152" s="27" t="s">
        <v>886</v>
      </c>
      <c r="FL152" s="27">
        <f>VLOOKUP($A152,'[1]Raw Data'!$A$3:$FB$285,158,FALSE)</f>
        <v>9847621292</v>
      </c>
      <c r="FM152" s="27" t="str">
        <f>VLOOKUP($A152,'[1]Raw Data'!$A$3:$FB$285,152,FALSE)</f>
        <v/>
      </c>
      <c r="FO152" s="27" t="str">
        <f>VLOOKUP($A152,'[1]Raw Data'!$A$3:$FB$285,153,FALSE)</f>
        <v>DIstrict Information Management Officer</v>
      </c>
      <c r="FP152" s="27" t="s">
        <v>887</v>
      </c>
      <c r="FQ152" s="27" t="str">
        <f>VLOOKUP($A152,'[1]Raw Data'!$A$3:$FB$285,154,FALSE)</f>
        <v/>
      </c>
    </row>
    <row r="153" spans="1:173" ht="24" x14ac:dyDescent="0.45">
      <c r="A153" s="27">
        <v>30008</v>
      </c>
      <c r="B153" s="36" t="str">
        <f ca="1">IFERROR(__xludf.DUMMYFUNCTION("""COMPUTED_VALUE"""),"Netrawati Gaunpalika")</f>
        <v>Netrawati Gaunpalika</v>
      </c>
      <c r="C153" s="37" t="str">
        <f>VLOOKUP(A153,'[1]Palika and District in Nepali '!$D$1:$F$283,3,FALSE)</f>
        <v>नेत्रावाती गाउँपालिका</v>
      </c>
      <c r="D153" s="36" t="str">
        <f ca="1">IFERROR(__xludf.DUMMYFUNCTION("""COMPUTED_VALUE"""),"Dhading")</f>
        <v>Dhading</v>
      </c>
      <c r="E153" s="36"/>
      <c r="F153" s="27">
        <f>VLOOKUP(A153,'[1]Raw Data'!$A$3:$FB$285,4,FALSE)</f>
        <v>202</v>
      </c>
      <c r="G153" s="27">
        <f>VLOOKUP(A153,'[1]Raw Data'!$A$3:$FB$285,5,FALSE)</f>
        <v>3920</v>
      </c>
      <c r="H153" s="27">
        <f>VLOOKUP(A153,'[1]Raw Data'!$A$3:$FB$285,6,FALSE)</f>
        <v>4122</v>
      </c>
      <c r="I153" s="27">
        <f>VLOOKUP($A153,'[1]Raw Data'!$A$3:$FB$285,8,FALSE)</f>
        <v>0.44</v>
      </c>
      <c r="J153" s="27">
        <f>VLOOKUP($A153,'[1]Raw Data'!$A$3:$FB$285,9,FALSE)</f>
        <v>1.1000000000000001</v>
      </c>
      <c r="K153" s="27">
        <f>VLOOKUP($A153,'[1]Raw Data'!$A$3:$FB$285,11,FALSE)</f>
        <v>98.4</v>
      </c>
      <c r="L153" s="27">
        <f>VLOOKUP($A153,'[1]Raw Data'!$A$3:$FB$285,12,FALSE)</f>
        <v>85.43</v>
      </c>
      <c r="M153" s="27">
        <f>VLOOKUP($A153,'[1]Raw Data'!$A$3:$FB$285,14,FALSE)</f>
        <v>0.28999999999999998</v>
      </c>
      <c r="N153" s="27">
        <f>VLOOKUP($A153,'[1]Raw Data'!$A$3:$FB$285,15,FALSE)</f>
        <v>3.73</v>
      </c>
      <c r="O153" s="27">
        <f>VLOOKUP($A153,'[1]Raw Data'!$A$3:$FB$285,17,FALSE)</f>
        <v>0.05</v>
      </c>
      <c r="P153" s="27">
        <f>VLOOKUP($A153,'[1]Raw Data'!$A$3:$FB$285,18,FALSE)</f>
        <v>0.48</v>
      </c>
      <c r="Q153" s="27">
        <f>VLOOKUP($A153,'[1]Raw Data'!$A$3:$FB$285,20,FALSE)</f>
        <v>0.44</v>
      </c>
      <c r="R153" s="27">
        <f>VLOOKUP($A153,'[1]Raw Data'!$A$3:$FB$285,21,FALSE)</f>
        <v>3.25</v>
      </c>
      <c r="S153" s="27">
        <f>VLOOKUP($A153,'[1]Raw Data'!$A$3:$FB$285,23,FALSE)</f>
        <v>0</v>
      </c>
      <c r="T153" s="27">
        <f>VLOOKUP($A153,'[1]Raw Data'!$A$3:$FB$285,24,FALSE)</f>
        <v>0</v>
      </c>
      <c r="U153" s="27">
        <f>VLOOKUP($A153,'[1]Raw Data'!$A$3:$FB$285,26,FALSE)</f>
        <v>0.15</v>
      </c>
      <c r="V153" s="27">
        <f>VLOOKUP($A153,'[1]Raw Data'!$A$3:$FB$285,27,FALSE)</f>
        <v>0.64</v>
      </c>
      <c r="W153" s="27">
        <f>VLOOKUP($A153,'[1]Raw Data'!$A$3:$FB$285,29,FALSE)</f>
        <v>0</v>
      </c>
      <c r="X153" s="27">
        <f>VLOOKUP($A153,'[1]Raw Data'!$A$3:$FB$285,30,FALSE)</f>
        <v>0</v>
      </c>
      <c r="Y153" s="27">
        <f>VLOOKUP($A153,'[1]Raw Data'!$A$3:$FB$285,32,FALSE)</f>
        <v>0.02</v>
      </c>
      <c r="Z153" s="27">
        <f>VLOOKUP($A153,'[1]Raw Data'!$A$3:$FB$285,33,FALSE)</f>
        <v>1.79</v>
      </c>
      <c r="AA153" s="27">
        <f>VLOOKUP($A153,'[1]Raw Data'!$A$3:$FB$285,35,FALSE)</f>
        <v>0.22</v>
      </c>
      <c r="AB153" s="27">
        <f>VLOOKUP($A153,'[1]Raw Data'!$A$3:$FB$285,36,FALSE)</f>
        <v>3.32</v>
      </c>
      <c r="AC153" s="27">
        <f>VLOOKUP($A153,'[1]Raw Data'!$A$3:$FB$285,38,FALSE)</f>
        <v>0</v>
      </c>
      <c r="AD153" s="27">
        <f>VLOOKUP($A153,'[1]Raw Data'!$A$3:$FB$285,39,FALSE)</f>
        <v>0.25</v>
      </c>
      <c r="AE153" s="27">
        <f>VLOOKUP($A153,'[1]Raw Data'!$A$3:$FB$285,41,FALSE)</f>
        <v>0</v>
      </c>
      <c r="AF153" s="27">
        <f>VLOOKUP($A153,'[1]Raw Data'!$A$3:$FB$285,42,FALSE)</f>
        <v>0</v>
      </c>
      <c r="AG153" s="27">
        <f>VLOOKUP($A153,'[1]Raw Data'!$A$3:$FB$285,44,FALSE)</f>
        <v>0</v>
      </c>
      <c r="AH153" s="27">
        <f>VLOOKUP($A153,'[1]Raw Data'!$A$3:$FB$285,45,FALSE)</f>
        <v>0</v>
      </c>
      <c r="AI153" s="27">
        <f>VLOOKUP($A153,'[1]Raw Data'!$A$3:$FB$285,46,FALSE)</f>
        <v>3866</v>
      </c>
      <c r="AJ153" s="27">
        <f>VLOOKUP($A153,'[1]Raw Data'!$A$3:$FB$285,47,FALSE)</f>
        <v>3694</v>
      </c>
      <c r="AK153" s="27">
        <f>VLOOKUP($A153,'[1]Raw Data'!$A$3:$FB$285,48,FALSE)</f>
        <v>3694</v>
      </c>
      <c r="AL153" s="27">
        <f>VLOOKUP($A153,'[1]Raw Data'!$A$3:$FB$285,49,FALSE)</f>
        <v>3274</v>
      </c>
      <c r="AM153" s="27">
        <f>VLOOKUP($A153,'[1]Raw Data'!$A$3:$FB$285,50,FALSE)</f>
        <v>2708</v>
      </c>
      <c r="AN153" s="27">
        <f>VLOOKUP($A153,'[1]Raw Data'!$A$3:$FB$285,51,FALSE)</f>
        <v>0</v>
      </c>
      <c r="AO153" s="27">
        <f>VLOOKUP($A153,'[1]Raw Data'!$A$3:$FB$285,52,FALSE)</f>
        <v>2782</v>
      </c>
      <c r="AP153" s="27">
        <f>VLOOKUP($A153,'[1]Raw Data'!$A$3:$FB$285,53,FALSE)</f>
        <v>43</v>
      </c>
      <c r="AQ153" s="27">
        <f>VLOOKUP($A153,'[1]Raw Data'!$A$3:$FB$285,54,FALSE)</f>
        <v>43</v>
      </c>
      <c r="AR153" s="27">
        <f>VLOOKUP($A153,'[1]Raw Data'!$A$3:$FB$285,55,FALSE)</f>
        <v>1</v>
      </c>
      <c r="AS153" s="27">
        <f>VLOOKUP($A153,'[1]Raw Data'!$A$3:$FB$285,56,FALSE)</f>
        <v>0</v>
      </c>
      <c r="AT153" s="27">
        <f>VLOOKUP($A153,'[1]Raw Data'!$A$3:$FB$285,57,FALSE)</f>
        <v>641</v>
      </c>
      <c r="AU153" s="27">
        <f>VLOOKUP($A153,'[1]Raw Data'!$A$3:$FB$285,58,FALSE)</f>
        <v>153</v>
      </c>
      <c r="AV153" s="27">
        <f>VLOOKUP($A153,'[1]Raw Data'!$A$3:$FB$285,59,FALSE)</f>
        <v>27</v>
      </c>
      <c r="AW153" s="27">
        <f>VLOOKUP($A153,'[1]Raw Data'!$A$3:$FB$285,60,FALSE)</f>
        <v>22</v>
      </c>
      <c r="AX153" s="27" t="str">
        <f>VLOOKUP(A153,'[1]PO''s List'!A151:E433,4,FALSE)</f>
        <v>NRCS(Livelihood,DRR,Education,Employment ,Health,Shelter,Health),NSET(Shelter),Pourakhi(Shelter)</v>
      </c>
      <c r="AZ153" s="27" t="str">
        <f>VLOOKUP(A153,'[1]PO''s List'!$A$3:$E$285,5,FALSE)</f>
        <v>AMDA-M(Shelter),ASF(Shelter),EPF-N(Education),GIZ(Shelter),HELVETAS(Shelter),R4C(Education),WFP(Employment )</v>
      </c>
      <c r="BB153" s="27">
        <f>VLOOKUP($A153,'[1]Raw Data'!$A$3:$FB$285,63,FALSE)</f>
        <v>88150</v>
      </c>
      <c r="BC153" s="27" t="str">
        <f>VLOOKUP($A153,'[1]Raw Data'!$A$3:$FB$285,64,FALSE)</f>
        <v>Y</v>
      </c>
      <c r="BD153" s="27" t="str">
        <f t="shared" si="18"/>
        <v>छ</v>
      </c>
      <c r="BE153" s="27" t="str">
        <f>VLOOKUP($A153,'[1]Raw Data'!$A$3:$FB$285,65,FALSE)</f>
        <v/>
      </c>
      <c r="BF153" s="27">
        <f>VLOOKUP($A153,'[1]Raw Data'!$A$3:$FB$285,66,FALSE)</f>
        <v>90864</v>
      </c>
      <c r="BG153" s="27" t="str">
        <f>VLOOKUP($A153,'[1]Raw Data'!$A$3:$FB$285,67,FALSE)</f>
        <v>Y</v>
      </c>
      <c r="BH153" s="27" t="str">
        <f t="shared" si="19"/>
        <v>छ</v>
      </c>
      <c r="BI153" s="27" t="str">
        <f>VLOOKUP($A153,'[1]Raw Data'!$A$3:$FB$285,68,FALSE)</f>
        <v/>
      </c>
      <c r="BJ153" s="27">
        <f>VLOOKUP($A153,'[1]Raw Data'!$A$3:$FB$285,69,FALSE)</f>
        <v>9415</v>
      </c>
      <c r="BK153" s="27" t="str">
        <f>VLOOKUP($A153,'[1]Raw Data'!$A$3:$FB$285,70,FALSE)</f>
        <v>Y</v>
      </c>
      <c r="BL153" s="27" t="str">
        <f t="shared" si="20"/>
        <v>छ</v>
      </c>
      <c r="BM153" s="27" t="str">
        <f>VLOOKUP($A153,'[1]Raw Data'!$A$3:$FB$285,71,FALSE)</f>
        <v/>
      </c>
      <c r="BN153" s="27">
        <f>VLOOKUP($A153,'[1]Raw Data'!$A$3:$FB$285,72,FALSE)</f>
        <v>10873</v>
      </c>
      <c r="BO153" s="27" t="str">
        <f>VLOOKUP($A153,'[1]Raw Data'!$A$3:$FB$285,73,FALSE)</f>
        <v>Y</v>
      </c>
      <c r="BP153" s="27" t="str">
        <f t="shared" si="21"/>
        <v>छ</v>
      </c>
      <c r="BQ153" s="27" t="str">
        <f>VLOOKUP($A153,'[1]Raw Data'!$A$3:$FB$285,74,FALSE)</f>
        <v/>
      </c>
      <c r="BR153" s="27" t="str">
        <f>VLOOKUP($A153,'[1]Raw Data'!$A$3:$FB$285,75,FALSE)</f>
        <v/>
      </c>
      <c r="BS153" s="27" t="str">
        <f>VLOOKUP($A153,'[1]Raw Data'!$A$3:$FB$285,76,FALSE)</f>
        <v/>
      </c>
      <c r="BT153" s="27" t="str">
        <f t="shared" si="22"/>
        <v/>
      </c>
      <c r="BU153" s="27" t="str">
        <f>VLOOKUP($A153,'[1]Raw Data'!$A$3:$FB$285,77,FALSE)</f>
        <v/>
      </c>
      <c r="BV153" s="27">
        <f>VLOOKUP($A153,'[1]Raw Data'!$A$3:$FB$285,78,FALSE)</f>
        <v>299666</v>
      </c>
      <c r="BW153" s="27" t="str">
        <f>VLOOKUP($A153,'[1]Raw Data'!$A$3:$FB$285,79,FALSE)</f>
        <v/>
      </c>
      <c r="BX153" s="27" t="str">
        <f t="shared" si="23"/>
        <v/>
      </c>
      <c r="BY153" s="27" t="str">
        <f>VLOOKUP($A153,'[1]Raw Data'!$A$3:$FB$285,80,FALSE)</f>
        <v/>
      </c>
      <c r="BZ153" s="27">
        <f>VLOOKUP($A153,'[1]Raw Data'!$A$3:$FB$285,81,FALSE)</f>
        <v>953117</v>
      </c>
      <c r="CA153" s="27" t="str">
        <f>VLOOKUP($A153,'[1]Raw Data'!$A$3:$FB$285,82,FALSE)</f>
        <v>N</v>
      </c>
      <c r="CB153" s="27" t="str">
        <f t="shared" si="24"/>
        <v>छैन</v>
      </c>
      <c r="CC153" s="27" t="str">
        <f>VLOOKUP($A153,'[1]Raw Data'!$A$3:$FB$285,83,FALSE)</f>
        <v/>
      </c>
      <c r="CD153" s="27">
        <f>VLOOKUP($A153,'[1]Raw Data'!$A$3:$FB$285,84,FALSE)</f>
        <v>12240</v>
      </c>
      <c r="CE153" s="27" t="str">
        <f>VLOOKUP($A153,'[1]Raw Data'!$A$3:$FB$285,85,FALSE)</f>
        <v>N</v>
      </c>
      <c r="CF153" s="27" t="str">
        <f t="shared" si="25"/>
        <v>छैन</v>
      </c>
      <c r="CG153" s="27" t="str">
        <f>VLOOKUP($A153,'[1]Raw Data'!$A$3:$FB$285,86,FALSE)</f>
        <v/>
      </c>
      <c r="CH153" s="27">
        <f>VLOOKUP($A153,'[1]Raw Data'!$A$3:$FB$285,87,FALSE)</f>
        <v>634788</v>
      </c>
      <c r="CI153" s="27" t="str">
        <f>VLOOKUP($A153,'[1]Raw Data'!$A$3:$FB$285,88,FALSE)</f>
        <v>N</v>
      </c>
      <c r="CJ153" s="27" t="str">
        <f t="shared" si="26"/>
        <v>छैन</v>
      </c>
      <c r="CK153" s="27" t="str">
        <f>VLOOKUP($A153,'[1]Raw Data'!$A$3:$FB$285,89,FALSE)</f>
        <v/>
      </c>
      <c r="CL153" s="27" t="str">
        <f>VLOOKUP($A153,'[1]Raw Data'!$A$3:$FB$285,91,FALSE)</f>
        <v/>
      </c>
      <c r="CM153" s="27" t="str">
        <f>VLOOKUP($A153,'[1]Raw Data'!$A$3:$FB$285,93,FALSE)</f>
        <v/>
      </c>
      <c r="CN153" s="27" t="str">
        <f>VLOOKUP($A153,'[1]Raw Data'!$A$3:$FB$285,94,FALSE)</f>
        <v/>
      </c>
      <c r="CO153" s="27" t="str">
        <f>VLOOKUP($A153,'[1]Raw Data'!$A$3:$FB$285,95,FALSE)</f>
        <v/>
      </c>
      <c r="CP153" s="27" t="str">
        <f>VLOOKUP($A153,'[1]Raw Data'!$A$3:$FB$285,96,FALSE)</f>
        <v/>
      </c>
      <c r="CQ153" s="27" t="str">
        <f>VLOOKUP($A153,'[1]Raw Data'!$A$3:$FB$285,97,FALSE)</f>
        <v/>
      </c>
      <c r="CR153" s="27" t="str">
        <f>VLOOKUP($A153,'[1]Raw Data'!$A$3:$FB$285,98,FALSE)</f>
        <v/>
      </c>
      <c r="CS153" s="27" t="str">
        <f>VLOOKUP($A153,'[1]Raw Data'!$A$3:$FB$285,99,FALSE)</f>
        <v/>
      </c>
      <c r="CT153" s="27" t="str">
        <f>VLOOKUP($A153,'[1]Raw Data'!$A$3:$FB$285,101,FALSE)</f>
        <v>Durga Narayan Shakya</v>
      </c>
      <c r="CU153" s="27" t="s">
        <v>1288</v>
      </c>
      <c r="CV153" s="27" t="str">
        <f>VLOOKUP($A153,'[1]Raw Data'!$A$3:$FB$285,102,FALSE)</f>
        <v>Mayor</v>
      </c>
      <c r="CW153" s="27" t="s">
        <v>834</v>
      </c>
      <c r="CX153" s="27">
        <f>VLOOKUP($A153,'[1]Raw Data'!$A$3:$FB$285,103,FALSE)</f>
        <v>9843339119</v>
      </c>
      <c r="CY153" s="27" t="str">
        <f>VLOOKUP($A153,'[1]Raw Data'!$A$3:$FB$285,105,FALSE)</f>
        <v>Urmila Tamang Gurung</v>
      </c>
      <c r="CZ153" s="27" t="s">
        <v>1289</v>
      </c>
      <c r="DA153" s="27" t="str">
        <f>VLOOKUP($A153,'[1]Raw Data'!$A$3:$FB$285,106,FALSE)</f>
        <v>Deputy Mayor</v>
      </c>
      <c r="DB153" s="27" t="s">
        <v>888</v>
      </c>
      <c r="DC153" s="27">
        <f>VLOOKUP($A153,'[1]Raw Data'!$A$3:$FB$285,107,FALSE)</f>
        <v>9843253878</v>
      </c>
      <c r="DD153" s="27" t="str">
        <f>VLOOKUP($A153,'[1]Raw Data'!$A$3:$FB$285,109,FALSE)</f>
        <v/>
      </c>
      <c r="DF153" s="27" t="str">
        <f>VLOOKUP($A153,'[1]Raw Data'!$A$3:$FB$285,110,FALSE)</f>
        <v>Adminstration Officer</v>
      </c>
      <c r="DG153" s="27" t="s">
        <v>880</v>
      </c>
      <c r="DH153" s="27" t="str">
        <f>VLOOKUP($A153,'[1]Raw Data'!$A$3:$FB$285,111,FALSE)</f>
        <v/>
      </c>
      <c r="DI153" s="27" t="str">
        <f>VLOOKUP($A153,'[1]Raw Data'!$A$3:$FB$285,121,FALSE)</f>
        <v/>
      </c>
      <c r="DK153" s="27" t="str">
        <f>VLOOKUP($A153,'[1]Raw Data'!$A$3:$FB$285,122,FALSE)</f>
        <v>Focal Person</v>
      </c>
      <c r="DL153" s="27" t="s">
        <v>881</v>
      </c>
      <c r="DM153" s="27" t="str">
        <f>VLOOKUP($A153,'[1]Raw Data'!$A$3:$FB$285,123,FALSE)</f>
        <v/>
      </c>
      <c r="DN153" s="27" t="str">
        <f>VLOOKUP($A153,'[1]Raw Data'!$A$3:$FB$285,113,FALSE)</f>
        <v>Rajendra K. C.</v>
      </c>
      <c r="DO153" s="27" t="s">
        <v>1273</v>
      </c>
      <c r="DP153" s="27" t="str">
        <f>VLOOKUP($A153,'[1]Raw Data'!$A$3:$FB$285,114,FALSE)</f>
        <v>NRA Chief-District</v>
      </c>
      <c r="DQ153" s="27" t="s">
        <v>882</v>
      </c>
      <c r="DR153" s="27">
        <f>VLOOKUP($A153,'[1]Raw Data'!$A$3:$FB$285,115,FALSE)</f>
        <v>9851213604</v>
      </c>
      <c r="DS153" s="27" t="str">
        <f>VLOOKUP($A153,'[1]Raw Data'!$A$3:$FB$285,117,FALSE)</f>
        <v>Koshnath Adhikari</v>
      </c>
      <c r="DT153" s="27" t="s">
        <v>894</v>
      </c>
      <c r="DU153" s="27" t="str">
        <f>VLOOKUP($A153,'[1]Raw Data'!$A$3:$FB$285,118,FALSE)</f>
        <v>DUDBC.DLPIU Chief</v>
      </c>
      <c r="DV153" s="27" t="s">
        <v>883</v>
      </c>
      <c r="DW153" s="27" t="str">
        <f>VLOOKUP($A153,'[1]Raw Data'!$A$3:$FB$285,119,FALSE)</f>
        <v/>
      </c>
      <c r="DX153" s="27" t="s">
        <v>339</v>
      </c>
      <c r="DY153" s="27" t="str">
        <f>VLOOKUP($A153,'[1]Raw Data'!$A$3:$FB$285,124,FALSE)</f>
        <v/>
      </c>
      <c r="DZ153" s="27" t="s">
        <v>884</v>
      </c>
      <c r="EA153" s="27" t="str">
        <f>VLOOKUP($A153,'[1]Raw Data'!$A$3:$FB$285,125,FALSE)</f>
        <v/>
      </c>
      <c r="EB153" s="27" t="s">
        <v>341</v>
      </c>
      <c r="EC153" s="27" t="str">
        <f>VLOOKUP($A153,'[1]Raw Data'!$A$3:$FB$285,126,FALSE)</f>
        <v/>
      </c>
      <c r="ED153" t="s">
        <v>478</v>
      </c>
      <c r="EE153" s="27" t="str">
        <f>VLOOKUP($A153,'[1]Raw Data'!$A$3:$FB$285,127,FALSE)</f>
        <v/>
      </c>
      <c r="EF153" s="27" t="s">
        <v>343</v>
      </c>
      <c r="EG153" s="27" t="str">
        <f>VLOOKUP($A153,'[1]Raw Data'!$A$3:$FB$285,128,FALSE)</f>
        <v/>
      </c>
      <c r="EH153" t="s">
        <v>344</v>
      </c>
      <c r="EI153" s="27" t="str">
        <f>VLOOKUP($A153,'[1]Raw Data'!$A$3:$FB$285,129,FALSE)</f>
        <v/>
      </c>
      <c r="EM153" s="27" t="str">
        <f>VLOOKUP($A153,'[1]Raw Data'!$A$3:$FB$285,130,FALSE)</f>
        <v/>
      </c>
      <c r="EN153" s="27" t="str">
        <f>VLOOKUP($A153,'[1]Raw Data'!$A$3:$FB$285,131,FALSE)</f>
        <v/>
      </c>
      <c r="EO153" s="27" t="str">
        <f>VLOOKUP($A153,'[1]Raw Data'!$A$3:$FB$285,132,FALSE)</f>
        <v/>
      </c>
      <c r="EP153" s="27" t="str">
        <f>VLOOKUP($A153,'[1]Raw Data'!$A$3:$FB$285,133,FALSE)</f>
        <v/>
      </c>
      <c r="EQ153" s="27" t="str">
        <f>VLOOKUP($A153,'[1]Raw Data'!$A$3:$FB$285,134,FALSE)</f>
        <v/>
      </c>
      <c r="ER153" s="27" t="str">
        <f>VLOOKUP($A153,'[1]Raw Data'!$A$3:$FB$285,135,FALSE)</f>
        <v/>
      </c>
      <c r="ES153" s="27" t="str">
        <f>VLOOKUP($A153,'[1]Raw Data'!$A$3:$FB$285,136,FALSE)</f>
        <v/>
      </c>
      <c r="ET153" s="27" t="str">
        <f>VLOOKUP($A153,'[1]Raw Data'!$A$3:$FB$285,137,FALSE)</f>
        <v/>
      </c>
      <c r="EU153" s="27" t="str">
        <f>VLOOKUP($A153,'[1]Raw Data'!$A$3:$FB$285,138,FALSE)</f>
        <v/>
      </c>
      <c r="EV153" s="27" t="str">
        <f>VLOOKUP($A153,'[1]Raw Data'!$A$3:$FB$285,139,FALSE)</f>
        <v/>
      </c>
      <c r="EW153" s="38">
        <f>VLOOKUP($A153,[1]Training!$A$2:$I$284,5,FALSE)</f>
        <v>297.38461538461536</v>
      </c>
      <c r="EX153" s="31">
        <f>VLOOKUP($A153,[1]Training!$A$2:$I$284,6,FALSE)</f>
        <v>438</v>
      </c>
      <c r="EY153" s="38">
        <f>VLOOKUP($A153,[1]Training!$A$2:$I$284,8,FALSE)</f>
        <v>361.71890663636975</v>
      </c>
      <c r="EZ153" s="31">
        <f>VLOOKUP($A153,[1]Training!$A$2:$I$284,9,FALSE)</f>
        <v>0</v>
      </c>
      <c r="FA153" s="27">
        <v>1</v>
      </c>
      <c r="FB153" s="27">
        <v>2</v>
      </c>
      <c r="FC153" s="27" t="str">
        <f>VLOOKUP($A153,'[1]Raw Data'!$A$3:$FB$285,148,FALSE)</f>
        <v>Prabin Gautam</v>
      </c>
      <c r="FD153" s="27" t="s">
        <v>1274</v>
      </c>
      <c r="FE153" s="27" t="str">
        <f>VLOOKUP($A153,'[1]Raw Data'!$A$3:$FB$285,149,FALSE)</f>
        <v>District Coordinator</v>
      </c>
      <c r="FF153" s="27" t="s">
        <v>885</v>
      </c>
      <c r="FG153" s="27">
        <f>VLOOKUP($A153,'[1]Raw Data'!$A$3:$FB$285,150,FALSE)</f>
        <v>9860687776</v>
      </c>
      <c r="FH153" s="27" t="str">
        <f>VLOOKUP($A153,'[1]Raw Data'!$A$3:$FB$285,156,FALSE)</f>
        <v>Sachin Sapkota</v>
      </c>
      <c r="FI153" s="27" t="s">
        <v>1275</v>
      </c>
      <c r="FJ153" s="27" t="str">
        <f>VLOOKUP($A153,'[1]Raw Data'!$A$3:$FB$285,157,FALSE)</f>
        <v>District Technical Officer</v>
      </c>
      <c r="FK153" s="27" t="s">
        <v>886</v>
      </c>
      <c r="FL153" s="27">
        <f>VLOOKUP($A153,'[1]Raw Data'!$A$3:$FB$285,158,FALSE)</f>
        <v>9847621292</v>
      </c>
      <c r="FM153" s="27" t="str">
        <f>VLOOKUP($A153,'[1]Raw Data'!$A$3:$FB$285,152,FALSE)</f>
        <v/>
      </c>
      <c r="FO153" s="27" t="str">
        <f>VLOOKUP($A153,'[1]Raw Data'!$A$3:$FB$285,153,FALSE)</f>
        <v>DIstrict Information Management Officer</v>
      </c>
      <c r="FP153" s="27" t="s">
        <v>887</v>
      </c>
      <c r="FQ153" s="27" t="str">
        <f>VLOOKUP($A153,'[1]Raw Data'!$A$3:$FB$285,154,FALSE)</f>
        <v/>
      </c>
    </row>
    <row r="154" spans="1:173" ht="24" x14ac:dyDescent="0.45">
      <c r="A154" s="27">
        <v>30009</v>
      </c>
      <c r="B154" s="36" t="str">
        <f ca="1">IFERROR(__xludf.DUMMYFUNCTION("""COMPUTED_VALUE"""),"Nilakantha Nagarpalika")</f>
        <v>Nilakantha Nagarpalika</v>
      </c>
      <c r="C154" s="37" t="str">
        <f>VLOOKUP(A154,'[1]Palika and District in Nepali '!$D$1:$F$283,3,FALSE)</f>
        <v>निलकण्ठ नगरपालिका</v>
      </c>
      <c r="D154" s="36" t="str">
        <f ca="1">IFERROR(__xludf.DUMMYFUNCTION("""COMPUTED_VALUE"""),"Dhading")</f>
        <v>Dhading</v>
      </c>
      <c r="E154" s="36"/>
      <c r="F154" s="27">
        <f>VLOOKUP(A154,'[1]Raw Data'!$A$3:$FB$285,4,FALSE)</f>
        <v>2608</v>
      </c>
      <c r="G154" s="27">
        <f>VLOOKUP(A154,'[1]Raw Data'!$A$3:$FB$285,5,FALSE)</f>
        <v>12631</v>
      </c>
      <c r="H154" s="27">
        <f>VLOOKUP(A154,'[1]Raw Data'!$A$3:$FB$285,6,FALSE)</f>
        <v>15239</v>
      </c>
      <c r="I154" s="27">
        <f>VLOOKUP($A154,'[1]Raw Data'!$A$3:$FB$285,8,FALSE)</f>
        <v>2.0099999999999998</v>
      </c>
      <c r="J154" s="27">
        <f>VLOOKUP($A154,'[1]Raw Data'!$A$3:$FB$285,9,FALSE)</f>
        <v>1.1000000000000001</v>
      </c>
      <c r="K154" s="27">
        <f>VLOOKUP($A154,'[1]Raw Data'!$A$3:$FB$285,11,FALSE)</f>
        <v>84.86</v>
      </c>
      <c r="L154" s="27">
        <f>VLOOKUP($A154,'[1]Raw Data'!$A$3:$FB$285,12,FALSE)</f>
        <v>85.43</v>
      </c>
      <c r="M154" s="27">
        <f>VLOOKUP($A154,'[1]Raw Data'!$A$3:$FB$285,14,FALSE)</f>
        <v>3.48</v>
      </c>
      <c r="N154" s="27">
        <f>VLOOKUP($A154,'[1]Raw Data'!$A$3:$FB$285,15,FALSE)</f>
        <v>3.73</v>
      </c>
      <c r="O154" s="27">
        <f>VLOOKUP($A154,'[1]Raw Data'!$A$3:$FB$285,17,FALSE)</f>
        <v>0.14000000000000001</v>
      </c>
      <c r="P154" s="27">
        <f>VLOOKUP($A154,'[1]Raw Data'!$A$3:$FB$285,18,FALSE)</f>
        <v>0.48</v>
      </c>
      <c r="Q154" s="27">
        <f>VLOOKUP($A154,'[1]Raw Data'!$A$3:$FB$285,20,FALSE)</f>
        <v>8.85</v>
      </c>
      <c r="R154" s="27">
        <f>VLOOKUP($A154,'[1]Raw Data'!$A$3:$FB$285,21,FALSE)</f>
        <v>3.25</v>
      </c>
      <c r="S154" s="27">
        <f>VLOOKUP($A154,'[1]Raw Data'!$A$3:$FB$285,23,FALSE)</f>
        <v>0</v>
      </c>
      <c r="T154" s="27">
        <f>VLOOKUP($A154,'[1]Raw Data'!$A$3:$FB$285,24,FALSE)</f>
        <v>0</v>
      </c>
      <c r="U154" s="27">
        <f>VLOOKUP($A154,'[1]Raw Data'!$A$3:$FB$285,26,FALSE)</f>
        <v>0.2</v>
      </c>
      <c r="V154" s="27">
        <f>VLOOKUP($A154,'[1]Raw Data'!$A$3:$FB$285,27,FALSE)</f>
        <v>0.64</v>
      </c>
      <c r="W154" s="27">
        <f>VLOOKUP($A154,'[1]Raw Data'!$A$3:$FB$285,29,FALSE)</f>
        <v>0</v>
      </c>
      <c r="X154" s="27">
        <f>VLOOKUP($A154,'[1]Raw Data'!$A$3:$FB$285,30,FALSE)</f>
        <v>0</v>
      </c>
      <c r="Y154" s="27">
        <f>VLOOKUP($A154,'[1]Raw Data'!$A$3:$FB$285,32,FALSE)</f>
        <v>0.16</v>
      </c>
      <c r="Z154" s="27">
        <f>VLOOKUP($A154,'[1]Raw Data'!$A$3:$FB$285,33,FALSE)</f>
        <v>1.79</v>
      </c>
      <c r="AA154" s="27">
        <f>VLOOKUP($A154,'[1]Raw Data'!$A$3:$FB$285,35,FALSE)</f>
        <v>0.21</v>
      </c>
      <c r="AB154" s="27">
        <f>VLOOKUP($A154,'[1]Raw Data'!$A$3:$FB$285,36,FALSE)</f>
        <v>3.32</v>
      </c>
      <c r="AC154" s="27">
        <f>VLOOKUP($A154,'[1]Raw Data'!$A$3:$FB$285,38,FALSE)</f>
        <v>0.09</v>
      </c>
      <c r="AD154" s="27">
        <f>VLOOKUP($A154,'[1]Raw Data'!$A$3:$FB$285,39,FALSE)</f>
        <v>0.25</v>
      </c>
      <c r="AE154" s="27">
        <f>VLOOKUP($A154,'[1]Raw Data'!$A$3:$FB$285,41,FALSE)</f>
        <v>0</v>
      </c>
      <c r="AF154" s="27">
        <f>VLOOKUP($A154,'[1]Raw Data'!$A$3:$FB$285,42,FALSE)</f>
        <v>0</v>
      </c>
      <c r="AG154" s="27">
        <f>VLOOKUP($A154,'[1]Raw Data'!$A$3:$FB$285,44,FALSE)</f>
        <v>0</v>
      </c>
      <c r="AH154" s="27">
        <f>VLOOKUP($A154,'[1]Raw Data'!$A$3:$FB$285,45,FALSE)</f>
        <v>0</v>
      </c>
      <c r="AI154" s="27">
        <f>VLOOKUP($A154,'[1]Raw Data'!$A$3:$FB$285,46,FALSE)</f>
        <v>12183</v>
      </c>
      <c r="AJ154" s="27">
        <f>VLOOKUP($A154,'[1]Raw Data'!$A$3:$FB$285,47,FALSE)</f>
        <v>11601</v>
      </c>
      <c r="AK154" s="27">
        <f>VLOOKUP($A154,'[1]Raw Data'!$A$3:$FB$285,48,FALSE)</f>
        <v>11601</v>
      </c>
      <c r="AL154" s="27">
        <f>VLOOKUP($A154,'[1]Raw Data'!$A$3:$FB$285,49,FALSE)</f>
        <v>9514</v>
      </c>
      <c r="AM154" s="27">
        <f>VLOOKUP($A154,'[1]Raw Data'!$A$3:$FB$285,50,FALSE)</f>
        <v>7134</v>
      </c>
      <c r="AN154" s="27">
        <f>VLOOKUP($A154,'[1]Raw Data'!$A$3:$FB$285,51,FALSE)</f>
        <v>0</v>
      </c>
      <c r="AO154" s="27">
        <f>VLOOKUP($A154,'[1]Raw Data'!$A$3:$FB$285,52,FALSE)</f>
        <v>7826</v>
      </c>
      <c r="AP154" s="27">
        <f>VLOOKUP($A154,'[1]Raw Data'!$A$3:$FB$285,53,FALSE)</f>
        <v>559</v>
      </c>
      <c r="AQ154" s="27">
        <f>VLOOKUP($A154,'[1]Raw Data'!$A$3:$FB$285,54,FALSE)</f>
        <v>559</v>
      </c>
      <c r="AR154" s="27">
        <f>VLOOKUP($A154,'[1]Raw Data'!$A$3:$FB$285,55,FALSE)</f>
        <v>53</v>
      </c>
      <c r="AS154" s="27">
        <f>VLOOKUP($A154,'[1]Raw Data'!$A$3:$FB$285,56,FALSE)</f>
        <v>0</v>
      </c>
      <c r="AT154" s="27">
        <f>VLOOKUP($A154,'[1]Raw Data'!$A$3:$FB$285,57,FALSE)</f>
        <v>2394</v>
      </c>
      <c r="AU154" s="27">
        <f>VLOOKUP($A154,'[1]Raw Data'!$A$3:$FB$285,58,FALSE)</f>
        <v>1374</v>
      </c>
      <c r="AV154" s="27">
        <f>VLOOKUP($A154,'[1]Raw Data'!$A$3:$FB$285,59,FALSE)</f>
        <v>281</v>
      </c>
      <c r="AW154" s="27">
        <f>VLOOKUP($A154,'[1]Raw Data'!$A$3:$FB$285,60,FALSE)</f>
        <v>210</v>
      </c>
      <c r="AX154" s="27" t="str">
        <f>VLOOKUP(A154,'[1]PO''s List'!A152:E434,4,FALSE)</f>
        <v>BC(Shelter),NSET(Shelter),RoomTR(Education),TukeeSN(Education)</v>
      </c>
      <c r="AZ154" s="27" t="str">
        <f>VLOOKUP(A154,'[1]PO''s List'!$A$3:$E$285,5,FALSE)</f>
        <v>ACTED(Other)),ADRA(Shelter),AMDA-M(Shelter),CA(Shelter,Health),ColdFF(Education),EHN(Education),EPF-N(Education),FIDR(Education),GON(Shelter),GON - DUDBC(Shelter),GON-PAF(Shelter),HELVETAS(Shelter),MIDSON(Health),OXFAM-GB(Shelter),SCI(DRR,Shelter,Social Protection,Health),UMN(Health)</v>
      </c>
      <c r="BB154" s="27">
        <f>VLOOKUP($A154,'[1]Raw Data'!$A$3:$FB$285,63,FALSE)</f>
        <v>247557</v>
      </c>
      <c r="BC154" s="27" t="str">
        <f>VLOOKUP($A154,'[1]Raw Data'!$A$3:$FB$285,64,FALSE)</f>
        <v>Y</v>
      </c>
      <c r="BD154" s="27" t="str">
        <f t="shared" si="18"/>
        <v>छ</v>
      </c>
      <c r="BE154" s="27" t="str">
        <f>VLOOKUP($A154,'[1]Raw Data'!$A$3:$FB$285,65,FALSE)</f>
        <v/>
      </c>
      <c r="BF154" s="27">
        <f>VLOOKUP($A154,'[1]Raw Data'!$A$3:$FB$285,66,FALSE)</f>
        <v>240828</v>
      </c>
      <c r="BG154" s="27" t="str">
        <f>VLOOKUP($A154,'[1]Raw Data'!$A$3:$FB$285,67,FALSE)</f>
        <v>Y</v>
      </c>
      <c r="BH154" s="27" t="str">
        <f t="shared" si="19"/>
        <v>छ</v>
      </c>
      <c r="BI154" s="27" t="str">
        <f>VLOOKUP($A154,'[1]Raw Data'!$A$3:$FB$285,68,FALSE)</f>
        <v/>
      </c>
      <c r="BJ154" s="27">
        <f>VLOOKUP($A154,'[1]Raw Data'!$A$3:$FB$285,69,FALSE)</f>
        <v>26316</v>
      </c>
      <c r="BK154" s="27" t="str">
        <f>VLOOKUP($A154,'[1]Raw Data'!$A$3:$FB$285,70,FALSE)</f>
        <v>Y</v>
      </c>
      <c r="BL154" s="27" t="str">
        <f t="shared" si="20"/>
        <v>छ</v>
      </c>
      <c r="BM154" s="27" t="str">
        <f>VLOOKUP($A154,'[1]Raw Data'!$A$3:$FB$285,71,FALSE)</f>
        <v/>
      </c>
      <c r="BN154" s="27">
        <f>VLOOKUP($A154,'[1]Raw Data'!$A$3:$FB$285,72,FALSE)</f>
        <v>29936</v>
      </c>
      <c r="BO154" s="27" t="str">
        <f>VLOOKUP($A154,'[1]Raw Data'!$A$3:$FB$285,73,FALSE)</f>
        <v>Y</v>
      </c>
      <c r="BP154" s="27" t="str">
        <f t="shared" si="21"/>
        <v>छ</v>
      </c>
      <c r="BQ154" s="27" t="str">
        <f>VLOOKUP($A154,'[1]Raw Data'!$A$3:$FB$285,74,FALSE)</f>
        <v/>
      </c>
      <c r="BR154" s="27" t="str">
        <f>VLOOKUP($A154,'[1]Raw Data'!$A$3:$FB$285,75,FALSE)</f>
        <v/>
      </c>
      <c r="BS154" s="27" t="str">
        <f>VLOOKUP($A154,'[1]Raw Data'!$A$3:$FB$285,76,FALSE)</f>
        <v/>
      </c>
      <c r="BT154" s="27" t="str">
        <f t="shared" si="22"/>
        <v/>
      </c>
      <c r="BU154" s="27" t="str">
        <f>VLOOKUP($A154,'[1]Raw Data'!$A$3:$FB$285,77,FALSE)</f>
        <v/>
      </c>
      <c r="BV154" s="27">
        <f>VLOOKUP($A154,'[1]Raw Data'!$A$3:$FB$285,78,FALSE)</f>
        <v>803615</v>
      </c>
      <c r="BW154" s="27" t="str">
        <f>VLOOKUP($A154,'[1]Raw Data'!$A$3:$FB$285,79,FALSE)</f>
        <v/>
      </c>
      <c r="BX154" s="27" t="str">
        <f t="shared" si="23"/>
        <v/>
      </c>
      <c r="BY154" s="27" t="str">
        <f>VLOOKUP($A154,'[1]Raw Data'!$A$3:$FB$285,80,FALSE)</f>
        <v/>
      </c>
      <c r="BZ154" s="27">
        <f>VLOOKUP($A154,'[1]Raw Data'!$A$3:$FB$285,81,FALSE)</f>
        <v>2707997</v>
      </c>
      <c r="CA154" s="27" t="str">
        <f>VLOOKUP($A154,'[1]Raw Data'!$A$3:$FB$285,82,FALSE)</f>
        <v>Y</v>
      </c>
      <c r="CB154" s="27" t="str">
        <f t="shared" si="24"/>
        <v>छ</v>
      </c>
      <c r="CC154" s="27" t="str">
        <f>VLOOKUP($A154,'[1]Raw Data'!$A$3:$FB$285,83,FALSE)</f>
        <v/>
      </c>
      <c r="CD154" s="27">
        <f>VLOOKUP($A154,'[1]Raw Data'!$A$3:$FB$285,84,FALSE)</f>
        <v>32844</v>
      </c>
      <c r="CE154" s="27" t="str">
        <f>VLOOKUP($A154,'[1]Raw Data'!$A$3:$FB$285,85,FALSE)</f>
        <v>Y</v>
      </c>
      <c r="CF154" s="27" t="str">
        <f t="shared" si="25"/>
        <v>छ</v>
      </c>
      <c r="CG154" s="27" t="str">
        <f>VLOOKUP($A154,'[1]Raw Data'!$A$3:$FB$285,86,FALSE)</f>
        <v/>
      </c>
      <c r="CH154" s="27">
        <f>VLOOKUP($A154,'[1]Raw Data'!$A$3:$FB$285,87,FALSE)</f>
        <v>3946159</v>
      </c>
      <c r="CI154" s="27" t="str">
        <f>VLOOKUP($A154,'[1]Raw Data'!$A$3:$FB$285,88,FALSE)</f>
        <v>Y</v>
      </c>
      <c r="CJ154" s="27" t="str">
        <f t="shared" si="26"/>
        <v>छ</v>
      </c>
      <c r="CK154" s="27" t="str">
        <f>VLOOKUP($A154,'[1]Raw Data'!$A$3:$FB$285,89,FALSE)</f>
        <v/>
      </c>
      <c r="CL154" s="27" t="str">
        <f>VLOOKUP($A154,'[1]Raw Data'!$A$3:$FB$285,91,FALSE)</f>
        <v/>
      </c>
      <c r="CM154" s="27" t="str">
        <f>VLOOKUP($A154,'[1]Raw Data'!$A$3:$FB$285,93,FALSE)</f>
        <v/>
      </c>
      <c r="CN154" s="27" t="str">
        <f>VLOOKUP($A154,'[1]Raw Data'!$A$3:$FB$285,94,FALSE)</f>
        <v/>
      </c>
      <c r="CO154" s="27" t="str">
        <f>VLOOKUP($A154,'[1]Raw Data'!$A$3:$FB$285,95,FALSE)</f>
        <v/>
      </c>
      <c r="CP154" s="27" t="str">
        <f>VLOOKUP($A154,'[1]Raw Data'!$A$3:$FB$285,96,FALSE)</f>
        <v/>
      </c>
      <c r="CQ154" s="27" t="str">
        <f>VLOOKUP($A154,'[1]Raw Data'!$A$3:$FB$285,97,FALSE)</f>
        <v/>
      </c>
      <c r="CR154" s="27" t="str">
        <f>VLOOKUP($A154,'[1]Raw Data'!$A$3:$FB$285,98,FALSE)</f>
        <v/>
      </c>
      <c r="CS154" s="27" t="str">
        <f>VLOOKUP($A154,'[1]Raw Data'!$A$3:$FB$285,99,FALSE)</f>
        <v/>
      </c>
      <c r="CT154" s="27" t="str">
        <f>VLOOKUP($A154,'[1]Raw Data'!$A$3:$FB$285,101,FALSE)</f>
        <v>Bhim Prasad Dhungana</v>
      </c>
      <c r="CU154" s="27" t="s">
        <v>1290</v>
      </c>
      <c r="CV154" s="27" t="str">
        <f>VLOOKUP($A154,'[1]Raw Data'!$A$3:$FB$285,102,FALSE)</f>
        <v>Mayor</v>
      </c>
      <c r="CW154" s="27" t="s">
        <v>834</v>
      </c>
      <c r="CX154" s="27">
        <f>VLOOKUP($A154,'[1]Raw Data'!$A$3:$FB$285,103,FALSE)</f>
        <v>9851007101</v>
      </c>
      <c r="CY154" s="27" t="str">
        <f>VLOOKUP($A154,'[1]Raw Data'!$A$3:$FB$285,105,FALSE)</f>
        <v>Mana Raj Bhandari</v>
      </c>
      <c r="CZ154" s="27" t="s">
        <v>1291</v>
      </c>
      <c r="DA154" s="27" t="str">
        <f>VLOOKUP($A154,'[1]Raw Data'!$A$3:$FB$285,106,FALSE)</f>
        <v>Deputy Mayor</v>
      </c>
      <c r="DB154" s="27" t="s">
        <v>888</v>
      </c>
      <c r="DC154" s="27">
        <f>VLOOKUP($A154,'[1]Raw Data'!$A$3:$FB$285,107,FALSE)</f>
        <v>9851164911</v>
      </c>
      <c r="DD154" s="27" t="str">
        <f>VLOOKUP($A154,'[1]Raw Data'!$A$3:$FB$285,109,FALSE)</f>
        <v/>
      </c>
      <c r="DF154" s="27" t="str">
        <f>VLOOKUP($A154,'[1]Raw Data'!$A$3:$FB$285,110,FALSE)</f>
        <v>Adminstration Officer</v>
      </c>
      <c r="DG154" s="27" t="s">
        <v>880</v>
      </c>
      <c r="DH154" s="27" t="str">
        <f>VLOOKUP($A154,'[1]Raw Data'!$A$3:$FB$285,111,FALSE)</f>
        <v/>
      </c>
      <c r="DI154" s="27" t="str">
        <f>VLOOKUP($A154,'[1]Raw Data'!$A$3:$FB$285,121,FALSE)</f>
        <v/>
      </c>
      <c r="DK154" s="27" t="str">
        <f>VLOOKUP($A154,'[1]Raw Data'!$A$3:$FB$285,122,FALSE)</f>
        <v>Focal Person</v>
      </c>
      <c r="DL154" s="27" t="s">
        <v>881</v>
      </c>
      <c r="DM154" s="27" t="str">
        <f>VLOOKUP($A154,'[1]Raw Data'!$A$3:$FB$285,123,FALSE)</f>
        <v/>
      </c>
      <c r="DN154" s="27" t="str">
        <f>VLOOKUP($A154,'[1]Raw Data'!$A$3:$FB$285,113,FALSE)</f>
        <v>Rajendra K. C.</v>
      </c>
      <c r="DO154" s="27" t="s">
        <v>1273</v>
      </c>
      <c r="DP154" s="27" t="str">
        <f>VLOOKUP($A154,'[1]Raw Data'!$A$3:$FB$285,114,FALSE)</f>
        <v>NRA Chief-District</v>
      </c>
      <c r="DQ154" s="27" t="s">
        <v>882</v>
      </c>
      <c r="DR154" s="27">
        <f>VLOOKUP($A154,'[1]Raw Data'!$A$3:$FB$285,115,FALSE)</f>
        <v>9851213604</v>
      </c>
      <c r="DS154" s="27" t="str">
        <f>VLOOKUP($A154,'[1]Raw Data'!$A$3:$FB$285,117,FALSE)</f>
        <v>Koshnath Adhikari</v>
      </c>
      <c r="DT154" s="27" t="s">
        <v>894</v>
      </c>
      <c r="DU154" s="27" t="str">
        <f>VLOOKUP($A154,'[1]Raw Data'!$A$3:$FB$285,118,FALSE)</f>
        <v>DUDBC.DLPIU Chief</v>
      </c>
      <c r="DV154" s="27" t="s">
        <v>883</v>
      </c>
      <c r="DW154" s="27" t="str">
        <f>VLOOKUP($A154,'[1]Raw Data'!$A$3:$FB$285,119,FALSE)</f>
        <v/>
      </c>
      <c r="DX154" s="27" t="s">
        <v>339</v>
      </c>
      <c r="DY154" s="27" t="str">
        <f>VLOOKUP($A154,'[1]Raw Data'!$A$3:$FB$285,124,FALSE)</f>
        <v/>
      </c>
      <c r="DZ154" s="27" t="s">
        <v>884</v>
      </c>
      <c r="EA154" s="27" t="str">
        <f>VLOOKUP($A154,'[1]Raw Data'!$A$3:$FB$285,125,FALSE)</f>
        <v/>
      </c>
      <c r="EB154" s="27" t="s">
        <v>341</v>
      </c>
      <c r="EC154" s="27" t="str">
        <f>VLOOKUP($A154,'[1]Raw Data'!$A$3:$FB$285,126,FALSE)</f>
        <v/>
      </c>
      <c r="ED154" t="s">
        <v>478</v>
      </c>
      <c r="EE154" s="27" t="str">
        <f>VLOOKUP($A154,'[1]Raw Data'!$A$3:$FB$285,127,FALSE)</f>
        <v/>
      </c>
      <c r="EF154" s="27" t="s">
        <v>343</v>
      </c>
      <c r="EG154" s="27" t="str">
        <f>VLOOKUP($A154,'[1]Raw Data'!$A$3:$FB$285,128,FALSE)</f>
        <v/>
      </c>
      <c r="EH154" t="s">
        <v>344</v>
      </c>
      <c r="EI154" s="27" t="str">
        <f>VLOOKUP($A154,'[1]Raw Data'!$A$3:$FB$285,129,FALSE)</f>
        <v/>
      </c>
      <c r="EM154" s="27" t="str">
        <f>VLOOKUP($A154,'[1]Raw Data'!$A$3:$FB$285,130,FALSE)</f>
        <v/>
      </c>
      <c r="EN154" s="27" t="str">
        <f>VLOOKUP($A154,'[1]Raw Data'!$A$3:$FB$285,131,FALSE)</f>
        <v/>
      </c>
      <c r="EO154" s="27" t="str">
        <f>VLOOKUP($A154,'[1]Raw Data'!$A$3:$FB$285,132,FALSE)</f>
        <v/>
      </c>
      <c r="EP154" s="27" t="str">
        <f>VLOOKUP($A154,'[1]Raw Data'!$A$3:$FB$285,133,FALSE)</f>
        <v/>
      </c>
      <c r="EQ154" s="27" t="str">
        <f>VLOOKUP($A154,'[1]Raw Data'!$A$3:$FB$285,134,FALSE)</f>
        <v/>
      </c>
      <c r="ER154" s="27" t="str">
        <f>VLOOKUP($A154,'[1]Raw Data'!$A$3:$FB$285,135,FALSE)</f>
        <v/>
      </c>
      <c r="ES154" s="27" t="str">
        <f>VLOOKUP($A154,'[1]Raw Data'!$A$3:$FB$285,136,FALSE)</f>
        <v/>
      </c>
      <c r="ET154" s="27" t="str">
        <f>VLOOKUP($A154,'[1]Raw Data'!$A$3:$FB$285,137,FALSE)</f>
        <v/>
      </c>
      <c r="EU154" s="27" t="str">
        <f>VLOOKUP($A154,'[1]Raw Data'!$A$3:$FB$285,138,FALSE)</f>
        <v/>
      </c>
      <c r="EV154" s="27" t="str">
        <f>VLOOKUP($A154,'[1]Raw Data'!$A$3:$FB$285,139,FALSE)</f>
        <v/>
      </c>
      <c r="EW154" s="38">
        <f>VLOOKUP($A154,[1]Training!$A$2:$I$284,5,FALSE)</f>
        <v>937.15384615384619</v>
      </c>
      <c r="EX154" s="31">
        <f>VLOOKUP($A154,[1]Training!$A$2:$I$284,6,FALSE)</f>
        <v>1416</v>
      </c>
      <c r="EY154" s="38">
        <f>VLOOKUP($A154,[1]Training!$A$2:$I$284,8,FALSE)</f>
        <v>1139.8917329412552</v>
      </c>
      <c r="EZ154" s="31">
        <f>VLOOKUP($A154,[1]Training!$A$2:$I$284,9,FALSE)</f>
        <v>0</v>
      </c>
      <c r="FA154" s="27">
        <v>1</v>
      </c>
      <c r="FB154" s="27">
        <v>2</v>
      </c>
      <c r="FC154" s="27" t="str">
        <f>VLOOKUP($A154,'[1]Raw Data'!$A$3:$FB$285,148,FALSE)</f>
        <v>Prabin Gautam</v>
      </c>
      <c r="FD154" s="27" t="s">
        <v>1274</v>
      </c>
      <c r="FE154" s="27" t="str">
        <f>VLOOKUP($A154,'[1]Raw Data'!$A$3:$FB$285,149,FALSE)</f>
        <v>District Coordinator</v>
      </c>
      <c r="FF154" s="27" t="s">
        <v>885</v>
      </c>
      <c r="FG154" s="27">
        <f>VLOOKUP($A154,'[1]Raw Data'!$A$3:$FB$285,150,FALSE)</f>
        <v>9860687776</v>
      </c>
      <c r="FH154" s="27" t="str">
        <f>VLOOKUP($A154,'[1]Raw Data'!$A$3:$FB$285,156,FALSE)</f>
        <v>Sachin Sapkota</v>
      </c>
      <c r="FI154" s="27" t="s">
        <v>1275</v>
      </c>
      <c r="FJ154" s="27" t="str">
        <f>VLOOKUP($A154,'[1]Raw Data'!$A$3:$FB$285,157,FALSE)</f>
        <v>District Technical Officer</v>
      </c>
      <c r="FK154" s="27" t="s">
        <v>886</v>
      </c>
      <c r="FL154" s="27">
        <f>VLOOKUP($A154,'[1]Raw Data'!$A$3:$FB$285,158,FALSE)</f>
        <v>9847621292</v>
      </c>
      <c r="FM154" s="27" t="str">
        <f>VLOOKUP($A154,'[1]Raw Data'!$A$3:$FB$285,152,FALSE)</f>
        <v/>
      </c>
      <c r="FO154" s="27" t="str">
        <f>VLOOKUP($A154,'[1]Raw Data'!$A$3:$FB$285,153,FALSE)</f>
        <v>DIstrict Information Management Officer</v>
      </c>
      <c r="FP154" s="27" t="s">
        <v>887</v>
      </c>
      <c r="FQ154" s="27" t="str">
        <f>VLOOKUP($A154,'[1]Raw Data'!$A$3:$FB$285,154,FALSE)</f>
        <v/>
      </c>
    </row>
    <row r="155" spans="1:173" ht="24" x14ac:dyDescent="0.45">
      <c r="A155" s="27">
        <v>30010</v>
      </c>
      <c r="B155" s="36" t="str">
        <f ca="1">IFERROR(__xludf.DUMMYFUNCTION("""COMPUTED_VALUE"""),"Rubi Valley Gaunpalika")</f>
        <v>Rubi Valley Gaunpalika</v>
      </c>
      <c r="C155" s="37" t="str">
        <f>VLOOKUP(A155,'[1]Palika and District in Nepali '!$D$1:$F$283,3,FALSE)</f>
        <v>रुबी उपत्यका गाउँपालिका</v>
      </c>
      <c r="D155" s="36" t="str">
        <f ca="1">IFERROR(__xludf.DUMMYFUNCTION("""COMPUTED_VALUE"""),"Dhading")</f>
        <v>Dhading</v>
      </c>
      <c r="E155" s="36"/>
      <c r="F155" s="27">
        <f>VLOOKUP(A155,'[1]Raw Data'!$A$3:$FB$285,4,FALSE)</f>
        <v>337</v>
      </c>
      <c r="G155" s="27">
        <f>VLOOKUP(A155,'[1]Raw Data'!$A$3:$FB$285,5,FALSE)</f>
        <v>2827</v>
      </c>
      <c r="H155" s="27">
        <f>VLOOKUP(A155,'[1]Raw Data'!$A$3:$FB$285,6,FALSE)</f>
        <v>3164</v>
      </c>
      <c r="I155" s="27">
        <f>VLOOKUP($A155,'[1]Raw Data'!$A$3:$FB$285,8,FALSE)</f>
        <v>0.06</v>
      </c>
      <c r="J155" s="27">
        <f>VLOOKUP($A155,'[1]Raw Data'!$A$3:$FB$285,9,FALSE)</f>
        <v>1.1000000000000001</v>
      </c>
      <c r="K155" s="27">
        <f>VLOOKUP($A155,'[1]Raw Data'!$A$3:$FB$285,11,FALSE)</f>
        <v>52.22</v>
      </c>
      <c r="L155" s="27">
        <f>VLOOKUP($A155,'[1]Raw Data'!$A$3:$FB$285,12,FALSE)</f>
        <v>85.43</v>
      </c>
      <c r="M155" s="27">
        <f>VLOOKUP($A155,'[1]Raw Data'!$A$3:$FB$285,14,FALSE)</f>
        <v>0</v>
      </c>
      <c r="N155" s="27">
        <f>VLOOKUP($A155,'[1]Raw Data'!$A$3:$FB$285,15,FALSE)</f>
        <v>3.73</v>
      </c>
      <c r="O155" s="27">
        <f>VLOOKUP($A155,'[1]Raw Data'!$A$3:$FB$285,17,FALSE)</f>
        <v>0</v>
      </c>
      <c r="P155" s="27">
        <f>VLOOKUP($A155,'[1]Raw Data'!$A$3:$FB$285,18,FALSE)</f>
        <v>0.48</v>
      </c>
      <c r="Q155" s="27">
        <f>VLOOKUP($A155,'[1]Raw Data'!$A$3:$FB$285,20,FALSE)</f>
        <v>0</v>
      </c>
      <c r="R155" s="27">
        <f>VLOOKUP($A155,'[1]Raw Data'!$A$3:$FB$285,21,FALSE)</f>
        <v>3.25</v>
      </c>
      <c r="S155" s="27">
        <f>VLOOKUP($A155,'[1]Raw Data'!$A$3:$FB$285,23,FALSE)</f>
        <v>0</v>
      </c>
      <c r="T155" s="27">
        <f>VLOOKUP($A155,'[1]Raw Data'!$A$3:$FB$285,24,FALSE)</f>
        <v>0</v>
      </c>
      <c r="U155" s="27">
        <f>VLOOKUP($A155,'[1]Raw Data'!$A$3:$FB$285,26,FALSE)</f>
        <v>0.92</v>
      </c>
      <c r="V155" s="27">
        <f>VLOOKUP($A155,'[1]Raw Data'!$A$3:$FB$285,27,FALSE)</f>
        <v>0.64</v>
      </c>
      <c r="W155" s="27">
        <f>VLOOKUP($A155,'[1]Raw Data'!$A$3:$FB$285,29,FALSE)</f>
        <v>0</v>
      </c>
      <c r="X155" s="27">
        <f>VLOOKUP($A155,'[1]Raw Data'!$A$3:$FB$285,30,FALSE)</f>
        <v>0</v>
      </c>
      <c r="Y155" s="27">
        <f>VLOOKUP($A155,'[1]Raw Data'!$A$3:$FB$285,32,FALSE)</f>
        <v>46.68</v>
      </c>
      <c r="Z155" s="27">
        <f>VLOOKUP($A155,'[1]Raw Data'!$A$3:$FB$285,33,FALSE)</f>
        <v>1.79</v>
      </c>
      <c r="AA155" s="27">
        <f>VLOOKUP($A155,'[1]Raw Data'!$A$3:$FB$285,35,FALSE)</f>
        <v>0.13</v>
      </c>
      <c r="AB155" s="27">
        <f>VLOOKUP($A155,'[1]Raw Data'!$A$3:$FB$285,36,FALSE)</f>
        <v>3.32</v>
      </c>
      <c r="AC155" s="27">
        <f>VLOOKUP($A155,'[1]Raw Data'!$A$3:$FB$285,38,FALSE)</f>
        <v>0</v>
      </c>
      <c r="AD155" s="27">
        <f>VLOOKUP($A155,'[1]Raw Data'!$A$3:$FB$285,39,FALSE)</f>
        <v>0.25</v>
      </c>
      <c r="AE155" s="27">
        <f>VLOOKUP($A155,'[1]Raw Data'!$A$3:$FB$285,41,FALSE)</f>
        <v>0</v>
      </c>
      <c r="AF155" s="27">
        <f>VLOOKUP($A155,'[1]Raw Data'!$A$3:$FB$285,42,FALSE)</f>
        <v>0</v>
      </c>
      <c r="AG155" s="27">
        <f>VLOOKUP($A155,'[1]Raw Data'!$A$3:$FB$285,44,FALSE)</f>
        <v>0</v>
      </c>
      <c r="AH155" s="27">
        <f>VLOOKUP($A155,'[1]Raw Data'!$A$3:$FB$285,45,FALSE)</f>
        <v>0</v>
      </c>
      <c r="AI155" s="27">
        <f>VLOOKUP($A155,'[1]Raw Data'!$A$3:$FB$285,46,FALSE)</f>
        <v>2850</v>
      </c>
      <c r="AJ155" s="27">
        <f>VLOOKUP($A155,'[1]Raw Data'!$A$3:$FB$285,47,FALSE)</f>
        <v>2734</v>
      </c>
      <c r="AK155" s="27">
        <f>VLOOKUP($A155,'[1]Raw Data'!$A$3:$FB$285,48,FALSE)</f>
        <v>2734</v>
      </c>
      <c r="AL155" s="27">
        <f>VLOOKUP($A155,'[1]Raw Data'!$A$3:$FB$285,49,FALSE)</f>
        <v>2282</v>
      </c>
      <c r="AM155" s="27">
        <f>VLOOKUP($A155,'[1]Raw Data'!$A$3:$FB$285,50,FALSE)</f>
        <v>1537</v>
      </c>
      <c r="AN155" s="27">
        <f>VLOOKUP($A155,'[1]Raw Data'!$A$3:$FB$285,51,FALSE)</f>
        <v>0</v>
      </c>
      <c r="AO155" s="27">
        <f>VLOOKUP($A155,'[1]Raw Data'!$A$3:$FB$285,52,FALSE)</f>
        <v>1615</v>
      </c>
      <c r="AP155" s="27">
        <f>VLOOKUP($A155,'[1]Raw Data'!$A$3:$FB$285,53,FALSE)</f>
        <v>187</v>
      </c>
      <c r="AQ155" s="27">
        <f>VLOOKUP($A155,'[1]Raw Data'!$A$3:$FB$285,54,FALSE)</f>
        <v>187</v>
      </c>
      <c r="AR155" s="27">
        <f>VLOOKUP($A155,'[1]Raw Data'!$A$3:$FB$285,55,FALSE)</f>
        <v>43</v>
      </c>
      <c r="AS155" s="27">
        <f>VLOOKUP($A155,'[1]Raw Data'!$A$3:$FB$285,56,FALSE)</f>
        <v>0</v>
      </c>
      <c r="AT155" s="27">
        <f>VLOOKUP($A155,'[1]Raw Data'!$A$3:$FB$285,57,FALSE)</f>
        <v>650</v>
      </c>
      <c r="AU155" s="27">
        <f>VLOOKUP($A155,'[1]Raw Data'!$A$3:$FB$285,58,FALSE)</f>
        <v>420</v>
      </c>
      <c r="AV155" s="27">
        <f>VLOOKUP($A155,'[1]Raw Data'!$A$3:$FB$285,59,FALSE)</f>
        <v>0</v>
      </c>
      <c r="AW155" s="27">
        <f>VLOOKUP($A155,'[1]Raw Data'!$A$3:$FB$285,60,FALSE)</f>
        <v>0</v>
      </c>
      <c r="AX155" s="27" t="str">
        <f>VLOOKUP(A155,'[1]PO''s List'!A153:E435,4,FALSE)</f>
        <v>NSET(Shelter)</v>
      </c>
      <c r="AZ155" s="27" t="str">
        <f>VLOOKUP(A155,'[1]PO''s List'!$A$3:$E$285,5,FALSE)</f>
        <v>AMDA-M(Shelter),CSRC(Shelter),GON-PAF(Shelter),MCC(Health,Health),Norlha(Livelihood,DRR,Shelter,Health),SCI(Shelter),TAI(Education),UMN(Education,Shelter,Health),WFP(Employment )</v>
      </c>
      <c r="BB155" s="27">
        <f>VLOOKUP($A155,'[1]Raw Data'!$A$3:$FB$285,63,FALSE)</f>
        <v>47309</v>
      </c>
      <c r="BC155" s="27" t="str">
        <f>VLOOKUP($A155,'[1]Raw Data'!$A$3:$FB$285,64,FALSE)</f>
        <v>Y</v>
      </c>
      <c r="BD155" s="27" t="str">
        <f t="shared" si="18"/>
        <v>छ</v>
      </c>
      <c r="BE155" s="27" t="str">
        <f>VLOOKUP($A155,'[1]Raw Data'!$A$3:$FB$285,65,FALSE)</f>
        <v/>
      </c>
      <c r="BF155" s="27">
        <f>VLOOKUP($A155,'[1]Raw Data'!$A$3:$FB$285,66,FALSE)</f>
        <v>49797</v>
      </c>
      <c r="BG155" s="27" t="str">
        <f>VLOOKUP($A155,'[1]Raw Data'!$A$3:$FB$285,67,FALSE)</f>
        <v>N</v>
      </c>
      <c r="BH155" s="27" t="str">
        <f t="shared" si="19"/>
        <v>छैन</v>
      </c>
      <c r="BI155" s="27" t="str">
        <f>VLOOKUP($A155,'[1]Raw Data'!$A$3:$FB$285,68,FALSE)</f>
        <v/>
      </c>
      <c r="BJ155" s="27">
        <f>VLOOKUP($A155,'[1]Raw Data'!$A$3:$FB$285,69,FALSE)</f>
        <v>5062</v>
      </c>
      <c r="BK155" s="27" t="str">
        <f>VLOOKUP($A155,'[1]Raw Data'!$A$3:$FB$285,70,FALSE)</f>
        <v>N</v>
      </c>
      <c r="BL155" s="27" t="str">
        <f t="shared" si="20"/>
        <v>छैन</v>
      </c>
      <c r="BM155" s="27" t="str">
        <f>VLOOKUP($A155,'[1]Raw Data'!$A$3:$FB$285,71,FALSE)</f>
        <v/>
      </c>
      <c r="BN155" s="27">
        <f>VLOOKUP($A155,'[1]Raw Data'!$A$3:$FB$285,72,FALSE)</f>
        <v>5880</v>
      </c>
      <c r="BO155" s="27" t="str">
        <f>VLOOKUP($A155,'[1]Raw Data'!$A$3:$FB$285,73,FALSE)</f>
        <v>Y</v>
      </c>
      <c r="BP155" s="27" t="str">
        <f t="shared" si="21"/>
        <v>छ</v>
      </c>
      <c r="BQ155" s="27" t="str">
        <f>VLOOKUP($A155,'[1]Raw Data'!$A$3:$FB$285,74,FALSE)</f>
        <v/>
      </c>
      <c r="BR155" s="27" t="str">
        <f>VLOOKUP($A155,'[1]Raw Data'!$A$3:$FB$285,75,FALSE)</f>
        <v/>
      </c>
      <c r="BS155" s="27" t="str">
        <f>VLOOKUP($A155,'[1]Raw Data'!$A$3:$FB$285,76,FALSE)</f>
        <v/>
      </c>
      <c r="BT155" s="27" t="str">
        <f t="shared" si="22"/>
        <v/>
      </c>
      <c r="BU155" s="27" t="str">
        <f>VLOOKUP($A155,'[1]Raw Data'!$A$3:$FB$285,77,FALSE)</f>
        <v/>
      </c>
      <c r="BV155" s="27">
        <f>VLOOKUP($A155,'[1]Raw Data'!$A$3:$FB$285,78,FALSE)</f>
        <v>163724</v>
      </c>
      <c r="BW155" s="27" t="str">
        <f>VLOOKUP($A155,'[1]Raw Data'!$A$3:$FB$285,79,FALSE)</f>
        <v/>
      </c>
      <c r="BX155" s="27" t="str">
        <f t="shared" si="23"/>
        <v/>
      </c>
      <c r="BY155" s="27" t="str">
        <f>VLOOKUP($A155,'[1]Raw Data'!$A$3:$FB$285,80,FALSE)</f>
        <v/>
      </c>
      <c r="BZ155" s="27">
        <f>VLOOKUP($A155,'[1]Raw Data'!$A$3:$FB$285,81,FALSE)</f>
        <v>509500</v>
      </c>
      <c r="CA155" s="27" t="str">
        <f>VLOOKUP($A155,'[1]Raw Data'!$A$3:$FB$285,82,FALSE)</f>
        <v>N</v>
      </c>
      <c r="CB155" s="27" t="str">
        <f t="shared" si="24"/>
        <v>छैन</v>
      </c>
      <c r="CC155" s="27" t="str">
        <f>VLOOKUP($A155,'[1]Raw Data'!$A$3:$FB$285,83,FALSE)</f>
        <v/>
      </c>
      <c r="CD155" s="27">
        <f>VLOOKUP($A155,'[1]Raw Data'!$A$3:$FB$285,84,FALSE)</f>
        <v>6687</v>
      </c>
      <c r="CE155" s="27" t="str">
        <f>VLOOKUP($A155,'[1]Raw Data'!$A$3:$FB$285,85,FALSE)</f>
        <v>N</v>
      </c>
      <c r="CF155" s="27" t="str">
        <f t="shared" si="25"/>
        <v>छैन</v>
      </c>
      <c r="CG155" s="27" t="str">
        <f>VLOOKUP($A155,'[1]Raw Data'!$A$3:$FB$285,86,FALSE)</f>
        <v/>
      </c>
      <c r="CH155" s="27">
        <f>VLOOKUP($A155,'[1]Raw Data'!$A$3:$FB$285,87,FALSE)</f>
        <v>211065</v>
      </c>
      <c r="CI155" s="27" t="str">
        <f>VLOOKUP($A155,'[1]Raw Data'!$A$3:$FB$285,88,FALSE)</f>
        <v>N</v>
      </c>
      <c r="CJ155" s="27" t="str">
        <f t="shared" si="26"/>
        <v>छैन</v>
      </c>
      <c r="CK155" s="27" t="str">
        <f>VLOOKUP($A155,'[1]Raw Data'!$A$3:$FB$285,89,FALSE)</f>
        <v/>
      </c>
      <c r="CL155" s="27" t="str">
        <f>VLOOKUP($A155,'[1]Raw Data'!$A$3:$FB$285,91,FALSE)</f>
        <v/>
      </c>
      <c r="CM155" s="27" t="str">
        <f>VLOOKUP($A155,'[1]Raw Data'!$A$3:$FB$285,93,FALSE)</f>
        <v/>
      </c>
      <c r="CN155" s="27" t="str">
        <f>VLOOKUP($A155,'[1]Raw Data'!$A$3:$FB$285,94,FALSE)</f>
        <v/>
      </c>
      <c r="CO155" s="27" t="str">
        <f>VLOOKUP($A155,'[1]Raw Data'!$A$3:$FB$285,95,FALSE)</f>
        <v/>
      </c>
      <c r="CP155" s="27" t="str">
        <f>VLOOKUP($A155,'[1]Raw Data'!$A$3:$FB$285,96,FALSE)</f>
        <v/>
      </c>
      <c r="CQ155" s="27" t="str">
        <f>VLOOKUP($A155,'[1]Raw Data'!$A$3:$FB$285,97,FALSE)</f>
        <v/>
      </c>
      <c r="CR155" s="27" t="str">
        <f>VLOOKUP($A155,'[1]Raw Data'!$A$3:$FB$285,98,FALSE)</f>
        <v/>
      </c>
      <c r="CS155" s="27" t="str">
        <f>VLOOKUP($A155,'[1]Raw Data'!$A$3:$FB$285,99,FALSE)</f>
        <v/>
      </c>
      <c r="CT155" s="27" t="str">
        <f>VLOOKUP($A155,'[1]Raw Data'!$A$3:$FB$285,101,FALSE)</f>
        <v>Cherong Tamang</v>
      </c>
      <c r="CU155" s="27" t="s">
        <v>1292</v>
      </c>
      <c r="CV155" s="27" t="str">
        <f>VLOOKUP($A155,'[1]Raw Data'!$A$3:$FB$285,102,FALSE)</f>
        <v>Mayor</v>
      </c>
      <c r="CW155" s="27" t="s">
        <v>834</v>
      </c>
      <c r="CX155" s="27">
        <f>VLOOKUP($A155,'[1]Raw Data'!$A$3:$FB$285,103,FALSE)</f>
        <v>9841936670</v>
      </c>
      <c r="CY155" s="27" t="str">
        <f>VLOOKUP($A155,'[1]Raw Data'!$A$3:$FB$285,105,FALSE)</f>
        <v>Bina Lama Tamang</v>
      </c>
      <c r="CZ155" s="27" t="s">
        <v>1293</v>
      </c>
      <c r="DA155" s="27" t="str">
        <f>VLOOKUP($A155,'[1]Raw Data'!$A$3:$FB$285,106,FALSE)</f>
        <v>Deputy Mayor</v>
      </c>
      <c r="DB155" s="27" t="s">
        <v>888</v>
      </c>
      <c r="DC155" s="27">
        <f>VLOOKUP($A155,'[1]Raw Data'!$A$3:$FB$285,107,FALSE)</f>
        <v>9840403695</v>
      </c>
      <c r="DD155" s="27" t="str">
        <f>VLOOKUP($A155,'[1]Raw Data'!$A$3:$FB$285,109,FALSE)</f>
        <v/>
      </c>
      <c r="DF155" s="27" t="str">
        <f>VLOOKUP($A155,'[1]Raw Data'!$A$3:$FB$285,110,FALSE)</f>
        <v>Adminstration Officer</v>
      </c>
      <c r="DG155" s="27" t="s">
        <v>880</v>
      </c>
      <c r="DH155" s="27" t="str">
        <f>VLOOKUP($A155,'[1]Raw Data'!$A$3:$FB$285,111,FALSE)</f>
        <v/>
      </c>
      <c r="DI155" s="27" t="str">
        <f>VLOOKUP($A155,'[1]Raw Data'!$A$3:$FB$285,121,FALSE)</f>
        <v/>
      </c>
      <c r="DK155" s="27" t="str">
        <f>VLOOKUP($A155,'[1]Raw Data'!$A$3:$FB$285,122,FALSE)</f>
        <v>Focal Person</v>
      </c>
      <c r="DL155" s="27" t="s">
        <v>881</v>
      </c>
      <c r="DM155" s="27" t="str">
        <f>VLOOKUP($A155,'[1]Raw Data'!$A$3:$FB$285,123,FALSE)</f>
        <v/>
      </c>
      <c r="DN155" s="27" t="str">
        <f>VLOOKUP($A155,'[1]Raw Data'!$A$3:$FB$285,113,FALSE)</f>
        <v>Rajendra K. C.</v>
      </c>
      <c r="DO155" s="27" t="s">
        <v>1273</v>
      </c>
      <c r="DP155" s="27" t="str">
        <f>VLOOKUP($A155,'[1]Raw Data'!$A$3:$FB$285,114,FALSE)</f>
        <v>NRA Chief-District</v>
      </c>
      <c r="DQ155" s="27" t="s">
        <v>882</v>
      </c>
      <c r="DR155" s="27">
        <f>VLOOKUP($A155,'[1]Raw Data'!$A$3:$FB$285,115,FALSE)</f>
        <v>9851213604</v>
      </c>
      <c r="DS155" s="27" t="str">
        <f>VLOOKUP($A155,'[1]Raw Data'!$A$3:$FB$285,117,FALSE)</f>
        <v>Koshnath Adhikari</v>
      </c>
      <c r="DT155" s="27" t="s">
        <v>894</v>
      </c>
      <c r="DU155" s="27" t="str">
        <f>VLOOKUP($A155,'[1]Raw Data'!$A$3:$FB$285,118,FALSE)</f>
        <v>DUDBC.DLPIU Chief</v>
      </c>
      <c r="DV155" s="27" t="s">
        <v>883</v>
      </c>
      <c r="DW155" s="27" t="str">
        <f>VLOOKUP($A155,'[1]Raw Data'!$A$3:$FB$285,119,FALSE)</f>
        <v/>
      </c>
      <c r="DX155" s="27" t="s">
        <v>339</v>
      </c>
      <c r="DY155" s="27" t="str">
        <f>VLOOKUP($A155,'[1]Raw Data'!$A$3:$FB$285,124,FALSE)</f>
        <v/>
      </c>
      <c r="DZ155" s="27" t="s">
        <v>884</v>
      </c>
      <c r="EA155" s="27" t="str">
        <f>VLOOKUP($A155,'[1]Raw Data'!$A$3:$FB$285,125,FALSE)</f>
        <v/>
      </c>
      <c r="EB155" s="27" t="s">
        <v>341</v>
      </c>
      <c r="EC155" s="27" t="str">
        <f>VLOOKUP($A155,'[1]Raw Data'!$A$3:$FB$285,126,FALSE)</f>
        <v/>
      </c>
      <c r="ED155" t="s">
        <v>478</v>
      </c>
      <c r="EE155" s="27" t="str">
        <f>VLOOKUP($A155,'[1]Raw Data'!$A$3:$FB$285,127,FALSE)</f>
        <v/>
      </c>
      <c r="EF155" s="27" t="s">
        <v>343</v>
      </c>
      <c r="EG155" s="27" t="str">
        <f>VLOOKUP($A155,'[1]Raw Data'!$A$3:$FB$285,128,FALSE)</f>
        <v/>
      </c>
      <c r="EH155" t="s">
        <v>344</v>
      </c>
      <c r="EI155" s="27" t="str">
        <f>VLOOKUP($A155,'[1]Raw Data'!$A$3:$FB$285,129,FALSE)</f>
        <v/>
      </c>
      <c r="EM155" s="27" t="str">
        <f>VLOOKUP($A155,'[1]Raw Data'!$A$3:$FB$285,130,FALSE)</f>
        <v/>
      </c>
      <c r="EN155" s="27" t="str">
        <f>VLOOKUP($A155,'[1]Raw Data'!$A$3:$FB$285,131,FALSE)</f>
        <v/>
      </c>
      <c r="EO155" s="27" t="str">
        <f>VLOOKUP($A155,'[1]Raw Data'!$A$3:$FB$285,132,FALSE)</f>
        <v/>
      </c>
      <c r="EP155" s="27" t="str">
        <f>VLOOKUP($A155,'[1]Raw Data'!$A$3:$FB$285,133,FALSE)</f>
        <v/>
      </c>
      <c r="EQ155" s="27" t="str">
        <f>VLOOKUP($A155,'[1]Raw Data'!$A$3:$FB$285,134,FALSE)</f>
        <v/>
      </c>
      <c r="ER155" s="27" t="str">
        <f>VLOOKUP($A155,'[1]Raw Data'!$A$3:$FB$285,135,FALSE)</f>
        <v/>
      </c>
      <c r="ES155" s="27" t="str">
        <f>VLOOKUP($A155,'[1]Raw Data'!$A$3:$FB$285,136,FALSE)</f>
        <v/>
      </c>
      <c r="ET155" s="27" t="str">
        <f>VLOOKUP($A155,'[1]Raw Data'!$A$3:$FB$285,137,FALSE)</f>
        <v/>
      </c>
      <c r="EU155" s="27" t="str">
        <f>VLOOKUP($A155,'[1]Raw Data'!$A$3:$FB$285,138,FALSE)</f>
        <v/>
      </c>
      <c r="EV155" s="27" t="str">
        <f>VLOOKUP($A155,'[1]Raw Data'!$A$3:$FB$285,139,FALSE)</f>
        <v/>
      </c>
      <c r="EW155" s="38">
        <f>VLOOKUP($A155,[1]Training!$A$2:$I$284,5,FALSE)</f>
        <v>219.23076923076923</v>
      </c>
      <c r="EX155" s="31">
        <f>VLOOKUP($A155,[1]Training!$A$2:$I$284,6,FALSE)</f>
        <v>376</v>
      </c>
      <c r="EY155" s="38">
        <f>VLOOKUP($A155,[1]Training!$A$2:$I$284,8,FALSE)</f>
        <v>266.6577557976342</v>
      </c>
      <c r="EZ155" s="31">
        <f>VLOOKUP($A155,[1]Training!$A$2:$I$284,9,FALSE)</f>
        <v>0</v>
      </c>
      <c r="FA155" s="27">
        <v>1</v>
      </c>
      <c r="FB155" s="27">
        <v>2</v>
      </c>
      <c r="FC155" s="27" t="str">
        <f>VLOOKUP($A155,'[1]Raw Data'!$A$3:$FB$285,148,FALSE)</f>
        <v>Prabin Gautam</v>
      </c>
      <c r="FD155" s="27" t="s">
        <v>1274</v>
      </c>
      <c r="FE155" s="27" t="str">
        <f>VLOOKUP($A155,'[1]Raw Data'!$A$3:$FB$285,149,FALSE)</f>
        <v>District Coordinator</v>
      </c>
      <c r="FF155" s="27" t="s">
        <v>885</v>
      </c>
      <c r="FG155" s="27">
        <f>VLOOKUP($A155,'[1]Raw Data'!$A$3:$FB$285,150,FALSE)</f>
        <v>9860687776</v>
      </c>
      <c r="FH155" s="27" t="str">
        <f>VLOOKUP($A155,'[1]Raw Data'!$A$3:$FB$285,156,FALSE)</f>
        <v>Sachin Sapkota</v>
      </c>
      <c r="FI155" s="27" t="s">
        <v>1275</v>
      </c>
      <c r="FJ155" s="27" t="str">
        <f>VLOOKUP($A155,'[1]Raw Data'!$A$3:$FB$285,157,FALSE)</f>
        <v>District Technical Officer</v>
      </c>
      <c r="FK155" s="27" t="s">
        <v>886</v>
      </c>
      <c r="FL155" s="27">
        <f>VLOOKUP($A155,'[1]Raw Data'!$A$3:$FB$285,158,FALSE)</f>
        <v>9847621292</v>
      </c>
      <c r="FM155" s="27" t="str">
        <f>VLOOKUP($A155,'[1]Raw Data'!$A$3:$FB$285,152,FALSE)</f>
        <v/>
      </c>
      <c r="FO155" s="27" t="str">
        <f>VLOOKUP($A155,'[1]Raw Data'!$A$3:$FB$285,153,FALSE)</f>
        <v>DIstrict Information Management Officer</v>
      </c>
      <c r="FP155" s="27" t="s">
        <v>887</v>
      </c>
      <c r="FQ155" s="27" t="str">
        <f>VLOOKUP($A155,'[1]Raw Data'!$A$3:$FB$285,154,FALSE)</f>
        <v/>
      </c>
    </row>
    <row r="156" spans="1:173" ht="24" x14ac:dyDescent="0.45">
      <c r="A156" s="27">
        <v>30011</v>
      </c>
      <c r="B156" s="36" t="str">
        <f ca="1">IFERROR(__xludf.DUMMYFUNCTION("""COMPUTED_VALUE"""),"Siddhalek Gaunpalika")</f>
        <v>Siddhalek Gaunpalika</v>
      </c>
      <c r="C156" s="37" t="str">
        <f>VLOOKUP(A156,'[1]Palika and District in Nepali '!$D$1:$F$283,3,FALSE)</f>
        <v>सिद्धलेख गाउँपालिका</v>
      </c>
      <c r="D156" s="36" t="str">
        <f ca="1">IFERROR(__xludf.DUMMYFUNCTION("""COMPUTED_VALUE"""),"Dhading")</f>
        <v>Dhading</v>
      </c>
      <c r="E156" s="36"/>
      <c r="F156" s="27">
        <f>VLOOKUP(A156,'[1]Raw Data'!$A$3:$FB$285,4,FALSE)</f>
        <v>935</v>
      </c>
      <c r="G156" s="27">
        <f>VLOOKUP(A156,'[1]Raw Data'!$A$3:$FB$285,5,FALSE)</f>
        <v>5342</v>
      </c>
      <c r="H156" s="27">
        <f>VLOOKUP(A156,'[1]Raw Data'!$A$3:$FB$285,6,FALSE)</f>
        <v>6277</v>
      </c>
      <c r="I156" s="27">
        <f>VLOOKUP($A156,'[1]Raw Data'!$A$3:$FB$285,8,FALSE)</f>
        <v>0.56999999999999995</v>
      </c>
      <c r="J156" s="27">
        <f>VLOOKUP($A156,'[1]Raw Data'!$A$3:$FB$285,9,FALSE)</f>
        <v>1.1000000000000001</v>
      </c>
      <c r="K156" s="27">
        <f>VLOOKUP($A156,'[1]Raw Data'!$A$3:$FB$285,11,FALSE)</f>
        <v>95.09</v>
      </c>
      <c r="L156" s="27">
        <f>VLOOKUP($A156,'[1]Raw Data'!$A$3:$FB$285,12,FALSE)</f>
        <v>85.43</v>
      </c>
      <c r="M156" s="27">
        <f>VLOOKUP($A156,'[1]Raw Data'!$A$3:$FB$285,14,FALSE)</f>
        <v>1.29</v>
      </c>
      <c r="N156" s="27">
        <f>VLOOKUP($A156,'[1]Raw Data'!$A$3:$FB$285,15,FALSE)</f>
        <v>3.73</v>
      </c>
      <c r="O156" s="27">
        <f>VLOOKUP($A156,'[1]Raw Data'!$A$3:$FB$285,17,FALSE)</f>
        <v>0.1</v>
      </c>
      <c r="P156" s="27">
        <f>VLOOKUP($A156,'[1]Raw Data'!$A$3:$FB$285,18,FALSE)</f>
        <v>0.48</v>
      </c>
      <c r="Q156" s="27">
        <f>VLOOKUP($A156,'[1]Raw Data'!$A$3:$FB$285,20,FALSE)</f>
        <v>1.8</v>
      </c>
      <c r="R156" s="27">
        <f>VLOOKUP($A156,'[1]Raw Data'!$A$3:$FB$285,21,FALSE)</f>
        <v>3.25</v>
      </c>
      <c r="S156" s="27">
        <f>VLOOKUP($A156,'[1]Raw Data'!$A$3:$FB$285,23,FALSE)</f>
        <v>0</v>
      </c>
      <c r="T156" s="27">
        <f>VLOOKUP($A156,'[1]Raw Data'!$A$3:$FB$285,24,FALSE)</f>
        <v>0</v>
      </c>
      <c r="U156" s="27">
        <f>VLOOKUP($A156,'[1]Raw Data'!$A$3:$FB$285,26,FALSE)</f>
        <v>0.33</v>
      </c>
      <c r="V156" s="27">
        <f>VLOOKUP($A156,'[1]Raw Data'!$A$3:$FB$285,27,FALSE)</f>
        <v>0.64</v>
      </c>
      <c r="W156" s="27">
        <f>VLOOKUP($A156,'[1]Raw Data'!$A$3:$FB$285,29,FALSE)</f>
        <v>0</v>
      </c>
      <c r="X156" s="27">
        <f>VLOOKUP($A156,'[1]Raw Data'!$A$3:$FB$285,30,FALSE)</f>
        <v>0</v>
      </c>
      <c r="Y156" s="27">
        <f>VLOOKUP($A156,'[1]Raw Data'!$A$3:$FB$285,32,FALSE)</f>
        <v>0.25</v>
      </c>
      <c r="Z156" s="27">
        <f>VLOOKUP($A156,'[1]Raw Data'!$A$3:$FB$285,33,FALSE)</f>
        <v>1.79</v>
      </c>
      <c r="AA156" s="27">
        <f>VLOOKUP($A156,'[1]Raw Data'!$A$3:$FB$285,35,FALSE)</f>
        <v>0.22</v>
      </c>
      <c r="AB156" s="27">
        <f>VLOOKUP($A156,'[1]Raw Data'!$A$3:$FB$285,36,FALSE)</f>
        <v>3.32</v>
      </c>
      <c r="AC156" s="27">
        <f>VLOOKUP($A156,'[1]Raw Data'!$A$3:$FB$285,38,FALSE)</f>
        <v>0.33</v>
      </c>
      <c r="AD156" s="27">
        <f>VLOOKUP($A156,'[1]Raw Data'!$A$3:$FB$285,39,FALSE)</f>
        <v>0.25</v>
      </c>
      <c r="AE156" s="27">
        <f>VLOOKUP($A156,'[1]Raw Data'!$A$3:$FB$285,41,FALSE)</f>
        <v>0</v>
      </c>
      <c r="AF156" s="27">
        <f>VLOOKUP($A156,'[1]Raw Data'!$A$3:$FB$285,42,FALSE)</f>
        <v>0</v>
      </c>
      <c r="AG156" s="27">
        <f>VLOOKUP($A156,'[1]Raw Data'!$A$3:$FB$285,44,FALSE)</f>
        <v>0</v>
      </c>
      <c r="AH156" s="27">
        <f>VLOOKUP($A156,'[1]Raw Data'!$A$3:$FB$285,45,FALSE)</f>
        <v>0</v>
      </c>
      <c r="AI156" s="27">
        <f>VLOOKUP($A156,'[1]Raw Data'!$A$3:$FB$285,46,FALSE)</f>
        <v>5359</v>
      </c>
      <c r="AJ156" s="27">
        <f>VLOOKUP($A156,'[1]Raw Data'!$A$3:$FB$285,47,FALSE)</f>
        <v>5034</v>
      </c>
      <c r="AK156" s="27">
        <f>VLOOKUP($A156,'[1]Raw Data'!$A$3:$FB$285,48,FALSE)</f>
        <v>5034</v>
      </c>
      <c r="AL156" s="27">
        <f>VLOOKUP($A156,'[1]Raw Data'!$A$3:$FB$285,49,FALSE)</f>
        <v>4358</v>
      </c>
      <c r="AM156" s="27">
        <f>VLOOKUP($A156,'[1]Raw Data'!$A$3:$FB$285,50,FALSE)</f>
        <v>3045</v>
      </c>
      <c r="AN156" s="27">
        <f>VLOOKUP($A156,'[1]Raw Data'!$A$3:$FB$285,51,FALSE)</f>
        <v>0</v>
      </c>
      <c r="AO156" s="27">
        <f>VLOOKUP($A156,'[1]Raw Data'!$A$3:$FB$285,52,FALSE)</f>
        <v>3395</v>
      </c>
      <c r="AP156" s="27">
        <f>VLOOKUP($A156,'[1]Raw Data'!$A$3:$FB$285,53,FALSE)</f>
        <v>463</v>
      </c>
      <c r="AQ156" s="27">
        <f>VLOOKUP($A156,'[1]Raw Data'!$A$3:$FB$285,54,FALSE)</f>
        <v>463</v>
      </c>
      <c r="AR156" s="27">
        <f>VLOOKUP($A156,'[1]Raw Data'!$A$3:$FB$285,55,FALSE)</f>
        <v>0</v>
      </c>
      <c r="AS156" s="27">
        <f>VLOOKUP($A156,'[1]Raw Data'!$A$3:$FB$285,56,FALSE)</f>
        <v>0</v>
      </c>
      <c r="AT156" s="27">
        <f>VLOOKUP($A156,'[1]Raw Data'!$A$3:$FB$285,57,FALSE)</f>
        <v>1521</v>
      </c>
      <c r="AU156" s="27">
        <f>VLOOKUP($A156,'[1]Raw Data'!$A$3:$FB$285,58,FALSE)</f>
        <v>640</v>
      </c>
      <c r="AV156" s="27">
        <f>VLOOKUP($A156,'[1]Raw Data'!$A$3:$FB$285,59,FALSE)</f>
        <v>291</v>
      </c>
      <c r="AW156" s="27">
        <f>VLOOKUP($A156,'[1]Raw Data'!$A$3:$FB$285,60,FALSE)</f>
        <v>219</v>
      </c>
      <c r="AX156" s="27" t="str">
        <f>VLOOKUP(A156,'[1]PO''s List'!A154:E436,4,FALSE)</f>
        <v>NSET(Shelter)</v>
      </c>
      <c r="AZ156" s="27" t="str">
        <f>VLOOKUP(A156,'[1]PO''s List'!$A$3:$E$285,5,FALSE)</f>
        <v>ADRA(Shelter),ASB(Shelter),CW(Education),DCA(DRR,Employment ,Health,Shelter,Health),FIDR(Education),GON(Shelter),HELVETAS(Shelter),ICDC(Shelter)</v>
      </c>
      <c r="BB156" s="27">
        <f>VLOOKUP($A156,'[1]Raw Data'!$A$3:$FB$285,63,FALSE)</f>
        <v>111668</v>
      </c>
      <c r="BC156" s="27" t="str">
        <f>VLOOKUP($A156,'[1]Raw Data'!$A$3:$FB$285,64,FALSE)</f>
        <v>Y</v>
      </c>
      <c r="BD156" s="27" t="str">
        <f t="shared" si="18"/>
        <v>छ</v>
      </c>
      <c r="BE156" s="27" t="str">
        <f>VLOOKUP($A156,'[1]Raw Data'!$A$3:$FB$285,65,FALSE)</f>
        <v/>
      </c>
      <c r="BF156" s="27">
        <f>VLOOKUP($A156,'[1]Raw Data'!$A$3:$FB$285,66,FALSE)</f>
        <v>113735</v>
      </c>
      <c r="BG156" s="27" t="str">
        <f>VLOOKUP($A156,'[1]Raw Data'!$A$3:$FB$285,67,FALSE)</f>
        <v>Y</v>
      </c>
      <c r="BH156" s="27" t="str">
        <f t="shared" si="19"/>
        <v>छ</v>
      </c>
      <c r="BI156" s="27" t="str">
        <f>VLOOKUP($A156,'[1]Raw Data'!$A$3:$FB$285,68,FALSE)</f>
        <v/>
      </c>
      <c r="BJ156" s="27">
        <f>VLOOKUP($A156,'[1]Raw Data'!$A$3:$FB$285,69,FALSE)</f>
        <v>11917</v>
      </c>
      <c r="BK156" s="27" t="str">
        <f>VLOOKUP($A156,'[1]Raw Data'!$A$3:$FB$285,70,FALSE)</f>
        <v>Y</v>
      </c>
      <c r="BL156" s="27" t="str">
        <f t="shared" si="20"/>
        <v>छ</v>
      </c>
      <c r="BM156" s="27" t="str">
        <f>VLOOKUP($A156,'[1]Raw Data'!$A$3:$FB$285,71,FALSE)</f>
        <v/>
      </c>
      <c r="BN156" s="27">
        <f>VLOOKUP($A156,'[1]Raw Data'!$A$3:$FB$285,72,FALSE)</f>
        <v>13726</v>
      </c>
      <c r="BO156" s="27" t="str">
        <f>VLOOKUP($A156,'[1]Raw Data'!$A$3:$FB$285,73,FALSE)</f>
        <v>Y</v>
      </c>
      <c r="BP156" s="27" t="str">
        <f t="shared" si="21"/>
        <v>छ</v>
      </c>
      <c r="BQ156" s="27" t="str">
        <f>VLOOKUP($A156,'[1]Raw Data'!$A$3:$FB$285,74,FALSE)</f>
        <v/>
      </c>
      <c r="BR156" s="27" t="str">
        <f>VLOOKUP($A156,'[1]Raw Data'!$A$3:$FB$285,75,FALSE)</f>
        <v/>
      </c>
      <c r="BS156" s="27" t="str">
        <f>VLOOKUP($A156,'[1]Raw Data'!$A$3:$FB$285,76,FALSE)</f>
        <v/>
      </c>
      <c r="BT156" s="27" t="str">
        <f t="shared" si="22"/>
        <v/>
      </c>
      <c r="BU156" s="27" t="str">
        <f>VLOOKUP($A156,'[1]Raw Data'!$A$3:$FB$285,77,FALSE)</f>
        <v/>
      </c>
      <c r="BV156" s="27">
        <f>VLOOKUP($A156,'[1]Raw Data'!$A$3:$FB$285,78,FALSE)</f>
        <v>377409</v>
      </c>
      <c r="BW156" s="27" t="str">
        <f>VLOOKUP($A156,'[1]Raw Data'!$A$3:$FB$285,79,FALSE)</f>
        <v/>
      </c>
      <c r="BX156" s="27" t="str">
        <f t="shared" si="23"/>
        <v/>
      </c>
      <c r="BY156" s="27" t="str">
        <f>VLOOKUP($A156,'[1]Raw Data'!$A$3:$FB$285,80,FALSE)</f>
        <v/>
      </c>
      <c r="BZ156" s="27">
        <f>VLOOKUP($A156,'[1]Raw Data'!$A$3:$FB$285,81,FALSE)</f>
        <v>1212284</v>
      </c>
      <c r="CA156" s="27" t="str">
        <f>VLOOKUP($A156,'[1]Raw Data'!$A$3:$FB$285,82,FALSE)</f>
        <v>Y</v>
      </c>
      <c r="CB156" s="27" t="str">
        <f t="shared" si="24"/>
        <v>छ</v>
      </c>
      <c r="CC156" s="27" t="str">
        <f>VLOOKUP($A156,'[1]Raw Data'!$A$3:$FB$285,83,FALSE)</f>
        <v/>
      </c>
      <c r="CD156" s="27">
        <f>VLOOKUP($A156,'[1]Raw Data'!$A$3:$FB$285,84,FALSE)</f>
        <v>15426</v>
      </c>
      <c r="CE156" s="27" t="str">
        <f>VLOOKUP($A156,'[1]Raw Data'!$A$3:$FB$285,85,FALSE)</f>
        <v>Y</v>
      </c>
      <c r="CF156" s="27" t="str">
        <f t="shared" si="25"/>
        <v>छ</v>
      </c>
      <c r="CG156" s="27" t="str">
        <f>VLOOKUP($A156,'[1]Raw Data'!$A$3:$FB$285,86,FALSE)</f>
        <v/>
      </c>
      <c r="CH156" s="27">
        <f>VLOOKUP($A156,'[1]Raw Data'!$A$3:$FB$285,87,FALSE)</f>
        <v>1227825</v>
      </c>
      <c r="CI156" s="27" t="str">
        <f>VLOOKUP($A156,'[1]Raw Data'!$A$3:$FB$285,88,FALSE)</f>
        <v>Y</v>
      </c>
      <c r="CJ156" s="27" t="str">
        <f t="shared" si="26"/>
        <v>छ</v>
      </c>
      <c r="CK156" s="27" t="str">
        <f>VLOOKUP($A156,'[1]Raw Data'!$A$3:$FB$285,89,FALSE)</f>
        <v/>
      </c>
      <c r="CL156" s="27" t="str">
        <f>VLOOKUP($A156,'[1]Raw Data'!$A$3:$FB$285,91,FALSE)</f>
        <v/>
      </c>
      <c r="CM156" s="27" t="str">
        <f>VLOOKUP($A156,'[1]Raw Data'!$A$3:$FB$285,93,FALSE)</f>
        <v/>
      </c>
      <c r="CN156" s="27" t="str">
        <f>VLOOKUP($A156,'[1]Raw Data'!$A$3:$FB$285,94,FALSE)</f>
        <v/>
      </c>
      <c r="CO156" s="27" t="str">
        <f>VLOOKUP($A156,'[1]Raw Data'!$A$3:$FB$285,95,FALSE)</f>
        <v/>
      </c>
      <c r="CP156" s="27" t="str">
        <f>VLOOKUP($A156,'[1]Raw Data'!$A$3:$FB$285,96,FALSE)</f>
        <v/>
      </c>
      <c r="CQ156" s="27" t="str">
        <f>VLOOKUP($A156,'[1]Raw Data'!$A$3:$FB$285,97,FALSE)</f>
        <v/>
      </c>
      <c r="CR156" s="27" t="str">
        <f>VLOOKUP($A156,'[1]Raw Data'!$A$3:$FB$285,98,FALSE)</f>
        <v/>
      </c>
      <c r="CS156" s="27" t="str">
        <f>VLOOKUP($A156,'[1]Raw Data'!$A$3:$FB$285,99,FALSE)</f>
        <v/>
      </c>
      <c r="CT156" s="27" t="str">
        <f>VLOOKUP($A156,'[1]Raw Data'!$A$3:$FB$285,101,FALSE)</f>
        <v>Premnath Silwal</v>
      </c>
      <c r="CU156" s="27" t="s">
        <v>1294</v>
      </c>
      <c r="CV156" s="27" t="str">
        <f>VLOOKUP($A156,'[1]Raw Data'!$A$3:$FB$285,102,FALSE)</f>
        <v>Mayor</v>
      </c>
      <c r="CW156" s="27" t="s">
        <v>834</v>
      </c>
      <c r="CX156" s="27">
        <f>VLOOKUP($A156,'[1]Raw Data'!$A$3:$FB$285,103,FALSE)</f>
        <v>9851200578</v>
      </c>
      <c r="CY156" s="27" t="str">
        <f>VLOOKUP($A156,'[1]Raw Data'!$A$3:$FB$285,105,FALSE)</f>
        <v>Kamala Sharma</v>
      </c>
      <c r="CZ156" s="27" t="s">
        <v>1295</v>
      </c>
      <c r="DA156" s="27" t="str">
        <f>VLOOKUP($A156,'[1]Raw Data'!$A$3:$FB$285,106,FALSE)</f>
        <v>Deputy Mayor</v>
      </c>
      <c r="DB156" s="27" t="s">
        <v>888</v>
      </c>
      <c r="DC156" s="27">
        <f>VLOOKUP($A156,'[1]Raw Data'!$A$3:$FB$285,107,FALSE)</f>
        <v>9841614292</v>
      </c>
      <c r="DD156" s="27" t="str">
        <f>VLOOKUP($A156,'[1]Raw Data'!$A$3:$FB$285,109,FALSE)</f>
        <v/>
      </c>
      <c r="DF156" s="27" t="str">
        <f>VLOOKUP($A156,'[1]Raw Data'!$A$3:$FB$285,110,FALSE)</f>
        <v>Adminstration Officer</v>
      </c>
      <c r="DG156" s="27" t="s">
        <v>880</v>
      </c>
      <c r="DH156" s="27" t="str">
        <f>VLOOKUP($A156,'[1]Raw Data'!$A$3:$FB$285,111,FALSE)</f>
        <v/>
      </c>
      <c r="DI156" s="27" t="str">
        <f>VLOOKUP($A156,'[1]Raw Data'!$A$3:$FB$285,121,FALSE)</f>
        <v/>
      </c>
      <c r="DK156" s="27" t="str">
        <f>VLOOKUP($A156,'[1]Raw Data'!$A$3:$FB$285,122,FALSE)</f>
        <v>Focal Person</v>
      </c>
      <c r="DL156" s="27" t="s">
        <v>881</v>
      </c>
      <c r="DM156" s="27" t="str">
        <f>VLOOKUP($A156,'[1]Raw Data'!$A$3:$FB$285,123,FALSE)</f>
        <v/>
      </c>
      <c r="DN156" s="27" t="str">
        <f>VLOOKUP($A156,'[1]Raw Data'!$A$3:$FB$285,113,FALSE)</f>
        <v>Rajendra K. C.</v>
      </c>
      <c r="DO156" s="27" t="s">
        <v>1273</v>
      </c>
      <c r="DP156" s="27" t="str">
        <f>VLOOKUP($A156,'[1]Raw Data'!$A$3:$FB$285,114,FALSE)</f>
        <v>NRA Chief-District</v>
      </c>
      <c r="DQ156" s="27" t="s">
        <v>882</v>
      </c>
      <c r="DR156" s="27">
        <f>VLOOKUP($A156,'[1]Raw Data'!$A$3:$FB$285,115,FALSE)</f>
        <v>9851213604</v>
      </c>
      <c r="DS156" s="27" t="str">
        <f>VLOOKUP($A156,'[1]Raw Data'!$A$3:$FB$285,117,FALSE)</f>
        <v>Koshnath Adhikari</v>
      </c>
      <c r="DT156" s="27" t="s">
        <v>894</v>
      </c>
      <c r="DU156" s="27" t="str">
        <f>VLOOKUP($A156,'[1]Raw Data'!$A$3:$FB$285,118,FALSE)</f>
        <v>DUDBC.DLPIU Chief</v>
      </c>
      <c r="DV156" s="27" t="s">
        <v>883</v>
      </c>
      <c r="DW156" s="27" t="str">
        <f>VLOOKUP($A156,'[1]Raw Data'!$A$3:$FB$285,119,FALSE)</f>
        <v/>
      </c>
      <c r="DX156" s="27" t="s">
        <v>339</v>
      </c>
      <c r="DY156" s="27" t="str">
        <f>VLOOKUP($A156,'[1]Raw Data'!$A$3:$FB$285,124,FALSE)</f>
        <v/>
      </c>
      <c r="DZ156" s="27" t="s">
        <v>884</v>
      </c>
      <c r="EA156" s="27" t="str">
        <f>VLOOKUP($A156,'[1]Raw Data'!$A$3:$FB$285,125,FALSE)</f>
        <v/>
      </c>
      <c r="EB156" s="27" t="s">
        <v>341</v>
      </c>
      <c r="EC156" s="27" t="str">
        <f>VLOOKUP($A156,'[1]Raw Data'!$A$3:$FB$285,126,FALSE)</f>
        <v/>
      </c>
      <c r="ED156" t="s">
        <v>478</v>
      </c>
      <c r="EE156" s="27" t="str">
        <f>VLOOKUP($A156,'[1]Raw Data'!$A$3:$FB$285,127,FALSE)</f>
        <v/>
      </c>
      <c r="EF156" s="27" t="s">
        <v>343</v>
      </c>
      <c r="EG156" s="27" t="str">
        <f>VLOOKUP($A156,'[1]Raw Data'!$A$3:$FB$285,128,FALSE)</f>
        <v/>
      </c>
      <c r="EH156" t="s">
        <v>344</v>
      </c>
      <c r="EI156" s="27" t="str">
        <f>VLOOKUP($A156,'[1]Raw Data'!$A$3:$FB$285,129,FALSE)</f>
        <v/>
      </c>
      <c r="EM156" s="27" t="str">
        <f>VLOOKUP($A156,'[1]Raw Data'!$A$3:$FB$285,130,FALSE)</f>
        <v/>
      </c>
      <c r="EN156" s="27" t="str">
        <f>VLOOKUP($A156,'[1]Raw Data'!$A$3:$FB$285,131,FALSE)</f>
        <v/>
      </c>
      <c r="EO156" s="27" t="str">
        <f>VLOOKUP($A156,'[1]Raw Data'!$A$3:$FB$285,132,FALSE)</f>
        <v/>
      </c>
      <c r="EP156" s="27" t="str">
        <f>VLOOKUP($A156,'[1]Raw Data'!$A$3:$FB$285,133,FALSE)</f>
        <v/>
      </c>
      <c r="EQ156" s="27" t="str">
        <f>VLOOKUP($A156,'[1]Raw Data'!$A$3:$FB$285,134,FALSE)</f>
        <v/>
      </c>
      <c r="ER156" s="27" t="str">
        <f>VLOOKUP($A156,'[1]Raw Data'!$A$3:$FB$285,135,FALSE)</f>
        <v/>
      </c>
      <c r="ES156" s="27" t="str">
        <f>VLOOKUP($A156,'[1]Raw Data'!$A$3:$FB$285,136,FALSE)</f>
        <v/>
      </c>
      <c r="ET156" s="27" t="str">
        <f>VLOOKUP($A156,'[1]Raw Data'!$A$3:$FB$285,137,FALSE)</f>
        <v/>
      </c>
      <c r="EU156" s="27" t="str">
        <f>VLOOKUP($A156,'[1]Raw Data'!$A$3:$FB$285,138,FALSE)</f>
        <v/>
      </c>
      <c r="EV156" s="27" t="str">
        <f>VLOOKUP($A156,'[1]Raw Data'!$A$3:$FB$285,139,FALSE)</f>
        <v/>
      </c>
      <c r="EW156" s="38">
        <f>VLOOKUP($A156,[1]Training!$A$2:$I$284,5,FALSE)</f>
        <v>412.23076923076923</v>
      </c>
      <c r="EX156" s="31">
        <f>VLOOKUP($A156,[1]Training!$A$2:$I$284,6,FALSE)</f>
        <v>539</v>
      </c>
      <c r="EY156" s="38">
        <f>VLOOKUP($A156,[1]Training!$A$2:$I$284,8,FALSE)</f>
        <v>501.41014502439356</v>
      </c>
      <c r="EZ156" s="31">
        <f>VLOOKUP($A156,[1]Training!$A$2:$I$284,9,FALSE)</f>
        <v>0</v>
      </c>
      <c r="FA156" s="27">
        <v>1</v>
      </c>
      <c r="FB156" s="27">
        <v>2</v>
      </c>
      <c r="FC156" s="27" t="str">
        <f>VLOOKUP($A156,'[1]Raw Data'!$A$3:$FB$285,148,FALSE)</f>
        <v>Prabin Gautam</v>
      </c>
      <c r="FD156" s="27" t="s">
        <v>1274</v>
      </c>
      <c r="FE156" s="27" t="str">
        <f>VLOOKUP($A156,'[1]Raw Data'!$A$3:$FB$285,149,FALSE)</f>
        <v>District Coordinator</v>
      </c>
      <c r="FF156" s="27" t="s">
        <v>885</v>
      </c>
      <c r="FG156" s="27">
        <f>VLOOKUP($A156,'[1]Raw Data'!$A$3:$FB$285,150,FALSE)</f>
        <v>9860687776</v>
      </c>
      <c r="FH156" s="27" t="str">
        <f>VLOOKUP($A156,'[1]Raw Data'!$A$3:$FB$285,156,FALSE)</f>
        <v>Sachin Sapkota</v>
      </c>
      <c r="FI156" s="27" t="s">
        <v>1275</v>
      </c>
      <c r="FJ156" s="27" t="str">
        <f>VLOOKUP($A156,'[1]Raw Data'!$A$3:$FB$285,157,FALSE)</f>
        <v>District Technical Officer</v>
      </c>
      <c r="FK156" s="27" t="s">
        <v>886</v>
      </c>
      <c r="FL156" s="27">
        <f>VLOOKUP($A156,'[1]Raw Data'!$A$3:$FB$285,158,FALSE)</f>
        <v>9847621292</v>
      </c>
      <c r="FM156" s="27" t="str">
        <f>VLOOKUP($A156,'[1]Raw Data'!$A$3:$FB$285,152,FALSE)</f>
        <v/>
      </c>
      <c r="FO156" s="27" t="str">
        <f>VLOOKUP($A156,'[1]Raw Data'!$A$3:$FB$285,153,FALSE)</f>
        <v>DIstrict Information Management Officer</v>
      </c>
      <c r="FP156" s="27" t="s">
        <v>887</v>
      </c>
      <c r="FQ156" s="27" t="str">
        <f>VLOOKUP($A156,'[1]Raw Data'!$A$3:$FB$285,154,FALSE)</f>
        <v/>
      </c>
    </row>
    <row r="157" spans="1:173" ht="24" x14ac:dyDescent="0.45">
      <c r="A157" s="27">
        <v>30012</v>
      </c>
      <c r="B157" s="36" t="str">
        <f ca="1">IFERROR(__xludf.DUMMYFUNCTION("""COMPUTED_VALUE"""),"Thakre Gaunpalika")</f>
        <v>Thakre Gaunpalika</v>
      </c>
      <c r="C157" s="37" t="str">
        <f>VLOOKUP(A157,'[1]Palika and District in Nepali '!$D$1:$F$283,3,FALSE)</f>
        <v>थाक्रे गाउँपालिका</v>
      </c>
      <c r="D157" s="36" t="str">
        <f ca="1">IFERROR(__xludf.DUMMYFUNCTION("""COMPUTED_VALUE"""),"Dhading")</f>
        <v>Dhading</v>
      </c>
      <c r="E157" s="36"/>
      <c r="F157" s="27">
        <f>VLOOKUP(A157,'[1]Raw Data'!$A$3:$FB$285,4,FALSE)</f>
        <v>964</v>
      </c>
      <c r="G157" s="27">
        <f>VLOOKUP(A157,'[1]Raw Data'!$A$3:$FB$285,5,FALSE)</f>
        <v>7053</v>
      </c>
      <c r="H157" s="27">
        <f>VLOOKUP(A157,'[1]Raw Data'!$A$3:$FB$285,6,FALSE)</f>
        <v>8017</v>
      </c>
      <c r="I157" s="27">
        <f>VLOOKUP($A157,'[1]Raw Data'!$A$3:$FB$285,8,FALSE)</f>
        <v>1.32</v>
      </c>
      <c r="J157" s="27">
        <f>VLOOKUP($A157,'[1]Raw Data'!$A$3:$FB$285,9,FALSE)</f>
        <v>1.1000000000000001</v>
      </c>
      <c r="K157" s="27">
        <f>VLOOKUP($A157,'[1]Raw Data'!$A$3:$FB$285,11,FALSE)</f>
        <v>85.72</v>
      </c>
      <c r="L157" s="27">
        <f>VLOOKUP($A157,'[1]Raw Data'!$A$3:$FB$285,12,FALSE)</f>
        <v>85.43</v>
      </c>
      <c r="M157" s="27">
        <f>VLOOKUP($A157,'[1]Raw Data'!$A$3:$FB$285,14,FALSE)</f>
        <v>4.6500000000000004</v>
      </c>
      <c r="N157" s="27">
        <f>VLOOKUP($A157,'[1]Raw Data'!$A$3:$FB$285,15,FALSE)</f>
        <v>3.73</v>
      </c>
      <c r="O157" s="27">
        <f>VLOOKUP($A157,'[1]Raw Data'!$A$3:$FB$285,17,FALSE)</f>
        <v>0.56999999999999995</v>
      </c>
      <c r="P157" s="27">
        <f>VLOOKUP($A157,'[1]Raw Data'!$A$3:$FB$285,18,FALSE)</f>
        <v>0.48</v>
      </c>
      <c r="Q157" s="27">
        <f>VLOOKUP($A157,'[1]Raw Data'!$A$3:$FB$285,20,FALSE)</f>
        <v>2.75</v>
      </c>
      <c r="R157" s="27">
        <f>VLOOKUP($A157,'[1]Raw Data'!$A$3:$FB$285,21,FALSE)</f>
        <v>3.25</v>
      </c>
      <c r="S157" s="27">
        <f>VLOOKUP($A157,'[1]Raw Data'!$A$3:$FB$285,23,FALSE)</f>
        <v>0</v>
      </c>
      <c r="T157" s="27">
        <f>VLOOKUP($A157,'[1]Raw Data'!$A$3:$FB$285,24,FALSE)</f>
        <v>0</v>
      </c>
      <c r="U157" s="27">
        <f>VLOOKUP($A157,'[1]Raw Data'!$A$3:$FB$285,26,FALSE)</f>
        <v>0.46</v>
      </c>
      <c r="V157" s="27">
        <f>VLOOKUP($A157,'[1]Raw Data'!$A$3:$FB$285,27,FALSE)</f>
        <v>0.64</v>
      </c>
      <c r="W157" s="27">
        <f>VLOOKUP($A157,'[1]Raw Data'!$A$3:$FB$285,29,FALSE)</f>
        <v>0</v>
      </c>
      <c r="X157" s="27">
        <f>VLOOKUP($A157,'[1]Raw Data'!$A$3:$FB$285,30,FALSE)</f>
        <v>0</v>
      </c>
      <c r="Y157" s="27">
        <f>VLOOKUP($A157,'[1]Raw Data'!$A$3:$FB$285,32,FALSE)</f>
        <v>0.16</v>
      </c>
      <c r="Z157" s="27">
        <f>VLOOKUP($A157,'[1]Raw Data'!$A$3:$FB$285,33,FALSE)</f>
        <v>1.79</v>
      </c>
      <c r="AA157" s="27">
        <f>VLOOKUP($A157,'[1]Raw Data'!$A$3:$FB$285,35,FALSE)</f>
        <v>4.18</v>
      </c>
      <c r="AB157" s="27">
        <f>VLOOKUP($A157,'[1]Raw Data'!$A$3:$FB$285,36,FALSE)</f>
        <v>3.32</v>
      </c>
      <c r="AC157" s="27">
        <f>VLOOKUP($A157,'[1]Raw Data'!$A$3:$FB$285,38,FALSE)</f>
        <v>0.17</v>
      </c>
      <c r="AD157" s="27">
        <f>VLOOKUP($A157,'[1]Raw Data'!$A$3:$FB$285,39,FALSE)</f>
        <v>0.25</v>
      </c>
      <c r="AE157" s="27">
        <f>VLOOKUP($A157,'[1]Raw Data'!$A$3:$FB$285,41,FALSE)</f>
        <v>0</v>
      </c>
      <c r="AF157" s="27">
        <f>VLOOKUP($A157,'[1]Raw Data'!$A$3:$FB$285,42,FALSE)</f>
        <v>0</v>
      </c>
      <c r="AG157" s="27">
        <f>VLOOKUP($A157,'[1]Raw Data'!$A$3:$FB$285,44,FALSE)</f>
        <v>0</v>
      </c>
      <c r="AH157" s="27">
        <f>VLOOKUP($A157,'[1]Raw Data'!$A$3:$FB$285,45,FALSE)</f>
        <v>0</v>
      </c>
      <c r="AI157" s="27">
        <f>VLOOKUP($A157,'[1]Raw Data'!$A$3:$FB$285,46,FALSE)</f>
        <v>6384</v>
      </c>
      <c r="AJ157" s="27">
        <f>VLOOKUP($A157,'[1]Raw Data'!$A$3:$FB$285,47,FALSE)</f>
        <v>6024</v>
      </c>
      <c r="AK157" s="27">
        <f>VLOOKUP($A157,'[1]Raw Data'!$A$3:$FB$285,48,FALSE)</f>
        <v>6024</v>
      </c>
      <c r="AL157" s="27">
        <f>VLOOKUP($A157,'[1]Raw Data'!$A$3:$FB$285,49,FALSE)</f>
        <v>4753</v>
      </c>
      <c r="AM157" s="27">
        <f>VLOOKUP($A157,'[1]Raw Data'!$A$3:$FB$285,50,FALSE)</f>
        <v>2751</v>
      </c>
      <c r="AN157" s="27">
        <f>VLOOKUP($A157,'[1]Raw Data'!$A$3:$FB$285,51,FALSE)</f>
        <v>0</v>
      </c>
      <c r="AO157" s="27">
        <f>VLOOKUP($A157,'[1]Raw Data'!$A$3:$FB$285,52,FALSE)</f>
        <v>3419</v>
      </c>
      <c r="AP157" s="27">
        <f>VLOOKUP($A157,'[1]Raw Data'!$A$3:$FB$285,53,FALSE)</f>
        <v>255</v>
      </c>
      <c r="AQ157" s="27">
        <f>VLOOKUP($A157,'[1]Raw Data'!$A$3:$FB$285,54,FALSE)</f>
        <v>255</v>
      </c>
      <c r="AR157" s="27">
        <f>VLOOKUP($A157,'[1]Raw Data'!$A$3:$FB$285,55,FALSE)</f>
        <v>10</v>
      </c>
      <c r="AS157" s="27">
        <f>VLOOKUP($A157,'[1]Raw Data'!$A$3:$FB$285,56,FALSE)</f>
        <v>0</v>
      </c>
      <c r="AT157" s="27">
        <f>VLOOKUP($A157,'[1]Raw Data'!$A$3:$FB$285,57,FALSE)</f>
        <v>1310</v>
      </c>
      <c r="AU157" s="27">
        <f>VLOOKUP($A157,'[1]Raw Data'!$A$3:$FB$285,58,FALSE)</f>
        <v>341</v>
      </c>
      <c r="AV157" s="27">
        <f>VLOOKUP($A157,'[1]Raw Data'!$A$3:$FB$285,59,FALSE)</f>
        <v>275</v>
      </c>
      <c r="AW157" s="27">
        <f>VLOOKUP($A157,'[1]Raw Data'!$A$3:$FB$285,60,FALSE)</f>
        <v>160</v>
      </c>
      <c r="AX157" s="27" t="str">
        <f>VLOOKUP(A157,'[1]PO''s List'!A155:E437,4,FALSE)</f>
        <v>NSET(Shelter),RoomTR(Education)</v>
      </c>
      <c r="AZ157" s="27" t="str">
        <f>VLOOKUP(A157,'[1]PO''s List'!$A$3:$E$285,5,FALSE)</f>
        <v>ADRA(Shelter),COSAN(Education),DCA(DRR,Health),GON - DUDBC(Shelter),GON-PAF(Shelter),Nyayik(Livelihood,Education,GESI),SCI(DRR,Education,Shelter,Social Protection,Health)</v>
      </c>
      <c r="BB157" s="27">
        <f>VLOOKUP($A157,'[1]Raw Data'!$A$3:$FB$285,63,FALSE)</f>
        <v>144826</v>
      </c>
      <c r="BC157" s="27" t="str">
        <f>VLOOKUP($A157,'[1]Raw Data'!$A$3:$FB$285,64,FALSE)</f>
        <v>Y</v>
      </c>
      <c r="BD157" s="27" t="str">
        <f t="shared" si="18"/>
        <v>छ</v>
      </c>
      <c r="BE157" s="27" t="str">
        <f>VLOOKUP($A157,'[1]Raw Data'!$A$3:$FB$285,65,FALSE)</f>
        <v/>
      </c>
      <c r="BF157" s="27">
        <f>VLOOKUP($A157,'[1]Raw Data'!$A$3:$FB$285,66,FALSE)</f>
        <v>134554</v>
      </c>
      <c r="BG157" s="27" t="str">
        <f>VLOOKUP($A157,'[1]Raw Data'!$A$3:$FB$285,67,FALSE)</f>
        <v>Y</v>
      </c>
      <c r="BH157" s="27" t="str">
        <f t="shared" si="19"/>
        <v>छ</v>
      </c>
      <c r="BI157" s="27" t="str">
        <f>VLOOKUP($A157,'[1]Raw Data'!$A$3:$FB$285,68,FALSE)</f>
        <v/>
      </c>
      <c r="BJ157" s="27">
        <f>VLOOKUP($A157,'[1]Raw Data'!$A$3:$FB$285,69,FALSE)</f>
        <v>15336</v>
      </c>
      <c r="BK157" s="27" t="str">
        <f>VLOOKUP($A157,'[1]Raw Data'!$A$3:$FB$285,70,FALSE)</f>
        <v>Y</v>
      </c>
      <c r="BL157" s="27" t="str">
        <f t="shared" si="20"/>
        <v>छ</v>
      </c>
      <c r="BM157" s="27" t="str">
        <f>VLOOKUP($A157,'[1]Raw Data'!$A$3:$FB$285,71,FALSE)</f>
        <v/>
      </c>
      <c r="BN157" s="27">
        <f>VLOOKUP($A157,'[1]Raw Data'!$A$3:$FB$285,72,FALSE)</f>
        <v>17227</v>
      </c>
      <c r="BO157" s="27" t="str">
        <f>VLOOKUP($A157,'[1]Raw Data'!$A$3:$FB$285,73,FALSE)</f>
        <v>Y</v>
      </c>
      <c r="BP157" s="27" t="str">
        <f t="shared" si="21"/>
        <v>छ</v>
      </c>
      <c r="BQ157" s="27" t="str">
        <f>VLOOKUP($A157,'[1]Raw Data'!$A$3:$FB$285,74,FALSE)</f>
        <v/>
      </c>
      <c r="BR157" s="27" t="str">
        <f>VLOOKUP($A157,'[1]Raw Data'!$A$3:$FB$285,75,FALSE)</f>
        <v/>
      </c>
      <c r="BS157" s="27" t="str">
        <f>VLOOKUP($A157,'[1]Raw Data'!$A$3:$FB$285,76,FALSE)</f>
        <v/>
      </c>
      <c r="BT157" s="27" t="str">
        <f t="shared" si="22"/>
        <v/>
      </c>
      <c r="BU157" s="27" t="str">
        <f>VLOOKUP($A157,'[1]Raw Data'!$A$3:$FB$285,77,FALSE)</f>
        <v/>
      </c>
      <c r="BV157" s="27">
        <f>VLOOKUP($A157,'[1]Raw Data'!$A$3:$FB$285,78,FALSE)</f>
        <v>449943</v>
      </c>
      <c r="BW157" s="27" t="str">
        <f>VLOOKUP($A157,'[1]Raw Data'!$A$3:$FB$285,79,FALSE)</f>
        <v/>
      </c>
      <c r="BX157" s="27" t="str">
        <f t="shared" si="23"/>
        <v/>
      </c>
      <c r="BY157" s="27" t="str">
        <f>VLOOKUP($A157,'[1]Raw Data'!$A$3:$FB$285,80,FALSE)</f>
        <v/>
      </c>
      <c r="BZ157" s="27">
        <f>VLOOKUP($A157,'[1]Raw Data'!$A$3:$FB$285,81,FALSE)</f>
        <v>1593460</v>
      </c>
      <c r="CA157" s="27" t="str">
        <f>VLOOKUP($A157,'[1]Raw Data'!$A$3:$FB$285,82,FALSE)</f>
        <v>Y</v>
      </c>
      <c r="CB157" s="27" t="str">
        <f t="shared" si="24"/>
        <v>छ</v>
      </c>
      <c r="CC157" s="27" t="str">
        <f>VLOOKUP($A157,'[1]Raw Data'!$A$3:$FB$285,83,FALSE)</f>
        <v/>
      </c>
      <c r="CD157" s="27">
        <f>VLOOKUP($A157,'[1]Raw Data'!$A$3:$FB$285,84,FALSE)</f>
        <v>18378</v>
      </c>
      <c r="CE157" s="27" t="str">
        <f>VLOOKUP($A157,'[1]Raw Data'!$A$3:$FB$285,85,FALSE)</f>
        <v>Y</v>
      </c>
      <c r="CF157" s="27" t="str">
        <f t="shared" si="25"/>
        <v>छ</v>
      </c>
      <c r="CG157" s="27" t="str">
        <f>VLOOKUP($A157,'[1]Raw Data'!$A$3:$FB$285,86,FALSE)</f>
        <v/>
      </c>
      <c r="CH157" s="27">
        <f>VLOOKUP($A157,'[1]Raw Data'!$A$3:$FB$285,87,FALSE)</f>
        <v>2738207</v>
      </c>
      <c r="CI157" s="27" t="str">
        <f>VLOOKUP($A157,'[1]Raw Data'!$A$3:$FB$285,88,FALSE)</f>
        <v>Y</v>
      </c>
      <c r="CJ157" s="27" t="str">
        <f t="shared" si="26"/>
        <v>छ</v>
      </c>
      <c r="CK157" s="27" t="str">
        <f>VLOOKUP($A157,'[1]Raw Data'!$A$3:$FB$285,89,FALSE)</f>
        <v/>
      </c>
      <c r="CL157" s="27" t="str">
        <f>VLOOKUP($A157,'[1]Raw Data'!$A$3:$FB$285,91,FALSE)</f>
        <v/>
      </c>
      <c r="CM157" s="27" t="str">
        <f>VLOOKUP($A157,'[1]Raw Data'!$A$3:$FB$285,93,FALSE)</f>
        <v/>
      </c>
      <c r="CN157" s="27" t="str">
        <f>VLOOKUP($A157,'[1]Raw Data'!$A$3:$FB$285,94,FALSE)</f>
        <v/>
      </c>
      <c r="CO157" s="27" t="str">
        <f>VLOOKUP($A157,'[1]Raw Data'!$A$3:$FB$285,95,FALSE)</f>
        <v/>
      </c>
      <c r="CP157" s="27" t="str">
        <f>VLOOKUP($A157,'[1]Raw Data'!$A$3:$FB$285,96,FALSE)</f>
        <v/>
      </c>
      <c r="CQ157" s="27" t="str">
        <f>VLOOKUP($A157,'[1]Raw Data'!$A$3:$FB$285,97,FALSE)</f>
        <v/>
      </c>
      <c r="CR157" s="27" t="str">
        <f>VLOOKUP($A157,'[1]Raw Data'!$A$3:$FB$285,98,FALSE)</f>
        <v/>
      </c>
      <c r="CS157" s="27" t="str">
        <f>VLOOKUP($A157,'[1]Raw Data'!$A$3:$FB$285,99,FALSE)</f>
        <v/>
      </c>
      <c r="CT157" s="27" t="str">
        <f>VLOOKUP($A157,'[1]Raw Data'!$A$3:$FB$285,101,FALSE)</f>
        <v>Ram Kumar Acharya</v>
      </c>
      <c r="CU157" s="27" t="s">
        <v>1296</v>
      </c>
      <c r="CV157" s="27" t="str">
        <f>VLOOKUP($A157,'[1]Raw Data'!$A$3:$FB$285,102,FALSE)</f>
        <v>Mayor</v>
      </c>
      <c r="CW157" s="27" t="s">
        <v>834</v>
      </c>
      <c r="CX157" s="27">
        <f>VLOOKUP($A157,'[1]Raw Data'!$A$3:$FB$285,103,FALSE)</f>
        <v>9851011682</v>
      </c>
      <c r="CY157" s="27" t="str">
        <f>VLOOKUP($A157,'[1]Raw Data'!$A$3:$FB$285,105,FALSE)</f>
        <v>Ambika Rupakheti</v>
      </c>
      <c r="CZ157" s="27" t="s">
        <v>1297</v>
      </c>
      <c r="DA157" s="27" t="str">
        <f>VLOOKUP($A157,'[1]Raw Data'!$A$3:$FB$285,106,FALSE)</f>
        <v>Deputy Mayor</v>
      </c>
      <c r="DB157" s="27" t="s">
        <v>888</v>
      </c>
      <c r="DC157" s="27">
        <f>VLOOKUP($A157,'[1]Raw Data'!$A$3:$FB$285,107,FALSE)</f>
        <v>9849567020</v>
      </c>
      <c r="DD157" s="27" t="str">
        <f>VLOOKUP($A157,'[1]Raw Data'!$A$3:$FB$285,109,FALSE)</f>
        <v/>
      </c>
      <c r="DF157" s="27" t="str">
        <f>VLOOKUP($A157,'[1]Raw Data'!$A$3:$FB$285,110,FALSE)</f>
        <v>Adminstration Officer</v>
      </c>
      <c r="DG157" s="27" t="s">
        <v>880</v>
      </c>
      <c r="DH157" s="27" t="str">
        <f>VLOOKUP($A157,'[1]Raw Data'!$A$3:$FB$285,111,FALSE)</f>
        <v/>
      </c>
      <c r="DI157" s="27" t="str">
        <f>VLOOKUP($A157,'[1]Raw Data'!$A$3:$FB$285,121,FALSE)</f>
        <v/>
      </c>
      <c r="DK157" s="27" t="str">
        <f>VLOOKUP($A157,'[1]Raw Data'!$A$3:$FB$285,122,FALSE)</f>
        <v>Focal Person</v>
      </c>
      <c r="DL157" s="27" t="s">
        <v>881</v>
      </c>
      <c r="DM157" s="27" t="str">
        <f>VLOOKUP($A157,'[1]Raw Data'!$A$3:$FB$285,123,FALSE)</f>
        <v/>
      </c>
      <c r="DN157" s="27" t="str">
        <f>VLOOKUP($A157,'[1]Raw Data'!$A$3:$FB$285,113,FALSE)</f>
        <v>Rajendra K. C.</v>
      </c>
      <c r="DO157" s="27" t="s">
        <v>1273</v>
      </c>
      <c r="DP157" s="27" t="str">
        <f>VLOOKUP($A157,'[1]Raw Data'!$A$3:$FB$285,114,FALSE)</f>
        <v>NRA Chief-District</v>
      </c>
      <c r="DQ157" s="27" t="s">
        <v>882</v>
      </c>
      <c r="DR157" s="27">
        <f>VLOOKUP($A157,'[1]Raw Data'!$A$3:$FB$285,115,FALSE)</f>
        <v>9851213604</v>
      </c>
      <c r="DS157" s="27" t="str">
        <f>VLOOKUP($A157,'[1]Raw Data'!$A$3:$FB$285,117,FALSE)</f>
        <v>Koshnath Adhikari</v>
      </c>
      <c r="DT157" s="27" t="s">
        <v>894</v>
      </c>
      <c r="DU157" s="27" t="str">
        <f>VLOOKUP($A157,'[1]Raw Data'!$A$3:$FB$285,118,FALSE)</f>
        <v>DUDBC.DLPIU Chief</v>
      </c>
      <c r="DV157" s="27" t="s">
        <v>883</v>
      </c>
      <c r="DW157" s="27" t="str">
        <f>VLOOKUP($A157,'[1]Raw Data'!$A$3:$FB$285,119,FALSE)</f>
        <v/>
      </c>
      <c r="DX157" s="27" t="s">
        <v>339</v>
      </c>
      <c r="DY157" s="27" t="str">
        <f>VLOOKUP($A157,'[1]Raw Data'!$A$3:$FB$285,124,FALSE)</f>
        <v/>
      </c>
      <c r="DZ157" s="27" t="s">
        <v>884</v>
      </c>
      <c r="EA157" s="27" t="str">
        <f>VLOOKUP($A157,'[1]Raw Data'!$A$3:$FB$285,125,FALSE)</f>
        <v/>
      </c>
      <c r="EB157" s="27" t="s">
        <v>341</v>
      </c>
      <c r="EC157" s="27" t="str">
        <f>VLOOKUP($A157,'[1]Raw Data'!$A$3:$FB$285,126,FALSE)</f>
        <v/>
      </c>
      <c r="ED157" t="s">
        <v>478</v>
      </c>
      <c r="EE157" s="27" t="str">
        <f>VLOOKUP($A157,'[1]Raw Data'!$A$3:$FB$285,127,FALSE)</f>
        <v/>
      </c>
      <c r="EF157" s="27" t="s">
        <v>343</v>
      </c>
      <c r="EG157" s="27" t="str">
        <f>VLOOKUP($A157,'[1]Raw Data'!$A$3:$FB$285,128,FALSE)</f>
        <v/>
      </c>
      <c r="EH157" t="s">
        <v>344</v>
      </c>
      <c r="EI157" s="27" t="str">
        <f>VLOOKUP($A157,'[1]Raw Data'!$A$3:$FB$285,129,FALSE)</f>
        <v/>
      </c>
      <c r="EM157" s="27" t="str">
        <f>VLOOKUP($A157,'[1]Raw Data'!$A$3:$FB$285,130,FALSE)</f>
        <v/>
      </c>
      <c r="EN157" s="27" t="str">
        <f>VLOOKUP($A157,'[1]Raw Data'!$A$3:$FB$285,131,FALSE)</f>
        <v/>
      </c>
      <c r="EO157" s="27" t="str">
        <f>VLOOKUP($A157,'[1]Raw Data'!$A$3:$FB$285,132,FALSE)</f>
        <v/>
      </c>
      <c r="EP157" s="27" t="str">
        <f>VLOOKUP($A157,'[1]Raw Data'!$A$3:$FB$285,133,FALSE)</f>
        <v/>
      </c>
      <c r="EQ157" s="27" t="str">
        <f>VLOOKUP($A157,'[1]Raw Data'!$A$3:$FB$285,134,FALSE)</f>
        <v/>
      </c>
      <c r="ER157" s="27" t="str">
        <f>VLOOKUP($A157,'[1]Raw Data'!$A$3:$FB$285,135,FALSE)</f>
        <v/>
      </c>
      <c r="ES157" s="27" t="str">
        <f>VLOOKUP($A157,'[1]Raw Data'!$A$3:$FB$285,136,FALSE)</f>
        <v/>
      </c>
      <c r="ET157" s="27" t="str">
        <f>VLOOKUP($A157,'[1]Raw Data'!$A$3:$FB$285,137,FALSE)</f>
        <v/>
      </c>
      <c r="EU157" s="27" t="str">
        <f>VLOOKUP($A157,'[1]Raw Data'!$A$3:$FB$285,138,FALSE)</f>
        <v/>
      </c>
      <c r="EV157" s="27" t="str">
        <f>VLOOKUP($A157,'[1]Raw Data'!$A$3:$FB$285,139,FALSE)</f>
        <v/>
      </c>
      <c r="EW157" s="38">
        <f>VLOOKUP($A157,[1]Training!$A$2:$I$284,5,FALSE)</f>
        <v>491.07692307692309</v>
      </c>
      <c r="EX157" s="31">
        <f>VLOOKUP($A157,[1]Training!$A$2:$I$284,6,FALSE)</f>
        <v>220</v>
      </c>
      <c r="EY157" s="38">
        <f>VLOOKUP($A157,[1]Training!$A$2:$I$284,8,FALSE)</f>
        <v>597.31337298670053</v>
      </c>
      <c r="EZ157" s="31">
        <f>VLOOKUP($A157,[1]Training!$A$2:$I$284,9,FALSE)</f>
        <v>0</v>
      </c>
      <c r="FA157" s="27">
        <v>1</v>
      </c>
      <c r="FB157" s="27">
        <v>2</v>
      </c>
      <c r="FC157" s="27" t="str">
        <f>VLOOKUP($A157,'[1]Raw Data'!$A$3:$FB$285,148,FALSE)</f>
        <v>Prabin Gautam</v>
      </c>
      <c r="FD157" s="27" t="s">
        <v>1274</v>
      </c>
      <c r="FE157" s="27" t="str">
        <f>VLOOKUP($A157,'[1]Raw Data'!$A$3:$FB$285,149,FALSE)</f>
        <v>District Coordinator</v>
      </c>
      <c r="FF157" s="27" t="s">
        <v>885</v>
      </c>
      <c r="FG157" s="27">
        <f>VLOOKUP($A157,'[1]Raw Data'!$A$3:$FB$285,150,FALSE)</f>
        <v>9860687776</v>
      </c>
      <c r="FH157" s="27" t="str">
        <f>VLOOKUP($A157,'[1]Raw Data'!$A$3:$FB$285,156,FALSE)</f>
        <v>Sachin Sapkota</v>
      </c>
      <c r="FI157" s="27" t="s">
        <v>1275</v>
      </c>
      <c r="FJ157" s="27" t="str">
        <f>VLOOKUP($A157,'[1]Raw Data'!$A$3:$FB$285,157,FALSE)</f>
        <v>District Technical Officer</v>
      </c>
      <c r="FK157" s="27" t="s">
        <v>886</v>
      </c>
      <c r="FL157" s="27">
        <f>VLOOKUP($A157,'[1]Raw Data'!$A$3:$FB$285,158,FALSE)</f>
        <v>9847621292</v>
      </c>
      <c r="FM157" s="27" t="str">
        <f>VLOOKUP($A157,'[1]Raw Data'!$A$3:$FB$285,152,FALSE)</f>
        <v/>
      </c>
      <c r="FO157" s="27" t="str">
        <f>VLOOKUP($A157,'[1]Raw Data'!$A$3:$FB$285,153,FALSE)</f>
        <v>DIstrict Information Management Officer</v>
      </c>
      <c r="FP157" s="27" t="s">
        <v>887</v>
      </c>
      <c r="FQ157" s="27" t="str">
        <f>VLOOKUP($A157,'[1]Raw Data'!$A$3:$FB$285,154,FALSE)</f>
        <v/>
      </c>
    </row>
    <row r="158" spans="1:173" ht="24" x14ac:dyDescent="0.45">
      <c r="A158" s="27">
        <v>30013</v>
      </c>
      <c r="B158" s="36" t="str">
        <f ca="1">IFERROR(__xludf.DUMMYFUNCTION("""COMPUTED_VALUE"""),"Tripura Sundari Gaunpalika")</f>
        <v>Tripura Sundari Gaunpalika</v>
      </c>
      <c r="C158" s="37" t="str">
        <f>VLOOKUP(A158,'[1]Palika and District in Nepali '!$D$1:$F$283,3,FALSE)</f>
        <v>त्रिपुरा सुन्दरी गाउँपालिका</v>
      </c>
      <c r="D158" s="36" t="str">
        <f ca="1">IFERROR(__xludf.DUMMYFUNCTION("""COMPUTED_VALUE"""),"Dhading")</f>
        <v>Dhading</v>
      </c>
      <c r="E158" s="36"/>
      <c r="F158" s="27">
        <f>VLOOKUP(A158,'[1]Raw Data'!$A$3:$FB$285,4,FALSE)</f>
        <v>685</v>
      </c>
      <c r="G158" s="27">
        <f>VLOOKUP(A158,'[1]Raw Data'!$A$3:$FB$285,5,FALSE)</f>
        <v>5983</v>
      </c>
      <c r="H158" s="27">
        <f>VLOOKUP(A158,'[1]Raw Data'!$A$3:$FB$285,6,FALSE)</f>
        <v>6668</v>
      </c>
      <c r="I158" s="27">
        <f>VLOOKUP($A158,'[1]Raw Data'!$A$3:$FB$285,8,FALSE)</f>
        <v>4.26</v>
      </c>
      <c r="J158" s="27">
        <f>VLOOKUP($A158,'[1]Raw Data'!$A$3:$FB$285,9,FALSE)</f>
        <v>1.1000000000000001</v>
      </c>
      <c r="K158" s="27">
        <f>VLOOKUP($A158,'[1]Raw Data'!$A$3:$FB$285,11,FALSE)</f>
        <v>82.81</v>
      </c>
      <c r="L158" s="27">
        <f>VLOOKUP($A158,'[1]Raw Data'!$A$3:$FB$285,12,FALSE)</f>
        <v>85.43</v>
      </c>
      <c r="M158" s="27">
        <f>VLOOKUP($A158,'[1]Raw Data'!$A$3:$FB$285,14,FALSE)</f>
        <v>5.39</v>
      </c>
      <c r="N158" s="27">
        <f>VLOOKUP($A158,'[1]Raw Data'!$A$3:$FB$285,15,FALSE)</f>
        <v>3.73</v>
      </c>
      <c r="O158" s="27">
        <f>VLOOKUP($A158,'[1]Raw Data'!$A$3:$FB$285,17,FALSE)</f>
        <v>3.3</v>
      </c>
      <c r="P158" s="27">
        <f>VLOOKUP($A158,'[1]Raw Data'!$A$3:$FB$285,18,FALSE)</f>
        <v>0.48</v>
      </c>
      <c r="Q158" s="27">
        <f>VLOOKUP($A158,'[1]Raw Data'!$A$3:$FB$285,20,FALSE)</f>
        <v>2.27</v>
      </c>
      <c r="R158" s="27">
        <f>VLOOKUP($A158,'[1]Raw Data'!$A$3:$FB$285,21,FALSE)</f>
        <v>3.25</v>
      </c>
      <c r="S158" s="27">
        <f>VLOOKUP($A158,'[1]Raw Data'!$A$3:$FB$285,23,FALSE)</f>
        <v>0</v>
      </c>
      <c r="T158" s="27">
        <f>VLOOKUP($A158,'[1]Raw Data'!$A$3:$FB$285,24,FALSE)</f>
        <v>0</v>
      </c>
      <c r="U158" s="27">
        <f>VLOOKUP($A158,'[1]Raw Data'!$A$3:$FB$285,26,FALSE)</f>
        <v>0.47</v>
      </c>
      <c r="V158" s="27">
        <f>VLOOKUP($A158,'[1]Raw Data'!$A$3:$FB$285,27,FALSE)</f>
        <v>0.64</v>
      </c>
      <c r="W158" s="27">
        <f>VLOOKUP($A158,'[1]Raw Data'!$A$3:$FB$285,29,FALSE)</f>
        <v>0</v>
      </c>
      <c r="X158" s="27">
        <f>VLOOKUP($A158,'[1]Raw Data'!$A$3:$FB$285,30,FALSE)</f>
        <v>0</v>
      </c>
      <c r="Y158" s="27">
        <f>VLOOKUP($A158,'[1]Raw Data'!$A$3:$FB$285,32,FALSE)</f>
        <v>0.11</v>
      </c>
      <c r="Z158" s="27">
        <f>VLOOKUP($A158,'[1]Raw Data'!$A$3:$FB$285,33,FALSE)</f>
        <v>1.79</v>
      </c>
      <c r="AA158" s="27">
        <f>VLOOKUP($A158,'[1]Raw Data'!$A$3:$FB$285,35,FALSE)</f>
        <v>0.33</v>
      </c>
      <c r="AB158" s="27">
        <f>VLOOKUP($A158,'[1]Raw Data'!$A$3:$FB$285,36,FALSE)</f>
        <v>3.32</v>
      </c>
      <c r="AC158" s="27">
        <f>VLOOKUP($A158,'[1]Raw Data'!$A$3:$FB$285,38,FALSE)</f>
        <v>1.07</v>
      </c>
      <c r="AD158" s="27">
        <f>VLOOKUP($A158,'[1]Raw Data'!$A$3:$FB$285,39,FALSE)</f>
        <v>0.25</v>
      </c>
      <c r="AE158" s="27">
        <f>VLOOKUP($A158,'[1]Raw Data'!$A$3:$FB$285,41,FALSE)</f>
        <v>0</v>
      </c>
      <c r="AF158" s="27">
        <f>VLOOKUP($A158,'[1]Raw Data'!$A$3:$FB$285,42,FALSE)</f>
        <v>0</v>
      </c>
      <c r="AG158" s="27">
        <f>VLOOKUP($A158,'[1]Raw Data'!$A$3:$FB$285,44,FALSE)</f>
        <v>0</v>
      </c>
      <c r="AH158" s="27">
        <f>VLOOKUP($A158,'[1]Raw Data'!$A$3:$FB$285,45,FALSE)</f>
        <v>0</v>
      </c>
      <c r="AI158" s="27">
        <f>VLOOKUP($A158,'[1]Raw Data'!$A$3:$FB$285,46,FALSE)</f>
        <v>5697</v>
      </c>
      <c r="AJ158" s="27">
        <f>VLOOKUP($A158,'[1]Raw Data'!$A$3:$FB$285,47,FALSE)</f>
        <v>5561</v>
      </c>
      <c r="AK158" s="27">
        <f>VLOOKUP($A158,'[1]Raw Data'!$A$3:$FB$285,48,FALSE)</f>
        <v>5561</v>
      </c>
      <c r="AL158" s="27">
        <f>VLOOKUP($A158,'[1]Raw Data'!$A$3:$FB$285,49,FALSE)</f>
        <v>4878</v>
      </c>
      <c r="AM158" s="27">
        <f>VLOOKUP($A158,'[1]Raw Data'!$A$3:$FB$285,50,FALSE)</f>
        <v>3334</v>
      </c>
      <c r="AN158" s="27">
        <f>VLOOKUP($A158,'[1]Raw Data'!$A$3:$FB$285,51,FALSE)</f>
        <v>0</v>
      </c>
      <c r="AO158" s="27">
        <f>VLOOKUP($A158,'[1]Raw Data'!$A$3:$FB$285,52,FALSE)</f>
        <v>3499</v>
      </c>
      <c r="AP158" s="27">
        <f>VLOOKUP($A158,'[1]Raw Data'!$A$3:$FB$285,53,FALSE)</f>
        <v>215</v>
      </c>
      <c r="AQ158" s="27">
        <f>VLOOKUP($A158,'[1]Raw Data'!$A$3:$FB$285,54,FALSE)</f>
        <v>215</v>
      </c>
      <c r="AR158" s="27">
        <f>VLOOKUP($A158,'[1]Raw Data'!$A$3:$FB$285,55,FALSE)</f>
        <v>10</v>
      </c>
      <c r="AS158" s="27">
        <f>VLOOKUP($A158,'[1]Raw Data'!$A$3:$FB$285,56,FALSE)</f>
        <v>0</v>
      </c>
      <c r="AT158" s="27">
        <f>VLOOKUP($A158,'[1]Raw Data'!$A$3:$FB$285,57,FALSE)</f>
        <v>1002</v>
      </c>
      <c r="AU158" s="27">
        <f>VLOOKUP($A158,'[1]Raw Data'!$A$3:$FB$285,58,FALSE)</f>
        <v>785</v>
      </c>
      <c r="AV158" s="27">
        <f>VLOOKUP($A158,'[1]Raw Data'!$A$3:$FB$285,59,FALSE)</f>
        <v>144</v>
      </c>
      <c r="AW158" s="27">
        <f>VLOOKUP($A158,'[1]Raw Data'!$A$3:$FB$285,60,FALSE)</f>
        <v>126</v>
      </c>
      <c r="AX158" s="27" t="str">
        <f>VLOOKUP(A158,'[1]PO''s List'!A156:E438,4,FALSE)</f>
        <v>CARE-N(Livelihood,DRR,GESI,Shelter,Health),NSET(Shelter),TukeeSN(Education)</v>
      </c>
      <c r="AZ158" s="27" t="str">
        <f>VLOOKUP(A158,'[1]PO''s List'!$A$3:$E$285,5,FALSE)</f>
        <v>AMDA-M(Shelter),GON(Shelter),GON - DUDBC(Shelter),OXFAM-GB(Shelter),WFP(Employment ),WHH(Education)</v>
      </c>
      <c r="BB158" s="27">
        <f>VLOOKUP($A158,'[1]Raw Data'!$A$3:$FB$285,63,FALSE)</f>
        <v>135585</v>
      </c>
      <c r="BC158" s="27" t="str">
        <f>VLOOKUP($A158,'[1]Raw Data'!$A$3:$FB$285,64,FALSE)</f>
        <v>Y</v>
      </c>
      <c r="BD158" s="27" t="str">
        <f t="shared" si="18"/>
        <v>छ</v>
      </c>
      <c r="BE158" s="27" t="str">
        <f>VLOOKUP($A158,'[1]Raw Data'!$A$3:$FB$285,65,FALSE)</f>
        <v/>
      </c>
      <c r="BF158" s="27">
        <f>VLOOKUP($A158,'[1]Raw Data'!$A$3:$FB$285,66,FALSE)</f>
        <v>116106</v>
      </c>
      <c r="BG158" s="27" t="str">
        <f>VLOOKUP($A158,'[1]Raw Data'!$A$3:$FB$285,67,FALSE)</f>
        <v>Y</v>
      </c>
      <c r="BH158" s="27" t="str">
        <f t="shared" si="19"/>
        <v>छ</v>
      </c>
      <c r="BI158" s="27" t="str">
        <f>VLOOKUP($A158,'[1]Raw Data'!$A$3:$FB$285,68,FALSE)</f>
        <v/>
      </c>
      <c r="BJ158" s="27">
        <f>VLOOKUP($A158,'[1]Raw Data'!$A$3:$FB$285,69,FALSE)</f>
        <v>14257</v>
      </c>
      <c r="BK158" s="27" t="str">
        <f>VLOOKUP($A158,'[1]Raw Data'!$A$3:$FB$285,70,FALSE)</f>
        <v>Y</v>
      </c>
      <c r="BL158" s="27" t="str">
        <f t="shared" si="20"/>
        <v>छ</v>
      </c>
      <c r="BM158" s="27" t="str">
        <f>VLOOKUP($A158,'[1]Raw Data'!$A$3:$FB$285,71,FALSE)</f>
        <v/>
      </c>
      <c r="BN158" s="27">
        <f>VLOOKUP($A158,'[1]Raw Data'!$A$3:$FB$285,72,FALSE)</f>
        <v>15649</v>
      </c>
      <c r="BO158" s="27" t="str">
        <f>VLOOKUP($A158,'[1]Raw Data'!$A$3:$FB$285,73,FALSE)</f>
        <v>Y</v>
      </c>
      <c r="BP158" s="27" t="str">
        <f t="shared" si="21"/>
        <v>छ</v>
      </c>
      <c r="BQ158" s="27" t="str">
        <f>VLOOKUP($A158,'[1]Raw Data'!$A$3:$FB$285,74,FALSE)</f>
        <v/>
      </c>
      <c r="BR158" s="27" t="str">
        <f>VLOOKUP($A158,'[1]Raw Data'!$A$3:$FB$285,75,FALSE)</f>
        <v/>
      </c>
      <c r="BS158" s="27" t="str">
        <f>VLOOKUP($A158,'[1]Raw Data'!$A$3:$FB$285,76,FALSE)</f>
        <v/>
      </c>
      <c r="BT158" s="27" t="str">
        <f t="shared" si="22"/>
        <v/>
      </c>
      <c r="BU158" s="27" t="str">
        <f>VLOOKUP($A158,'[1]Raw Data'!$A$3:$FB$285,77,FALSE)</f>
        <v/>
      </c>
      <c r="BV158" s="27">
        <f>VLOOKUP($A158,'[1]Raw Data'!$A$3:$FB$285,78,FALSE)</f>
        <v>384621</v>
      </c>
      <c r="BW158" s="27" t="str">
        <f>VLOOKUP($A158,'[1]Raw Data'!$A$3:$FB$285,79,FALSE)</f>
        <v/>
      </c>
      <c r="BX158" s="27" t="str">
        <f t="shared" si="23"/>
        <v/>
      </c>
      <c r="BY158" s="27" t="str">
        <f>VLOOKUP($A158,'[1]Raw Data'!$A$3:$FB$285,80,FALSE)</f>
        <v/>
      </c>
      <c r="BZ158" s="27">
        <f>VLOOKUP($A158,'[1]Raw Data'!$A$3:$FB$285,81,FALSE)</f>
        <v>1499209</v>
      </c>
      <c r="CA158" s="27" t="str">
        <f>VLOOKUP($A158,'[1]Raw Data'!$A$3:$FB$285,82,FALSE)</f>
        <v>Y</v>
      </c>
      <c r="CB158" s="27" t="str">
        <f t="shared" si="24"/>
        <v>छ</v>
      </c>
      <c r="CC158" s="27" t="str">
        <f>VLOOKUP($A158,'[1]Raw Data'!$A$3:$FB$285,83,FALSE)</f>
        <v/>
      </c>
      <c r="CD158" s="27">
        <f>VLOOKUP($A158,'[1]Raw Data'!$A$3:$FB$285,84,FALSE)</f>
        <v>15662</v>
      </c>
      <c r="CE158" s="27" t="str">
        <f>VLOOKUP($A158,'[1]Raw Data'!$A$3:$FB$285,85,FALSE)</f>
        <v>Y</v>
      </c>
      <c r="CF158" s="27" t="str">
        <f t="shared" si="25"/>
        <v>छ</v>
      </c>
      <c r="CG158" s="27" t="str">
        <f>VLOOKUP($A158,'[1]Raw Data'!$A$3:$FB$285,86,FALSE)</f>
        <v/>
      </c>
      <c r="CH158" s="27">
        <f>VLOOKUP($A158,'[1]Raw Data'!$A$3:$FB$285,87,FALSE)</f>
        <v>2438617</v>
      </c>
      <c r="CI158" s="27" t="str">
        <f>VLOOKUP($A158,'[1]Raw Data'!$A$3:$FB$285,88,FALSE)</f>
        <v>Y</v>
      </c>
      <c r="CJ158" s="27" t="str">
        <f t="shared" si="26"/>
        <v>छ</v>
      </c>
      <c r="CK158" s="27" t="str">
        <f>VLOOKUP($A158,'[1]Raw Data'!$A$3:$FB$285,89,FALSE)</f>
        <v/>
      </c>
      <c r="CL158" s="27" t="str">
        <f>VLOOKUP($A158,'[1]Raw Data'!$A$3:$FB$285,91,FALSE)</f>
        <v/>
      </c>
      <c r="CM158" s="27" t="str">
        <f>VLOOKUP($A158,'[1]Raw Data'!$A$3:$FB$285,93,FALSE)</f>
        <v/>
      </c>
      <c r="CN158" s="27" t="str">
        <f>VLOOKUP($A158,'[1]Raw Data'!$A$3:$FB$285,94,FALSE)</f>
        <v/>
      </c>
      <c r="CO158" s="27" t="str">
        <f>VLOOKUP($A158,'[1]Raw Data'!$A$3:$FB$285,95,FALSE)</f>
        <v/>
      </c>
      <c r="CP158" s="27" t="str">
        <f>VLOOKUP($A158,'[1]Raw Data'!$A$3:$FB$285,96,FALSE)</f>
        <v/>
      </c>
      <c r="CQ158" s="27" t="str">
        <f>VLOOKUP($A158,'[1]Raw Data'!$A$3:$FB$285,97,FALSE)</f>
        <v/>
      </c>
      <c r="CR158" s="27" t="str">
        <f>VLOOKUP($A158,'[1]Raw Data'!$A$3:$FB$285,98,FALSE)</f>
        <v/>
      </c>
      <c r="CS158" s="27" t="str">
        <f>VLOOKUP($A158,'[1]Raw Data'!$A$3:$FB$285,99,FALSE)</f>
        <v/>
      </c>
      <c r="CT158" s="27" t="str">
        <f>VLOOKUP($A158,'[1]Raw Data'!$A$3:$FB$285,101,FALSE)</f>
        <v>Shambhu Kumar Thapa</v>
      </c>
      <c r="CU158" s="27" t="s">
        <v>1298</v>
      </c>
      <c r="CV158" s="27" t="str">
        <f>VLOOKUP($A158,'[1]Raw Data'!$A$3:$FB$285,102,FALSE)</f>
        <v>Mayor</v>
      </c>
      <c r="CW158" s="27" t="s">
        <v>834</v>
      </c>
      <c r="CX158" s="27">
        <f>VLOOKUP($A158,'[1]Raw Data'!$A$3:$FB$285,103,FALSE)</f>
        <v>9851210443</v>
      </c>
      <c r="CY158" s="27" t="str">
        <f>VLOOKUP($A158,'[1]Raw Data'!$A$3:$FB$285,105,FALSE)</f>
        <v>Devi Pandey Burlakoti</v>
      </c>
      <c r="CZ158" s="27" t="s">
        <v>1299</v>
      </c>
      <c r="DA158" s="27" t="str">
        <f>VLOOKUP($A158,'[1]Raw Data'!$A$3:$FB$285,106,FALSE)</f>
        <v>Deputy Mayor</v>
      </c>
      <c r="DB158" s="27" t="s">
        <v>888</v>
      </c>
      <c r="DC158" s="27">
        <f>VLOOKUP($A158,'[1]Raw Data'!$A$3:$FB$285,107,FALSE)</f>
        <v>9851164887</v>
      </c>
      <c r="DD158" s="27" t="str">
        <f>VLOOKUP($A158,'[1]Raw Data'!$A$3:$FB$285,109,FALSE)</f>
        <v/>
      </c>
      <c r="DF158" s="27" t="str">
        <f>VLOOKUP($A158,'[1]Raw Data'!$A$3:$FB$285,110,FALSE)</f>
        <v>Adminstration Officer</v>
      </c>
      <c r="DG158" s="27" t="s">
        <v>880</v>
      </c>
      <c r="DH158" s="27" t="str">
        <f>VLOOKUP($A158,'[1]Raw Data'!$A$3:$FB$285,111,FALSE)</f>
        <v/>
      </c>
      <c r="DI158" s="27" t="str">
        <f>VLOOKUP($A158,'[1]Raw Data'!$A$3:$FB$285,121,FALSE)</f>
        <v xml:space="preserve">Suresh Rijal </v>
      </c>
      <c r="DJ158" s="27" t="s">
        <v>1300</v>
      </c>
      <c r="DK158" s="27" t="str">
        <f>VLOOKUP($A158,'[1]Raw Data'!$A$3:$FB$285,122,FALSE)</f>
        <v>Focal Person</v>
      </c>
      <c r="DL158" s="27" t="s">
        <v>881</v>
      </c>
      <c r="DM158" s="27">
        <f>VLOOKUP($A158,'[1]Raw Data'!$A$3:$FB$285,123,FALSE)</f>
        <v>9851147748</v>
      </c>
      <c r="DN158" s="27" t="str">
        <f>VLOOKUP($A158,'[1]Raw Data'!$A$3:$FB$285,113,FALSE)</f>
        <v>Rajendra K. C.</v>
      </c>
      <c r="DO158" s="27" t="s">
        <v>1273</v>
      </c>
      <c r="DP158" s="27" t="str">
        <f>VLOOKUP($A158,'[1]Raw Data'!$A$3:$FB$285,114,FALSE)</f>
        <v>NRA Chief-District</v>
      </c>
      <c r="DQ158" s="27" t="s">
        <v>882</v>
      </c>
      <c r="DR158" s="27">
        <f>VLOOKUP($A158,'[1]Raw Data'!$A$3:$FB$285,115,FALSE)</f>
        <v>9851213604</v>
      </c>
      <c r="DS158" s="27" t="str">
        <f>VLOOKUP($A158,'[1]Raw Data'!$A$3:$FB$285,117,FALSE)</f>
        <v>Koshnath Adhikari</v>
      </c>
      <c r="DT158" s="27" t="s">
        <v>894</v>
      </c>
      <c r="DU158" s="27" t="str">
        <f>VLOOKUP($A158,'[1]Raw Data'!$A$3:$FB$285,118,FALSE)</f>
        <v>DUDBC.DLPIU Chief</v>
      </c>
      <c r="DV158" s="27" t="s">
        <v>883</v>
      </c>
      <c r="DW158" s="27" t="str">
        <f>VLOOKUP($A158,'[1]Raw Data'!$A$3:$FB$285,119,FALSE)</f>
        <v/>
      </c>
      <c r="DX158" s="27" t="s">
        <v>339</v>
      </c>
      <c r="DY158" s="27" t="str">
        <f>VLOOKUP($A158,'[1]Raw Data'!$A$3:$FB$285,124,FALSE)</f>
        <v/>
      </c>
      <c r="DZ158" s="27" t="s">
        <v>884</v>
      </c>
      <c r="EA158" s="27" t="str">
        <f>VLOOKUP($A158,'[1]Raw Data'!$A$3:$FB$285,125,FALSE)</f>
        <v/>
      </c>
      <c r="EB158" s="27" t="s">
        <v>341</v>
      </c>
      <c r="EC158" s="27" t="str">
        <f>VLOOKUP($A158,'[1]Raw Data'!$A$3:$FB$285,126,FALSE)</f>
        <v/>
      </c>
      <c r="ED158" t="s">
        <v>478</v>
      </c>
      <c r="EE158" s="27" t="str">
        <f>VLOOKUP($A158,'[1]Raw Data'!$A$3:$FB$285,127,FALSE)</f>
        <v/>
      </c>
      <c r="EF158" s="27" t="s">
        <v>343</v>
      </c>
      <c r="EG158" s="27" t="str">
        <f>VLOOKUP($A158,'[1]Raw Data'!$A$3:$FB$285,128,FALSE)</f>
        <v/>
      </c>
      <c r="EH158" t="s">
        <v>344</v>
      </c>
      <c r="EI158" s="27" t="str">
        <f>VLOOKUP($A158,'[1]Raw Data'!$A$3:$FB$285,129,FALSE)</f>
        <v/>
      </c>
      <c r="EM158" s="27" t="str">
        <f>VLOOKUP($A158,'[1]Raw Data'!$A$3:$FB$285,130,FALSE)</f>
        <v/>
      </c>
      <c r="EN158" s="27" t="str">
        <f>VLOOKUP($A158,'[1]Raw Data'!$A$3:$FB$285,131,FALSE)</f>
        <v/>
      </c>
      <c r="EO158" s="27" t="str">
        <f>VLOOKUP($A158,'[1]Raw Data'!$A$3:$FB$285,132,FALSE)</f>
        <v/>
      </c>
      <c r="EP158" s="27" t="str">
        <f>VLOOKUP($A158,'[1]Raw Data'!$A$3:$FB$285,133,FALSE)</f>
        <v/>
      </c>
      <c r="EQ158" s="27" t="str">
        <f>VLOOKUP($A158,'[1]Raw Data'!$A$3:$FB$285,134,FALSE)</f>
        <v/>
      </c>
      <c r="ER158" s="27" t="str">
        <f>VLOOKUP($A158,'[1]Raw Data'!$A$3:$FB$285,135,FALSE)</f>
        <v/>
      </c>
      <c r="ES158" s="27" t="str">
        <f>VLOOKUP($A158,'[1]Raw Data'!$A$3:$FB$285,136,FALSE)</f>
        <v/>
      </c>
      <c r="ET158" s="27" t="str">
        <f>VLOOKUP($A158,'[1]Raw Data'!$A$3:$FB$285,137,FALSE)</f>
        <v/>
      </c>
      <c r="EU158" s="27" t="str">
        <f>VLOOKUP($A158,'[1]Raw Data'!$A$3:$FB$285,138,FALSE)</f>
        <v/>
      </c>
      <c r="EV158" s="27" t="str">
        <f>VLOOKUP($A158,'[1]Raw Data'!$A$3:$FB$285,139,FALSE)</f>
        <v/>
      </c>
      <c r="EW158" s="38">
        <f>VLOOKUP($A158,[1]Training!$A$2:$I$284,5,FALSE)</f>
        <v>438.23076923076923</v>
      </c>
      <c r="EX158" s="31">
        <f>VLOOKUP($A158,[1]Training!$A$2:$I$284,6,FALSE)</f>
        <v>330</v>
      </c>
      <c r="EY158" s="38">
        <f>VLOOKUP($A158,[1]Training!$A$2:$I$284,8,FALSE)</f>
        <v>533.03481922074457</v>
      </c>
      <c r="EZ158" s="31">
        <f>VLOOKUP($A158,[1]Training!$A$2:$I$284,9,FALSE)</f>
        <v>0</v>
      </c>
      <c r="FA158" s="27">
        <v>1</v>
      </c>
      <c r="FB158" s="27">
        <v>2</v>
      </c>
      <c r="FC158" s="27" t="str">
        <f>VLOOKUP($A158,'[1]Raw Data'!$A$3:$FB$285,148,FALSE)</f>
        <v>Prabin Gautam</v>
      </c>
      <c r="FD158" s="27" t="s">
        <v>1274</v>
      </c>
      <c r="FE158" s="27" t="str">
        <f>VLOOKUP($A158,'[1]Raw Data'!$A$3:$FB$285,149,FALSE)</f>
        <v>District Coordinator</v>
      </c>
      <c r="FF158" s="27" t="s">
        <v>885</v>
      </c>
      <c r="FG158" s="27">
        <f>VLOOKUP($A158,'[1]Raw Data'!$A$3:$FB$285,150,FALSE)</f>
        <v>9860687776</v>
      </c>
      <c r="FH158" s="27" t="str">
        <f>VLOOKUP($A158,'[1]Raw Data'!$A$3:$FB$285,156,FALSE)</f>
        <v>Sachin Sapkota</v>
      </c>
      <c r="FI158" s="27" t="s">
        <v>1275</v>
      </c>
      <c r="FJ158" s="27" t="str">
        <f>VLOOKUP($A158,'[1]Raw Data'!$A$3:$FB$285,157,FALSE)</f>
        <v>District Technical Officer</v>
      </c>
      <c r="FK158" s="27" t="s">
        <v>886</v>
      </c>
      <c r="FL158" s="27">
        <f>VLOOKUP($A158,'[1]Raw Data'!$A$3:$FB$285,158,FALSE)</f>
        <v>9847621292</v>
      </c>
      <c r="FM158" s="27" t="str">
        <f>VLOOKUP($A158,'[1]Raw Data'!$A$3:$FB$285,152,FALSE)</f>
        <v/>
      </c>
      <c r="FO158" s="27" t="str">
        <f>VLOOKUP($A158,'[1]Raw Data'!$A$3:$FB$285,153,FALSE)</f>
        <v>DIstrict Information Management Officer</v>
      </c>
      <c r="FP158" s="27" t="s">
        <v>887</v>
      </c>
      <c r="FQ158" s="27" t="str">
        <f>VLOOKUP($A158,'[1]Raw Data'!$A$3:$FB$285,154,FALSE)</f>
        <v/>
      </c>
    </row>
    <row r="159" spans="1:173" ht="24" x14ac:dyDescent="0.45">
      <c r="A159" s="27">
        <v>31001</v>
      </c>
      <c r="B159" s="36" t="str">
        <f ca="1">IFERROR(__xludf.DUMMYFUNCTION("""COMPUTED_VALUE"""),"Bagmati Gaunpalika")</f>
        <v>Bagmati Gaunpalika</v>
      </c>
      <c r="C159" s="37" t="str">
        <f>VLOOKUP(A159,'[1]Palika and District in Nepali '!$D$1:$F$283,3,FALSE)</f>
        <v>बागमति गाऊपालिका</v>
      </c>
      <c r="D159" s="36" t="str">
        <f ca="1">IFERROR(__xludf.DUMMYFUNCTION("""COMPUTED_VALUE"""),"Makwanpur")</f>
        <v>Makwanpur</v>
      </c>
      <c r="E159" s="36"/>
      <c r="F159" s="27">
        <f>VLOOKUP(A159,'[1]Raw Data'!$A$3:$FB$285,4,FALSE)</f>
        <v>3711</v>
      </c>
      <c r="G159" s="27">
        <f>VLOOKUP(A159,'[1]Raw Data'!$A$3:$FB$285,5,FALSE)</f>
        <v>2328</v>
      </c>
      <c r="H159" s="27">
        <f>VLOOKUP(A159,'[1]Raw Data'!$A$3:$FB$285,6,FALSE)</f>
        <v>6039</v>
      </c>
      <c r="I159" s="27">
        <f>VLOOKUP($A159,'[1]Raw Data'!$A$3:$FB$285,8,FALSE)</f>
        <v>1.66</v>
      </c>
      <c r="J159" s="27">
        <f>VLOOKUP($A159,'[1]Raw Data'!$A$3:$FB$285,9,FALSE)</f>
        <v>1.32</v>
      </c>
      <c r="K159" s="27">
        <f>VLOOKUP($A159,'[1]Raw Data'!$A$3:$FB$285,11,FALSE)</f>
        <v>47.85</v>
      </c>
      <c r="L159" s="27">
        <f>VLOOKUP($A159,'[1]Raw Data'!$A$3:$FB$285,12,FALSE)</f>
        <v>44.19</v>
      </c>
      <c r="M159" s="27">
        <f>VLOOKUP($A159,'[1]Raw Data'!$A$3:$FB$285,14,FALSE)</f>
        <v>3.4</v>
      </c>
      <c r="N159" s="27">
        <f>VLOOKUP($A159,'[1]Raw Data'!$A$3:$FB$285,15,FALSE)</f>
        <v>26.6</v>
      </c>
      <c r="O159" s="27">
        <f>VLOOKUP($A159,'[1]Raw Data'!$A$3:$FB$285,17,FALSE)</f>
        <v>0.17</v>
      </c>
      <c r="P159" s="27">
        <f>VLOOKUP($A159,'[1]Raw Data'!$A$3:$FB$285,18,FALSE)</f>
        <v>2.36</v>
      </c>
      <c r="Q159" s="27">
        <f>VLOOKUP($A159,'[1]Raw Data'!$A$3:$FB$285,20,FALSE)</f>
        <v>0.65</v>
      </c>
      <c r="R159" s="27">
        <f>VLOOKUP($A159,'[1]Raw Data'!$A$3:$FB$285,21,FALSE)</f>
        <v>5.22</v>
      </c>
      <c r="S159" s="27">
        <f>VLOOKUP($A159,'[1]Raw Data'!$A$3:$FB$285,23,FALSE)</f>
        <v>0</v>
      </c>
      <c r="T159" s="27">
        <f>VLOOKUP($A159,'[1]Raw Data'!$A$3:$FB$285,24,FALSE)</f>
        <v>0</v>
      </c>
      <c r="U159" s="27">
        <f>VLOOKUP($A159,'[1]Raw Data'!$A$3:$FB$285,26,FALSE)</f>
        <v>43.49</v>
      </c>
      <c r="V159" s="27">
        <f>VLOOKUP($A159,'[1]Raw Data'!$A$3:$FB$285,27,FALSE)</f>
        <v>16.91</v>
      </c>
      <c r="W159" s="27">
        <f>VLOOKUP($A159,'[1]Raw Data'!$A$3:$FB$285,29,FALSE)</f>
        <v>0</v>
      </c>
      <c r="X159" s="27">
        <f>VLOOKUP($A159,'[1]Raw Data'!$A$3:$FB$285,30,FALSE)</f>
        <v>0</v>
      </c>
      <c r="Y159" s="27">
        <f>VLOOKUP($A159,'[1]Raw Data'!$A$3:$FB$285,32,FALSE)</f>
        <v>1.28</v>
      </c>
      <c r="Z159" s="27">
        <f>VLOOKUP($A159,'[1]Raw Data'!$A$3:$FB$285,33,FALSE)</f>
        <v>0.22</v>
      </c>
      <c r="AA159" s="27">
        <f>VLOOKUP($A159,'[1]Raw Data'!$A$3:$FB$285,35,FALSE)</f>
        <v>0.15</v>
      </c>
      <c r="AB159" s="27">
        <f>VLOOKUP($A159,'[1]Raw Data'!$A$3:$FB$285,36,FALSE)</f>
        <v>2.85</v>
      </c>
      <c r="AC159" s="27">
        <f>VLOOKUP($A159,'[1]Raw Data'!$A$3:$FB$285,38,FALSE)</f>
        <v>1.38</v>
      </c>
      <c r="AD159" s="27">
        <f>VLOOKUP($A159,'[1]Raw Data'!$A$3:$FB$285,39,FALSE)</f>
        <v>0.32</v>
      </c>
      <c r="AE159" s="27">
        <f>VLOOKUP($A159,'[1]Raw Data'!$A$3:$FB$285,41,FALSE)</f>
        <v>0</v>
      </c>
      <c r="AF159" s="27">
        <f>VLOOKUP($A159,'[1]Raw Data'!$A$3:$FB$285,42,FALSE)</f>
        <v>0</v>
      </c>
      <c r="AG159" s="27">
        <f>VLOOKUP($A159,'[1]Raw Data'!$A$3:$FB$285,44,FALSE)</f>
        <v>0</v>
      </c>
      <c r="AH159" s="27">
        <f>VLOOKUP($A159,'[1]Raw Data'!$A$3:$FB$285,45,FALSE)</f>
        <v>0</v>
      </c>
      <c r="AI159" s="27">
        <f>VLOOKUP($A159,'[1]Raw Data'!$A$3:$FB$285,46,FALSE)</f>
        <v>2467</v>
      </c>
      <c r="AJ159" s="27">
        <f>VLOOKUP($A159,'[1]Raw Data'!$A$3:$FB$285,47,FALSE)</f>
        <v>1880</v>
      </c>
      <c r="AK159" s="27">
        <f>VLOOKUP($A159,'[1]Raw Data'!$A$3:$FB$285,48,FALSE)</f>
        <v>1877</v>
      </c>
      <c r="AL159" s="27">
        <f>VLOOKUP($A159,'[1]Raw Data'!$A$3:$FB$285,49,FALSE)</f>
        <v>1350</v>
      </c>
      <c r="AM159" s="27">
        <f>VLOOKUP($A159,'[1]Raw Data'!$A$3:$FB$285,50,FALSE)</f>
        <v>812</v>
      </c>
      <c r="AN159" s="27">
        <f>VLOOKUP($A159,'[1]Raw Data'!$A$3:$FB$285,51,FALSE)</f>
        <v>1318</v>
      </c>
      <c r="AO159" s="27">
        <f>VLOOKUP($A159,'[1]Raw Data'!$A$3:$FB$285,52,FALSE)</f>
        <v>610</v>
      </c>
      <c r="AP159" s="27">
        <f>VLOOKUP($A159,'[1]Raw Data'!$A$3:$FB$285,53,FALSE)</f>
        <v>1941</v>
      </c>
      <c r="AQ159" s="27">
        <f>VLOOKUP($A159,'[1]Raw Data'!$A$3:$FB$285,54,FALSE)</f>
        <v>532</v>
      </c>
      <c r="AR159" s="27">
        <f>VLOOKUP($A159,'[1]Raw Data'!$A$3:$FB$285,55,FALSE)</f>
        <v>511</v>
      </c>
      <c r="AS159" s="27">
        <f>VLOOKUP($A159,'[1]Raw Data'!$A$3:$FB$285,56,FALSE)</f>
        <v>0</v>
      </c>
      <c r="AT159" s="27">
        <f>VLOOKUP($A159,'[1]Raw Data'!$A$3:$FB$285,57,FALSE)</f>
        <v>3756</v>
      </c>
      <c r="AU159" s="27">
        <f>VLOOKUP($A159,'[1]Raw Data'!$A$3:$FB$285,58,FALSE)</f>
        <v>3756</v>
      </c>
      <c r="AV159" s="27">
        <f>VLOOKUP($A159,'[1]Raw Data'!$A$3:$FB$285,59,FALSE)</f>
        <v>79</v>
      </c>
      <c r="AW159" s="27">
        <f>VLOOKUP($A159,'[1]Raw Data'!$A$3:$FB$285,60,FALSE)</f>
        <v>71</v>
      </c>
      <c r="AX159" s="27" t="str">
        <f>VLOOKUP(A159,'[1]PO''s List'!A157:E439,4,FALSE)</f>
        <v>PIN(Shelter)</v>
      </c>
      <c r="AZ159" s="27" t="str">
        <f>VLOOKUP(A159,'[1]PO''s List'!$A$3:$E$285,5,FALSE)</f>
        <v>AATWIN(Social Protection),EBMF(Education),FCA(Education),HELVETAS(Shelter),Tearfund(Shelter)</v>
      </c>
      <c r="BB159" s="27">
        <f>VLOOKUP($A159,'[1]Raw Data'!$A$3:$FB$285,63,FALSE)</f>
        <v>19010</v>
      </c>
      <c r="BC159" s="27" t="str">
        <f>VLOOKUP($A159,'[1]Raw Data'!$A$3:$FB$285,64,FALSE)</f>
        <v/>
      </c>
      <c r="BD159" s="27" t="str">
        <f t="shared" si="18"/>
        <v/>
      </c>
      <c r="BE159" s="27" t="str">
        <f>VLOOKUP($A159,'[1]Raw Data'!$A$3:$FB$285,65,FALSE)</f>
        <v/>
      </c>
      <c r="BF159" s="27">
        <f>VLOOKUP($A159,'[1]Raw Data'!$A$3:$FB$285,66,FALSE)</f>
        <v>18100</v>
      </c>
      <c r="BG159" s="27" t="str">
        <f>VLOOKUP($A159,'[1]Raw Data'!$A$3:$FB$285,67,FALSE)</f>
        <v/>
      </c>
      <c r="BH159" s="27" t="str">
        <f t="shared" si="19"/>
        <v/>
      </c>
      <c r="BI159" s="27" t="str">
        <f>VLOOKUP($A159,'[1]Raw Data'!$A$3:$FB$285,68,FALSE)</f>
        <v/>
      </c>
      <c r="BJ159" s="27">
        <f>VLOOKUP($A159,'[1]Raw Data'!$A$3:$FB$285,69,FALSE)</f>
        <v>2018</v>
      </c>
      <c r="BK159" s="27" t="str">
        <f>VLOOKUP($A159,'[1]Raw Data'!$A$3:$FB$285,70,FALSE)</f>
        <v/>
      </c>
      <c r="BL159" s="27" t="str">
        <f t="shared" si="20"/>
        <v/>
      </c>
      <c r="BM159" s="27" t="str">
        <f>VLOOKUP($A159,'[1]Raw Data'!$A$3:$FB$285,71,FALSE)</f>
        <v/>
      </c>
      <c r="BN159" s="27">
        <f>VLOOKUP($A159,'[1]Raw Data'!$A$3:$FB$285,72,FALSE)</f>
        <v>2287</v>
      </c>
      <c r="BO159" s="27" t="str">
        <f>VLOOKUP($A159,'[1]Raw Data'!$A$3:$FB$285,73,FALSE)</f>
        <v/>
      </c>
      <c r="BP159" s="27" t="str">
        <f t="shared" si="21"/>
        <v/>
      </c>
      <c r="BQ159" s="27" t="str">
        <f>VLOOKUP($A159,'[1]Raw Data'!$A$3:$FB$285,74,FALSE)</f>
        <v/>
      </c>
      <c r="BR159" s="27" t="str">
        <f>VLOOKUP($A159,'[1]Raw Data'!$A$3:$FB$285,75,FALSE)</f>
        <v/>
      </c>
      <c r="BS159" s="27" t="str">
        <f>VLOOKUP($A159,'[1]Raw Data'!$A$3:$FB$285,76,FALSE)</f>
        <v/>
      </c>
      <c r="BT159" s="27" t="str">
        <f t="shared" si="22"/>
        <v/>
      </c>
      <c r="BU159" s="27" t="str">
        <f>VLOOKUP($A159,'[1]Raw Data'!$A$3:$FB$285,77,FALSE)</f>
        <v/>
      </c>
      <c r="BV159" s="27">
        <f>VLOOKUP($A159,'[1]Raw Data'!$A$3:$FB$285,78,FALSE)</f>
        <v>61338</v>
      </c>
      <c r="BW159" s="27" t="str">
        <f>VLOOKUP($A159,'[1]Raw Data'!$A$3:$FB$285,79,FALSE)</f>
        <v/>
      </c>
      <c r="BX159" s="27" t="str">
        <f t="shared" si="23"/>
        <v/>
      </c>
      <c r="BY159" s="27" t="str">
        <f>VLOOKUP($A159,'[1]Raw Data'!$A$3:$FB$285,80,FALSE)</f>
        <v/>
      </c>
      <c r="BZ159" s="27">
        <f>VLOOKUP($A159,'[1]Raw Data'!$A$3:$FB$285,81,FALSE)</f>
        <v>209705</v>
      </c>
      <c r="CA159" s="27" t="str">
        <f>VLOOKUP($A159,'[1]Raw Data'!$A$3:$FB$285,82,FALSE)</f>
        <v/>
      </c>
      <c r="CB159" s="27" t="str">
        <f t="shared" si="24"/>
        <v/>
      </c>
      <c r="CC159" s="27" t="str">
        <f>VLOOKUP($A159,'[1]Raw Data'!$A$3:$FB$285,83,FALSE)</f>
        <v/>
      </c>
      <c r="CD159" s="27">
        <f>VLOOKUP($A159,'[1]Raw Data'!$A$3:$FB$285,84,FALSE)</f>
        <v>2511</v>
      </c>
      <c r="CE159" s="27" t="str">
        <f>VLOOKUP($A159,'[1]Raw Data'!$A$3:$FB$285,85,FALSE)</f>
        <v/>
      </c>
      <c r="CF159" s="27" t="str">
        <f t="shared" si="25"/>
        <v/>
      </c>
      <c r="CG159" s="27" t="str">
        <f>VLOOKUP($A159,'[1]Raw Data'!$A$3:$FB$285,86,FALSE)</f>
        <v/>
      </c>
      <c r="CH159" s="27">
        <f>VLOOKUP($A159,'[1]Raw Data'!$A$3:$FB$285,87,FALSE)</f>
        <v>464839</v>
      </c>
      <c r="CI159" s="27" t="str">
        <f>VLOOKUP($A159,'[1]Raw Data'!$A$3:$FB$285,88,FALSE)</f>
        <v/>
      </c>
      <c r="CJ159" s="27" t="str">
        <f t="shared" si="26"/>
        <v/>
      </c>
      <c r="CK159" s="27" t="str">
        <f>VLOOKUP($A159,'[1]Raw Data'!$A$3:$FB$285,89,FALSE)</f>
        <v/>
      </c>
      <c r="CL159" s="27" t="str">
        <f>VLOOKUP($A159,'[1]Raw Data'!$A$3:$FB$285,91,FALSE)</f>
        <v/>
      </c>
      <c r="CM159" s="27" t="str">
        <f>VLOOKUP($A159,'[1]Raw Data'!$A$3:$FB$285,93,FALSE)</f>
        <v/>
      </c>
      <c r="CN159" s="27" t="str">
        <f>VLOOKUP($A159,'[1]Raw Data'!$A$3:$FB$285,94,FALSE)</f>
        <v/>
      </c>
      <c r="CO159" s="27" t="str">
        <f>VLOOKUP($A159,'[1]Raw Data'!$A$3:$FB$285,95,FALSE)</f>
        <v/>
      </c>
      <c r="CP159" s="27" t="str">
        <f>VLOOKUP($A159,'[1]Raw Data'!$A$3:$FB$285,96,FALSE)</f>
        <v/>
      </c>
      <c r="CQ159" s="27" t="str">
        <f>VLOOKUP($A159,'[1]Raw Data'!$A$3:$FB$285,97,FALSE)</f>
        <v/>
      </c>
      <c r="CR159" s="27" t="str">
        <f>VLOOKUP($A159,'[1]Raw Data'!$A$3:$FB$285,98,FALSE)</f>
        <v/>
      </c>
      <c r="CS159" s="27" t="str">
        <f>VLOOKUP($A159,'[1]Raw Data'!$A$3:$FB$285,99,FALSE)</f>
        <v/>
      </c>
      <c r="CT159" s="27" t="str">
        <f>VLOOKUP($A159,'[1]Raw Data'!$A$3:$FB$285,101,FALSE)</f>
        <v>Sarkesh Ghalan</v>
      </c>
      <c r="CU159" s="27" t="s">
        <v>1301</v>
      </c>
      <c r="CV159" s="27" t="str">
        <f>VLOOKUP($A159,'[1]Raw Data'!$A$3:$FB$285,102,FALSE)</f>
        <v xml:space="preserve">Chairman </v>
      </c>
      <c r="CW159" s="27" t="s">
        <v>878</v>
      </c>
      <c r="CX159" s="27">
        <f>VLOOKUP($A159,'[1]Raw Data'!$A$3:$FB$285,103,FALSE)</f>
        <v>9855088688</v>
      </c>
      <c r="CY159" s="27" t="str">
        <f>VLOOKUP($A159,'[1]Raw Data'!$A$3:$FB$285,105,FALSE)</f>
        <v>Dhan Maya Syangtan</v>
      </c>
      <c r="CZ159" s="27" t="s">
        <v>1302</v>
      </c>
      <c r="DA159" s="27" t="str">
        <f>VLOOKUP($A159,'[1]Raw Data'!$A$3:$FB$285,106,FALSE)</f>
        <v>Deputy Chairman</v>
      </c>
      <c r="DB159" s="27" t="s">
        <v>879</v>
      </c>
      <c r="DC159" s="27">
        <f>VLOOKUP($A159,'[1]Raw Data'!$A$3:$FB$285,107,FALSE)</f>
        <v>9855089688</v>
      </c>
      <c r="DD159" s="27" t="str">
        <f>VLOOKUP($A159,'[1]Raw Data'!$A$3:$FB$285,109,FALSE)</f>
        <v>Raju Aryal</v>
      </c>
      <c r="DE159" s="27" t="s">
        <v>1303</v>
      </c>
      <c r="DF159" s="27" t="str">
        <f>VLOOKUP($A159,'[1]Raw Data'!$A$3:$FB$285,110,FALSE)</f>
        <v>Chief Adminstration Officer</v>
      </c>
      <c r="DG159" s="27" t="s">
        <v>880</v>
      </c>
      <c r="DH159" s="27">
        <f>VLOOKUP($A159,'[1]Raw Data'!$A$3:$FB$285,111,FALSE)</f>
        <v>9855089788</v>
      </c>
      <c r="DI159" s="27" t="str">
        <f>VLOOKUP($A159,'[1]Raw Data'!$A$3:$FB$285,121,FALSE)</f>
        <v>Er.Sudip kasula</v>
      </c>
      <c r="DJ159" s="27" t="s">
        <v>1304</v>
      </c>
      <c r="DK159" s="27" t="str">
        <f>VLOOKUP($A159,'[1]Raw Data'!$A$3:$FB$285,122,FALSE)</f>
        <v>Focal Person</v>
      </c>
      <c r="DL159" s="27" t="s">
        <v>881</v>
      </c>
      <c r="DM159" s="27">
        <f>VLOOKUP($A159,'[1]Raw Data'!$A$3:$FB$285,123,FALSE)</f>
        <v>9841754549</v>
      </c>
      <c r="DN159" s="27" t="str">
        <f>VLOOKUP($A159,'[1]Raw Data'!$A$3:$FB$285,113,FALSE)</f>
        <v xml:space="preserve">Som Raj Timilsena </v>
      </c>
      <c r="DO159" s="27" t="s">
        <v>1305</v>
      </c>
      <c r="DP159" s="27" t="str">
        <f>VLOOKUP($A159,'[1]Raw Data'!$A$3:$FB$285,114,FALSE)</f>
        <v>NRA Chief-District</v>
      </c>
      <c r="DQ159" s="27" t="s">
        <v>882</v>
      </c>
      <c r="DR159" s="27">
        <f>VLOOKUP($A159,'[1]Raw Data'!$A$3:$FB$285,115,FALSE)</f>
        <v>9855030632</v>
      </c>
      <c r="DS159" s="27" t="str">
        <f>VLOOKUP($A159,'[1]Raw Data'!$A$3:$FB$285,117,FALSE)</f>
        <v xml:space="preserve">Sudip Achrya </v>
      </c>
      <c r="DT159" s="27" t="s">
        <v>1306</v>
      </c>
      <c r="DU159" s="27" t="str">
        <f>VLOOKUP($A159,'[1]Raw Data'!$A$3:$FB$285,118,FALSE)</f>
        <v>DUDBC.DLPIU Chief</v>
      </c>
      <c r="DV159" s="27" t="s">
        <v>883</v>
      </c>
      <c r="DW159" s="27">
        <f>VLOOKUP($A159,'[1]Raw Data'!$A$3:$FB$285,119,FALSE)</f>
        <v>9851153206</v>
      </c>
      <c r="DX159" s="27" t="s">
        <v>339</v>
      </c>
      <c r="DY159" s="27" t="str">
        <f>VLOOKUP($A159,'[1]Raw Data'!$A$3:$FB$285,124,FALSE)</f>
        <v/>
      </c>
      <c r="DZ159" s="27" t="s">
        <v>884</v>
      </c>
      <c r="EA159" s="27" t="str">
        <f>VLOOKUP($A159,'[1]Raw Data'!$A$3:$FB$285,125,FALSE)</f>
        <v/>
      </c>
      <c r="EB159" s="27" t="s">
        <v>341</v>
      </c>
      <c r="EC159" s="27" t="str">
        <f>VLOOKUP($A159,'[1]Raw Data'!$A$3:$FB$285,126,FALSE)</f>
        <v/>
      </c>
      <c r="ED159" t="s">
        <v>478</v>
      </c>
      <c r="EE159" s="27" t="str">
        <f>VLOOKUP($A159,'[1]Raw Data'!$A$3:$FB$285,127,FALSE)</f>
        <v/>
      </c>
      <c r="EF159" s="27" t="s">
        <v>343</v>
      </c>
      <c r="EG159" s="27" t="str">
        <f>VLOOKUP($A159,'[1]Raw Data'!$A$3:$FB$285,128,FALSE)</f>
        <v/>
      </c>
      <c r="EH159" t="s">
        <v>344</v>
      </c>
      <c r="EI159" s="27" t="str">
        <f>VLOOKUP($A159,'[1]Raw Data'!$A$3:$FB$285,129,FALSE)</f>
        <v/>
      </c>
      <c r="EM159" s="27" t="str">
        <f>VLOOKUP($A159,'[1]Raw Data'!$A$3:$FB$285,130,FALSE)</f>
        <v/>
      </c>
      <c r="EN159" s="27" t="str">
        <f>VLOOKUP($A159,'[1]Raw Data'!$A$3:$FB$285,131,FALSE)</f>
        <v/>
      </c>
      <c r="EO159" s="27" t="str">
        <f>VLOOKUP($A159,'[1]Raw Data'!$A$3:$FB$285,132,FALSE)</f>
        <v/>
      </c>
      <c r="EP159" s="27" t="str">
        <f>VLOOKUP($A159,'[1]Raw Data'!$A$3:$FB$285,133,FALSE)</f>
        <v/>
      </c>
      <c r="EQ159" s="27" t="str">
        <f>VLOOKUP($A159,'[1]Raw Data'!$A$3:$FB$285,134,FALSE)</f>
        <v/>
      </c>
      <c r="ER159" s="27" t="str">
        <f>VLOOKUP($A159,'[1]Raw Data'!$A$3:$FB$285,135,FALSE)</f>
        <v/>
      </c>
      <c r="ES159" s="27" t="str">
        <f>VLOOKUP($A159,'[1]Raw Data'!$A$3:$FB$285,136,FALSE)</f>
        <v/>
      </c>
      <c r="ET159" s="27" t="str">
        <f>VLOOKUP($A159,'[1]Raw Data'!$A$3:$FB$285,137,FALSE)</f>
        <v/>
      </c>
      <c r="EU159" s="27" t="str">
        <f>VLOOKUP($A159,'[1]Raw Data'!$A$3:$FB$285,138,FALSE)</f>
        <v/>
      </c>
      <c r="EV159" s="27" t="str">
        <f>VLOOKUP($A159,'[1]Raw Data'!$A$3:$FB$285,139,FALSE)</f>
        <v/>
      </c>
      <c r="EW159" s="38">
        <f>VLOOKUP($A159,[1]Training!$A$2:$I$284,5,FALSE)</f>
        <v>189.76923076923077</v>
      </c>
      <c r="EX159" s="31">
        <f>VLOOKUP($A159,[1]Training!$A$2:$I$284,6,FALSE)</f>
        <v>59</v>
      </c>
      <c r="EY159" s="38">
        <f>VLOOKUP($A159,[1]Training!$A$2:$I$284,8,FALSE)</f>
        <v>217.84305645493612</v>
      </c>
      <c r="EZ159" s="31">
        <f>VLOOKUP($A159,[1]Training!$A$2:$I$284,9,FALSE)</f>
        <v>0</v>
      </c>
      <c r="FA159" s="27">
        <v>1</v>
      </c>
      <c r="FB159" s="27">
        <v>2</v>
      </c>
      <c r="FC159" s="27" t="str">
        <f>VLOOKUP($A159,'[1]Raw Data'!$A$3:$FB$285,148,FALSE)</f>
        <v>Hari Thalang</v>
      </c>
      <c r="FD159" s="27" t="s">
        <v>1307</v>
      </c>
      <c r="FE159" s="27" t="str">
        <f>VLOOKUP($A159,'[1]Raw Data'!$A$3:$FB$285,149,FALSE)</f>
        <v>District Coordinator</v>
      </c>
      <c r="FF159" s="27" t="s">
        <v>885</v>
      </c>
      <c r="FG159" s="27">
        <f>VLOOKUP($A159,'[1]Raw Data'!$A$3:$FB$285,150,FALSE)</f>
        <v>9851224505</v>
      </c>
      <c r="FH159" s="27" t="str">
        <f>VLOOKUP($A159,'[1]Raw Data'!$A$3:$FB$285,156,FALSE)</f>
        <v xml:space="preserve">Kausal Bist </v>
      </c>
      <c r="FI159" s="27" t="s">
        <v>1308</v>
      </c>
      <c r="FJ159" s="27" t="str">
        <f>VLOOKUP($A159,'[1]Raw Data'!$A$3:$FB$285,157,FALSE)</f>
        <v>District Technical Officer</v>
      </c>
      <c r="FK159" s="27" t="s">
        <v>886</v>
      </c>
      <c r="FL159" s="27">
        <f>VLOOKUP($A159,'[1]Raw Data'!$A$3:$FB$285,158,FALSE)</f>
        <v>9849787273</v>
      </c>
      <c r="FM159" s="27" t="str">
        <f>VLOOKUP($A159,'[1]Raw Data'!$A$3:$FB$285,152,FALSE)</f>
        <v>Nirmal Nepali</v>
      </c>
      <c r="FN159" s="27" t="s">
        <v>1309</v>
      </c>
      <c r="FO159" s="27" t="str">
        <f>VLOOKUP($A159,'[1]Raw Data'!$A$3:$FB$285,153,FALSE)</f>
        <v>DIstrict Information Management Officer</v>
      </c>
      <c r="FP159" s="27" t="s">
        <v>887</v>
      </c>
      <c r="FQ159" s="27">
        <f>VLOOKUP($A159,'[1]Raw Data'!$A$3:$FB$285,154,FALSE)</f>
        <v>9848500348</v>
      </c>
    </row>
    <row r="160" spans="1:173" ht="24" x14ac:dyDescent="0.45">
      <c r="A160" s="27">
        <v>31002</v>
      </c>
      <c r="B160" s="36" t="str">
        <f ca="1">IFERROR(__xludf.DUMMYFUNCTION("""COMPUTED_VALUE"""),"Bakaiya Gaunpalika")</f>
        <v>Bakaiya Gaunpalika</v>
      </c>
      <c r="C160" s="37" t="str">
        <f>VLOOKUP(A160,'[1]Palika and District in Nepali '!$D$1:$F$283,3,FALSE)</f>
        <v>बकैया गाउँपालिका</v>
      </c>
      <c r="D160" s="36" t="str">
        <f ca="1">IFERROR(__xludf.DUMMYFUNCTION("""COMPUTED_VALUE"""),"Makwanpur")</f>
        <v>Makwanpur</v>
      </c>
      <c r="E160" s="36"/>
      <c r="F160" s="27">
        <f>VLOOKUP(A160,'[1]Raw Data'!$A$3:$FB$285,4,FALSE)</f>
        <v>4210</v>
      </c>
      <c r="G160" s="27">
        <f>VLOOKUP(A160,'[1]Raw Data'!$A$3:$FB$285,5,FALSE)</f>
        <v>4383</v>
      </c>
      <c r="H160" s="27">
        <f>VLOOKUP(A160,'[1]Raw Data'!$A$3:$FB$285,6,FALSE)</f>
        <v>8593</v>
      </c>
      <c r="I160" s="27">
        <f>VLOOKUP($A160,'[1]Raw Data'!$A$3:$FB$285,8,FALSE)</f>
        <v>1.37</v>
      </c>
      <c r="J160" s="27">
        <f>VLOOKUP($A160,'[1]Raw Data'!$A$3:$FB$285,9,FALSE)</f>
        <v>1.32</v>
      </c>
      <c r="K160" s="27">
        <f>VLOOKUP($A160,'[1]Raw Data'!$A$3:$FB$285,11,FALSE)</f>
        <v>49.01</v>
      </c>
      <c r="L160" s="27">
        <f>VLOOKUP($A160,'[1]Raw Data'!$A$3:$FB$285,12,FALSE)</f>
        <v>44.19</v>
      </c>
      <c r="M160" s="27">
        <f>VLOOKUP($A160,'[1]Raw Data'!$A$3:$FB$285,14,FALSE)</f>
        <v>9.0399999999999991</v>
      </c>
      <c r="N160" s="27">
        <f>VLOOKUP($A160,'[1]Raw Data'!$A$3:$FB$285,15,FALSE)</f>
        <v>26.6</v>
      </c>
      <c r="O160" s="27">
        <f>VLOOKUP($A160,'[1]Raw Data'!$A$3:$FB$285,17,FALSE)</f>
        <v>0.11</v>
      </c>
      <c r="P160" s="27">
        <f>VLOOKUP($A160,'[1]Raw Data'!$A$3:$FB$285,18,FALSE)</f>
        <v>2.36</v>
      </c>
      <c r="Q160" s="27">
        <f>VLOOKUP($A160,'[1]Raw Data'!$A$3:$FB$285,20,FALSE)</f>
        <v>1.1599999999999999</v>
      </c>
      <c r="R160" s="27">
        <f>VLOOKUP($A160,'[1]Raw Data'!$A$3:$FB$285,21,FALSE)</f>
        <v>5.22</v>
      </c>
      <c r="S160" s="27">
        <f>VLOOKUP($A160,'[1]Raw Data'!$A$3:$FB$285,23,FALSE)</f>
        <v>0</v>
      </c>
      <c r="T160" s="27">
        <f>VLOOKUP($A160,'[1]Raw Data'!$A$3:$FB$285,24,FALSE)</f>
        <v>0</v>
      </c>
      <c r="U160" s="27">
        <f>VLOOKUP($A160,'[1]Raw Data'!$A$3:$FB$285,26,FALSE)</f>
        <v>37.96</v>
      </c>
      <c r="V160" s="27">
        <f>VLOOKUP($A160,'[1]Raw Data'!$A$3:$FB$285,27,FALSE)</f>
        <v>16.91</v>
      </c>
      <c r="W160" s="27">
        <f>VLOOKUP($A160,'[1]Raw Data'!$A$3:$FB$285,29,FALSE)</f>
        <v>0</v>
      </c>
      <c r="X160" s="27">
        <f>VLOOKUP($A160,'[1]Raw Data'!$A$3:$FB$285,30,FALSE)</f>
        <v>0</v>
      </c>
      <c r="Y160" s="27">
        <f>VLOOKUP($A160,'[1]Raw Data'!$A$3:$FB$285,32,FALSE)</f>
        <v>0.12</v>
      </c>
      <c r="Z160" s="27">
        <f>VLOOKUP($A160,'[1]Raw Data'!$A$3:$FB$285,33,FALSE)</f>
        <v>0.22</v>
      </c>
      <c r="AA160" s="27">
        <f>VLOOKUP($A160,'[1]Raw Data'!$A$3:$FB$285,35,FALSE)</f>
        <v>0.96</v>
      </c>
      <c r="AB160" s="27">
        <f>VLOOKUP($A160,'[1]Raw Data'!$A$3:$FB$285,36,FALSE)</f>
        <v>2.85</v>
      </c>
      <c r="AC160" s="27">
        <f>VLOOKUP($A160,'[1]Raw Data'!$A$3:$FB$285,38,FALSE)</f>
        <v>0.28000000000000003</v>
      </c>
      <c r="AD160" s="27">
        <f>VLOOKUP($A160,'[1]Raw Data'!$A$3:$FB$285,39,FALSE)</f>
        <v>0.32</v>
      </c>
      <c r="AE160" s="27">
        <f>VLOOKUP($A160,'[1]Raw Data'!$A$3:$FB$285,41,FALSE)</f>
        <v>0</v>
      </c>
      <c r="AF160" s="27">
        <f>VLOOKUP($A160,'[1]Raw Data'!$A$3:$FB$285,42,FALSE)</f>
        <v>0</v>
      </c>
      <c r="AG160" s="27">
        <f>VLOOKUP($A160,'[1]Raw Data'!$A$3:$FB$285,44,FALSE)</f>
        <v>0</v>
      </c>
      <c r="AH160" s="27">
        <f>VLOOKUP($A160,'[1]Raw Data'!$A$3:$FB$285,45,FALSE)</f>
        <v>0</v>
      </c>
      <c r="AI160" s="27">
        <f>VLOOKUP($A160,'[1]Raw Data'!$A$3:$FB$285,46,FALSE)</f>
        <v>3990</v>
      </c>
      <c r="AJ160" s="27">
        <f>VLOOKUP($A160,'[1]Raw Data'!$A$3:$FB$285,47,FALSE)</f>
        <v>2393</v>
      </c>
      <c r="AK160" s="27">
        <f>VLOOKUP($A160,'[1]Raw Data'!$A$3:$FB$285,48,FALSE)</f>
        <v>2310</v>
      </c>
      <c r="AL160" s="27">
        <f>VLOOKUP($A160,'[1]Raw Data'!$A$3:$FB$285,49,FALSE)</f>
        <v>1583</v>
      </c>
      <c r="AM160" s="27">
        <f>VLOOKUP($A160,'[1]Raw Data'!$A$3:$FB$285,50,FALSE)</f>
        <v>623</v>
      </c>
      <c r="AN160" s="27">
        <f>VLOOKUP($A160,'[1]Raw Data'!$A$3:$FB$285,51,FALSE)</f>
        <v>1594</v>
      </c>
      <c r="AO160" s="27">
        <f>VLOOKUP($A160,'[1]Raw Data'!$A$3:$FB$285,52,FALSE)</f>
        <v>405</v>
      </c>
      <c r="AP160" s="27">
        <f>VLOOKUP($A160,'[1]Raw Data'!$A$3:$FB$285,53,FALSE)</f>
        <v>1616</v>
      </c>
      <c r="AQ160" s="27">
        <f>VLOOKUP($A160,'[1]Raw Data'!$A$3:$FB$285,54,FALSE)</f>
        <v>404</v>
      </c>
      <c r="AR160" s="27">
        <f>VLOOKUP($A160,'[1]Raw Data'!$A$3:$FB$285,55,FALSE)</f>
        <v>254</v>
      </c>
      <c r="AS160" s="27">
        <f>VLOOKUP($A160,'[1]Raw Data'!$A$3:$FB$285,56,FALSE)</f>
        <v>0</v>
      </c>
      <c r="AT160" s="27">
        <f>VLOOKUP($A160,'[1]Raw Data'!$A$3:$FB$285,57,FALSE)</f>
        <v>3893</v>
      </c>
      <c r="AU160" s="27">
        <f>VLOOKUP($A160,'[1]Raw Data'!$A$3:$FB$285,58,FALSE)</f>
        <v>3893</v>
      </c>
      <c r="AV160" s="27">
        <f>VLOOKUP($A160,'[1]Raw Data'!$A$3:$FB$285,59,FALSE)</f>
        <v>316</v>
      </c>
      <c r="AW160" s="27">
        <f>VLOOKUP($A160,'[1]Raw Data'!$A$3:$FB$285,60,FALSE)</f>
        <v>311</v>
      </c>
      <c r="AX160" s="27" t="str">
        <f>VLOOKUP(A160,'[1]PO''s List'!A158:E440,4,FALSE)</f>
        <v/>
      </c>
      <c r="AZ160" s="27" t="str">
        <f>VLOOKUP(A160,'[1]PO''s List'!$A$3:$E$285,5,FALSE)</f>
        <v>BNMT(Health),CARE-N(Education),EBMF(Education),FCA(Education),HELVETAS(Shelter),PLAN(Education,GESI,Shelter,Social Protection),Tearfund(Shelter)</v>
      </c>
      <c r="BB160" s="27">
        <f>VLOOKUP($A160,'[1]Raw Data'!$A$3:$FB$285,63,FALSE)</f>
        <v>22023</v>
      </c>
      <c r="BC160" s="27" t="str">
        <f>VLOOKUP($A160,'[1]Raw Data'!$A$3:$FB$285,64,FALSE)</f>
        <v/>
      </c>
      <c r="BD160" s="27" t="str">
        <f t="shared" si="18"/>
        <v/>
      </c>
      <c r="BE160" s="27" t="str">
        <f>VLOOKUP($A160,'[1]Raw Data'!$A$3:$FB$285,65,FALSE)</f>
        <v/>
      </c>
      <c r="BF160" s="27">
        <f>VLOOKUP($A160,'[1]Raw Data'!$A$3:$FB$285,66,FALSE)</f>
        <v>19925</v>
      </c>
      <c r="BG160" s="27" t="str">
        <f>VLOOKUP($A160,'[1]Raw Data'!$A$3:$FB$285,67,FALSE)</f>
        <v/>
      </c>
      <c r="BH160" s="27" t="str">
        <f t="shared" si="19"/>
        <v/>
      </c>
      <c r="BI160" s="27" t="str">
        <f>VLOOKUP($A160,'[1]Raw Data'!$A$3:$FB$285,68,FALSE)</f>
        <v/>
      </c>
      <c r="BJ160" s="27">
        <f>VLOOKUP($A160,'[1]Raw Data'!$A$3:$FB$285,69,FALSE)</f>
        <v>2329</v>
      </c>
      <c r="BK160" s="27" t="str">
        <f>VLOOKUP($A160,'[1]Raw Data'!$A$3:$FB$285,70,FALSE)</f>
        <v/>
      </c>
      <c r="BL160" s="27" t="str">
        <f t="shared" si="20"/>
        <v/>
      </c>
      <c r="BM160" s="27" t="str">
        <f>VLOOKUP($A160,'[1]Raw Data'!$A$3:$FB$285,71,FALSE)</f>
        <v/>
      </c>
      <c r="BN160" s="27">
        <f>VLOOKUP($A160,'[1]Raw Data'!$A$3:$FB$285,72,FALSE)</f>
        <v>2603</v>
      </c>
      <c r="BO160" s="27" t="str">
        <f>VLOOKUP($A160,'[1]Raw Data'!$A$3:$FB$285,73,FALSE)</f>
        <v/>
      </c>
      <c r="BP160" s="27" t="str">
        <f t="shared" si="21"/>
        <v/>
      </c>
      <c r="BQ160" s="27" t="str">
        <f>VLOOKUP($A160,'[1]Raw Data'!$A$3:$FB$285,74,FALSE)</f>
        <v/>
      </c>
      <c r="BR160" s="27" t="str">
        <f>VLOOKUP($A160,'[1]Raw Data'!$A$3:$FB$285,75,FALSE)</f>
        <v/>
      </c>
      <c r="BS160" s="27" t="str">
        <f>VLOOKUP($A160,'[1]Raw Data'!$A$3:$FB$285,76,FALSE)</f>
        <v/>
      </c>
      <c r="BT160" s="27" t="str">
        <f t="shared" si="22"/>
        <v/>
      </c>
      <c r="BU160" s="27" t="str">
        <f>VLOOKUP($A160,'[1]Raw Data'!$A$3:$FB$285,77,FALSE)</f>
        <v/>
      </c>
      <c r="BV160" s="27">
        <f>VLOOKUP($A160,'[1]Raw Data'!$A$3:$FB$285,78,FALSE)</f>
        <v>67880</v>
      </c>
      <c r="BW160" s="27" t="str">
        <f>VLOOKUP($A160,'[1]Raw Data'!$A$3:$FB$285,79,FALSE)</f>
        <v/>
      </c>
      <c r="BX160" s="27" t="str">
        <f t="shared" si="23"/>
        <v/>
      </c>
      <c r="BY160" s="27" t="str">
        <f>VLOOKUP($A160,'[1]Raw Data'!$A$3:$FB$285,80,FALSE)</f>
        <v/>
      </c>
      <c r="BZ160" s="27">
        <f>VLOOKUP($A160,'[1]Raw Data'!$A$3:$FB$285,81,FALSE)</f>
        <v>244661</v>
      </c>
      <c r="CA160" s="27" t="str">
        <f>VLOOKUP($A160,'[1]Raw Data'!$A$3:$FB$285,82,FALSE)</f>
        <v/>
      </c>
      <c r="CB160" s="27" t="str">
        <f t="shared" si="24"/>
        <v/>
      </c>
      <c r="CC160" s="27" t="str">
        <f>VLOOKUP($A160,'[1]Raw Data'!$A$3:$FB$285,83,FALSE)</f>
        <v/>
      </c>
      <c r="CD160" s="27">
        <f>VLOOKUP($A160,'[1]Raw Data'!$A$3:$FB$285,84,FALSE)</f>
        <v>2779</v>
      </c>
      <c r="CE160" s="27" t="str">
        <f>VLOOKUP($A160,'[1]Raw Data'!$A$3:$FB$285,85,FALSE)</f>
        <v/>
      </c>
      <c r="CF160" s="27" t="str">
        <f t="shared" si="25"/>
        <v/>
      </c>
      <c r="CG160" s="27" t="str">
        <f>VLOOKUP($A160,'[1]Raw Data'!$A$3:$FB$285,86,FALSE)</f>
        <v/>
      </c>
      <c r="CH160" s="27">
        <f>VLOOKUP($A160,'[1]Raw Data'!$A$3:$FB$285,87,FALSE)</f>
        <v>631415</v>
      </c>
      <c r="CI160" s="27" t="str">
        <f>VLOOKUP($A160,'[1]Raw Data'!$A$3:$FB$285,88,FALSE)</f>
        <v/>
      </c>
      <c r="CJ160" s="27" t="str">
        <f t="shared" si="26"/>
        <v/>
      </c>
      <c r="CK160" s="27" t="str">
        <f>VLOOKUP($A160,'[1]Raw Data'!$A$3:$FB$285,89,FALSE)</f>
        <v/>
      </c>
      <c r="CL160" s="27" t="str">
        <f>VLOOKUP($A160,'[1]Raw Data'!$A$3:$FB$285,91,FALSE)</f>
        <v/>
      </c>
      <c r="CM160" s="27" t="str">
        <f>VLOOKUP($A160,'[1]Raw Data'!$A$3:$FB$285,93,FALSE)</f>
        <v/>
      </c>
      <c r="CN160" s="27" t="str">
        <f>VLOOKUP($A160,'[1]Raw Data'!$A$3:$FB$285,94,FALSE)</f>
        <v/>
      </c>
      <c r="CO160" s="27" t="str">
        <f>VLOOKUP($A160,'[1]Raw Data'!$A$3:$FB$285,95,FALSE)</f>
        <v/>
      </c>
      <c r="CP160" s="27" t="str">
        <f>VLOOKUP($A160,'[1]Raw Data'!$A$3:$FB$285,96,FALSE)</f>
        <v/>
      </c>
      <c r="CQ160" s="27" t="str">
        <f>VLOOKUP($A160,'[1]Raw Data'!$A$3:$FB$285,97,FALSE)</f>
        <v/>
      </c>
      <c r="CR160" s="27" t="str">
        <f>VLOOKUP($A160,'[1]Raw Data'!$A$3:$FB$285,98,FALSE)</f>
        <v/>
      </c>
      <c r="CS160" s="27" t="str">
        <f>VLOOKUP($A160,'[1]Raw Data'!$A$3:$FB$285,99,FALSE)</f>
        <v/>
      </c>
      <c r="CT160" s="27" t="str">
        <f>VLOOKUP($A160,'[1]Raw Data'!$A$3:$FB$285,101,FALSE)</f>
        <v>Damodar Khanal</v>
      </c>
      <c r="CU160" s="27" t="s">
        <v>1310</v>
      </c>
      <c r="CV160" s="27" t="str">
        <f>VLOOKUP($A160,'[1]Raw Data'!$A$3:$FB$285,102,FALSE)</f>
        <v xml:space="preserve">Chairman </v>
      </c>
      <c r="CW160" s="27" t="s">
        <v>878</v>
      </c>
      <c r="CX160" s="27">
        <f>VLOOKUP($A160,'[1]Raw Data'!$A$3:$FB$285,103,FALSE)</f>
        <v>9855070697</v>
      </c>
      <c r="CY160" s="27" t="str">
        <f>VLOOKUP($A160,'[1]Raw Data'!$A$3:$FB$285,105,FALSE)</f>
        <v>Sarala Bolakhe</v>
      </c>
      <c r="CZ160" s="27" t="s">
        <v>1311</v>
      </c>
      <c r="DA160" s="27" t="str">
        <f>VLOOKUP($A160,'[1]Raw Data'!$A$3:$FB$285,106,FALSE)</f>
        <v>Deputy Chairman</v>
      </c>
      <c r="DB160" s="27" t="s">
        <v>879</v>
      </c>
      <c r="DC160" s="27">
        <f>VLOOKUP($A160,'[1]Raw Data'!$A$3:$FB$285,107,FALSE)</f>
        <v>9845456973</v>
      </c>
      <c r="DD160" s="27" t="str">
        <f>VLOOKUP($A160,'[1]Raw Data'!$A$3:$FB$285,109,FALSE)</f>
        <v>Khemraj Sapkota</v>
      </c>
      <c r="DE160" s="27" t="s">
        <v>1312</v>
      </c>
      <c r="DF160" s="27" t="str">
        <f>VLOOKUP($A160,'[1]Raw Data'!$A$3:$FB$285,110,FALSE)</f>
        <v>Chief Adminstration Officer</v>
      </c>
      <c r="DG160" s="27" t="s">
        <v>880</v>
      </c>
      <c r="DH160" s="27">
        <f>VLOOKUP($A160,'[1]Raw Data'!$A$3:$FB$285,111,FALSE)</f>
        <v>9855088066</v>
      </c>
      <c r="DI160" s="27" t="str">
        <f>VLOOKUP($A160,'[1]Raw Data'!$A$3:$FB$285,121,FALSE)</f>
        <v xml:space="preserve">Er.Prakash Bhandari </v>
      </c>
      <c r="DJ160" s="27" t="s">
        <v>1313</v>
      </c>
      <c r="DK160" s="27" t="str">
        <f>VLOOKUP($A160,'[1]Raw Data'!$A$3:$FB$285,122,FALSE)</f>
        <v>Focal Person</v>
      </c>
      <c r="DL160" s="27" t="s">
        <v>881</v>
      </c>
      <c r="DM160" s="27">
        <f>VLOOKUP($A160,'[1]Raw Data'!$A$3:$FB$285,123,FALSE)</f>
        <v>9841765045</v>
      </c>
      <c r="DN160" s="27" t="str">
        <f>VLOOKUP($A160,'[1]Raw Data'!$A$3:$FB$285,113,FALSE)</f>
        <v xml:space="preserve">Som Raj Timilsena </v>
      </c>
      <c r="DO160" s="27" t="s">
        <v>1305</v>
      </c>
      <c r="DP160" s="27" t="str">
        <f>VLOOKUP($A160,'[1]Raw Data'!$A$3:$FB$285,114,FALSE)</f>
        <v>NRA Chief-District</v>
      </c>
      <c r="DQ160" s="27" t="s">
        <v>882</v>
      </c>
      <c r="DR160" s="27">
        <f>VLOOKUP($A160,'[1]Raw Data'!$A$3:$FB$285,115,FALSE)</f>
        <v>9855030632</v>
      </c>
      <c r="DS160" s="27" t="str">
        <f>VLOOKUP($A160,'[1]Raw Data'!$A$3:$FB$285,117,FALSE)</f>
        <v xml:space="preserve">Sudip Achrya </v>
      </c>
      <c r="DT160" s="27" t="s">
        <v>1306</v>
      </c>
      <c r="DU160" s="27" t="str">
        <f>VLOOKUP($A160,'[1]Raw Data'!$A$3:$FB$285,118,FALSE)</f>
        <v>DUDBC.DLPIU Chief</v>
      </c>
      <c r="DV160" s="27" t="s">
        <v>883</v>
      </c>
      <c r="DW160" s="27">
        <f>VLOOKUP($A160,'[1]Raw Data'!$A$3:$FB$285,119,FALSE)</f>
        <v>9851153206</v>
      </c>
      <c r="DX160" s="27" t="s">
        <v>339</v>
      </c>
      <c r="DY160" s="27" t="str">
        <f>VLOOKUP($A160,'[1]Raw Data'!$A$3:$FB$285,124,FALSE)</f>
        <v/>
      </c>
      <c r="DZ160" s="27" t="s">
        <v>884</v>
      </c>
      <c r="EA160" s="27" t="str">
        <f>VLOOKUP($A160,'[1]Raw Data'!$A$3:$FB$285,125,FALSE)</f>
        <v/>
      </c>
      <c r="EB160" s="27" t="s">
        <v>341</v>
      </c>
      <c r="EC160" s="27" t="str">
        <f>VLOOKUP($A160,'[1]Raw Data'!$A$3:$FB$285,126,FALSE)</f>
        <v/>
      </c>
      <c r="ED160" t="s">
        <v>478</v>
      </c>
      <c r="EE160" s="27" t="str">
        <f>VLOOKUP($A160,'[1]Raw Data'!$A$3:$FB$285,127,FALSE)</f>
        <v/>
      </c>
      <c r="EF160" s="27" t="s">
        <v>343</v>
      </c>
      <c r="EG160" s="27" t="str">
        <f>VLOOKUP($A160,'[1]Raw Data'!$A$3:$FB$285,128,FALSE)</f>
        <v/>
      </c>
      <c r="EH160" t="s">
        <v>344</v>
      </c>
      <c r="EI160" s="27" t="str">
        <f>VLOOKUP($A160,'[1]Raw Data'!$A$3:$FB$285,129,FALSE)</f>
        <v/>
      </c>
      <c r="EM160" s="27" t="str">
        <f>VLOOKUP($A160,'[1]Raw Data'!$A$3:$FB$285,130,FALSE)</f>
        <v/>
      </c>
      <c r="EN160" s="27" t="str">
        <f>VLOOKUP($A160,'[1]Raw Data'!$A$3:$FB$285,131,FALSE)</f>
        <v/>
      </c>
      <c r="EO160" s="27" t="str">
        <f>VLOOKUP($A160,'[1]Raw Data'!$A$3:$FB$285,132,FALSE)</f>
        <v/>
      </c>
      <c r="EP160" s="27" t="str">
        <f>VLOOKUP($A160,'[1]Raw Data'!$A$3:$FB$285,133,FALSE)</f>
        <v/>
      </c>
      <c r="EQ160" s="27" t="str">
        <f>VLOOKUP($A160,'[1]Raw Data'!$A$3:$FB$285,134,FALSE)</f>
        <v/>
      </c>
      <c r="ER160" s="27" t="str">
        <f>VLOOKUP($A160,'[1]Raw Data'!$A$3:$FB$285,135,FALSE)</f>
        <v/>
      </c>
      <c r="ES160" s="27" t="str">
        <f>VLOOKUP($A160,'[1]Raw Data'!$A$3:$FB$285,136,FALSE)</f>
        <v/>
      </c>
      <c r="ET160" s="27" t="str">
        <f>VLOOKUP($A160,'[1]Raw Data'!$A$3:$FB$285,137,FALSE)</f>
        <v/>
      </c>
      <c r="EU160" s="27" t="str">
        <f>VLOOKUP($A160,'[1]Raw Data'!$A$3:$FB$285,138,FALSE)</f>
        <v/>
      </c>
      <c r="EV160" s="27" t="str">
        <f>VLOOKUP($A160,'[1]Raw Data'!$A$3:$FB$285,139,FALSE)</f>
        <v/>
      </c>
      <c r="EW160" s="38">
        <f>VLOOKUP($A160,[1]Training!$A$2:$I$284,5,FALSE)</f>
        <v>306.92307692307691</v>
      </c>
      <c r="EX160" s="31">
        <f>VLOOKUP($A160,[1]Training!$A$2:$I$284,6,FALSE)</f>
        <v>51</v>
      </c>
      <c r="EY160" s="38">
        <f>VLOOKUP($A160,[1]Training!$A$2:$I$284,8,FALSE)</f>
        <v>352.32825101548241</v>
      </c>
      <c r="EZ160" s="31">
        <f>VLOOKUP($A160,[1]Training!$A$2:$I$284,9,FALSE)</f>
        <v>0</v>
      </c>
      <c r="FA160" s="27">
        <v>1</v>
      </c>
      <c r="FB160" s="27">
        <v>2</v>
      </c>
      <c r="FC160" s="27" t="str">
        <f>VLOOKUP($A160,'[1]Raw Data'!$A$3:$FB$285,148,FALSE)</f>
        <v>Hari Thalang</v>
      </c>
      <c r="FD160" s="27" t="s">
        <v>1307</v>
      </c>
      <c r="FE160" s="27" t="str">
        <f>VLOOKUP($A160,'[1]Raw Data'!$A$3:$FB$285,149,FALSE)</f>
        <v>District Coordinator</v>
      </c>
      <c r="FF160" s="27" t="s">
        <v>885</v>
      </c>
      <c r="FG160" s="27">
        <f>VLOOKUP($A160,'[1]Raw Data'!$A$3:$FB$285,150,FALSE)</f>
        <v>9851224505</v>
      </c>
      <c r="FH160" s="27" t="str">
        <f>VLOOKUP($A160,'[1]Raw Data'!$A$3:$FB$285,156,FALSE)</f>
        <v xml:space="preserve">Kausal Bist </v>
      </c>
      <c r="FI160" s="27" t="s">
        <v>1308</v>
      </c>
      <c r="FJ160" s="27" t="str">
        <f>VLOOKUP($A160,'[1]Raw Data'!$A$3:$FB$285,157,FALSE)</f>
        <v>District Technical Officer</v>
      </c>
      <c r="FK160" s="27" t="s">
        <v>886</v>
      </c>
      <c r="FL160" s="27">
        <f>VLOOKUP($A160,'[1]Raw Data'!$A$3:$FB$285,158,FALSE)</f>
        <v>9849787273</v>
      </c>
      <c r="FM160" s="27" t="str">
        <f>VLOOKUP($A160,'[1]Raw Data'!$A$3:$FB$285,152,FALSE)</f>
        <v>Nirmal Nepali</v>
      </c>
      <c r="FN160" s="27" t="s">
        <v>1309</v>
      </c>
      <c r="FO160" s="27" t="str">
        <f>VLOOKUP($A160,'[1]Raw Data'!$A$3:$FB$285,153,FALSE)</f>
        <v>DIstrict Information Management Officer</v>
      </c>
      <c r="FP160" s="27" t="s">
        <v>887</v>
      </c>
      <c r="FQ160" s="27">
        <f>VLOOKUP($A160,'[1]Raw Data'!$A$3:$FB$285,154,FALSE)</f>
        <v>9848500348</v>
      </c>
    </row>
    <row r="161" spans="1:173" ht="24" x14ac:dyDescent="0.45">
      <c r="A161" s="27">
        <v>31003</v>
      </c>
      <c r="B161" s="36" t="str">
        <f ca="1">IFERROR(__xludf.DUMMYFUNCTION("""COMPUTED_VALUE"""),"Bhimphedi Gaunpalika")</f>
        <v>Bhimphedi Gaunpalika</v>
      </c>
      <c r="C161" s="37" t="str">
        <f>VLOOKUP(A161,'[1]Palika and District in Nepali '!$D$1:$F$283,3,FALSE)</f>
        <v>भिमफेदी गाउँपालिका</v>
      </c>
      <c r="D161" s="36" t="str">
        <f ca="1">IFERROR(__xludf.DUMMYFUNCTION("""COMPUTED_VALUE"""),"Makwanpur")</f>
        <v>Makwanpur</v>
      </c>
      <c r="E161" s="36"/>
      <c r="F161" s="27">
        <f>VLOOKUP(A161,'[1]Raw Data'!$A$3:$FB$285,4,FALSE)</f>
        <v>1910</v>
      </c>
      <c r="G161" s="27">
        <f>VLOOKUP(A161,'[1]Raw Data'!$A$3:$FB$285,5,FALSE)</f>
        <v>3326</v>
      </c>
      <c r="H161" s="27">
        <f>VLOOKUP(A161,'[1]Raw Data'!$A$3:$FB$285,6,FALSE)</f>
        <v>5236</v>
      </c>
      <c r="I161" s="27">
        <f>VLOOKUP($A161,'[1]Raw Data'!$A$3:$FB$285,8,FALSE)</f>
        <v>3.05</v>
      </c>
      <c r="J161" s="27">
        <f>VLOOKUP($A161,'[1]Raw Data'!$A$3:$FB$285,9,FALSE)</f>
        <v>1.32</v>
      </c>
      <c r="K161" s="27">
        <f>VLOOKUP($A161,'[1]Raw Data'!$A$3:$FB$285,11,FALSE)</f>
        <v>73.180000000000007</v>
      </c>
      <c r="L161" s="27">
        <f>VLOOKUP($A161,'[1]Raw Data'!$A$3:$FB$285,12,FALSE)</f>
        <v>44.19</v>
      </c>
      <c r="M161" s="27">
        <f>VLOOKUP($A161,'[1]Raw Data'!$A$3:$FB$285,14,FALSE)</f>
        <v>4.53</v>
      </c>
      <c r="N161" s="27">
        <f>VLOOKUP($A161,'[1]Raw Data'!$A$3:$FB$285,15,FALSE)</f>
        <v>26.6</v>
      </c>
      <c r="O161" s="27">
        <f>VLOOKUP($A161,'[1]Raw Data'!$A$3:$FB$285,17,FALSE)</f>
        <v>0.28999999999999998</v>
      </c>
      <c r="P161" s="27">
        <f>VLOOKUP($A161,'[1]Raw Data'!$A$3:$FB$285,18,FALSE)</f>
        <v>2.36</v>
      </c>
      <c r="Q161" s="27">
        <f>VLOOKUP($A161,'[1]Raw Data'!$A$3:$FB$285,20,FALSE)</f>
        <v>0.42</v>
      </c>
      <c r="R161" s="27">
        <f>VLOOKUP($A161,'[1]Raw Data'!$A$3:$FB$285,21,FALSE)</f>
        <v>5.22</v>
      </c>
      <c r="S161" s="27">
        <f>VLOOKUP($A161,'[1]Raw Data'!$A$3:$FB$285,23,FALSE)</f>
        <v>0</v>
      </c>
      <c r="T161" s="27">
        <f>VLOOKUP($A161,'[1]Raw Data'!$A$3:$FB$285,24,FALSE)</f>
        <v>0</v>
      </c>
      <c r="U161" s="27">
        <f>VLOOKUP($A161,'[1]Raw Data'!$A$3:$FB$285,26,FALSE)</f>
        <v>4.88</v>
      </c>
      <c r="V161" s="27">
        <f>VLOOKUP($A161,'[1]Raw Data'!$A$3:$FB$285,27,FALSE)</f>
        <v>16.91</v>
      </c>
      <c r="W161" s="27">
        <f>VLOOKUP($A161,'[1]Raw Data'!$A$3:$FB$285,29,FALSE)</f>
        <v>0</v>
      </c>
      <c r="X161" s="27">
        <f>VLOOKUP($A161,'[1]Raw Data'!$A$3:$FB$285,30,FALSE)</f>
        <v>0</v>
      </c>
      <c r="Y161" s="27">
        <f>VLOOKUP($A161,'[1]Raw Data'!$A$3:$FB$285,32,FALSE)</f>
        <v>0.52</v>
      </c>
      <c r="Z161" s="27">
        <f>VLOOKUP($A161,'[1]Raw Data'!$A$3:$FB$285,33,FALSE)</f>
        <v>0.22</v>
      </c>
      <c r="AA161" s="27">
        <f>VLOOKUP($A161,'[1]Raw Data'!$A$3:$FB$285,35,FALSE)</f>
        <v>12.73</v>
      </c>
      <c r="AB161" s="27">
        <f>VLOOKUP($A161,'[1]Raw Data'!$A$3:$FB$285,36,FALSE)</f>
        <v>2.85</v>
      </c>
      <c r="AC161" s="27">
        <f>VLOOKUP($A161,'[1]Raw Data'!$A$3:$FB$285,38,FALSE)</f>
        <v>0.4</v>
      </c>
      <c r="AD161" s="27">
        <f>VLOOKUP($A161,'[1]Raw Data'!$A$3:$FB$285,39,FALSE)</f>
        <v>0.32</v>
      </c>
      <c r="AE161" s="27">
        <f>VLOOKUP($A161,'[1]Raw Data'!$A$3:$FB$285,41,FALSE)</f>
        <v>0</v>
      </c>
      <c r="AF161" s="27">
        <f>VLOOKUP($A161,'[1]Raw Data'!$A$3:$FB$285,42,FALSE)</f>
        <v>0</v>
      </c>
      <c r="AG161" s="27">
        <f>VLOOKUP($A161,'[1]Raw Data'!$A$3:$FB$285,44,FALSE)</f>
        <v>0</v>
      </c>
      <c r="AH161" s="27">
        <f>VLOOKUP($A161,'[1]Raw Data'!$A$3:$FB$285,45,FALSE)</f>
        <v>0</v>
      </c>
      <c r="AI161" s="27">
        <f>VLOOKUP($A161,'[1]Raw Data'!$A$3:$FB$285,46,FALSE)</f>
        <v>2696</v>
      </c>
      <c r="AJ161" s="27">
        <f>VLOOKUP($A161,'[1]Raw Data'!$A$3:$FB$285,47,FALSE)</f>
        <v>2114</v>
      </c>
      <c r="AK161" s="27">
        <f>VLOOKUP($A161,'[1]Raw Data'!$A$3:$FB$285,48,FALSE)</f>
        <v>2099</v>
      </c>
      <c r="AL161" s="27">
        <f>VLOOKUP($A161,'[1]Raw Data'!$A$3:$FB$285,49,FALSE)</f>
        <v>2016</v>
      </c>
      <c r="AM161" s="27">
        <f>VLOOKUP($A161,'[1]Raw Data'!$A$3:$FB$285,50,FALSE)</f>
        <v>1613</v>
      </c>
      <c r="AN161" s="27">
        <f>VLOOKUP($A161,'[1]Raw Data'!$A$3:$FB$285,51,FALSE)</f>
        <v>2126</v>
      </c>
      <c r="AO161" s="27">
        <f>VLOOKUP($A161,'[1]Raw Data'!$A$3:$FB$285,52,FALSE)</f>
        <v>1410</v>
      </c>
      <c r="AP161" s="27">
        <f>VLOOKUP($A161,'[1]Raw Data'!$A$3:$FB$285,53,FALSE)</f>
        <v>929</v>
      </c>
      <c r="AQ161" s="27">
        <f>VLOOKUP($A161,'[1]Raw Data'!$A$3:$FB$285,54,FALSE)</f>
        <v>397</v>
      </c>
      <c r="AR161" s="27">
        <f>VLOOKUP($A161,'[1]Raw Data'!$A$3:$FB$285,55,FALSE)</f>
        <v>383</v>
      </c>
      <c r="AS161" s="27">
        <f>VLOOKUP($A161,'[1]Raw Data'!$A$3:$FB$285,56,FALSE)</f>
        <v>0</v>
      </c>
      <c r="AT161" s="27">
        <f>VLOOKUP($A161,'[1]Raw Data'!$A$3:$FB$285,57,FALSE)</f>
        <v>1378</v>
      </c>
      <c r="AU161" s="27">
        <f>VLOOKUP($A161,'[1]Raw Data'!$A$3:$FB$285,58,FALSE)</f>
        <v>1378</v>
      </c>
      <c r="AV161" s="27">
        <f>VLOOKUP($A161,'[1]Raw Data'!$A$3:$FB$285,59,FALSE)</f>
        <v>189</v>
      </c>
      <c r="AW161" s="27">
        <f>VLOOKUP($A161,'[1]Raw Data'!$A$3:$FB$285,60,FALSE)</f>
        <v>185</v>
      </c>
      <c r="AX161" s="27" t="str">
        <f>VLOOKUP(A161,'[1]PO''s List'!A159:E441,4,FALSE)</f>
        <v>CARE-N(Health),NRCS(Livelihood,Employment ,Health,Shelter,Health)</v>
      </c>
      <c r="AZ161" s="27" t="str">
        <f>VLOOKUP(A161,'[1]PO''s List'!$A$3:$E$285,5,FALSE)</f>
        <v>AATWIN(Social Protection),FCA(Education),HELVETAS(Shelter),PLAN(GESI,Shelter,Social Protection,Health),Tearfund(Shelter)</v>
      </c>
      <c r="BB161" s="27">
        <f>VLOOKUP($A161,'[1]Raw Data'!$A$3:$FB$285,63,FALSE)</f>
        <v>56231</v>
      </c>
      <c r="BC161" s="27" t="str">
        <f>VLOOKUP($A161,'[1]Raw Data'!$A$3:$FB$285,64,FALSE)</f>
        <v/>
      </c>
      <c r="BD161" s="27" t="str">
        <f t="shared" si="18"/>
        <v/>
      </c>
      <c r="BE161" s="27" t="str">
        <f>VLOOKUP($A161,'[1]Raw Data'!$A$3:$FB$285,65,FALSE)</f>
        <v/>
      </c>
      <c r="BF161" s="27">
        <f>VLOOKUP($A161,'[1]Raw Data'!$A$3:$FB$285,66,FALSE)</f>
        <v>51541</v>
      </c>
      <c r="BG161" s="27" t="str">
        <f>VLOOKUP($A161,'[1]Raw Data'!$A$3:$FB$285,67,FALSE)</f>
        <v/>
      </c>
      <c r="BH161" s="27" t="str">
        <f t="shared" si="19"/>
        <v/>
      </c>
      <c r="BI161" s="27" t="str">
        <f>VLOOKUP($A161,'[1]Raw Data'!$A$3:$FB$285,68,FALSE)</f>
        <v/>
      </c>
      <c r="BJ161" s="27">
        <f>VLOOKUP($A161,'[1]Raw Data'!$A$3:$FB$285,69,FALSE)</f>
        <v>5958</v>
      </c>
      <c r="BK161" s="27" t="str">
        <f>VLOOKUP($A161,'[1]Raw Data'!$A$3:$FB$285,70,FALSE)</f>
        <v/>
      </c>
      <c r="BL161" s="27" t="str">
        <f t="shared" si="20"/>
        <v/>
      </c>
      <c r="BM161" s="27" t="str">
        <f>VLOOKUP($A161,'[1]Raw Data'!$A$3:$FB$285,71,FALSE)</f>
        <v/>
      </c>
      <c r="BN161" s="27">
        <f>VLOOKUP($A161,'[1]Raw Data'!$A$3:$FB$285,72,FALSE)</f>
        <v>6705</v>
      </c>
      <c r="BO161" s="27" t="str">
        <f>VLOOKUP($A161,'[1]Raw Data'!$A$3:$FB$285,73,FALSE)</f>
        <v/>
      </c>
      <c r="BP161" s="27" t="str">
        <f t="shared" si="21"/>
        <v/>
      </c>
      <c r="BQ161" s="27" t="str">
        <f>VLOOKUP($A161,'[1]Raw Data'!$A$3:$FB$285,74,FALSE)</f>
        <v/>
      </c>
      <c r="BR161" s="27" t="str">
        <f>VLOOKUP($A161,'[1]Raw Data'!$A$3:$FB$285,75,FALSE)</f>
        <v/>
      </c>
      <c r="BS161" s="27" t="str">
        <f>VLOOKUP($A161,'[1]Raw Data'!$A$3:$FB$285,76,FALSE)</f>
        <v/>
      </c>
      <c r="BT161" s="27" t="str">
        <f t="shared" si="22"/>
        <v/>
      </c>
      <c r="BU161" s="27" t="str">
        <f>VLOOKUP($A161,'[1]Raw Data'!$A$3:$FB$285,77,FALSE)</f>
        <v/>
      </c>
      <c r="BV161" s="27">
        <f>VLOOKUP($A161,'[1]Raw Data'!$A$3:$FB$285,78,FALSE)</f>
        <v>179963</v>
      </c>
      <c r="BW161" s="27" t="str">
        <f>VLOOKUP($A161,'[1]Raw Data'!$A$3:$FB$285,79,FALSE)</f>
        <v/>
      </c>
      <c r="BX161" s="27" t="str">
        <f t="shared" si="23"/>
        <v/>
      </c>
      <c r="BY161" s="27" t="str">
        <f>VLOOKUP($A161,'[1]Raw Data'!$A$3:$FB$285,80,FALSE)</f>
        <v/>
      </c>
      <c r="BZ161" s="27">
        <f>VLOOKUP($A161,'[1]Raw Data'!$A$3:$FB$285,81,FALSE)</f>
        <v>629763</v>
      </c>
      <c r="CA161" s="27" t="str">
        <f>VLOOKUP($A161,'[1]Raw Data'!$A$3:$FB$285,82,FALSE)</f>
        <v/>
      </c>
      <c r="CB161" s="27" t="str">
        <f t="shared" si="24"/>
        <v/>
      </c>
      <c r="CC161" s="27" t="str">
        <f>VLOOKUP($A161,'[1]Raw Data'!$A$3:$FB$285,83,FALSE)</f>
        <v/>
      </c>
      <c r="CD161" s="27">
        <f>VLOOKUP($A161,'[1]Raw Data'!$A$3:$FB$285,84,FALSE)</f>
        <v>7394</v>
      </c>
      <c r="CE161" s="27" t="str">
        <f>VLOOKUP($A161,'[1]Raw Data'!$A$3:$FB$285,85,FALSE)</f>
        <v/>
      </c>
      <c r="CF161" s="27" t="str">
        <f t="shared" si="25"/>
        <v/>
      </c>
      <c r="CG161" s="27" t="str">
        <f>VLOOKUP($A161,'[1]Raw Data'!$A$3:$FB$285,86,FALSE)</f>
        <v/>
      </c>
      <c r="CH161" s="27">
        <f>VLOOKUP($A161,'[1]Raw Data'!$A$3:$FB$285,87,FALSE)</f>
        <v>2259530</v>
      </c>
      <c r="CI161" s="27" t="str">
        <f>VLOOKUP($A161,'[1]Raw Data'!$A$3:$FB$285,88,FALSE)</f>
        <v/>
      </c>
      <c r="CJ161" s="27" t="str">
        <f t="shared" si="26"/>
        <v/>
      </c>
      <c r="CK161" s="27" t="str">
        <f>VLOOKUP($A161,'[1]Raw Data'!$A$3:$FB$285,89,FALSE)</f>
        <v/>
      </c>
      <c r="CL161" s="27" t="str">
        <f>VLOOKUP($A161,'[1]Raw Data'!$A$3:$FB$285,91,FALSE)</f>
        <v/>
      </c>
      <c r="CM161" s="27" t="str">
        <f>VLOOKUP($A161,'[1]Raw Data'!$A$3:$FB$285,93,FALSE)</f>
        <v/>
      </c>
      <c r="CN161" s="27" t="str">
        <f>VLOOKUP($A161,'[1]Raw Data'!$A$3:$FB$285,94,FALSE)</f>
        <v/>
      </c>
      <c r="CO161" s="27" t="str">
        <f>VLOOKUP($A161,'[1]Raw Data'!$A$3:$FB$285,95,FALSE)</f>
        <v/>
      </c>
      <c r="CP161" s="27" t="str">
        <f>VLOOKUP($A161,'[1]Raw Data'!$A$3:$FB$285,96,FALSE)</f>
        <v/>
      </c>
      <c r="CQ161" s="27" t="str">
        <f>VLOOKUP($A161,'[1]Raw Data'!$A$3:$FB$285,97,FALSE)</f>
        <v/>
      </c>
      <c r="CR161" s="27" t="str">
        <f>VLOOKUP($A161,'[1]Raw Data'!$A$3:$FB$285,98,FALSE)</f>
        <v/>
      </c>
      <c r="CS161" s="27" t="str">
        <f>VLOOKUP($A161,'[1]Raw Data'!$A$3:$FB$285,99,FALSE)</f>
        <v/>
      </c>
      <c r="CT161" s="27" t="str">
        <f>VLOOKUP($A161,'[1]Raw Data'!$A$3:$FB$285,101,FALSE)</f>
        <v>Hidam Lama</v>
      </c>
      <c r="CU161" s="27" t="s">
        <v>1314</v>
      </c>
      <c r="CV161" s="27" t="str">
        <f>VLOOKUP($A161,'[1]Raw Data'!$A$3:$FB$285,102,FALSE)</f>
        <v xml:space="preserve">Chairman </v>
      </c>
      <c r="CW161" s="27" t="s">
        <v>878</v>
      </c>
      <c r="CX161" s="27">
        <f>VLOOKUP($A161,'[1]Raw Data'!$A$3:$FB$285,103,FALSE)</f>
        <v>9855068286</v>
      </c>
      <c r="CY161" s="27" t="str">
        <f>VLOOKUP($A161,'[1]Raw Data'!$A$3:$FB$285,105,FALSE)</f>
        <v>Parbati Rana</v>
      </c>
      <c r="CZ161" s="27" t="s">
        <v>1315</v>
      </c>
      <c r="DA161" s="27" t="str">
        <f>VLOOKUP($A161,'[1]Raw Data'!$A$3:$FB$285,106,FALSE)</f>
        <v>Deputy Chairman</v>
      </c>
      <c r="DB161" s="27" t="s">
        <v>879</v>
      </c>
      <c r="DC161" s="27">
        <f>VLOOKUP($A161,'[1]Raw Data'!$A$3:$FB$285,107,FALSE)</f>
        <v>9855077567</v>
      </c>
      <c r="DD161" s="27" t="str">
        <f>VLOOKUP($A161,'[1]Raw Data'!$A$3:$FB$285,109,FALSE)</f>
        <v>Jiwna kuwar</v>
      </c>
      <c r="DE161" s="27" t="s">
        <v>1316</v>
      </c>
      <c r="DF161" s="27" t="str">
        <f>VLOOKUP($A161,'[1]Raw Data'!$A$3:$FB$285,110,FALSE)</f>
        <v>Chief Adminstration Officer</v>
      </c>
      <c r="DG161" s="27" t="s">
        <v>880</v>
      </c>
      <c r="DH161" s="27">
        <f>VLOOKUP($A161,'[1]Raw Data'!$A$3:$FB$285,111,FALSE)</f>
        <v>9849071174</v>
      </c>
      <c r="DI161" s="27" t="str">
        <f>VLOOKUP($A161,'[1]Raw Data'!$A$3:$FB$285,121,FALSE)</f>
        <v>Er.sanish kurmar pandit</v>
      </c>
      <c r="DJ161" s="27" t="s">
        <v>1317</v>
      </c>
      <c r="DK161" s="27" t="str">
        <f>VLOOKUP($A161,'[1]Raw Data'!$A$3:$FB$285,122,FALSE)</f>
        <v>Focal Person</v>
      </c>
      <c r="DL161" s="27" t="s">
        <v>881</v>
      </c>
      <c r="DM161" s="27">
        <f>VLOOKUP($A161,'[1]Raw Data'!$A$3:$FB$285,123,FALSE)</f>
        <v>9844240350</v>
      </c>
      <c r="DN161" s="27" t="str">
        <f>VLOOKUP($A161,'[1]Raw Data'!$A$3:$FB$285,113,FALSE)</f>
        <v xml:space="preserve">Som Raj Timilsena </v>
      </c>
      <c r="DO161" s="27" t="s">
        <v>1305</v>
      </c>
      <c r="DP161" s="27" t="str">
        <f>VLOOKUP($A161,'[1]Raw Data'!$A$3:$FB$285,114,FALSE)</f>
        <v>NRA Chief-District</v>
      </c>
      <c r="DQ161" s="27" t="s">
        <v>882</v>
      </c>
      <c r="DR161" s="27">
        <f>VLOOKUP($A161,'[1]Raw Data'!$A$3:$FB$285,115,FALSE)</f>
        <v>9855030632</v>
      </c>
      <c r="DS161" s="27" t="str">
        <f>VLOOKUP($A161,'[1]Raw Data'!$A$3:$FB$285,117,FALSE)</f>
        <v xml:space="preserve">Sudip Achrya </v>
      </c>
      <c r="DT161" s="27" t="s">
        <v>1306</v>
      </c>
      <c r="DU161" s="27" t="str">
        <f>VLOOKUP($A161,'[1]Raw Data'!$A$3:$FB$285,118,FALSE)</f>
        <v>DUDBC.DLPIU Chief</v>
      </c>
      <c r="DV161" s="27" t="s">
        <v>883</v>
      </c>
      <c r="DW161" s="27">
        <f>VLOOKUP($A161,'[1]Raw Data'!$A$3:$FB$285,119,FALSE)</f>
        <v>9851153206</v>
      </c>
      <c r="DX161" s="27" t="s">
        <v>339</v>
      </c>
      <c r="DY161" s="27" t="str">
        <f>VLOOKUP($A161,'[1]Raw Data'!$A$3:$FB$285,124,FALSE)</f>
        <v/>
      </c>
      <c r="DZ161" s="27" t="s">
        <v>884</v>
      </c>
      <c r="EA161" s="27" t="str">
        <f>VLOOKUP($A161,'[1]Raw Data'!$A$3:$FB$285,125,FALSE)</f>
        <v/>
      </c>
      <c r="EB161" s="27" t="s">
        <v>341</v>
      </c>
      <c r="EC161" s="27" t="str">
        <f>VLOOKUP($A161,'[1]Raw Data'!$A$3:$FB$285,126,FALSE)</f>
        <v/>
      </c>
      <c r="ED161" t="s">
        <v>478</v>
      </c>
      <c r="EE161" s="27" t="str">
        <f>VLOOKUP($A161,'[1]Raw Data'!$A$3:$FB$285,127,FALSE)</f>
        <v/>
      </c>
      <c r="EF161" s="27" t="s">
        <v>343</v>
      </c>
      <c r="EG161" s="27" t="str">
        <f>VLOOKUP($A161,'[1]Raw Data'!$A$3:$FB$285,128,FALSE)</f>
        <v/>
      </c>
      <c r="EH161" t="s">
        <v>344</v>
      </c>
      <c r="EI161" s="27" t="str">
        <f>VLOOKUP($A161,'[1]Raw Data'!$A$3:$FB$285,129,FALSE)</f>
        <v/>
      </c>
      <c r="EM161" s="27" t="str">
        <f>VLOOKUP($A161,'[1]Raw Data'!$A$3:$FB$285,130,FALSE)</f>
        <v/>
      </c>
      <c r="EN161" s="27" t="str">
        <f>VLOOKUP($A161,'[1]Raw Data'!$A$3:$FB$285,131,FALSE)</f>
        <v/>
      </c>
      <c r="EO161" s="27" t="str">
        <f>VLOOKUP($A161,'[1]Raw Data'!$A$3:$FB$285,132,FALSE)</f>
        <v/>
      </c>
      <c r="EP161" s="27" t="str">
        <f>VLOOKUP($A161,'[1]Raw Data'!$A$3:$FB$285,133,FALSE)</f>
        <v/>
      </c>
      <c r="EQ161" s="27" t="str">
        <f>VLOOKUP($A161,'[1]Raw Data'!$A$3:$FB$285,134,FALSE)</f>
        <v/>
      </c>
      <c r="ER161" s="27" t="str">
        <f>VLOOKUP($A161,'[1]Raw Data'!$A$3:$FB$285,135,FALSE)</f>
        <v/>
      </c>
      <c r="ES161" s="27" t="str">
        <f>VLOOKUP($A161,'[1]Raw Data'!$A$3:$FB$285,136,FALSE)</f>
        <v/>
      </c>
      <c r="ET161" s="27" t="str">
        <f>VLOOKUP($A161,'[1]Raw Data'!$A$3:$FB$285,137,FALSE)</f>
        <v/>
      </c>
      <c r="EU161" s="27" t="str">
        <f>VLOOKUP($A161,'[1]Raw Data'!$A$3:$FB$285,138,FALSE)</f>
        <v/>
      </c>
      <c r="EV161" s="27" t="str">
        <f>VLOOKUP($A161,'[1]Raw Data'!$A$3:$FB$285,139,FALSE)</f>
        <v/>
      </c>
      <c r="EW161" s="38">
        <f>VLOOKUP($A161,[1]Training!$A$2:$I$284,5,FALSE)</f>
        <v>207.38461538461539</v>
      </c>
      <c r="EX161" s="31">
        <f>VLOOKUP($A161,[1]Training!$A$2:$I$284,6,FALSE)</f>
        <v>159</v>
      </c>
      <c r="EY161" s="38">
        <f>VLOOKUP($A161,[1]Training!$A$2:$I$284,8,FALSE)</f>
        <v>238.06440218990991</v>
      </c>
      <c r="EZ161" s="31">
        <f>VLOOKUP($A161,[1]Training!$A$2:$I$284,9,FALSE)</f>
        <v>0</v>
      </c>
      <c r="FA161" s="27">
        <v>1</v>
      </c>
      <c r="FB161" s="27">
        <v>2</v>
      </c>
      <c r="FC161" s="27" t="str">
        <f>VLOOKUP($A161,'[1]Raw Data'!$A$3:$FB$285,148,FALSE)</f>
        <v>Hari Thalang</v>
      </c>
      <c r="FD161" s="27" t="s">
        <v>1307</v>
      </c>
      <c r="FE161" s="27" t="str">
        <f>VLOOKUP($A161,'[1]Raw Data'!$A$3:$FB$285,149,FALSE)</f>
        <v>District Coordinator</v>
      </c>
      <c r="FF161" s="27" t="s">
        <v>885</v>
      </c>
      <c r="FG161" s="27">
        <f>VLOOKUP($A161,'[1]Raw Data'!$A$3:$FB$285,150,FALSE)</f>
        <v>9851224505</v>
      </c>
      <c r="FH161" s="27" t="str">
        <f>VLOOKUP($A161,'[1]Raw Data'!$A$3:$FB$285,156,FALSE)</f>
        <v xml:space="preserve">Kausal Bist </v>
      </c>
      <c r="FI161" s="27" t="s">
        <v>1308</v>
      </c>
      <c r="FJ161" s="27" t="str">
        <f>VLOOKUP($A161,'[1]Raw Data'!$A$3:$FB$285,157,FALSE)</f>
        <v>District Technical Officer</v>
      </c>
      <c r="FK161" s="27" t="s">
        <v>886</v>
      </c>
      <c r="FL161" s="27">
        <f>VLOOKUP($A161,'[1]Raw Data'!$A$3:$FB$285,158,FALSE)</f>
        <v>9849787273</v>
      </c>
      <c r="FM161" s="27" t="str">
        <f>VLOOKUP($A161,'[1]Raw Data'!$A$3:$FB$285,152,FALSE)</f>
        <v>Nirmal Nepali</v>
      </c>
      <c r="FN161" s="27" t="s">
        <v>1309</v>
      </c>
      <c r="FO161" s="27" t="str">
        <f>VLOOKUP($A161,'[1]Raw Data'!$A$3:$FB$285,153,FALSE)</f>
        <v>DIstrict Information Management Officer</v>
      </c>
      <c r="FP161" s="27" t="s">
        <v>887</v>
      </c>
      <c r="FQ161" s="27">
        <f>VLOOKUP($A161,'[1]Raw Data'!$A$3:$FB$285,154,FALSE)</f>
        <v>9848500348</v>
      </c>
    </row>
    <row r="162" spans="1:173" ht="24" x14ac:dyDescent="0.45">
      <c r="A162" s="27">
        <v>31004</v>
      </c>
      <c r="B162" s="36" t="str">
        <f ca="1">IFERROR(__xludf.DUMMYFUNCTION("""COMPUTED_VALUE"""),"Hetauda Upamahanagarpalika")</f>
        <v>Hetauda Upamahanagarpalika</v>
      </c>
      <c r="C162" s="37" t="str">
        <f>VLOOKUP(A162,'[1]Palika and District in Nepali '!$D$1:$F$283,3,FALSE)</f>
        <v>हेटौडा उपमहानगरपालिका</v>
      </c>
      <c r="D162" s="36" t="str">
        <f ca="1">IFERROR(__xludf.DUMMYFUNCTION("""COMPUTED_VALUE"""),"Makwanpur")</f>
        <v>Makwanpur</v>
      </c>
      <c r="E162" s="36"/>
      <c r="F162" s="27">
        <f>VLOOKUP(A162,'[1]Raw Data'!$A$3:$FB$285,4,FALSE)</f>
        <v>24588</v>
      </c>
      <c r="G162" s="27">
        <f>VLOOKUP(A162,'[1]Raw Data'!$A$3:$FB$285,5,FALSE)</f>
        <v>8108</v>
      </c>
      <c r="H162" s="27">
        <f>VLOOKUP(A162,'[1]Raw Data'!$A$3:$FB$285,6,FALSE)</f>
        <v>32696</v>
      </c>
      <c r="I162" s="27">
        <f>VLOOKUP($A162,'[1]Raw Data'!$A$3:$FB$285,8,FALSE)</f>
        <v>0.82</v>
      </c>
      <c r="J162" s="27">
        <f>VLOOKUP($A162,'[1]Raw Data'!$A$3:$FB$285,9,FALSE)</f>
        <v>1.32</v>
      </c>
      <c r="K162" s="27">
        <f>VLOOKUP($A162,'[1]Raw Data'!$A$3:$FB$285,11,FALSE)</f>
        <v>11.07</v>
      </c>
      <c r="L162" s="27">
        <f>VLOOKUP($A162,'[1]Raw Data'!$A$3:$FB$285,12,FALSE)</f>
        <v>44.19</v>
      </c>
      <c r="M162" s="27">
        <f>VLOOKUP($A162,'[1]Raw Data'!$A$3:$FB$285,14,FALSE)</f>
        <v>57.95</v>
      </c>
      <c r="N162" s="27">
        <f>VLOOKUP($A162,'[1]Raw Data'!$A$3:$FB$285,15,FALSE)</f>
        <v>26.6</v>
      </c>
      <c r="O162" s="27">
        <f>VLOOKUP($A162,'[1]Raw Data'!$A$3:$FB$285,17,FALSE)</f>
        <v>5.7</v>
      </c>
      <c r="P162" s="27">
        <f>VLOOKUP($A162,'[1]Raw Data'!$A$3:$FB$285,18,FALSE)</f>
        <v>2.36</v>
      </c>
      <c r="Q162" s="27">
        <f>VLOOKUP($A162,'[1]Raw Data'!$A$3:$FB$285,20,FALSE)</f>
        <v>12.16</v>
      </c>
      <c r="R162" s="27">
        <f>VLOOKUP($A162,'[1]Raw Data'!$A$3:$FB$285,21,FALSE)</f>
        <v>5.22</v>
      </c>
      <c r="S162" s="27">
        <f>VLOOKUP($A162,'[1]Raw Data'!$A$3:$FB$285,23,FALSE)</f>
        <v>0</v>
      </c>
      <c r="T162" s="27">
        <f>VLOOKUP($A162,'[1]Raw Data'!$A$3:$FB$285,24,FALSE)</f>
        <v>0</v>
      </c>
      <c r="U162" s="27">
        <f>VLOOKUP($A162,'[1]Raw Data'!$A$3:$FB$285,26,FALSE)</f>
        <v>10.210000000000001</v>
      </c>
      <c r="V162" s="27">
        <f>VLOOKUP($A162,'[1]Raw Data'!$A$3:$FB$285,27,FALSE)</f>
        <v>16.91</v>
      </c>
      <c r="W162" s="27">
        <f>VLOOKUP($A162,'[1]Raw Data'!$A$3:$FB$285,29,FALSE)</f>
        <v>0</v>
      </c>
      <c r="X162" s="27">
        <f>VLOOKUP($A162,'[1]Raw Data'!$A$3:$FB$285,30,FALSE)</f>
        <v>0</v>
      </c>
      <c r="Y162" s="27">
        <f>VLOOKUP($A162,'[1]Raw Data'!$A$3:$FB$285,32,FALSE)</f>
        <v>0.11</v>
      </c>
      <c r="Z162" s="27">
        <f>VLOOKUP($A162,'[1]Raw Data'!$A$3:$FB$285,33,FALSE)</f>
        <v>0.22</v>
      </c>
      <c r="AA162" s="27">
        <f>VLOOKUP($A162,'[1]Raw Data'!$A$3:$FB$285,35,FALSE)</f>
        <v>1.67</v>
      </c>
      <c r="AB162" s="27">
        <f>VLOOKUP($A162,'[1]Raw Data'!$A$3:$FB$285,36,FALSE)</f>
        <v>2.85</v>
      </c>
      <c r="AC162" s="27">
        <f>VLOOKUP($A162,'[1]Raw Data'!$A$3:$FB$285,38,FALSE)</f>
        <v>0.32</v>
      </c>
      <c r="AD162" s="27">
        <f>VLOOKUP($A162,'[1]Raw Data'!$A$3:$FB$285,39,FALSE)</f>
        <v>0.32</v>
      </c>
      <c r="AE162" s="27">
        <f>VLOOKUP($A162,'[1]Raw Data'!$A$3:$FB$285,41,FALSE)</f>
        <v>0</v>
      </c>
      <c r="AF162" s="27">
        <f>VLOOKUP($A162,'[1]Raw Data'!$A$3:$FB$285,42,FALSE)</f>
        <v>0</v>
      </c>
      <c r="AG162" s="27">
        <f>VLOOKUP($A162,'[1]Raw Data'!$A$3:$FB$285,44,FALSE)</f>
        <v>0</v>
      </c>
      <c r="AH162" s="27">
        <f>VLOOKUP($A162,'[1]Raw Data'!$A$3:$FB$285,45,FALSE)</f>
        <v>0</v>
      </c>
      <c r="AI162" s="27">
        <f>VLOOKUP($A162,'[1]Raw Data'!$A$3:$FB$285,46,FALSE)</f>
        <v>6324</v>
      </c>
      <c r="AJ162" s="27">
        <f>VLOOKUP($A162,'[1]Raw Data'!$A$3:$FB$285,47,FALSE)</f>
        <v>5284</v>
      </c>
      <c r="AK162" s="27">
        <f>VLOOKUP($A162,'[1]Raw Data'!$A$3:$FB$285,48,FALSE)</f>
        <v>4641</v>
      </c>
      <c r="AL162" s="27">
        <f>VLOOKUP($A162,'[1]Raw Data'!$A$3:$FB$285,49,FALSE)</f>
        <v>2564</v>
      </c>
      <c r="AM162" s="27">
        <f>VLOOKUP($A162,'[1]Raw Data'!$A$3:$FB$285,50,FALSE)</f>
        <v>2468</v>
      </c>
      <c r="AN162" s="27">
        <f>VLOOKUP($A162,'[1]Raw Data'!$A$3:$FB$285,51,FALSE)</f>
        <v>2505</v>
      </c>
      <c r="AO162" s="27">
        <f>VLOOKUP($A162,'[1]Raw Data'!$A$3:$FB$285,52,FALSE)</f>
        <v>2010</v>
      </c>
      <c r="AP162" s="27">
        <f>VLOOKUP($A162,'[1]Raw Data'!$A$3:$FB$285,53,FALSE)</f>
        <v>1881</v>
      </c>
      <c r="AQ162" s="27">
        <f>VLOOKUP($A162,'[1]Raw Data'!$A$3:$FB$285,54,FALSE)</f>
        <v>1012</v>
      </c>
      <c r="AR162" s="27">
        <f>VLOOKUP($A162,'[1]Raw Data'!$A$3:$FB$285,55,FALSE)</f>
        <v>1012</v>
      </c>
      <c r="AS162" s="27">
        <f>VLOOKUP($A162,'[1]Raw Data'!$A$3:$FB$285,56,FALSE)</f>
        <v>0</v>
      </c>
      <c r="AT162" s="27">
        <f>VLOOKUP($A162,'[1]Raw Data'!$A$3:$FB$285,57,FALSE)</f>
        <v>3419</v>
      </c>
      <c r="AU162" s="27">
        <f>VLOOKUP($A162,'[1]Raw Data'!$A$3:$FB$285,58,FALSE)</f>
        <v>3419</v>
      </c>
      <c r="AV162" s="27">
        <f>VLOOKUP($A162,'[1]Raw Data'!$A$3:$FB$285,59,FALSE)</f>
        <v>656</v>
      </c>
      <c r="AW162" s="27">
        <f>VLOOKUP($A162,'[1]Raw Data'!$A$3:$FB$285,60,FALSE)</f>
        <v>631</v>
      </c>
      <c r="AX162" s="27" t="str">
        <f>VLOOKUP(A162,'[1]PO''s List'!A160:E442,4,FALSE)</f>
        <v>BC(Shelter),NRCS(Health),PIN(Shelter)</v>
      </c>
      <c r="AZ162" s="27" t="str">
        <f>VLOOKUP(A162,'[1]PO''s List'!$A$3:$E$285,5,FALSE)</f>
        <v>AA(GESI),AATWIN(Social Protection),BNMT(Health),CARE-N(Education),EBMF(Education),PLAN(Education,Social Protection,Health)</v>
      </c>
      <c r="BB162" s="27">
        <f>VLOOKUP($A162,'[1]Raw Data'!$A$3:$FB$285,63,FALSE)</f>
        <v>101390</v>
      </c>
      <c r="BC162" s="27" t="str">
        <f>VLOOKUP($A162,'[1]Raw Data'!$A$3:$FB$285,64,FALSE)</f>
        <v/>
      </c>
      <c r="BD162" s="27" t="str">
        <f t="shared" si="18"/>
        <v/>
      </c>
      <c r="BE162" s="27" t="str">
        <f>VLOOKUP($A162,'[1]Raw Data'!$A$3:$FB$285,65,FALSE)</f>
        <v/>
      </c>
      <c r="BF162" s="27">
        <f>VLOOKUP($A162,'[1]Raw Data'!$A$3:$FB$285,66,FALSE)</f>
        <v>49786</v>
      </c>
      <c r="BG162" s="27" t="str">
        <f>VLOOKUP($A162,'[1]Raw Data'!$A$3:$FB$285,67,FALSE)</f>
        <v/>
      </c>
      <c r="BH162" s="27" t="str">
        <f t="shared" si="19"/>
        <v/>
      </c>
      <c r="BI162" s="27" t="str">
        <f>VLOOKUP($A162,'[1]Raw Data'!$A$3:$FB$285,68,FALSE)</f>
        <v/>
      </c>
      <c r="BJ162" s="27">
        <f>VLOOKUP($A162,'[1]Raw Data'!$A$3:$FB$285,69,FALSE)</f>
        <v>10361</v>
      </c>
      <c r="BK162" s="27" t="str">
        <f>VLOOKUP($A162,'[1]Raw Data'!$A$3:$FB$285,70,FALSE)</f>
        <v/>
      </c>
      <c r="BL162" s="27" t="str">
        <f t="shared" si="20"/>
        <v/>
      </c>
      <c r="BM162" s="27" t="str">
        <f>VLOOKUP($A162,'[1]Raw Data'!$A$3:$FB$285,71,FALSE)</f>
        <v/>
      </c>
      <c r="BN162" s="27">
        <f>VLOOKUP($A162,'[1]Raw Data'!$A$3:$FB$285,72,FALSE)</f>
        <v>10239</v>
      </c>
      <c r="BO162" s="27" t="str">
        <f>VLOOKUP($A162,'[1]Raw Data'!$A$3:$FB$285,73,FALSE)</f>
        <v/>
      </c>
      <c r="BP162" s="27" t="str">
        <f t="shared" si="21"/>
        <v/>
      </c>
      <c r="BQ162" s="27" t="str">
        <f>VLOOKUP($A162,'[1]Raw Data'!$A$3:$FB$285,74,FALSE)</f>
        <v/>
      </c>
      <c r="BR162" s="27" t="str">
        <f>VLOOKUP($A162,'[1]Raw Data'!$A$3:$FB$285,75,FALSE)</f>
        <v/>
      </c>
      <c r="BS162" s="27" t="str">
        <f>VLOOKUP($A162,'[1]Raw Data'!$A$3:$FB$285,76,FALSE)</f>
        <v/>
      </c>
      <c r="BT162" s="27" t="str">
        <f t="shared" si="22"/>
        <v/>
      </c>
      <c r="BU162" s="27" t="str">
        <f>VLOOKUP($A162,'[1]Raw Data'!$A$3:$FB$285,77,FALSE)</f>
        <v/>
      </c>
      <c r="BV162" s="27">
        <f>VLOOKUP($A162,'[1]Raw Data'!$A$3:$FB$285,78,FALSE)</f>
        <v>202683</v>
      </c>
      <c r="BW162" s="27" t="str">
        <f>VLOOKUP($A162,'[1]Raw Data'!$A$3:$FB$285,79,FALSE)</f>
        <v/>
      </c>
      <c r="BX162" s="27" t="str">
        <f t="shared" si="23"/>
        <v/>
      </c>
      <c r="BY162" s="27" t="str">
        <f>VLOOKUP($A162,'[1]Raw Data'!$A$3:$FB$285,80,FALSE)</f>
        <v/>
      </c>
      <c r="BZ162" s="27">
        <f>VLOOKUP($A162,'[1]Raw Data'!$A$3:$FB$285,81,FALSE)</f>
        <v>1219396</v>
      </c>
      <c r="CA162" s="27" t="str">
        <f>VLOOKUP($A162,'[1]Raw Data'!$A$3:$FB$285,82,FALSE)</f>
        <v/>
      </c>
      <c r="CB162" s="27" t="str">
        <f t="shared" si="24"/>
        <v/>
      </c>
      <c r="CC162" s="27" t="str">
        <f>VLOOKUP($A162,'[1]Raw Data'!$A$3:$FB$285,83,FALSE)</f>
        <v/>
      </c>
      <c r="CD162" s="27">
        <f>VLOOKUP($A162,'[1]Raw Data'!$A$3:$FB$285,84,FALSE)</f>
        <v>8373</v>
      </c>
      <c r="CE162" s="27" t="str">
        <f>VLOOKUP($A162,'[1]Raw Data'!$A$3:$FB$285,85,FALSE)</f>
        <v/>
      </c>
      <c r="CF162" s="27" t="str">
        <f t="shared" si="25"/>
        <v/>
      </c>
      <c r="CG162" s="27" t="str">
        <f>VLOOKUP($A162,'[1]Raw Data'!$A$3:$FB$285,86,FALSE)</f>
        <v/>
      </c>
      <c r="CH162" s="27">
        <f>VLOOKUP($A162,'[1]Raw Data'!$A$3:$FB$285,87,FALSE)</f>
        <v>9402686</v>
      </c>
      <c r="CI162" s="27" t="str">
        <f>VLOOKUP($A162,'[1]Raw Data'!$A$3:$FB$285,88,FALSE)</f>
        <v/>
      </c>
      <c r="CJ162" s="27" t="str">
        <f t="shared" si="26"/>
        <v/>
      </c>
      <c r="CK162" s="27" t="str">
        <f>VLOOKUP($A162,'[1]Raw Data'!$A$3:$FB$285,89,FALSE)</f>
        <v/>
      </c>
      <c r="CL162" s="27" t="str">
        <f>VLOOKUP($A162,'[1]Raw Data'!$A$3:$FB$285,91,FALSE)</f>
        <v/>
      </c>
      <c r="CM162" s="27" t="str">
        <f>VLOOKUP($A162,'[1]Raw Data'!$A$3:$FB$285,93,FALSE)</f>
        <v/>
      </c>
      <c r="CN162" s="27" t="str">
        <f>VLOOKUP($A162,'[1]Raw Data'!$A$3:$FB$285,94,FALSE)</f>
        <v/>
      </c>
      <c r="CO162" s="27" t="str">
        <f>VLOOKUP($A162,'[1]Raw Data'!$A$3:$FB$285,95,FALSE)</f>
        <v/>
      </c>
      <c r="CP162" s="27" t="str">
        <f>VLOOKUP($A162,'[1]Raw Data'!$A$3:$FB$285,96,FALSE)</f>
        <v/>
      </c>
      <c r="CQ162" s="27" t="str">
        <f>VLOOKUP($A162,'[1]Raw Data'!$A$3:$FB$285,97,FALSE)</f>
        <v/>
      </c>
      <c r="CR162" s="27" t="str">
        <f>VLOOKUP($A162,'[1]Raw Data'!$A$3:$FB$285,98,FALSE)</f>
        <v/>
      </c>
      <c r="CS162" s="27" t="str">
        <f>VLOOKUP($A162,'[1]Raw Data'!$A$3:$FB$285,99,FALSE)</f>
        <v/>
      </c>
      <c r="CT162" s="27" t="str">
        <f>VLOOKUP($A162,'[1]Raw Data'!$A$3:$FB$285,101,FALSE)</f>
        <v>Hari Bdr Mahat</v>
      </c>
      <c r="CU162" s="27" t="s">
        <v>1318</v>
      </c>
      <c r="CV162" s="27" t="str">
        <f>VLOOKUP($A162,'[1]Raw Data'!$A$3:$FB$285,102,FALSE)</f>
        <v>Mayor</v>
      </c>
      <c r="CW162" s="27" t="s">
        <v>834</v>
      </c>
      <c r="CX162" s="27">
        <f>VLOOKUP($A162,'[1]Raw Data'!$A$3:$FB$285,103,FALSE)</f>
        <v>9855067032</v>
      </c>
      <c r="CY162" s="27" t="str">
        <f>VLOOKUP($A162,'[1]Raw Data'!$A$3:$FB$285,105,FALSE)</f>
        <v>Meena Kumari Lama</v>
      </c>
      <c r="CZ162" s="27" t="s">
        <v>1319</v>
      </c>
      <c r="DA162" s="27" t="str">
        <f>VLOOKUP($A162,'[1]Raw Data'!$A$3:$FB$285,106,FALSE)</f>
        <v>Deputy Mayor</v>
      </c>
      <c r="DB162" s="27" t="s">
        <v>888</v>
      </c>
      <c r="DC162" s="27">
        <f>VLOOKUP($A162,'[1]Raw Data'!$A$3:$FB$285,107,FALSE)</f>
        <v>9845028543</v>
      </c>
      <c r="DD162" s="27" t="str">
        <f>VLOOKUP($A162,'[1]Raw Data'!$A$3:$FB$285,109,FALSE)</f>
        <v>Pushpa Raj Shahi</v>
      </c>
      <c r="DE162" s="27" t="s">
        <v>1320</v>
      </c>
      <c r="DF162" s="27" t="str">
        <f>VLOOKUP($A162,'[1]Raw Data'!$A$3:$FB$285,110,FALSE)</f>
        <v>Chief Adminstration Officer</v>
      </c>
      <c r="DG162" s="27" t="s">
        <v>880</v>
      </c>
      <c r="DH162" s="27">
        <f>VLOOKUP($A162,'[1]Raw Data'!$A$3:$FB$285,111,FALSE)</f>
        <v>9855010111</v>
      </c>
      <c r="DI162" s="27" t="str">
        <f>VLOOKUP($A162,'[1]Raw Data'!$A$3:$FB$285,121,FALSE)</f>
        <v>Er.Pramod kumar rijal</v>
      </c>
      <c r="DJ162" s="27" t="s">
        <v>1321</v>
      </c>
      <c r="DK162" s="27" t="str">
        <f>VLOOKUP($A162,'[1]Raw Data'!$A$3:$FB$285,122,FALSE)</f>
        <v>Focal Person</v>
      </c>
      <c r="DL162" s="27" t="s">
        <v>881</v>
      </c>
      <c r="DM162" s="27">
        <f>VLOOKUP($A162,'[1]Raw Data'!$A$3:$FB$285,123,FALSE)</f>
        <v>9841140772</v>
      </c>
      <c r="DN162" s="27" t="str">
        <f>VLOOKUP($A162,'[1]Raw Data'!$A$3:$FB$285,113,FALSE)</f>
        <v xml:space="preserve">Som Raj Timilsena </v>
      </c>
      <c r="DO162" s="27" t="s">
        <v>1305</v>
      </c>
      <c r="DP162" s="27" t="str">
        <f>VLOOKUP($A162,'[1]Raw Data'!$A$3:$FB$285,114,FALSE)</f>
        <v>NRA Chief-District</v>
      </c>
      <c r="DQ162" s="27" t="s">
        <v>882</v>
      </c>
      <c r="DR162" s="27">
        <f>VLOOKUP($A162,'[1]Raw Data'!$A$3:$FB$285,115,FALSE)</f>
        <v>9855030632</v>
      </c>
      <c r="DS162" s="27" t="str">
        <f>VLOOKUP($A162,'[1]Raw Data'!$A$3:$FB$285,117,FALSE)</f>
        <v xml:space="preserve">Sudip Achrya </v>
      </c>
      <c r="DT162" s="27" t="s">
        <v>1306</v>
      </c>
      <c r="DU162" s="27" t="str">
        <f>VLOOKUP($A162,'[1]Raw Data'!$A$3:$FB$285,118,FALSE)</f>
        <v>DUDBC.DLPIU Chief</v>
      </c>
      <c r="DV162" s="27" t="s">
        <v>883</v>
      </c>
      <c r="DW162" s="27">
        <f>VLOOKUP($A162,'[1]Raw Data'!$A$3:$FB$285,119,FALSE)</f>
        <v>9851153206</v>
      </c>
      <c r="DX162" s="27" t="s">
        <v>339</v>
      </c>
      <c r="DY162" s="27" t="str">
        <f>VLOOKUP($A162,'[1]Raw Data'!$A$3:$FB$285,124,FALSE)</f>
        <v/>
      </c>
      <c r="DZ162" s="27" t="s">
        <v>884</v>
      </c>
      <c r="EA162" s="27" t="str">
        <f>VLOOKUP($A162,'[1]Raw Data'!$A$3:$FB$285,125,FALSE)</f>
        <v/>
      </c>
      <c r="EB162" s="27" t="s">
        <v>341</v>
      </c>
      <c r="EC162" s="27" t="str">
        <f>VLOOKUP($A162,'[1]Raw Data'!$A$3:$FB$285,126,FALSE)</f>
        <v/>
      </c>
      <c r="ED162" t="s">
        <v>478</v>
      </c>
      <c r="EE162" s="27" t="str">
        <f>VLOOKUP($A162,'[1]Raw Data'!$A$3:$FB$285,127,FALSE)</f>
        <v/>
      </c>
      <c r="EF162" s="27" t="s">
        <v>343</v>
      </c>
      <c r="EG162" s="27" t="str">
        <f>VLOOKUP($A162,'[1]Raw Data'!$A$3:$FB$285,128,FALSE)</f>
        <v/>
      </c>
      <c r="EH162" t="s">
        <v>344</v>
      </c>
      <c r="EI162" s="27" t="str">
        <f>VLOOKUP($A162,'[1]Raw Data'!$A$3:$FB$285,129,FALSE)</f>
        <v/>
      </c>
      <c r="EM162" s="27" t="str">
        <f>VLOOKUP($A162,'[1]Raw Data'!$A$3:$FB$285,130,FALSE)</f>
        <v/>
      </c>
      <c r="EN162" s="27" t="str">
        <f>VLOOKUP($A162,'[1]Raw Data'!$A$3:$FB$285,131,FALSE)</f>
        <v/>
      </c>
      <c r="EO162" s="27" t="str">
        <f>VLOOKUP($A162,'[1]Raw Data'!$A$3:$FB$285,132,FALSE)</f>
        <v/>
      </c>
      <c r="EP162" s="27" t="str">
        <f>VLOOKUP($A162,'[1]Raw Data'!$A$3:$FB$285,133,FALSE)</f>
        <v/>
      </c>
      <c r="EQ162" s="27" t="str">
        <f>VLOOKUP($A162,'[1]Raw Data'!$A$3:$FB$285,134,FALSE)</f>
        <v/>
      </c>
      <c r="ER162" s="27" t="str">
        <f>VLOOKUP($A162,'[1]Raw Data'!$A$3:$FB$285,135,FALSE)</f>
        <v/>
      </c>
      <c r="ES162" s="27" t="str">
        <f>VLOOKUP($A162,'[1]Raw Data'!$A$3:$FB$285,136,FALSE)</f>
        <v/>
      </c>
      <c r="ET162" s="27" t="str">
        <f>VLOOKUP($A162,'[1]Raw Data'!$A$3:$FB$285,137,FALSE)</f>
        <v/>
      </c>
      <c r="EU162" s="27" t="str">
        <f>VLOOKUP($A162,'[1]Raw Data'!$A$3:$FB$285,138,FALSE)</f>
        <v/>
      </c>
      <c r="EV162" s="27" t="str">
        <f>VLOOKUP($A162,'[1]Raw Data'!$A$3:$FB$285,139,FALSE)</f>
        <v/>
      </c>
      <c r="EW162" s="38">
        <f>VLOOKUP($A162,[1]Training!$A$2:$I$284,5,FALSE)</f>
        <v>486.46153846153845</v>
      </c>
      <c r="EX162" s="31">
        <f>VLOOKUP($A162,[1]Training!$A$2:$I$284,6,FALSE)</f>
        <v>0</v>
      </c>
      <c r="EY162" s="38">
        <f>VLOOKUP($A162,[1]Training!$A$2:$I$284,8,FALSE)</f>
        <v>558.42703243656911</v>
      </c>
      <c r="EZ162" s="31">
        <f>VLOOKUP($A162,[1]Training!$A$2:$I$284,9,FALSE)</f>
        <v>0</v>
      </c>
      <c r="FA162" s="27">
        <v>1</v>
      </c>
      <c r="FB162" s="27">
        <v>2</v>
      </c>
      <c r="FC162" s="27" t="str">
        <f>VLOOKUP($A162,'[1]Raw Data'!$A$3:$FB$285,148,FALSE)</f>
        <v>Hari Thalang</v>
      </c>
      <c r="FD162" s="27" t="s">
        <v>1307</v>
      </c>
      <c r="FE162" s="27" t="str">
        <f>VLOOKUP($A162,'[1]Raw Data'!$A$3:$FB$285,149,FALSE)</f>
        <v>District Coordinator</v>
      </c>
      <c r="FF162" s="27" t="s">
        <v>885</v>
      </c>
      <c r="FG162" s="27">
        <f>VLOOKUP($A162,'[1]Raw Data'!$A$3:$FB$285,150,FALSE)</f>
        <v>9851224505</v>
      </c>
      <c r="FH162" s="27" t="str">
        <f>VLOOKUP($A162,'[1]Raw Data'!$A$3:$FB$285,156,FALSE)</f>
        <v xml:space="preserve">Kausal Bist </v>
      </c>
      <c r="FI162" s="27" t="s">
        <v>1308</v>
      </c>
      <c r="FJ162" s="27" t="str">
        <f>VLOOKUP($A162,'[1]Raw Data'!$A$3:$FB$285,157,FALSE)</f>
        <v>District Technical Officer</v>
      </c>
      <c r="FK162" s="27" t="s">
        <v>886</v>
      </c>
      <c r="FL162" s="27">
        <f>VLOOKUP($A162,'[1]Raw Data'!$A$3:$FB$285,158,FALSE)</f>
        <v>9849787273</v>
      </c>
      <c r="FM162" s="27" t="str">
        <f>VLOOKUP($A162,'[1]Raw Data'!$A$3:$FB$285,152,FALSE)</f>
        <v>Nirmal Nepali</v>
      </c>
      <c r="FN162" s="27" t="s">
        <v>1309</v>
      </c>
      <c r="FO162" s="27" t="str">
        <f>VLOOKUP($A162,'[1]Raw Data'!$A$3:$FB$285,153,FALSE)</f>
        <v>DIstrict Information Management Officer</v>
      </c>
      <c r="FP162" s="27" t="s">
        <v>887</v>
      </c>
      <c r="FQ162" s="27">
        <f>VLOOKUP($A162,'[1]Raw Data'!$A$3:$FB$285,154,FALSE)</f>
        <v>9848500348</v>
      </c>
    </row>
    <row r="163" spans="1:173" ht="24" x14ac:dyDescent="0.45">
      <c r="A163" s="27">
        <v>31005</v>
      </c>
      <c r="B163" s="36" t="str">
        <f ca="1">IFERROR(__xludf.DUMMYFUNCTION("""COMPUTED_VALUE"""),"Indrasarowar Gaunpalika")</f>
        <v>Indrasarowar Gaunpalika</v>
      </c>
      <c r="C163" s="37" t="str">
        <f>VLOOKUP(A163,'[1]Palika and District in Nepali '!$D$1:$F$283,3,FALSE)</f>
        <v>ईन्द्रसरोवर गाउँपालिका</v>
      </c>
      <c r="D163" s="36" t="str">
        <f ca="1">IFERROR(__xludf.DUMMYFUNCTION("""COMPUTED_VALUE"""),"Makwanpur")</f>
        <v>Makwanpur</v>
      </c>
      <c r="E163" s="36"/>
      <c r="F163" s="27">
        <f>VLOOKUP(A163,'[1]Raw Data'!$A$3:$FB$285,4,FALSE)</f>
        <v>669</v>
      </c>
      <c r="G163" s="27">
        <f>VLOOKUP(A163,'[1]Raw Data'!$A$3:$FB$285,5,FALSE)</f>
        <v>3057</v>
      </c>
      <c r="H163" s="27">
        <f>VLOOKUP(A163,'[1]Raw Data'!$A$3:$FB$285,6,FALSE)</f>
        <v>3726</v>
      </c>
      <c r="I163" s="27">
        <f>VLOOKUP($A163,'[1]Raw Data'!$A$3:$FB$285,8,FALSE)</f>
        <v>0.51</v>
      </c>
      <c r="J163" s="27">
        <f>VLOOKUP($A163,'[1]Raw Data'!$A$3:$FB$285,9,FALSE)</f>
        <v>1.32</v>
      </c>
      <c r="K163" s="27">
        <f>VLOOKUP($A163,'[1]Raw Data'!$A$3:$FB$285,11,FALSE)</f>
        <v>96.53</v>
      </c>
      <c r="L163" s="27">
        <f>VLOOKUP($A163,'[1]Raw Data'!$A$3:$FB$285,12,FALSE)</f>
        <v>44.19</v>
      </c>
      <c r="M163" s="27">
        <f>VLOOKUP($A163,'[1]Raw Data'!$A$3:$FB$285,14,FALSE)</f>
        <v>1.24</v>
      </c>
      <c r="N163" s="27">
        <f>VLOOKUP($A163,'[1]Raw Data'!$A$3:$FB$285,15,FALSE)</f>
        <v>26.6</v>
      </c>
      <c r="O163" s="27">
        <f>VLOOKUP($A163,'[1]Raw Data'!$A$3:$FB$285,17,FALSE)</f>
        <v>0.08</v>
      </c>
      <c r="P163" s="27">
        <f>VLOOKUP($A163,'[1]Raw Data'!$A$3:$FB$285,18,FALSE)</f>
        <v>2.36</v>
      </c>
      <c r="Q163" s="27">
        <f>VLOOKUP($A163,'[1]Raw Data'!$A$3:$FB$285,20,FALSE)</f>
        <v>0.89</v>
      </c>
      <c r="R163" s="27">
        <f>VLOOKUP($A163,'[1]Raw Data'!$A$3:$FB$285,21,FALSE)</f>
        <v>5.22</v>
      </c>
      <c r="S163" s="27">
        <f>VLOOKUP($A163,'[1]Raw Data'!$A$3:$FB$285,23,FALSE)</f>
        <v>0</v>
      </c>
      <c r="T163" s="27">
        <f>VLOOKUP($A163,'[1]Raw Data'!$A$3:$FB$285,24,FALSE)</f>
        <v>0</v>
      </c>
      <c r="U163" s="27">
        <f>VLOOKUP($A163,'[1]Raw Data'!$A$3:$FB$285,26,FALSE)</f>
        <v>0.16</v>
      </c>
      <c r="V163" s="27">
        <f>VLOOKUP($A163,'[1]Raw Data'!$A$3:$FB$285,27,FALSE)</f>
        <v>16.91</v>
      </c>
      <c r="W163" s="27">
        <f>VLOOKUP($A163,'[1]Raw Data'!$A$3:$FB$285,29,FALSE)</f>
        <v>0</v>
      </c>
      <c r="X163" s="27">
        <f>VLOOKUP($A163,'[1]Raw Data'!$A$3:$FB$285,30,FALSE)</f>
        <v>0</v>
      </c>
      <c r="Y163" s="27">
        <f>VLOOKUP($A163,'[1]Raw Data'!$A$3:$FB$285,32,FALSE)</f>
        <v>0.05</v>
      </c>
      <c r="Z163" s="27">
        <f>VLOOKUP($A163,'[1]Raw Data'!$A$3:$FB$285,33,FALSE)</f>
        <v>0.22</v>
      </c>
      <c r="AA163" s="27">
        <f>VLOOKUP($A163,'[1]Raw Data'!$A$3:$FB$285,35,FALSE)</f>
        <v>0.48</v>
      </c>
      <c r="AB163" s="27">
        <f>VLOOKUP($A163,'[1]Raw Data'!$A$3:$FB$285,36,FALSE)</f>
        <v>2.85</v>
      </c>
      <c r="AC163" s="27">
        <f>VLOOKUP($A163,'[1]Raw Data'!$A$3:$FB$285,38,FALSE)</f>
        <v>0.05</v>
      </c>
      <c r="AD163" s="27">
        <f>VLOOKUP($A163,'[1]Raw Data'!$A$3:$FB$285,39,FALSE)</f>
        <v>0.32</v>
      </c>
      <c r="AE163" s="27">
        <f>VLOOKUP($A163,'[1]Raw Data'!$A$3:$FB$285,41,FALSE)</f>
        <v>0</v>
      </c>
      <c r="AF163" s="27">
        <f>VLOOKUP($A163,'[1]Raw Data'!$A$3:$FB$285,42,FALSE)</f>
        <v>0</v>
      </c>
      <c r="AG163" s="27">
        <f>VLOOKUP($A163,'[1]Raw Data'!$A$3:$FB$285,44,FALSE)</f>
        <v>0</v>
      </c>
      <c r="AH163" s="27">
        <f>VLOOKUP($A163,'[1]Raw Data'!$A$3:$FB$285,45,FALSE)</f>
        <v>0</v>
      </c>
      <c r="AI163" s="27">
        <f>VLOOKUP($A163,'[1]Raw Data'!$A$3:$FB$285,46,FALSE)</f>
        <v>2921</v>
      </c>
      <c r="AJ163" s="27">
        <f>VLOOKUP($A163,'[1]Raw Data'!$A$3:$FB$285,47,FALSE)</f>
        <v>2485</v>
      </c>
      <c r="AK163" s="27">
        <f>VLOOKUP($A163,'[1]Raw Data'!$A$3:$FB$285,48,FALSE)</f>
        <v>2428</v>
      </c>
      <c r="AL163" s="27">
        <f>VLOOKUP($A163,'[1]Raw Data'!$A$3:$FB$285,49,FALSE)</f>
        <v>1754</v>
      </c>
      <c r="AM163" s="27">
        <f>VLOOKUP($A163,'[1]Raw Data'!$A$3:$FB$285,50,FALSE)</f>
        <v>1093</v>
      </c>
      <c r="AN163" s="27">
        <f>VLOOKUP($A163,'[1]Raw Data'!$A$3:$FB$285,51,FALSE)</f>
        <v>1766</v>
      </c>
      <c r="AO163" s="27">
        <f>VLOOKUP($A163,'[1]Raw Data'!$A$3:$FB$285,52,FALSE)</f>
        <v>950</v>
      </c>
      <c r="AP163" s="27">
        <f>VLOOKUP($A163,'[1]Raw Data'!$A$3:$FB$285,53,FALSE)</f>
        <v>245</v>
      </c>
      <c r="AQ163" s="27">
        <f>VLOOKUP($A163,'[1]Raw Data'!$A$3:$FB$285,54,FALSE)</f>
        <v>167</v>
      </c>
      <c r="AR163" s="27">
        <f>VLOOKUP($A163,'[1]Raw Data'!$A$3:$FB$285,55,FALSE)</f>
        <v>152</v>
      </c>
      <c r="AS163" s="27">
        <f>VLOOKUP($A163,'[1]Raw Data'!$A$3:$FB$285,56,FALSE)</f>
        <v>0</v>
      </c>
      <c r="AT163" s="27">
        <f>VLOOKUP($A163,'[1]Raw Data'!$A$3:$FB$285,57,FALSE)</f>
        <v>1104</v>
      </c>
      <c r="AU163" s="27">
        <f>VLOOKUP($A163,'[1]Raw Data'!$A$3:$FB$285,58,FALSE)</f>
        <v>1104</v>
      </c>
      <c r="AV163" s="27">
        <f>VLOOKUP($A163,'[1]Raw Data'!$A$3:$FB$285,59,FALSE)</f>
        <v>49</v>
      </c>
      <c r="AW163" s="27">
        <f>VLOOKUP($A163,'[1]Raw Data'!$A$3:$FB$285,60,FALSE)</f>
        <v>49</v>
      </c>
      <c r="AX163" s="27" t="str">
        <f>VLOOKUP(A163,'[1]PO''s List'!A161:E443,4,FALSE)</f>
        <v>CARE-N(Health),PIN(Shelter),PLAN(Education,GESI,Shelter,Social Protection,Health)</v>
      </c>
      <c r="AZ163" s="27" t="str">
        <f>VLOOKUP(A163,'[1]PO''s List'!$A$3:$E$285,5,FALSE)</f>
        <v>HELVETAS(Shelter),ICCO(Livelihood),Tearfund(Shelter)</v>
      </c>
      <c r="BB163" s="27">
        <f>VLOOKUP($A163,'[1]Raw Data'!$A$3:$FB$285,63,FALSE)</f>
        <v>46783</v>
      </c>
      <c r="BC163" s="27" t="str">
        <f>VLOOKUP($A163,'[1]Raw Data'!$A$3:$FB$285,64,FALSE)</f>
        <v/>
      </c>
      <c r="BD163" s="27" t="str">
        <f t="shared" si="18"/>
        <v/>
      </c>
      <c r="BE163" s="27" t="str">
        <f>VLOOKUP($A163,'[1]Raw Data'!$A$3:$FB$285,65,FALSE)</f>
        <v/>
      </c>
      <c r="BF163" s="27">
        <f>VLOOKUP($A163,'[1]Raw Data'!$A$3:$FB$285,66,FALSE)</f>
        <v>47379</v>
      </c>
      <c r="BG163" s="27" t="str">
        <f>VLOOKUP($A163,'[1]Raw Data'!$A$3:$FB$285,67,FALSE)</f>
        <v/>
      </c>
      <c r="BH163" s="27" t="str">
        <f t="shared" si="19"/>
        <v/>
      </c>
      <c r="BI163" s="27" t="str">
        <f>VLOOKUP($A163,'[1]Raw Data'!$A$3:$FB$285,68,FALSE)</f>
        <v/>
      </c>
      <c r="BJ163" s="27">
        <f>VLOOKUP($A163,'[1]Raw Data'!$A$3:$FB$285,69,FALSE)</f>
        <v>4990</v>
      </c>
      <c r="BK163" s="27" t="str">
        <f>VLOOKUP($A163,'[1]Raw Data'!$A$3:$FB$285,70,FALSE)</f>
        <v/>
      </c>
      <c r="BL163" s="27" t="str">
        <f t="shared" si="20"/>
        <v/>
      </c>
      <c r="BM163" s="27" t="str">
        <f>VLOOKUP($A163,'[1]Raw Data'!$A$3:$FB$285,71,FALSE)</f>
        <v/>
      </c>
      <c r="BN163" s="27">
        <f>VLOOKUP($A163,'[1]Raw Data'!$A$3:$FB$285,72,FALSE)</f>
        <v>5741</v>
      </c>
      <c r="BO163" s="27" t="str">
        <f>VLOOKUP($A163,'[1]Raw Data'!$A$3:$FB$285,73,FALSE)</f>
        <v/>
      </c>
      <c r="BP163" s="27" t="str">
        <f t="shared" si="21"/>
        <v/>
      </c>
      <c r="BQ163" s="27" t="str">
        <f>VLOOKUP($A163,'[1]Raw Data'!$A$3:$FB$285,74,FALSE)</f>
        <v/>
      </c>
      <c r="BR163" s="27" t="str">
        <f>VLOOKUP($A163,'[1]Raw Data'!$A$3:$FB$285,75,FALSE)</f>
        <v/>
      </c>
      <c r="BS163" s="27" t="str">
        <f>VLOOKUP($A163,'[1]Raw Data'!$A$3:$FB$285,76,FALSE)</f>
        <v/>
      </c>
      <c r="BT163" s="27" t="str">
        <f t="shared" si="22"/>
        <v/>
      </c>
      <c r="BU163" s="27" t="str">
        <f>VLOOKUP($A163,'[1]Raw Data'!$A$3:$FB$285,77,FALSE)</f>
        <v/>
      </c>
      <c r="BV163" s="27">
        <f>VLOOKUP($A163,'[1]Raw Data'!$A$3:$FB$285,78,FALSE)</f>
        <v>157685</v>
      </c>
      <c r="BW163" s="27" t="str">
        <f>VLOOKUP($A163,'[1]Raw Data'!$A$3:$FB$285,79,FALSE)</f>
        <v/>
      </c>
      <c r="BX163" s="27" t="str">
        <f t="shared" si="23"/>
        <v/>
      </c>
      <c r="BY163" s="27" t="str">
        <f>VLOOKUP($A163,'[1]Raw Data'!$A$3:$FB$285,80,FALSE)</f>
        <v/>
      </c>
      <c r="BZ163" s="27">
        <f>VLOOKUP($A163,'[1]Raw Data'!$A$3:$FB$285,81,FALSE)</f>
        <v>508852</v>
      </c>
      <c r="CA163" s="27" t="str">
        <f>VLOOKUP($A163,'[1]Raw Data'!$A$3:$FB$285,82,FALSE)</f>
        <v/>
      </c>
      <c r="CB163" s="27" t="str">
        <f t="shared" si="24"/>
        <v/>
      </c>
      <c r="CC163" s="27" t="str">
        <f>VLOOKUP($A163,'[1]Raw Data'!$A$3:$FB$285,83,FALSE)</f>
        <v/>
      </c>
      <c r="CD163" s="27">
        <f>VLOOKUP($A163,'[1]Raw Data'!$A$3:$FB$285,84,FALSE)</f>
        <v>6447</v>
      </c>
      <c r="CE163" s="27" t="str">
        <f>VLOOKUP($A163,'[1]Raw Data'!$A$3:$FB$285,85,FALSE)</f>
        <v/>
      </c>
      <c r="CF163" s="27" t="str">
        <f t="shared" si="25"/>
        <v/>
      </c>
      <c r="CG163" s="27" t="str">
        <f>VLOOKUP($A163,'[1]Raw Data'!$A$3:$FB$285,86,FALSE)</f>
        <v/>
      </c>
      <c r="CH163" s="27">
        <f>VLOOKUP($A163,'[1]Raw Data'!$A$3:$FB$285,87,FALSE)</f>
        <v>598790</v>
      </c>
      <c r="CI163" s="27" t="str">
        <f>VLOOKUP($A163,'[1]Raw Data'!$A$3:$FB$285,88,FALSE)</f>
        <v/>
      </c>
      <c r="CJ163" s="27" t="str">
        <f t="shared" si="26"/>
        <v/>
      </c>
      <c r="CK163" s="27" t="str">
        <f>VLOOKUP($A163,'[1]Raw Data'!$A$3:$FB$285,89,FALSE)</f>
        <v/>
      </c>
      <c r="CL163" s="27" t="str">
        <f>VLOOKUP($A163,'[1]Raw Data'!$A$3:$FB$285,91,FALSE)</f>
        <v/>
      </c>
      <c r="CM163" s="27" t="str">
        <f>VLOOKUP($A163,'[1]Raw Data'!$A$3:$FB$285,93,FALSE)</f>
        <v/>
      </c>
      <c r="CN163" s="27" t="str">
        <f>VLOOKUP($A163,'[1]Raw Data'!$A$3:$FB$285,94,FALSE)</f>
        <v/>
      </c>
      <c r="CO163" s="27" t="str">
        <f>VLOOKUP($A163,'[1]Raw Data'!$A$3:$FB$285,95,FALSE)</f>
        <v/>
      </c>
      <c r="CP163" s="27" t="str">
        <f>VLOOKUP($A163,'[1]Raw Data'!$A$3:$FB$285,96,FALSE)</f>
        <v/>
      </c>
      <c r="CQ163" s="27" t="str">
        <f>VLOOKUP($A163,'[1]Raw Data'!$A$3:$FB$285,97,FALSE)</f>
        <v/>
      </c>
      <c r="CR163" s="27" t="str">
        <f>VLOOKUP($A163,'[1]Raw Data'!$A$3:$FB$285,98,FALSE)</f>
        <v/>
      </c>
      <c r="CS163" s="27" t="str">
        <f>VLOOKUP($A163,'[1]Raw Data'!$A$3:$FB$285,99,FALSE)</f>
        <v/>
      </c>
      <c r="CT163" s="27" t="str">
        <f>VLOOKUP($A163,'[1]Raw Data'!$A$3:$FB$285,101,FALSE)</f>
        <v>Jiwan lama</v>
      </c>
      <c r="CU163" s="27" t="s">
        <v>1322</v>
      </c>
      <c r="CV163" s="27" t="str">
        <f>VLOOKUP($A163,'[1]Raw Data'!$A$3:$FB$285,102,FALSE)</f>
        <v xml:space="preserve">Chairman </v>
      </c>
      <c r="CW163" s="27" t="s">
        <v>878</v>
      </c>
      <c r="CX163" s="27">
        <f>VLOOKUP($A163,'[1]Raw Data'!$A$3:$FB$285,103,FALSE)</f>
        <v>9855088145</v>
      </c>
      <c r="CY163" s="27" t="str">
        <f>VLOOKUP($A163,'[1]Raw Data'!$A$3:$FB$285,105,FALSE)</f>
        <v>Uma Kumari lama</v>
      </c>
      <c r="CZ163" s="27" t="s">
        <v>1323</v>
      </c>
      <c r="DA163" s="27" t="str">
        <f>VLOOKUP($A163,'[1]Raw Data'!$A$3:$FB$285,106,FALSE)</f>
        <v>Deputy Chairman</v>
      </c>
      <c r="DB163" s="27" t="s">
        <v>879</v>
      </c>
      <c r="DC163" s="27">
        <f>VLOOKUP($A163,'[1]Raw Data'!$A$3:$FB$285,107,FALSE)</f>
        <v>9849411635</v>
      </c>
      <c r="DD163" s="27" t="str">
        <f>VLOOKUP($A163,'[1]Raw Data'!$A$3:$FB$285,109,FALSE)</f>
        <v>Shailendra Bhandari</v>
      </c>
      <c r="DE163" s="27" t="s">
        <v>1324</v>
      </c>
      <c r="DF163" s="27" t="str">
        <f>VLOOKUP($A163,'[1]Raw Data'!$A$3:$FB$285,110,FALSE)</f>
        <v>Chief Adminstration Officer</v>
      </c>
      <c r="DG163" s="27" t="s">
        <v>880</v>
      </c>
      <c r="DH163" s="27">
        <f>VLOOKUP($A163,'[1]Raw Data'!$A$3:$FB$285,111,FALSE)</f>
        <v>9855088166</v>
      </c>
      <c r="DI163" s="27" t="str">
        <f>VLOOKUP($A163,'[1]Raw Data'!$A$3:$FB$285,121,FALSE)</f>
        <v>Er.Radha krishna shah</v>
      </c>
      <c r="DJ163" s="27" t="s">
        <v>1325</v>
      </c>
      <c r="DK163" s="27" t="str">
        <f>VLOOKUP($A163,'[1]Raw Data'!$A$3:$FB$285,122,FALSE)</f>
        <v>Focal Person</v>
      </c>
      <c r="DL163" s="27" t="s">
        <v>881</v>
      </c>
      <c r="DM163" s="27">
        <f>VLOOKUP($A163,'[1]Raw Data'!$A$3:$FB$285,123,FALSE)</f>
        <v>9845893561</v>
      </c>
      <c r="DN163" s="27" t="str">
        <f>VLOOKUP($A163,'[1]Raw Data'!$A$3:$FB$285,113,FALSE)</f>
        <v xml:space="preserve">Som Raj Timilsena </v>
      </c>
      <c r="DO163" s="27" t="s">
        <v>1305</v>
      </c>
      <c r="DP163" s="27" t="str">
        <f>VLOOKUP($A163,'[1]Raw Data'!$A$3:$FB$285,114,FALSE)</f>
        <v>NRA Chief-District</v>
      </c>
      <c r="DQ163" s="27" t="s">
        <v>882</v>
      </c>
      <c r="DR163" s="27">
        <f>VLOOKUP($A163,'[1]Raw Data'!$A$3:$FB$285,115,FALSE)</f>
        <v>9855030632</v>
      </c>
      <c r="DS163" s="27" t="str">
        <f>VLOOKUP($A163,'[1]Raw Data'!$A$3:$FB$285,117,FALSE)</f>
        <v xml:space="preserve">Sudip Achrya </v>
      </c>
      <c r="DT163" s="27" t="s">
        <v>1306</v>
      </c>
      <c r="DU163" s="27" t="str">
        <f>VLOOKUP($A163,'[1]Raw Data'!$A$3:$FB$285,118,FALSE)</f>
        <v>DUDBC.DLPIU Chief</v>
      </c>
      <c r="DV163" s="27" t="s">
        <v>883</v>
      </c>
      <c r="DW163" s="27">
        <f>VLOOKUP($A163,'[1]Raw Data'!$A$3:$FB$285,119,FALSE)</f>
        <v>9851153206</v>
      </c>
      <c r="DX163" s="27" t="s">
        <v>339</v>
      </c>
      <c r="DY163" s="27" t="str">
        <f>VLOOKUP($A163,'[1]Raw Data'!$A$3:$FB$285,124,FALSE)</f>
        <v/>
      </c>
      <c r="DZ163" s="27" t="s">
        <v>884</v>
      </c>
      <c r="EA163" s="27" t="str">
        <f>VLOOKUP($A163,'[1]Raw Data'!$A$3:$FB$285,125,FALSE)</f>
        <v/>
      </c>
      <c r="EB163" s="27" t="s">
        <v>341</v>
      </c>
      <c r="EC163" s="27" t="str">
        <f>VLOOKUP($A163,'[1]Raw Data'!$A$3:$FB$285,126,FALSE)</f>
        <v/>
      </c>
      <c r="ED163" t="s">
        <v>478</v>
      </c>
      <c r="EE163" s="27" t="str">
        <f>VLOOKUP($A163,'[1]Raw Data'!$A$3:$FB$285,127,FALSE)</f>
        <v/>
      </c>
      <c r="EF163" s="27" t="s">
        <v>343</v>
      </c>
      <c r="EG163" s="27" t="str">
        <f>VLOOKUP($A163,'[1]Raw Data'!$A$3:$FB$285,128,FALSE)</f>
        <v/>
      </c>
      <c r="EH163" t="s">
        <v>344</v>
      </c>
      <c r="EI163" s="27" t="str">
        <f>VLOOKUP($A163,'[1]Raw Data'!$A$3:$FB$285,129,FALSE)</f>
        <v/>
      </c>
      <c r="EM163" s="27" t="str">
        <f>VLOOKUP($A163,'[1]Raw Data'!$A$3:$FB$285,130,FALSE)</f>
        <v/>
      </c>
      <c r="EN163" s="27" t="str">
        <f>VLOOKUP($A163,'[1]Raw Data'!$A$3:$FB$285,131,FALSE)</f>
        <v/>
      </c>
      <c r="EO163" s="27" t="str">
        <f>VLOOKUP($A163,'[1]Raw Data'!$A$3:$FB$285,132,FALSE)</f>
        <v/>
      </c>
      <c r="EP163" s="27" t="str">
        <f>VLOOKUP($A163,'[1]Raw Data'!$A$3:$FB$285,133,FALSE)</f>
        <v/>
      </c>
      <c r="EQ163" s="27" t="str">
        <f>VLOOKUP($A163,'[1]Raw Data'!$A$3:$FB$285,134,FALSE)</f>
        <v/>
      </c>
      <c r="ER163" s="27" t="str">
        <f>VLOOKUP($A163,'[1]Raw Data'!$A$3:$FB$285,135,FALSE)</f>
        <v/>
      </c>
      <c r="ES163" s="27" t="str">
        <f>VLOOKUP($A163,'[1]Raw Data'!$A$3:$FB$285,136,FALSE)</f>
        <v/>
      </c>
      <c r="ET163" s="27" t="str">
        <f>VLOOKUP($A163,'[1]Raw Data'!$A$3:$FB$285,137,FALSE)</f>
        <v/>
      </c>
      <c r="EU163" s="27" t="str">
        <f>VLOOKUP($A163,'[1]Raw Data'!$A$3:$FB$285,138,FALSE)</f>
        <v/>
      </c>
      <c r="EV163" s="27" t="str">
        <f>VLOOKUP($A163,'[1]Raw Data'!$A$3:$FB$285,139,FALSE)</f>
        <v/>
      </c>
      <c r="EW163" s="38">
        <f>VLOOKUP($A163,[1]Training!$A$2:$I$284,5,FALSE)</f>
        <v>224.69230769230768</v>
      </c>
      <c r="EX163" s="31">
        <f>VLOOKUP($A163,[1]Training!$A$2:$I$284,6,FALSE)</f>
        <v>173</v>
      </c>
      <c r="EY163" s="38">
        <f>VLOOKUP($A163,[1]Training!$A$2:$I$284,8,FALSE)</f>
        <v>257.93253664567021</v>
      </c>
      <c r="EZ163" s="31">
        <f>VLOOKUP($A163,[1]Training!$A$2:$I$284,9,FALSE)</f>
        <v>0</v>
      </c>
      <c r="FA163" s="27">
        <v>1</v>
      </c>
      <c r="FB163" s="27">
        <v>2</v>
      </c>
      <c r="FC163" s="27" t="str">
        <f>VLOOKUP($A163,'[1]Raw Data'!$A$3:$FB$285,148,FALSE)</f>
        <v>Hari Thalang</v>
      </c>
      <c r="FD163" s="27" t="s">
        <v>1307</v>
      </c>
      <c r="FE163" s="27" t="str">
        <f>VLOOKUP($A163,'[1]Raw Data'!$A$3:$FB$285,149,FALSE)</f>
        <v>District Coordinator</v>
      </c>
      <c r="FF163" s="27" t="s">
        <v>885</v>
      </c>
      <c r="FG163" s="27">
        <f>VLOOKUP($A163,'[1]Raw Data'!$A$3:$FB$285,150,FALSE)</f>
        <v>9851224505</v>
      </c>
      <c r="FH163" s="27" t="str">
        <f>VLOOKUP($A163,'[1]Raw Data'!$A$3:$FB$285,156,FALSE)</f>
        <v xml:space="preserve">Kausal Bist </v>
      </c>
      <c r="FI163" s="27" t="s">
        <v>1308</v>
      </c>
      <c r="FJ163" s="27" t="str">
        <f>VLOOKUP($A163,'[1]Raw Data'!$A$3:$FB$285,157,FALSE)</f>
        <v>District Technical Officer</v>
      </c>
      <c r="FK163" s="27" t="s">
        <v>886</v>
      </c>
      <c r="FL163" s="27">
        <f>VLOOKUP($A163,'[1]Raw Data'!$A$3:$FB$285,158,FALSE)</f>
        <v>9849787273</v>
      </c>
      <c r="FM163" s="27" t="str">
        <f>VLOOKUP($A163,'[1]Raw Data'!$A$3:$FB$285,152,FALSE)</f>
        <v>Nirmal Nepali</v>
      </c>
      <c r="FN163" s="27" t="s">
        <v>1309</v>
      </c>
      <c r="FO163" s="27" t="str">
        <f>VLOOKUP($A163,'[1]Raw Data'!$A$3:$FB$285,153,FALSE)</f>
        <v>DIstrict Information Management Officer</v>
      </c>
      <c r="FP163" s="27" t="s">
        <v>887</v>
      </c>
      <c r="FQ163" s="27">
        <f>VLOOKUP($A163,'[1]Raw Data'!$A$3:$FB$285,154,FALSE)</f>
        <v>9848500348</v>
      </c>
    </row>
    <row r="164" spans="1:173" ht="24" x14ac:dyDescent="0.45">
      <c r="A164" s="27">
        <v>31006</v>
      </c>
      <c r="B164" s="36" t="str">
        <f ca="1">IFERROR(__xludf.DUMMYFUNCTION("""COMPUTED_VALUE"""),"Kailash Gaunpalika")</f>
        <v>Kailash Gaunpalika</v>
      </c>
      <c r="C164" s="37" t="str">
        <f>VLOOKUP(A164,'[1]Palika and District in Nepali '!$D$1:$F$283,3,FALSE)</f>
        <v>कैलाश गाँपालिका</v>
      </c>
      <c r="D164" s="36" t="str">
        <f ca="1">IFERROR(__xludf.DUMMYFUNCTION("""COMPUTED_VALUE"""),"Makwanpur")</f>
        <v>Makwanpur</v>
      </c>
      <c r="E164" s="36"/>
      <c r="F164" s="27">
        <f>VLOOKUP(A164,'[1]Raw Data'!$A$3:$FB$285,4,FALSE)</f>
        <v>2478</v>
      </c>
      <c r="G164" s="27">
        <f>VLOOKUP(A164,'[1]Raw Data'!$A$3:$FB$285,5,FALSE)</f>
        <v>2259</v>
      </c>
      <c r="H164" s="27">
        <f>VLOOKUP(A164,'[1]Raw Data'!$A$3:$FB$285,6,FALSE)</f>
        <v>4737</v>
      </c>
      <c r="I164" s="27">
        <f>VLOOKUP($A164,'[1]Raw Data'!$A$3:$FB$285,8,FALSE)</f>
        <v>0.78</v>
      </c>
      <c r="J164" s="27">
        <f>VLOOKUP($A164,'[1]Raw Data'!$A$3:$FB$285,9,FALSE)</f>
        <v>1.32</v>
      </c>
      <c r="K164" s="27">
        <f>VLOOKUP($A164,'[1]Raw Data'!$A$3:$FB$285,11,FALSE)</f>
        <v>84.36</v>
      </c>
      <c r="L164" s="27">
        <f>VLOOKUP($A164,'[1]Raw Data'!$A$3:$FB$285,12,FALSE)</f>
        <v>44.19</v>
      </c>
      <c r="M164" s="27">
        <f>VLOOKUP($A164,'[1]Raw Data'!$A$3:$FB$285,14,FALSE)</f>
        <v>0.59</v>
      </c>
      <c r="N164" s="27">
        <f>VLOOKUP($A164,'[1]Raw Data'!$A$3:$FB$285,15,FALSE)</f>
        <v>26.6</v>
      </c>
      <c r="O164" s="27">
        <f>VLOOKUP($A164,'[1]Raw Data'!$A$3:$FB$285,17,FALSE)</f>
        <v>0.11</v>
      </c>
      <c r="P164" s="27">
        <f>VLOOKUP($A164,'[1]Raw Data'!$A$3:$FB$285,18,FALSE)</f>
        <v>2.36</v>
      </c>
      <c r="Q164" s="27">
        <f>VLOOKUP($A164,'[1]Raw Data'!$A$3:$FB$285,20,FALSE)</f>
        <v>0.04</v>
      </c>
      <c r="R164" s="27">
        <f>VLOOKUP($A164,'[1]Raw Data'!$A$3:$FB$285,21,FALSE)</f>
        <v>5.22</v>
      </c>
      <c r="S164" s="27">
        <f>VLOOKUP($A164,'[1]Raw Data'!$A$3:$FB$285,23,FALSE)</f>
        <v>0</v>
      </c>
      <c r="T164" s="27">
        <f>VLOOKUP($A164,'[1]Raw Data'!$A$3:$FB$285,24,FALSE)</f>
        <v>0</v>
      </c>
      <c r="U164" s="27">
        <f>VLOOKUP($A164,'[1]Raw Data'!$A$3:$FB$285,26,FALSE)</f>
        <v>12.7</v>
      </c>
      <c r="V164" s="27">
        <f>VLOOKUP($A164,'[1]Raw Data'!$A$3:$FB$285,27,FALSE)</f>
        <v>16.91</v>
      </c>
      <c r="W164" s="27">
        <f>VLOOKUP($A164,'[1]Raw Data'!$A$3:$FB$285,29,FALSE)</f>
        <v>0</v>
      </c>
      <c r="X164" s="27">
        <f>VLOOKUP($A164,'[1]Raw Data'!$A$3:$FB$285,30,FALSE)</f>
        <v>0</v>
      </c>
      <c r="Y164" s="27">
        <f>VLOOKUP($A164,'[1]Raw Data'!$A$3:$FB$285,32,FALSE)</f>
        <v>0.15</v>
      </c>
      <c r="Z164" s="27">
        <f>VLOOKUP($A164,'[1]Raw Data'!$A$3:$FB$285,33,FALSE)</f>
        <v>0.22</v>
      </c>
      <c r="AA164" s="27">
        <f>VLOOKUP($A164,'[1]Raw Data'!$A$3:$FB$285,35,FALSE)</f>
        <v>1.04</v>
      </c>
      <c r="AB164" s="27">
        <f>VLOOKUP($A164,'[1]Raw Data'!$A$3:$FB$285,36,FALSE)</f>
        <v>2.85</v>
      </c>
      <c r="AC164" s="27">
        <f>VLOOKUP($A164,'[1]Raw Data'!$A$3:$FB$285,38,FALSE)</f>
        <v>0.23</v>
      </c>
      <c r="AD164" s="27">
        <f>VLOOKUP($A164,'[1]Raw Data'!$A$3:$FB$285,39,FALSE)</f>
        <v>0.32</v>
      </c>
      <c r="AE164" s="27">
        <f>VLOOKUP($A164,'[1]Raw Data'!$A$3:$FB$285,41,FALSE)</f>
        <v>0</v>
      </c>
      <c r="AF164" s="27">
        <f>VLOOKUP($A164,'[1]Raw Data'!$A$3:$FB$285,42,FALSE)</f>
        <v>0</v>
      </c>
      <c r="AG164" s="27">
        <f>VLOOKUP($A164,'[1]Raw Data'!$A$3:$FB$285,44,FALSE)</f>
        <v>0</v>
      </c>
      <c r="AH164" s="27">
        <f>VLOOKUP($A164,'[1]Raw Data'!$A$3:$FB$285,45,FALSE)</f>
        <v>0</v>
      </c>
      <c r="AI164" s="27">
        <f>VLOOKUP($A164,'[1]Raw Data'!$A$3:$FB$285,46,FALSE)</f>
        <v>2609</v>
      </c>
      <c r="AJ164" s="27">
        <f>VLOOKUP($A164,'[1]Raw Data'!$A$3:$FB$285,47,FALSE)</f>
        <v>2005</v>
      </c>
      <c r="AK164" s="27">
        <f>VLOOKUP($A164,'[1]Raw Data'!$A$3:$FB$285,48,FALSE)</f>
        <v>2005</v>
      </c>
      <c r="AL164" s="27">
        <f>VLOOKUP($A164,'[1]Raw Data'!$A$3:$FB$285,49,FALSE)</f>
        <v>1441</v>
      </c>
      <c r="AM164" s="27">
        <f>VLOOKUP($A164,'[1]Raw Data'!$A$3:$FB$285,50,FALSE)</f>
        <v>1213</v>
      </c>
      <c r="AN164" s="27">
        <f>VLOOKUP($A164,'[1]Raw Data'!$A$3:$FB$285,51,FALSE)</f>
        <v>1525</v>
      </c>
      <c r="AO164" s="27">
        <f>VLOOKUP($A164,'[1]Raw Data'!$A$3:$FB$285,52,FALSE)</f>
        <v>1010</v>
      </c>
      <c r="AP164" s="27">
        <f>VLOOKUP($A164,'[1]Raw Data'!$A$3:$FB$285,53,FALSE)</f>
        <v>606</v>
      </c>
      <c r="AQ164" s="27">
        <f>VLOOKUP($A164,'[1]Raw Data'!$A$3:$FB$285,54,FALSE)</f>
        <v>185</v>
      </c>
      <c r="AR164" s="27">
        <f>VLOOKUP($A164,'[1]Raw Data'!$A$3:$FB$285,55,FALSE)</f>
        <v>277</v>
      </c>
      <c r="AS164" s="27">
        <f>VLOOKUP($A164,'[1]Raw Data'!$A$3:$FB$285,56,FALSE)</f>
        <v>0</v>
      </c>
      <c r="AT164" s="27">
        <f>VLOOKUP($A164,'[1]Raw Data'!$A$3:$FB$285,57,FALSE)</f>
        <v>1557</v>
      </c>
      <c r="AU164" s="27">
        <f>VLOOKUP($A164,'[1]Raw Data'!$A$3:$FB$285,58,FALSE)</f>
        <v>1557</v>
      </c>
      <c r="AV164" s="27">
        <f>VLOOKUP($A164,'[1]Raw Data'!$A$3:$FB$285,59,FALSE)</f>
        <v>90</v>
      </c>
      <c r="AW164" s="27">
        <f>VLOOKUP($A164,'[1]Raw Data'!$A$3:$FB$285,60,FALSE)</f>
        <v>85</v>
      </c>
      <c r="AX164" s="27" t="str">
        <f>VLOOKUP(A164,'[1]PO''s List'!A162:E444,4,FALSE)</f>
        <v>PIN(Shelter)</v>
      </c>
      <c r="AZ164" s="27" t="str">
        <f>VLOOKUP(A164,'[1]PO''s List'!$A$3:$E$285,5,FALSE)</f>
        <v/>
      </c>
      <c r="BB164" s="27">
        <f>VLOOKUP($A164,'[1]Raw Data'!$A$3:$FB$285,63,FALSE)</f>
        <v>17013</v>
      </c>
      <c r="BC164" s="27" t="str">
        <f>VLOOKUP($A164,'[1]Raw Data'!$A$3:$FB$285,64,FALSE)</f>
        <v/>
      </c>
      <c r="BD164" s="27" t="str">
        <f t="shared" si="18"/>
        <v/>
      </c>
      <c r="BE164" s="27" t="str">
        <f>VLOOKUP($A164,'[1]Raw Data'!$A$3:$FB$285,65,FALSE)</f>
        <v/>
      </c>
      <c r="BF164" s="27">
        <f>VLOOKUP($A164,'[1]Raw Data'!$A$3:$FB$285,66,FALSE)</f>
        <v>17600</v>
      </c>
      <c r="BG164" s="27" t="str">
        <f>VLOOKUP($A164,'[1]Raw Data'!$A$3:$FB$285,67,FALSE)</f>
        <v/>
      </c>
      <c r="BH164" s="27" t="str">
        <f t="shared" si="19"/>
        <v/>
      </c>
      <c r="BI164" s="27" t="str">
        <f>VLOOKUP($A164,'[1]Raw Data'!$A$3:$FB$285,68,FALSE)</f>
        <v/>
      </c>
      <c r="BJ164" s="27">
        <f>VLOOKUP($A164,'[1]Raw Data'!$A$3:$FB$285,69,FALSE)</f>
        <v>1818</v>
      </c>
      <c r="BK164" s="27" t="str">
        <f>VLOOKUP($A164,'[1]Raw Data'!$A$3:$FB$285,70,FALSE)</f>
        <v/>
      </c>
      <c r="BL164" s="27" t="str">
        <f t="shared" si="20"/>
        <v/>
      </c>
      <c r="BM164" s="27" t="str">
        <f>VLOOKUP($A164,'[1]Raw Data'!$A$3:$FB$285,71,FALSE)</f>
        <v/>
      </c>
      <c r="BN164" s="27">
        <f>VLOOKUP($A164,'[1]Raw Data'!$A$3:$FB$285,72,FALSE)</f>
        <v>2103</v>
      </c>
      <c r="BO164" s="27" t="str">
        <f>VLOOKUP($A164,'[1]Raw Data'!$A$3:$FB$285,73,FALSE)</f>
        <v/>
      </c>
      <c r="BP164" s="27" t="str">
        <f t="shared" si="21"/>
        <v/>
      </c>
      <c r="BQ164" s="27" t="str">
        <f>VLOOKUP($A164,'[1]Raw Data'!$A$3:$FB$285,74,FALSE)</f>
        <v/>
      </c>
      <c r="BR164" s="27" t="str">
        <f>VLOOKUP($A164,'[1]Raw Data'!$A$3:$FB$285,75,FALSE)</f>
        <v/>
      </c>
      <c r="BS164" s="27" t="str">
        <f>VLOOKUP($A164,'[1]Raw Data'!$A$3:$FB$285,76,FALSE)</f>
        <v/>
      </c>
      <c r="BT164" s="27" t="str">
        <f t="shared" si="22"/>
        <v/>
      </c>
      <c r="BU164" s="27" t="str">
        <f>VLOOKUP($A164,'[1]Raw Data'!$A$3:$FB$285,77,FALSE)</f>
        <v/>
      </c>
      <c r="BV164" s="27">
        <f>VLOOKUP($A164,'[1]Raw Data'!$A$3:$FB$285,78,FALSE)</f>
        <v>58297</v>
      </c>
      <c r="BW164" s="27" t="str">
        <f>VLOOKUP($A164,'[1]Raw Data'!$A$3:$FB$285,79,FALSE)</f>
        <v/>
      </c>
      <c r="BX164" s="27" t="str">
        <f t="shared" si="23"/>
        <v/>
      </c>
      <c r="BY164" s="27" t="str">
        <f>VLOOKUP($A164,'[1]Raw Data'!$A$3:$FB$285,80,FALSE)</f>
        <v/>
      </c>
      <c r="BZ164" s="27">
        <f>VLOOKUP($A164,'[1]Raw Data'!$A$3:$FB$285,81,FALSE)</f>
        <v>184202</v>
      </c>
      <c r="CA164" s="27" t="str">
        <f>VLOOKUP($A164,'[1]Raw Data'!$A$3:$FB$285,82,FALSE)</f>
        <v/>
      </c>
      <c r="CB164" s="27" t="str">
        <f t="shared" si="24"/>
        <v/>
      </c>
      <c r="CC164" s="27" t="str">
        <f>VLOOKUP($A164,'[1]Raw Data'!$A$3:$FB$285,83,FALSE)</f>
        <v/>
      </c>
      <c r="CD164" s="27">
        <f>VLOOKUP($A164,'[1]Raw Data'!$A$3:$FB$285,84,FALSE)</f>
        <v>2383</v>
      </c>
      <c r="CE164" s="27" t="str">
        <f>VLOOKUP($A164,'[1]Raw Data'!$A$3:$FB$285,85,FALSE)</f>
        <v/>
      </c>
      <c r="CF164" s="27" t="str">
        <f t="shared" si="25"/>
        <v/>
      </c>
      <c r="CG164" s="27" t="str">
        <f>VLOOKUP($A164,'[1]Raw Data'!$A$3:$FB$285,86,FALSE)</f>
        <v/>
      </c>
      <c r="CH164" s="27">
        <f>VLOOKUP($A164,'[1]Raw Data'!$A$3:$FB$285,87,FALSE)</f>
        <v>157980</v>
      </c>
      <c r="CI164" s="27" t="str">
        <f>VLOOKUP($A164,'[1]Raw Data'!$A$3:$FB$285,88,FALSE)</f>
        <v/>
      </c>
      <c r="CJ164" s="27" t="str">
        <f t="shared" si="26"/>
        <v/>
      </c>
      <c r="CK164" s="27" t="str">
        <f>VLOOKUP($A164,'[1]Raw Data'!$A$3:$FB$285,89,FALSE)</f>
        <v/>
      </c>
      <c r="CL164" s="27" t="str">
        <f>VLOOKUP($A164,'[1]Raw Data'!$A$3:$FB$285,91,FALSE)</f>
        <v/>
      </c>
      <c r="CM164" s="27" t="str">
        <f>VLOOKUP($A164,'[1]Raw Data'!$A$3:$FB$285,93,FALSE)</f>
        <v/>
      </c>
      <c r="CN164" s="27" t="str">
        <f>VLOOKUP($A164,'[1]Raw Data'!$A$3:$FB$285,94,FALSE)</f>
        <v/>
      </c>
      <c r="CO164" s="27" t="str">
        <f>VLOOKUP($A164,'[1]Raw Data'!$A$3:$FB$285,95,FALSE)</f>
        <v/>
      </c>
      <c r="CP164" s="27" t="str">
        <f>VLOOKUP($A164,'[1]Raw Data'!$A$3:$FB$285,96,FALSE)</f>
        <v/>
      </c>
      <c r="CQ164" s="27" t="str">
        <f>VLOOKUP($A164,'[1]Raw Data'!$A$3:$FB$285,97,FALSE)</f>
        <v/>
      </c>
      <c r="CR164" s="27" t="str">
        <f>VLOOKUP($A164,'[1]Raw Data'!$A$3:$FB$285,98,FALSE)</f>
        <v/>
      </c>
      <c r="CS164" s="27" t="str">
        <f>VLOOKUP($A164,'[1]Raw Data'!$A$3:$FB$285,99,FALSE)</f>
        <v/>
      </c>
      <c r="CT164" s="27" t="str">
        <f>VLOOKUP($A164,'[1]Raw Data'!$A$3:$FB$285,101,FALSE)</f>
        <v>Tanka Moktan</v>
      </c>
      <c r="CU164" s="27" t="s">
        <v>1326</v>
      </c>
      <c r="CV164" s="27" t="str">
        <f>VLOOKUP($A164,'[1]Raw Data'!$A$3:$FB$285,102,FALSE)</f>
        <v xml:space="preserve">Chairman </v>
      </c>
      <c r="CW164" s="27" t="s">
        <v>878</v>
      </c>
      <c r="CX164" s="27">
        <f>VLOOKUP($A164,'[1]Raw Data'!$A$3:$FB$285,103,FALSE)</f>
        <v>9855068590</v>
      </c>
      <c r="CY164" s="27" t="str">
        <f>VLOOKUP($A164,'[1]Raw Data'!$A$3:$FB$285,105,FALSE)</f>
        <v>Sukmaya Thing</v>
      </c>
      <c r="CZ164" s="27" t="s">
        <v>1327</v>
      </c>
      <c r="DA164" s="27" t="str">
        <f>VLOOKUP($A164,'[1]Raw Data'!$A$3:$FB$285,106,FALSE)</f>
        <v>Deputy Chairman</v>
      </c>
      <c r="DB164" s="27" t="s">
        <v>879</v>
      </c>
      <c r="DC164" s="27">
        <f>VLOOKUP($A164,'[1]Raw Data'!$A$3:$FB$285,107,FALSE)</f>
        <v>9845503704</v>
      </c>
      <c r="DD164" s="27" t="str">
        <f>VLOOKUP($A164,'[1]Raw Data'!$A$3:$FB$285,109,FALSE)</f>
        <v>Tanka Bahadur Negi</v>
      </c>
      <c r="DE164" s="27" t="s">
        <v>1328</v>
      </c>
      <c r="DF164" s="27" t="str">
        <f>VLOOKUP($A164,'[1]Raw Data'!$A$3:$FB$285,110,FALSE)</f>
        <v>Chief Adminstration Officer</v>
      </c>
      <c r="DG164" s="27" t="s">
        <v>880</v>
      </c>
      <c r="DH164" s="27">
        <f>VLOOKUP($A164,'[1]Raw Data'!$A$3:$FB$285,111,FALSE)</f>
        <v>9855088266</v>
      </c>
      <c r="DI164" s="27" t="str">
        <f>VLOOKUP($A164,'[1]Raw Data'!$A$3:$FB$285,121,FALSE)</f>
        <v>Sub er Narendra dutta bhatta</v>
      </c>
      <c r="DJ164" s="27" t="s">
        <v>1329</v>
      </c>
      <c r="DK164" s="27" t="str">
        <f>VLOOKUP($A164,'[1]Raw Data'!$A$3:$FB$285,122,FALSE)</f>
        <v>Focal Person</v>
      </c>
      <c r="DL164" s="27" t="s">
        <v>881</v>
      </c>
      <c r="DM164" s="27">
        <f>VLOOKUP($A164,'[1]Raw Data'!$A$3:$FB$285,123,FALSE)</f>
        <v>9848784643</v>
      </c>
      <c r="DN164" s="27" t="str">
        <f>VLOOKUP($A164,'[1]Raw Data'!$A$3:$FB$285,113,FALSE)</f>
        <v xml:space="preserve">Som Raj Timilsena </v>
      </c>
      <c r="DO164" s="27" t="s">
        <v>1305</v>
      </c>
      <c r="DP164" s="27" t="str">
        <f>VLOOKUP($A164,'[1]Raw Data'!$A$3:$FB$285,114,FALSE)</f>
        <v>NRA Chief-District</v>
      </c>
      <c r="DQ164" s="27" t="s">
        <v>882</v>
      </c>
      <c r="DR164" s="27">
        <f>VLOOKUP($A164,'[1]Raw Data'!$A$3:$FB$285,115,FALSE)</f>
        <v>9855030632</v>
      </c>
      <c r="DS164" s="27" t="str">
        <f>VLOOKUP($A164,'[1]Raw Data'!$A$3:$FB$285,117,FALSE)</f>
        <v xml:space="preserve">Sudip Achrya </v>
      </c>
      <c r="DT164" s="27" t="s">
        <v>1306</v>
      </c>
      <c r="DU164" s="27" t="str">
        <f>VLOOKUP($A164,'[1]Raw Data'!$A$3:$FB$285,118,FALSE)</f>
        <v>DUDBC.DLPIU Chief</v>
      </c>
      <c r="DV164" s="27" t="s">
        <v>883</v>
      </c>
      <c r="DW164" s="27">
        <f>VLOOKUP($A164,'[1]Raw Data'!$A$3:$FB$285,119,FALSE)</f>
        <v>9851153206</v>
      </c>
      <c r="DX164" s="27" t="s">
        <v>339</v>
      </c>
      <c r="DY164" s="27" t="str">
        <f>VLOOKUP($A164,'[1]Raw Data'!$A$3:$FB$285,124,FALSE)</f>
        <v/>
      </c>
      <c r="DZ164" s="27" t="s">
        <v>884</v>
      </c>
      <c r="EA164" s="27" t="str">
        <f>VLOOKUP($A164,'[1]Raw Data'!$A$3:$FB$285,125,FALSE)</f>
        <v/>
      </c>
      <c r="EB164" s="27" t="s">
        <v>341</v>
      </c>
      <c r="EC164" s="27" t="str">
        <f>VLOOKUP($A164,'[1]Raw Data'!$A$3:$FB$285,126,FALSE)</f>
        <v/>
      </c>
      <c r="ED164" t="s">
        <v>478</v>
      </c>
      <c r="EE164" s="27" t="str">
        <f>VLOOKUP($A164,'[1]Raw Data'!$A$3:$FB$285,127,FALSE)</f>
        <v/>
      </c>
      <c r="EF164" s="27" t="s">
        <v>343</v>
      </c>
      <c r="EG164" s="27" t="str">
        <f>VLOOKUP($A164,'[1]Raw Data'!$A$3:$FB$285,128,FALSE)</f>
        <v/>
      </c>
      <c r="EH164" t="s">
        <v>344</v>
      </c>
      <c r="EI164" s="27" t="str">
        <f>VLOOKUP($A164,'[1]Raw Data'!$A$3:$FB$285,129,FALSE)</f>
        <v/>
      </c>
      <c r="EM164" s="27" t="str">
        <f>VLOOKUP($A164,'[1]Raw Data'!$A$3:$FB$285,130,FALSE)</f>
        <v/>
      </c>
      <c r="EN164" s="27" t="str">
        <f>VLOOKUP($A164,'[1]Raw Data'!$A$3:$FB$285,131,FALSE)</f>
        <v/>
      </c>
      <c r="EO164" s="27" t="str">
        <f>VLOOKUP($A164,'[1]Raw Data'!$A$3:$FB$285,132,FALSE)</f>
        <v/>
      </c>
      <c r="EP164" s="27" t="str">
        <f>VLOOKUP($A164,'[1]Raw Data'!$A$3:$FB$285,133,FALSE)</f>
        <v/>
      </c>
      <c r="EQ164" s="27" t="str">
        <f>VLOOKUP($A164,'[1]Raw Data'!$A$3:$FB$285,134,FALSE)</f>
        <v/>
      </c>
      <c r="ER164" s="27" t="str">
        <f>VLOOKUP($A164,'[1]Raw Data'!$A$3:$FB$285,135,FALSE)</f>
        <v/>
      </c>
      <c r="ES164" s="27" t="str">
        <f>VLOOKUP($A164,'[1]Raw Data'!$A$3:$FB$285,136,FALSE)</f>
        <v/>
      </c>
      <c r="ET164" s="27" t="str">
        <f>VLOOKUP($A164,'[1]Raw Data'!$A$3:$FB$285,137,FALSE)</f>
        <v/>
      </c>
      <c r="EU164" s="27" t="str">
        <f>VLOOKUP($A164,'[1]Raw Data'!$A$3:$FB$285,138,FALSE)</f>
        <v/>
      </c>
      <c r="EV164" s="27" t="str">
        <f>VLOOKUP($A164,'[1]Raw Data'!$A$3:$FB$285,139,FALSE)</f>
        <v/>
      </c>
      <c r="EW164" s="38">
        <f>VLOOKUP($A164,[1]Training!$A$2:$I$284,5,FALSE)</f>
        <v>200.69230769230768</v>
      </c>
      <c r="EX164" s="31">
        <f>VLOOKUP($A164,[1]Training!$A$2:$I$284,6,FALSE)</f>
        <v>150</v>
      </c>
      <c r="EY164" s="38">
        <f>VLOOKUP($A164,[1]Training!$A$2:$I$284,8,FALSE)</f>
        <v>230.38205686701593</v>
      </c>
      <c r="EZ164" s="31">
        <f>VLOOKUP($A164,[1]Training!$A$2:$I$284,9,FALSE)</f>
        <v>0</v>
      </c>
      <c r="FA164" s="27">
        <v>1</v>
      </c>
      <c r="FB164" s="27">
        <v>2</v>
      </c>
      <c r="FC164" s="27" t="str">
        <f>VLOOKUP($A164,'[1]Raw Data'!$A$3:$FB$285,148,FALSE)</f>
        <v>Hari Thalang</v>
      </c>
      <c r="FD164" s="27" t="s">
        <v>1307</v>
      </c>
      <c r="FE164" s="27" t="str">
        <f>VLOOKUP($A164,'[1]Raw Data'!$A$3:$FB$285,149,FALSE)</f>
        <v>District Coordinator</v>
      </c>
      <c r="FF164" s="27" t="s">
        <v>885</v>
      </c>
      <c r="FG164" s="27">
        <f>VLOOKUP($A164,'[1]Raw Data'!$A$3:$FB$285,150,FALSE)</f>
        <v>9851224505</v>
      </c>
      <c r="FH164" s="27" t="str">
        <f>VLOOKUP($A164,'[1]Raw Data'!$A$3:$FB$285,156,FALSE)</f>
        <v xml:space="preserve">Kausal Bist </v>
      </c>
      <c r="FI164" s="27" t="s">
        <v>1308</v>
      </c>
      <c r="FJ164" s="27" t="str">
        <f>VLOOKUP($A164,'[1]Raw Data'!$A$3:$FB$285,157,FALSE)</f>
        <v>District Technical Officer</v>
      </c>
      <c r="FK164" s="27" t="s">
        <v>886</v>
      </c>
      <c r="FL164" s="27">
        <f>VLOOKUP($A164,'[1]Raw Data'!$A$3:$FB$285,158,FALSE)</f>
        <v>9849787273</v>
      </c>
      <c r="FM164" s="27" t="str">
        <f>VLOOKUP($A164,'[1]Raw Data'!$A$3:$FB$285,152,FALSE)</f>
        <v>Nirmal Nepali</v>
      </c>
      <c r="FN164" s="27" t="s">
        <v>1309</v>
      </c>
      <c r="FO164" s="27" t="str">
        <f>VLOOKUP($A164,'[1]Raw Data'!$A$3:$FB$285,153,FALSE)</f>
        <v>DIstrict Information Management Officer</v>
      </c>
      <c r="FP164" s="27" t="s">
        <v>887</v>
      </c>
      <c r="FQ164" s="27">
        <f>VLOOKUP($A164,'[1]Raw Data'!$A$3:$FB$285,154,FALSE)</f>
        <v>9848500348</v>
      </c>
    </row>
    <row r="165" spans="1:173" ht="24" x14ac:dyDescent="0.45">
      <c r="A165" s="27">
        <v>31007</v>
      </c>
      <c r="B165" s="36" t="str">
        <f ca="1">IFERROR(__xludf.DUMMYFUNCTION("""COMPUTED_VALUE"""),"Makawanpurgadhi Gaunpalika")</f>
        <v>Makawanpurgadhi Gaunpalika</v>
      </c>
      <c r="C165" s="37" t="str">
        <f>VLOOKUP(A165,'[1]Palika and District in Nepali '!$D$1:$F$283,3,FALSE)</f>
        <v>मकवानपुरगढी गाउँपालिका</v>
      </c>
      <c r="D165" s="36" t="str">
        <f ca="1">IFERROR(__xludf.DUMMYFUNCTION("""COMPUTED_VALUE"""),"Makwanpur")</f>
        <v>Makwanpur</v>
      </c>
      <c r="E165" s="36"/>
      <c r="F165" s="27">
        <f>VLOOKUP(A165,'[1]Raw Data'!$A$3:$FB$285,4,FALSE)</f>
        <v>3286</v>
      </c>
      <c r="G165" s="27">
        <f>VLOOKUP(A165,'[1]Raw Data'!$A$3:$FB$285,5,FALSE)</f>
        <v>2230</v>
      </c>
      <c r="H165" s="27">
        <f>VLOOKUP(A165,'[1]Raw Data'!$A$3:$FB$285,6,FALSE)</f>
        <v>5516</v>
      </c>
      <c r="I165" s="27">
        <f>VLOOKUP($A165,'[1]Raw Data'!$A$3:$FB$285,8,FALSE)</f>
        <v>2.78</v>
      </c>
      <c r="J165" s="27">
        <f>VLOOKUP($A165,'[1]Raw Data'!$A$3:$FB$285,9,FALSE)</f>
        <v>1.32</v>
      </c>
      <c r="K165" s="27">
        <f>VLOOKUP($A165,'[1]Raw Data'!$A$3:$FB$285,11,FALSE)</f>
        <v>76.260000000000005</v>
      </c>
      <c r="L165" s="27">
        <f>VLOOKUP($A165,'[1]Raw Data'!$A$3:$FB$285,12,FALSE)</f>
        <v>44.19</v>
      </c>
      <c r="M165" s="27">
        <f>VLOOKUP($A165,'[1]Raw Data'!$A$3:$FB$285,14,FALSE)</f>
        <v>8.64</v>
      </c>
      <c r="N165" s="27">
        <f>VLOOKUP($A165,'[1]Raw Data'!$A$3:$FB$285,15,FALSE)</f>
        <v>26.6</v>
      </c>
      <c r="O165" s="27">
        <f>VLOOKUP($A165,'[1]Raw Data'!$A$3:$FB$285,17,FALSE)</f>
        <v>0.71</v>
      </c>
      <c r="P165" s="27">
        <f>VLOOKUP($A165,'[1]Raw Data'!$A$3:$FB$285,18,FALSE)</f>
        <v>2.36</v>
      </c>
      <c r="Q165" s="27">
        <f>VLOOKUP($A165,'[1]Raw Data'!$A$3:$FB$285,20,FALSE)</f>
        <v>0.49</v>
      </c>
      <c r="R165" s="27">
        <f>VLOOKUP($A165,'[1]Raw Data'!$A$3:$FB$285,21,FALSE)</f>
        <v>5.22</v>
      </c>
      <c r="S165" s="27">
        <f>VLOOKUP($A165,'[1]Raw Data'!$A$3:$FB$285,23,FALSE)</f>
        <v>0</v>
      </c>
      <c r="T165" s="27">
        <f>VLOOKUP($A165,'[1]Raw Data'!$A$3:$FB$285,24,FALSE)</f>
        <v>0</v>
      </c>
      <c r="U165" s="27">
        <f>VLOOKUP($A165,'[1]Raw Data'!$A$3:$FB$285,26,FALSE)</f>
        <v>10.28</v>
      </c>
      <c r="V165" s="27">
        <f>VLOOKUP($A165,'[1]Raw Data'!$A$3:$FB$285,27,FALSE)</f>
        <v>16.91</v>
      </c>
      <c r="W165" s="27">
        <f>VLOOKUP($A165,'[1]Raw Data'!$A$3:$FB$285,29,FALSE)</f>
        <v>0</v>
      </c>
      <c r="X165" s="27">
        <f>VLOOKUP($A165,'[1]Raw Data'!$A$3:$FB$285,30,FALSE)</f>
        <v>0</v>
      </c>
      <c r="Y165" s="27">
        <f>VLOOKUP($A165,'[1]Raw Data'!$A$3:$FB$285,32,FALSE)</f>
        <v>0.16</v>
      </c>
      <c r="Z165" s="27">
        <f>VLOOKUP($A165,'[1]Raw Data'!$A$3:$FB$285,33,FALSE)</f>
        <v>0.22</v>
      </c>
      <c r="AA165" s="27">
        <f>VLOOKUP($A165,'[1]Raw Data'!$A$3:$FB$285,35,FALSE)</f>
        <v>0.47</v>
      </c>
      <c r="AB165" s="27">
        <f>VLOOKUP($A165,'[1]Raw Data'!$A$3:$FB$285,36,FALSE)</f>
        <v>2.85</v>
      </c>
      <c r="AC165" s="27">
        <f>VLOOKUP($A165,'[1]Raw Data'!$A$3:$FB$285,38,FALSE)</f>
        <v>0.2</v>
      </c>
      <c r="AD165" s="27">
        <f>VLOOKUP($A165,'[1]Raw Data'!$A$3:$FB$285,39,FALSE)</f>
        <v>0.32</v>
      </c>
      <c r="AE165" s="27">
        <f>VLOOKUP($A165,'[1]Raw Data'!$A$3:$FB$285,41,FALSE)</f>
        <v>0</v>
      </c>
      <c r="AF165" s="27">
        <f>VLOOKUP($A165,'[1]Raw Data'!$A$3:$FB$285,42,FALSE)</f>
        <v>0</v>
      </c>
      <c r="AG165" s="27">
        <f>VLOOKUP($A165,'[1]Raw Data'!$A$3:$FB$285,44,FALSE)</f>
        <v>0</v>
      </c>
      <c r="AH165" s="27">
        <f>VLOOKUP($A165,'[1]Raw Data'!$A$3:$FB$285,45,FALSE)</f>
        <v>0</v>
      </c>
      <c r="AI165" s="27">
        <f>VLOOKUP($A165,'[1]Raw Data'!$A$3:$FB$285,46,FALSE)</f>
        <v>2209</v>
      </c>
      <c r="AJ165" s="27">
        <f>VLOOKUP($A165,'[1]Raw Data'!$A$3:$FB$285,47,FALSE)</f>
        <v>1677</v>
      </c>
      <c r="AK165" s="27">
        <f>VLOOKUP($A165,'[1]Raw Data'!$A$3:$FB$285,48,FALSE)</f>
        <v>1667</v>
      </c>
      <c r="AL165" s="27">
        <f>VLOOKUP($A165,'[1]Raw Data'!$A$3:$FB$285,49,FALSE)</f>
        <v>1289</v>
      </c>
      <c r="AM165" s="27">
        <f>VLOOKUP($A165,'[1]Raw Data'!$A$3:$FB$285,50,FALSE)</f>
        <v>848</v>
      </c>
      <c r="AN165" s="27">
        <f>VLOOKUP($A165,'[1]Raw Data'!$A$3:$FB$285,51,FALSE)</f>
        <v>1341</v>
      </c>
      <c r="AO165" s="27">
        <f>VLOOKUP($A165,'[1]Raw Data'!$A$3:$FB$285,52,FALSE)</f>
        <v>655</v>
      </c>
      <c r="AP165" s="27">
        <f>VLOOKUP($A165,'[1]Raw Data'!$A$3:$FB$285,53,FALSE)</f>
        <v>1372</v>
      </c>
      <c r="AQ165" s="27">
        <f>VLOOKUP($A165,'[1]Raw Data'!$A$3:$FB$285,54,FALSE)</f>
        <v>277</v>
      </c>
      <c r="AR165" s="27">
        <f>VLOOKUP($A165,'[1]Raw Data'!$A$3:$FB$285,55,FALSE)</f>
        <v>177</v>
      </c>
      <c r="AS165" s="27">
        <f>VLOOKUP($A165,'[1]Raw Data'!$A$3:$FB$285,56,FALSE)</f>
        <v>0</v>
      </c>
      <c r="AT165" s="27">
        <f>VLOOKUP($A165,'[1]Raw Data'!$A$3:$FB$285,57,FALSE)</f>
        <v>2153</v>
      </c>
      <c r="AU165" s="27">
        <f>VLOOKUP($A165,'[1]Raw Data'!$A$3:$FB$285,58,FALSE)</f>
        <v>2153</v>
      </c>
      <c r="AV165" s="27">
        <f>VLOOKUP($A165,'[1]Raw Data'!$A$3:$FB$285,59,FALSE)</f>
        <v>292</v>
      </c>
      <c r="AW165" s="27">
        <f>VLOOKUP($A165,'[1]Raw Data'!$A$3:$FB$285,60,FALSE)</f>
        <v>282</v>
      </c>
      <c r="AX165" s="27" t="str">
        <f>VLOOKUP(A165,'[1]PO''s List'!A163:E445,4,FALSE)</f>
        <v>PIN(Shelter)</v>
      </c>
      <c r="AZ165" s="27" t="str">
        <f>VLOOKUP(A165,'[1]PO''s List'!$A$3:$E$285,5,FALSE)</f>
        <v>COSAN(Education),EBMF(Education),HELVETAS(Shelter),PLAN(GESI,Shelter,Social Protection,Health),Tearfund(Shelter)</v>
      </c>
      <c r="BB165" s="27">
        <f>VLOOKUP($A165,'[1]Raw Data'!$A$3:$FB$285,63,FALSE)</f>
        <v>22606</v>
      </c>
      <c r="BC165" s="27" t="str">
        <f>VLOOKUP($A165,'[1]Raw Data'!$A$3:$FB$285,64,FALSE)</f>
        <v/>
      </c>
      <c r="BD165" s="27" t="str">
        <f t="shared" si="18"/>
        <v/>
      </c>
      <c r="BE165" s="27" t="str">
        <f>VLOOKUP($A165,'[1]Raw Data'!$A$3:$FB$285,65,FALSE)</f>
        <v/>
      </c>
      <c r="BF165" s="27">
        <f>VLOOKUP($A165,'[1]Raw Data'!$A$3:$FB$285,66,FALSE)</f>
        <v>22456</v>
      </c>
      <c r="BG165" s="27" t="str">
        <f>VLOOKUP($A165,'[1]Raw Data'!$A$3:$FB$285,67,FALSE)</f>
        <v/>
      </c>
      <c r="BH165" s="27" t="str">
        <f t="shared" si="19"/>
        <v/>
      </c>
      <c r="BI165" s="27" t="str">
        <f>VLOOKUP($A165,'[1]Raw Data'!$A$3:$FB$285,68,FALSE)</f>
        <v/>
      </c>
      <c r="BJ165" s="27">
        <f>VLOOKUP($A165,'[1]Raw Data'!$A$3:$FB$285,69,FALSE)</f>
        <v>2407</v>
      </c>
      <c r="BK165" s="27" t="str">
        <f>VLOOKUP($A165,'[1]Raw Data'!$A$3:$FB$285,70,FALSE)</f>
        <v/>
      </c>
      <c r="BL165" s="27" t="str">
        <f t="shared" si="20"/>
        <v/>
      </c>
      <c r="BM165" s="27" t="str">
        <f>VLOOKUP($A165,'[1]Raw Data'!$A$3:$FB$285,71,FALSE)</f>
        <v/>
      </c>
      <c r="BN165" s="27">
        <f>VLOOKUP($A165,'[1]Raw Data'!$A$3:$FB$285,72,FALSE)</f>
        <v>2755</v>
      </c>
      <c r="BO165" s="27" t="str">
        <f>VLOOKUP($A165,'[1]Raw Data'!$A$3:$FB$285,73,FALSE)</f>
        <v/>
      </c>
      <c r="BP165" s="27" t="str">
        <f t="shared" si="21"/>
        <v/>
      </c>
      <c r="BQ165" s="27" t="str">
        <f>VLOOKUP($A165,'[1]Raw Data'!$A$3:$FB$285,74,FALSE)</f>
        <v/>
      </c>
      <c r="BR165" s="27" t="str">
        <f>VLOOKUP($A165,'[1]Raw Data'!$A$3:$FB$285,75,FALSE)</f>
        <v/>
      </c>
      <c r="BS165" s="27" t="str">
        <f>VLOOKUP($A165,'[1]Raw Data'!$A$3:$FB$285,76,FALSE)</f>
        <v/>
      </c>
      <c r="BT165" s="27" t="str">
        <f t="shared" si="22"/>
        <v/>
      </c>
      <c r="BU165" s="27" t="str">
        <f>VLOOKUP($A165,'[1]Raw Data'!$A$3:$FB$285,77,FALSE)</f>
        <v/>
      </c>
      <c r="BV165" s="27">
        <f>VLOOKUP($A165,'[1]Raw Data'!$A$3:$FB$285,78,FALSE)</f>
        <v>74901</v>
      </c>
      <c r="BW165" s="27" t="str">
        <f>VLOOKUP($A165,'[1]Raw Data'!$A$3:$FB$285,79,FALSE)</f>
        <v/>
      </c>
      <c r="BX165" s="27" t="str">
        <f t="shared" si="23"/>
        <v/>
      </c>
      <c r="BY165" s="27" t="str">
        <f>VLOOKUP($A165,'[1]Raw Data'!$A$3:$FB$285,80,FALSE)</f>
        <v/>
      </c>
      <c r="BZ165" s="27">
        <f>VLOOKUP($A165,'[1]Raw Data'!$A$3:$FB$285,81,FALSE)</f>
        <v>246654</v>
      </c>
      <c r="CA165" s="27" t="str">
        <f>VLOOKUP($A165,'[1]Raw Data'!$A$3:$FB$285,82,FALSE)</f>
        <v/>
      </c>
      <c r="CB165" s="27" t="str">
        <f t="shared" si="24"/>
        <v/>
      </c>
      <c r="CC165" s="27" t="str">
        <f>VLOOKUP($A165,'[1]Raw Data'!$A$3:$FB$285,83,FALSE)</f>
        <v/>
      </c>
      <c r="CD165" s="27">
        <f>VLOOKUP($A165,'[1]Raw Data'!$A$3:$FB$285,84,FALSE)</f>
        <v>3062</v>
      </c>
      <c r="CE165" s="27" t="str">
        <f>VLOOKUP($A165,'[1]Raw Data'!$A$3:$FB$285,85,FALSE)</f>
        <v/>
      </c>
      <c r="CF165" s="27" t="str">
        <f t="shared" si="25"/>
        <v/>
      </c>
      <c r="CG165" s="27" t="str">
        <f>VLOOKUP($A165,'[1]Raw Data'!$A$3:$FB$285,86,FALSE)</f>
        <v/>
      </c>
      <c r="CH165" s="27">
        <f>VLOOKUP($A165,'[1]Raw Data'!$A$3:$FB$285,87,FALSE)</f>
        <v>334624</v>
      </c>
      <c r="CI165" s="27" t="str">
        <f>VLOOKUP($A165,'[1]Raw Data'!$A$3:$FB$285,88,FALSE)</f>
        <v/>
      </c>
      <c r="CJ165" s="27" t="str">
        <f t="shared" si="26"/>
        <v/>
      </c>
      <c r="CK165" s="27" t="str">
        <f>VLOOKUP($A165,'[1]Raw Data'!$A$3:$FB$285,89,FALSE)</f>
        <v/>
      </c>
      <c r="CL165" s="27" t="str">
        <f>VLOOKUP($A165,'[1]Raw Data'!$A$3:$FB$285,91,FALSE)</f>
        <v/>
      </c>
      <c r="CM165" s="27" t="str">
        <f>VLOOKUP($A165,'[1]Raw Data'!$A$3:$FB$285,93,FALSE)</f>
        <v/>
      </c>
      <c r="CN165" s="27" t="str">
        <f>VLOOKUP($A165,'[1]Raw Data'!$A$3:$FB$285,94,FALSE)</f>
        <v/>
      </c>
      <c r="CO165" s="27" t="str">
        <f>VLOOKUP($A165,'[1]Raw Data'!$A$3:$FB$285,95,FALSE)</f>
        <v/>
      </c>
      <c r="CP165" s="27" t="str">
        <f>VLOOKUP($A165,'[1]Raw Data'!$A$3:$FB$285,96,FALSE)</f>
        <v/>
      </c>
      <c r="CQ165" s="27" t="str">
        <f>VLOOKUP($A165,'[1]Raw Data'!$A$3:$FB$285,97,FALSE)</f>
        <v/>
      </c>
      <c r="CR165" s="27" t="str">
        <f>VLOOKUP($A165,'[1]Raw Data'!$A$3:$FB$285,98,FALSE)</f>
        <v/>
      </c>
      <c r="CS165" s="27" t="str">
        <f>VLOOKUP($A165,'[1]Raw Data'!$A$3:$FB$285,99,FALSE)</f>
        <v/>
      </c>
      <c r="CT165" s="27" t="str">
        <f>VLOOKUP($A165,'[1]Raw Data'!$A$3:$FB$285,101,FALSE)</f>
        <v>Bidur Humagain</v>
      </c>
      <c r="CU165" s="27" t="s">
        <v>1330</v>
      </c>
      <c r="CV165" s="27" t="str">
        <f>VLOOKUP($A165,'[1]Raw Data'!$A$3:$FB$285,102,FALSE)</f>
        <v xml:space="preserve">Chairman </v>
      </c>
      <c r="CW165" s="27" t="s">
        <v>878</v>
      </c>
      <c r="CX165" s="27">
        <f>VLOOKUP($A165,'[1]Raw Data'!$A$3:$FB$285,103,FALSE)</f>
        <v>9855073810</v>
      </c>
      <c r="CY165" s="27" t="str">
        <f>VLOOKUP($A165,'[1]Raw Data'!$A$3:$FB$285,105,FALSE)</f>
        <v>Harka maya Rumba</v>
      </c>
      <c r="CZ165" s="27" t="s">
        <v>1331</v>
      </c>
      <c r="DA165" s="27" t="str">
        <f>VLOOKUP($A165,'[1]Raw Data'!$A$3:$FB$285,106,FALSE)</f>
        <v>Deputy Chairman</v>
      </c>
      <c r="DB165" s="27" t="s">
        <v>879</v>
      </c>
      <c r="DC165" s="27">
        <f>VLOOKUP($A165,'[1]Raw Data'!$A$3:$FB$285,107,FALSE)</f>
        <v>9843893548</v>
      </c>
      <c r="DD165" s="27" t="str">
        <f>VLOOKUP($A165,'[1]Raw Data'!$A$3:$FB$285,109,FALSE)</f>
        <v>Bhim Bahadur Pariyar</v>
      </c>
      <c r="DE165" s="27" t="s">
        <v>1332</v>
      </c>
      <c r="DF165" s="27" t="str">
        <f>VLOOKUP($A165,'[1]Raw Data'!$A$3:$FB$285,110,FALSE)</f>
        <v>Chief Adminstration Officer</v>
      </c>
      <c r="DG165" s="27" t="s">
        <v>880</v>
      </c>
      <c r="DH165" s="27">
        <f>VLOOKUP($A165,'[1]Raw Data'!$A$3:$FB$285,111,FALSE)</f>
        <v>9855088966</v>
      </c>
      <c r="DI165" s="27" t="str">
        <f>VLOOKUP($A165,'[1]Raw Data'!$A$3:$FB$285,121,FALSE)</f>
        <v>Er.Suraj kumar yadav</v>
      </c>
      <c r="DJ165" s="27" t="s">
        <v>1333</v>
      </c>
      <c r="DK165" s="27" t="str">
        <f>VLOOKUP($A165,'[1]Raw Data'!$A$3:$FB$285,122,FALSE)</f>
        <v>Focal Person</v>
      </c>
      <c r="DL165" s="27" t="s">
        <v>881</v>
      </c>
      <c r="DM165" s="27">
        <f>VLOOKUP($A165,'[1]Raw Data'!$A$3:$FB$285,123,FALSE)</f>
        <v>9144218020</v>
      </c>
      <c r="DN165" s="27" t="str">
        <f>VLOOKUP($A165,'[1]Raw Data'!$A$3:$FB$285,113,FALSE)</f>
        <v xml:space="preserve">Som Raj Timilsena </v>
      </c>
      <c r="DO165" s="27" t="s">
        <v>1305</v>
      </c>
      <c r="DP165" s="27" t="str">
        <f>VLOOKUP($A165,'[1]Raw Data'!$A$3:$FB$285,114,FALSE)</f>
        <v>NRA Chief-District</v>
      </c>
      <c r="DQ165" s="27" t="s">
        <v>882</v>
      </c>
      <c r="DR165" s="27">
        <f>VLOOKUP($A165,'[1]Raw Data'!$A$3:$FB$285,115,FALSE)</f>
        <v>9855030632</v>
      </c>
      <c r="DS165" s="27" t="str">
        <f>VLOOKUP($A165,'[1]Raw Data'!$A$3:$FB$285,117,FALSE)</f>
        <v xml:space="preserve">Sudip Achrya </v>
      </c>
      <c r="DT165" s="27" t="s">
        <v>1306</v>
      </c>
      <c r="DU165" s="27" t="str">
        <f>VLOOKUP($A165,'[1]Raw Data'!$A$3:$FB$285,118,FALSE)</f>
        <v>DUDBC.DLPIU Chief</v>
      </c>
      <c r="DV165" s="27" t="s">
        <v>883</v>
      </c>
      <c r="DW165" s="27">
        <f>VLOOKUP($A165,'[1]Raw Data'!$A$3:$FB$285,119,FALSE)</f>
        <v>9851153206</v>
      </c>
      <c r="DX165" s="27" t="s">
        <v>339</v>
      </c>
      <c r="DY165" s="27" t="str">
        <f>VLOOKUP($A165,'[1]Raw Data'!$A$3:$FB$285,124,FALSE)</f>
        <v/>
      </c>
      <c r="DZ165" s="27" t="s">
        <v>884</v>
      </c>
      <c r="EA165" s="27" t="str">
        <f>VLOOKUP($A165,'[1]Raw Data'!$A$3:$FB$285,125,FALSE)</f>
        <v/>
      </c>
      <c r="EB165" s="27" t="s">
        <v>341</v>
      </c>
      <c r="EC165" s="27" t="str">
        <f>VLOOKUP($A165,'[1]Raw Data'!$A$3:$FB$285,126,FALSE)</f>
        <v/>
      </c>
      <c r="ED165" t="s">
        <v>478</v>
      </c>
      <c r="EE165" s="27" t="str">
        <f>VLOOKUP($A165,'[1]Raw Data'!$A$3:$FB$285,127,FALSE)</f>
        <v/>
      </c>
      <c r="EF165" s="27" t="s">
        <v>343</v>
      </c>
      <c r="EG165" s="27" t="str">
        <f>VLOOKUP($A165,'[1]Raw Data'!$A$3:$FB$285,128,FALSE)</f>
        <v/>
      </c>
      <c r="EH165" t="s">
        <v>344</v>
      </c>
      <c r="EI165" s="27" t="str">
        <f>VLOOKUP($A165,'[1]Raw Data'!$A$3:$FB$285,129,FALSE)</f>
        <v/>
      </c>
      <c r="EM165" s="27" t="str">
        <f>VLOOKUP($A165,'[1]Raw Data'!$A$3:$FB$285,130,FALSE)</f>
        <v/>
      </c>
      <c r="EN165" s="27" t="str">
        <f>VLOOKUP($A165,'[1]Raw Data'!$A$3:$FB$285,131,FALSE)</f>
        <v/>
      </c>
      <c r="EO165" s="27" t="str">
        <f>VLOOKUP($A165,'[1]Raw Data'!$A$3:$FB$285,132,FALSE)</f>
        <v/>
      </c>
      <c r="EP165" s="27" t="str">
        <f>VLOOKUP($A165,'[1]Raw Data'!$A$3:$FB$285,133,FALSE)</f>
        <v/>
      </c>
      <c r="EQ165" s="27" t="str">
        <f>VLOOKUP($A165,'[1]Raw Data'!$A$3:$FB$285,134,FALSE)</f>
        <v/>
      </c>
      <c r="ER165" s="27" t="str">
        <f>VLOOKUP($A165,'[1]Raw Data'!$A$3:$FB$285,135,FALSE)</f>
        <v/>
      </c>
      <c r="ES165" s="27" t="str">
        <f>VLOOKUP($A165,'[1]Raw Data'!$A$3:$FB$285,136,FALSE)</f>
        <v/>
      </c>
      <c r="ET165" s="27" t="str">
        <f>VLOOKUP($A165,'[1]Raw Data'!$A$3:$FB$285,137,FALSE)</f>
        <v/>
      </c>
      <c r="EU165" s="27" t="str">
        <f>VLOOKUP($A165,'[1]Raw Data'!$A$3:$FB$285,138,FALSE)</f>
        <v/>
      </c>
      <c r="EV165" s="27" t="str">
        <f>VLOOKUP($A165,'[1]Raw Data'!$A$3:$FB$285,139,FALSE)</f>
        <v/>
      </c>
      <c r="EW165" s="38">
        <f>VLOOKUP($A165,[1]Training!$A$2:$I$284,5,FALSE)</f>
        <v>169.92307692307693</v>
      </c>
      <c r="EX165" s="31">
        <f>VLOOKUP($A165,[1]Training!$A$2:$I$284,6,FALSE)</f>
        <v>172</v>
      </c>
      <c r="EY165" s="38">
        <f>VLOOKUP($A165,[1]Training!$A$2:$I$284,8,FALSE)</f>
        <v>195.06092894566433</v>
      </c>
      <c r="EZ165" s="31">
        <f>VLOOKUP($A165,[1]Training!$A$2:$I$284,9,FALSE)</f>
        <v>0</v>
      </c>
      <c r="FA165" s="27">
        <v>1</v>
      </c>
      <c r="FB165" s="27">
        <v>2</v>
      </c>
      <c r="FC165" s="27" t="str">
        <f>VLOOKUP($A165,'[1]Raw Data'!$A$3:$FB$285,148,FALSE)</f>
        <v>Hari Thalang</v>
      </c>
      <c r="FD165" s="27" t="s">
        <v>1307</v>
      </c>
      <c r="FE165" s="27" t="str">
        <f>VLOOKUP($A165,'[1]Raw Data'!$A$3:$FB$285,149,FALSE)</f>
        <v>District Coordinator</v>
      </c>
      <c r="FF165" s="27" t="s">
        <v>885</v>
      </c>
      <c r="FG165" s="27">
        <f>VLOOKUP($A165,'[1]Raw Data'!$A$3:$FB$285,150,FALSE)</f>
        <v>9851224505</v>
      </c>
      <c r="FH165" s="27" t="str">
        <f>VLOOKUP($A165,'[1]Raw Data'!$A$3:$FB$285,156,FALSE)</f>
        <v xml:space="preserve">Kausal Bist </v>
      </c>
      <c r="FI165" s="27" t="s">
        <v>1308</v>
      </c>
      <c r="FJ165" s="27" t="str">
        <f>VLOOKUP($A165,'[1]Raw Data'!$A$3:$FB$285,157,FALSE)</f>
        <v>District Technical Officer</v>
      </c>
      <c r="FK165" s="27" t="s">
        <v>886</v>
      </c>
      <c r="FL165" s="27">
        <f>VLOOKUP($A165,'[1]Raw Data'!$A$3:$FB$285,158,FALSE)</f>
        <v>9849787273</v>
      </c>
      <c r="FM165" s="27" t="str">
        <f>VLOOKUP($A165,'[1]Raw Data'!$A$3:$FB$285,152,FALSE)</f>
        <v>Nirmal Nepali</v>
      </c>
      <c r="FN165" s="27" t="s">
        <v>1309</v>
      </c>
      <c r="FO165" s="27" t="str">
        <f>VLOOKUP($A165,'[1]Raw Data'!$A$3:$FB$285,153,FALSE)</f>
        <v>DIstrict Information Management Officer</v>
      </c>
      <c r="FP165" s="27" t="s">
        <v>887</v>
      </c>
      <c r="FQ165" s="27">
        <f>VLOOKUP($A165,'[1]Raw Data'!$A$3:$FB$285,154,FALSE)</f>
        <v>9848500348</v>
      </c>
    </row>
    <row r="166" spans="1:173" ht="24" x14ac:dyDescent="0.45">
      <c r="A166" s="27">
        <v>31008</v>
      </c>
      <c r="B166" s="36" t="str">
        <f ca="1">IFERROR(__xludf.DUMMYFUNCTION("""COMPUTED_VALUE"""),"Manahari Gaunpalika")</f>
        <v>Manahari Gaunpalika</v>
      </c>
      <c r="C166" s="37" t="str">
        <f>VLOOKUP(A166,'[1]Palika and District in Nepali '!$D$1:$F$283,3,FALSE)</f>
        <v>मनहरी गाउँपालिका</v>
      </c>
      <c r="D166" s="36" t="str">
        <f ca="1">IFERROR(__xludf.DUMMYFUNCTION("""COMPUTED_VALUE"""),"Makwanpur")</f>
        <v>Makwanpur</v>
      </c>
      <c r="E166" s="36"/>
      <c r="F166" s="27">
        <f>VLOOKUP(A166,'[1]Raw Data'!$A$3:$FB$285,4,FALSE)</f>
        <v>6546</v>
      </c>
      <c r="G166" s="27">
        <f>VLOOKUP(A166,'[1]Raw Data'!$A$3:$FB$285,5,FALSE)</f>
        <v>2295</v>
      </c>
      <c r="H166" s="27">
        <f>VLOOKUP(A166,'[1]Raw Data'!$A$3:$FB$285,6,FALSE)</f>
        <v>8841</v>
      </c>
      <c r="I166" s="27">
        <f>VLOOKUP($A166,'[1]Raw Data'!$A$3:$FB$285,8,FALSE)</f>
        <v>2.0499999999999998</v>
      </c>
      <c r="J166" s="27">
        <f>VLOOKUP($A166,'[1]Raw Data'!$A$3:$FB$285,9,FALSE)</f>
        <v>1.32</v>
      </c>
      <c r="K166" s="27">
        <f>VLOOKUP($A166,'[1]Raw Data'!$A$3:$FB$285,11,FALSE)</f>
        <v>19.079999999999998</v>
      </c>
      <c r="L166" s="27">
        <f>VLOOKUP($A166,'[1]Raw Data'!$A$3:$FB$285,12,FALSE)</f>
        <v>44.19</v>
      </c>
      <c r="M166" s="27">
        <f>VLOOKUP($A166,'[1]Raw Data'!$A$3:$FB$285,14,FALSE)</f>
        <v>32.549999999999997</v>
      </c>
      <c r="N166" s="27">
        <f>VLOOKUP($A166,'[1]Raw Data'!$A$3:$FB$285,15,FALSE)</f>
        <v>26.6</v>
      </c>
      <c r="O166" s="27">
        <f>VLOOKUP($A166,'[1]Raw Data'!$A$3:$FB$285,17,FALSE)</f>
        <v>1.64</v>
      </c>
      <c r="P166" s="27">
        <f>VLOOKUP($A166,'[1]Raw Data'!$A$3:$FB$285,18,FALSE)</f>
        <v>2.36</v>
      </c>
      <c r="Q166" s="27">
        <f>VLOOKUP($A166,'[1]Raw Data'!$A$3:$FB$285,20,FALSE)</f>
        <v>4.24</v>
      </c>
      <c r="R166" s="27">
        <f>VLOOKUP($A166,'[1]Raw Data'!$A$3:$FB$285,21,FALSE)</f>
        <v>5.22</v>
      </c>
      <c r="S166" s="27">
        <f>VLOOKUP($A166,'[1]Raw Data'!$A$3:$FB$285,23,FALSE)</f>
        <v>0</v>
      </c>
      <c r="T166" s="27">
        <f>VLOOKUP($A166,'[1]Raw Data'!$A$3:$FB$285,24,FALSE)</f>
        <v>0</v>
      </c>
      <c r="U166" s="27">
        <f>VLOOKUP($A166,'[1]Raw Data'!$A$3:$FB$285,26,FALSE)</f>
        <v>39.08</v>
      </c>
      <c r="V166" s="27">
        <f>VLOOKUP($A166,'[1]Raw Data'!$A$3:$FB$285,27,FALSE)</f>
        <v>16.91</v>
      </c>
      <c r="W166" s="27">
        <f>VLOOKUP($A166,'[1]Raw Data'!$A$3:$FB$285,29,FALSE)</f>
        <v>0</v>
      </c>
      <c r="X166" s="27">
        <f>VLOOKUP($A166,'[1]Raw Data'!$A$3:$FB$285,30,FALSE)</f>
        <v>0</v>
      </c>
      <c r="Y166" s="27">
        <f>VLOOKUP($A166,'[1]Raw Data'!$A$3:$FB$285,32,FALSE)</f>
        <v>0.14000000000000001</v>
      </c>
      <c r="Z166" s="27">
        <f>VLOOKUP($A166,'[1]Raw Data'!$A$3:$FB$285,33,FALSE)</f>
        <v>0.22</v>
      </c>
      <c r="AA166" s="27">
        <f>VLOOKUP($A166,'[1]Raw Data'!$A$3:$FB$285,35,FALSE)</f>
        <v>0.99</v>
      </c>
      <c r="AB166" s="27">
        <f>VLOOKUP($A166,'[1]Raw Data'!$A$3:$FB$285,36,FALSE)</f>
        <v>2.85</v>
      </c>
      <c r="AC166" s="27">
        <f>VLOOKUP($A166,'[1]Raw Data'!$A$3:$FB$285,38,FALSE)</f>
        <v>0.25</v>
      </c>
      <c r="AD166" s="27">
        <f>VLOOKUP($A166,'[1]Raw Data'!$A$3:$FB$285,39,FALSE)</f>
        <v>0.32</v>
      </c>
      <c r="AE166" s="27">
        <f>VLOOKUP($A166,'[1]Raw Data'!$A$3:$FB$285,41,FALSE)</f>
        <v>0</v>
      </c>
      <c r="AF166" s="27">
        <f>VLOOKUP($A166,'[1]Raw Data'!$A$3:$FB$285,42,FALSE)</f>
        <v>0</v>
      </c>
      <c r="AG166" s="27">
        <f>VLOOKUP($A166,'[1]Raw Data'!$A$3:$FB$285,44,FALSE)</f>
        <v>0</v>
      </c>
      <c r="AH166" s="27">
        <f>VLOOKUP($A166,'[1]Raw Data'!$A$3:$FB$285,45,FALSE)</f>
        <v>0</v>
      </c>
      <c r="AI166" s="27">
        <f>VLOOKUP($A166,'[1]Raw Data'!$A$3:$FB$285,46,FALSE)</f>
        <v>2321</v>
      </c>
      <c r="AJ166" s="27">
        <f>VLOOKUP($A166,'[1]Raw Data'!$A$3:$FB$285,47,FALSE)</f>
        <v>1248</v>
      </c>
      <c r="AK166" s="27">
        <f>VLOOKUP($A166,'[1]Raw Data'!$A$3:$FB$285,48,FALSE)</f>
        <v>1246</v>
      </c>
      <c r="AL166" s="27">
        <f>VLOOKUP($A166,'[1]Raw Data'!$A$3:$FB$285,49,FALSE)</f>
        <v>1019</v>
      </c>
      <c r="AM166" s="27">
        <f>VLOOKUP($A166,'[1]Raw Data'!$A$3:$FB$285,50,FALSE)</f>
        <v>809</v>
      </c>
      <c r="AN166" s="27">
        <f>VLOOKUP($A166,'[1]Raw Data'!$A$3:$FB$285,51,FALSE)</f>
        <v>1051</v>
      </c>
      <c r="AO166" s="27">
        <f>VLOOKUP($A166,'[1]Raw Data'!$A$3:$FB$285,52,FALSE)</f>
        <v>625</v>
      </c>
      <c r="AP166" s="27">
        <f>VLOOKUP($A166,'[1]Raw Data'!$A$3:$FB$285,53,FALSE)</f>
        <v>1330</v>
      </c>
      <c r="AQ166" s="27">
        <f>VLOOKUP($A166,'[1]Raw Data'!$A$3:$FB$285,54,FALSE)</f>
        <v>494</v>
      </c>
      <c r="AR166" s="27">
        <f>VLOOKUP($A166,'[1]Raw Data'!$A$3:$FB$285,55,FALSE)</f>
        <v>489</v>
      </c>
      <c r="AS166" s="27">
        <f>VLOOKUP($A166,'[1]Raw Data'!$A$3:$FB$285,56,FALSE)</f>
        <v>0</v>
      </c>
      <c r="AT166" s="27">
        <f>VLOOKUP($A166,'[1]Raw Data'!$A$3:$FB$285,57,FALSE)</f>
        <v>2819</v>
      </c>
      <c r="AU166" s="27">
        <f>VLOOKUP($A166,'[1]Raw Data'!$A$3:$FB$285,58,FALSE)</f>
        <v>2819</v>
      </c>
      <c r="AV166" s="27">
        <f>VLOOKUP($A166,'[1]Raw Data'!$A$3:$FB$285,59,FALSE)</f>
        <v>489</v>
      </c>
      <c r="AW166" s="27">
        <f>VLOOKUP($A166,'[1]Raw Data'!$A$3:$FB$285,60,FALSE)</f>
        <v>463</v>
      </c>
      <c r="AX166" s="27" t="str">
        <f>VLOOKUP(A166,'[1]PO''s List'!A164:E446,4,FALSE)</f>
        <v>PIN(Shelter)</v>
      </c>
      <c r="AZ166" s="27" t="str">
        <f>VLOOKUP(A166,'[1]PO''s List'!$A$3:$E$285,5,FALSE)</f>
        <v>AA(GESI),AATWIN(Social Protection),CARE-N(Education),EBMF(Education),HELVETAS(Shelter),PLAN(Social Protection,Health)</v>
      </c>
      <c r="BB166" s="27">
        <f>VLOOKUP($A166,'[1]Raw Data'!$A$3:$FB$285,63,FALSE)</f>
        <v>25617</v>
      </c>
      <c r="BC166" s="27" t="str">
        <f>VLOOKUP($A166,'[1]Raw Data'!$A$3:$FB$285,64,FALSE)</f>
        <v/>
      </c>
      <c r="BD166" s="27" t="str">
        <f t="shared" si="18"/>
        <v/>
      </c>
      <c r="BE166" s="27" t="str">
        <f>VLOOKUP($A166,'[1]Raw Data'!$A$3:$FB$285,65,FALSE)</f>
        <v/>
      </c>
      <c r="BF166" s="27">
        <f>VLOOKUP($A166,'[1]Raw Data'!$A$3:$FB$285,66,FALSE)</f>
        <v>13986</v>
      </c>
      <c r="BG166" s="27" t="str">
        <f>VLOOKUP($A166,'[1]Raw Data'!$A$3:$FB$285,67,FALSE)</f>
        <v/>
      </c>
      <c r="BH166" s="27" t="str">
        <f t="shared" si="19"/>
        <v/>
      </c>
      <c r="BI166" s="27" t="str">
        <f>VLOOKUP($A166,'[1]Raw Data'!$A$3:$FB$285,68,FALSE)</f>
        <v/>
      </c>
      <c r="BJ166" s="27">
        <f>VLOOKUP($A166,'[1]Raw Data'!$A$3:$FB$285,69,FALSE)</f>
        <v>2625</v>
      </c>
      <c r="BK166" s="27" t="str">
        <f>VLOOKUP($A166,'[1]Raw Data'!$A$3:$FB$285,70,FALSE)</f>
        <v/>
      </c>
      <c r="BL166" s="27" t="str">
        <f t="shared" si="20"/>
        <v/>
      </c>
      <c r="BM166" s="27" t="str">
        <f>VLOOKUP($A166,'[1]Raw Data'!$A$3:$FB$285,71,FALSE)</f>
        <v/>
      </c>
      <c r="BN166" s="27">
        <f>VLOOKUP($A166,'[1]Raw Data'!$A$3:$FB$285,72,FALSE)</f>
        <v>2625</v>
      </c>
      <c r="BO166" s="27" t="str">
        <f>VLOOKUP($A166,'[1]Raw Data'!$A$3:$FB$285,73,FALSE)</f>
        <v/>
      </c>
      <c r="BP166" s="27" t="str">
        <f t="shared" si="21"/>
        <v/>
      </c>
      <c r="BQ166" s="27" t="str">
        <f>VLOOKUP($A166,'[1]Raw Data'!$A$3:$FB$285,74,FALSE)</f>
        <v/>
      </c>
      <c r="BR166" s="27" t="str">
        <f>VLOOKUP($A166,'[1]Raw Data'!$A$3:$FB$285,75,FALSE)</f>
        <v/>
      </c>
      <c r="BS166" s="27" t="str">
        <f>VLOOKUP($A166,'[1]Raw Data'!$A$3:$FB$285,76,FALSE)</f>
        <v/>
      </c>
      <c r="BT166" s="27" t="str">
        <f t="shared" si="22"/>
        <v/>
      </c>
      <c r="BU166" s="27" t="str">
        <f>VLOOKUP($A166,'[1]Raw Data'!$A$3:$FB$285,77,FALSE)</f>
        <v/>
      </c>
      <c r="BV166" s="27">
        <f>VLOOKUP($A166,'[1]Raw Data'!$A$3:$FB$285,78,FALSE)</f>
        <v>51727</v>
      </c>
      <c r="BW166" s="27" t="str">
        <f>VLOOKUP($A166,'[1]Raw Data'!$A$3:$FB$285,79,FALSE)</f>
        <v/>
      </c>
      <c r="BX166" s="27" t="str">
        <f t="shared" si="23"/>
        <v/>
      </c>
      <c r="BY166" s="27" t="str">
        <f>VLOOKUP($A166,'[1]Raw Data'!$A$3:$FB$285,80,FALSE)</f>
        <v/>
      </c>
      <c r="BZ166" s="27">
        <f>VLOOKUP($A166,'[1]Raw Data'!$A$3:$FB$285,81,FALSE)</f>
        <v>300724</v>
      </c>
      <c r="CA166" s="27" t="str">
        <f>VLOOKUP($A166,'[1]Raw Data'!$A$3:$FB$285,82,FALSE)</f>
        <v/>
      </c>
      <c r="CB166" s="27" t="str">
        <f t="shared" si="24"/>
        <v/>
      </c>
      <c r="CC166" s="27" t="str">
        <f>VLOOKUP($A166,'[1]Raw Data'!$A$3:$FB$285,83,FALSE)</f>
        <v/>
      </c>
      <c r="CD166" s="27">
        <f>VLOOKUP($A166,'[1]Raw Data'!$A$3:$FB$285,84,FALSE)</f>
        <v>2116</v>
      </c>
      <c r="CE166" s="27" t="str">
        <f>VLOOKUP($A166,'[1]Raw Data'!$A$3:$FB$285,85,FALSE)</f>
        <v/>
      </c>
      <c r="CF166" s="27" t="str">
        <f t="shared" si="25"/>
        <v/>
      </c>
      <c r="CG166" s="27" t="str">
        <f>VLOOKUP($A166,'[1]Raw Data'!$A$3:$FB$285,86,FALSE)</f>
        <v/>
      </c>
      <c r="CH166" s="27">
        <f>VLOOKUP($A166,'[1]Raw Data'!$A$3:$FB$285,87,FALSE)</f>
        <v>1672960</v>
      </c>
      <c r="CI166" s="27" t="str">
        <f>VLOOKUP($A166,'[1]Raw Data'!$A$3:$FB$285,88,FALSE)</f>
        <v/>
      </c>
      <c r="CJ166" s="27" t="str">
        <f t="shared" si="26"/>
        <v/>
      </c>
      <c r="CK166" s="27" t="str">
        <f>VLOOKUP($A166,'[1]Raw Data'!$A$3:$FB$285,89,FALSE)</f>
        <v/>
      </c>
      <c r="CL166" s="27" t="str">
        <f>VLOOKUP($A166,'[1]Raw Data'!$A$3:$FB$285,91,FALSE)</f>
        <v/>
      </c>
      <c r="CM166" s="27" t="str">
        <f>VLOOKUP($A166,'[1]Raw Data'!$A$3:$FB$285,93,FALSE)</f>
        <v/>
      </c>
      <c r="CN166" s="27" t="str">
        <f>VLOOKUP($A166,'[1]Raw Data'!$A$3:$FB$285,94,FALSE)</f>
        <v/>
      </c>
      <c r="CO166" s="27" t="str">
        <f>VLOOKUP($A166,'[1]Raw Data'!$A$3:$FB$285,95,FALSE)</f>
        <v/>
      </c>
      <c r="CP166" s="27" t="str">
        <f>VLOOKUP($A166,'[1]Raw Data'!$A$3:$FB$285,96,FALSE)</f>
        <v/>
      </c>
      <c r="CQ166" s="27" t="str">
        <f>VLOOKUP($A166,'[1]Raw Data'!$A$3:$FB$285,97,FALSE)</f>
        <v/>
      </c>
      <c r="CR166" s="27" t="str">
        <f>VLOOKUP($A166,'[1]Raw Data'!$A$3:$FB$285,98,FALSE)</f>
        <v/>
      </c>
      <c r="CS166" s="27" t="str">
        <f>VLOOKUP($A166,'[1]Raw Data'!$A$3:$FB$285,99,FALSE)</f>
        <v/>
      </c>
      <c r="CT166" s="27" t="str">
        <f>VLOOKUP($A166,'[1]Raw Data'!$A$3:$FB$285,101,FALSE)</f>
        <v>Ek raj Upreti</v>
      </c>
      <c r="CU166" s="27" t="s">
        <v>1334</v>
      </c>
      <c r="CV166" s="27" t="str">
        <f>VLOOKUP($A166,'[1]Raw Data'!$A$3:$FB$285,102,FALSE)</f>
        <v xml:space="preserve">Chairman </v>
      </c>
      <c r="CW166" s="27" t="s">
        <v>878</v>
      </c>
      <c r="CX166" s="27">
        <f>VLOOKUP($A166,'[1]Raw Data'!$A$3:$FB$285,103,FALSE)</f>
        <v>9855077614</v>
      </c>
      <c r="CY166" s="27" t="str">
        <f>VLOOKUP($A166,'[1]Raw Data'!$A$3:$FB$285,105,FALSE)</f>
        <v>Manila Bist</v>
      </c>
      <c r="CZ166" s="27" t="s">
        <v>1335</v>
      </c>
      <c r="DA166" s="27" t="str">
        <f>VLOOKUP($A166,'[1]Raw Data'!$A$3:$FB$285,106,FALSE)</f>
        <v>Deputy Chairman</v>
      </c>
      <c r="DB166" s="27" t="s">
        <v>879</v>
      </c>
      <c r="DC166" s="27">
        <f>VLOOKUP($A166,'[1]Raw Data'!$A$3:$FB$285,107,FALSE)</f>
        <v>9855075305</v>
      </c>
      <c r="DD166" s="27" t="str">
        <f>VLOOKUP($A166,'[1]Raw Data'!$A$3:$FB$285,109,FALSE)</f>
        <v>Bishaksen Dhakal</v>
      </c>
      <c r="DE166" s="27" t="s">
        <v>1336</v>
      </c>
      <c r="DF166" s="27" t="str">
        <f>VLOOKUP($A166,'[1]Raw Data'!$A$3:$FB$285,110,FALSE)</f>
        <v>Chief Adminstration Officer</v>
      </c>
      <c r="DG166" s="27" t="s">
        <v>880</v>
      </c>
      <c r="DH166" s="27">
        <f>VLOOKUP($A166,'[1]Raw Data'!$A$3:$FB$285,111,FALSE)</f>
        <v>9841378157</v>
      </c>
      <c r="DI166" s="27" t="str">
        <f>VLOOKUP($A166,'[1]Raw Data'!$A$3:$FB$285,121,FALSE)</f>
        <v>Er.Shambhu raj karna</v>
      </c>
      <c r="DJ166" s="27" t="s">
        <v>1337</v>
      </c>
      <c r="DK166" s="27" t="str">
        <f>VLOOKUP($A166,'[1]Raw Data'!$A$3:$FB$285,122,FALSE)</f>
        <v>Focal Person</v>
      </c>
      <c r="DL166" s="27" t="s">
        <v>881</v>
      </c>
      <c r="DM166" s="27">
        <f>VLOOKUP($A166,'[1]Raw Data'!$A$3:$FB$285,123,FALSE)</f>
        <v>9843138746</v>
      </c>
      <c r="DN166" s="27" t="str">
        <f>VLOOKUP($A166,'[1]Raw Data'!$A$3:$FB$285,113,FALSE)</f>
        <v xml:space="preserve">Som Raj Timilsena </v>
      </c>
      <c r="DO166" s="27" t="s">
        <v>1305</v>
      </c>
      <c r="DP166" s="27" t="str">
        <f>VLOOKUP($A166,'[1]Raw Data'!$A$3:$FB$285,114,FALSE)</f>
        <v>NRA Chief-District</v>
      </c>
      <c r="DQ166" s="27" t="s">
        <v>882</v>
      </c>
      <c r="DR166" s="27">
        <f>VLOOKUP($A166,'[1]Raw Data'!$A$3:$FB$285,115,FALSE)</f>
        <v>9855030632</v>
      </c>
      <c r="DS166" s="27" t="str">
        <f>VLOOKUP($A166,'[1]Raw Data'!$A$3:$FB$285,117,FALSE)</f>
        <v xml:space="preserve">Sudip Achrya </v>
      </c>
      <c r="DT166" s="27" t="s">
        <v>1306</v>
      </c>
      <c r="DU166" s="27" t="str">
        <f>VLOOKUP($A166,'[1]Raw Data'!$A$3:$FB$285,118,FALSE)</f>
        <v>DUDBC.DLPIU Chief</v>
      </c>
      <c r="DV166" s="27" t="s">
        <v>883</v>
      </c>
      <c r="DW166" s="27">
        <f>VLOOKUP($A166,'[1]Raw Data'!$A$3:$FB$285,119,FALSE)</f>
        <v>9851153206</v>
      </c>
      <c r="DX166" s="27" t="s">
        <v>339</v>
      </c>
      <c r="DY166" s="27" t="str">
        <f>VLOOKUP($A166,'[1]Raw Data'!$A$3:$FB$285,124,FALSE)</f>
        <v/>
      </c>
      <c r="DZ166" s="27" t="s">
        <v>884</v>
      </c>
      <c r="EA166" s="27" t="str">
        <f>VLOOKUP($A166,'[1]Raw Data'!$A$3:$FB$285,125,FALSE)</f>
        <v/>
      </c>
      <c r="EB166" s="27" t="s">
        <v>341</v>
      </c>
      <c r="EC166" s="27" t="str">
        <f>VLOOKUP($A166,'[1]Raw Data'!$A$3:$FB$285,126,FALSE)</f>
        <v/>
      </c>
      <c r="ED166" t="s">
        <v>478</v>
      </c>
      <c r="EE166" s="27" t="str">
        <f>VLOOKUP($A166,'[1]Raw Data'!$A$3:$FB$285,127,FALSE)</f>
        <v/>
      </c>
      <c r="EF166" s="27" t="s">
        <v>343</v>
      </c>
      <c r="EG166" s="27" t="str">
        <f>VLOOKUP($A166,'[1]Raw Data'!$A$3:$FB$285,128,FALSE)</f>
        <v/>
      </c>
      <c r="EH166" t="s">
        <v>344</v>
      </c>
      <c r="EI166" s="27" t="str">
        <f>VLOOKUP($A166,'[1]Raw Data'!$A$3:$FB$285,129,FALSE)</f>
        <v/>
      </c>
      <c r="EM166" s="27" t="str">
        <f>VLOOKUP($A166,'[1]Raw Data'!$A$3:$FB$285,130,FALSE)</f>
        <v/>
      </c>
      <c r="EN166" s="27" t="str">
        <f>VLOOKUP($A166,'[1]Raw Data'!$A$3:$FB$285,131,FALSE)</f>
        <v/>
      </c>
      <c r="EO166" s="27" t="str">
        <f>VLOOKUP($A166,'[1]Raw Data'!$A$3:$FB$285,132,FALSE)</f>
        <v/>
      </c>
      <c r="EP166" s="27" t="str">
        <f>VLOOKUP($A166,'[1]Raw Data'!$A$3:$FB$285,133,FALSE)</f>
        <v/>
      </c>
      <c r="EQ166" s="27" t="str">
        <f>VLOOKUP($A166,'[1]Raw Data'!$A$3:$FB$285,134,FALSE)</f>
        <v/>
      </c>
      <c r="ER166" s="27" t="str">
        <f>VLOOKUP($A166,'[1]Raw Data'!$A$3:$FB$285,135,FALSE)</f>
        <v/>
      </c>
      <c r="ES166" s="27" t="str">
        <f>VLOOKUP($A166,'[1]Raw Data'!$A$3:$FB$285,136,FALSE)</f>
        <v/>
      </c>
      <c r="ET166" s="27" t="str">
        <f>VLOOKUP($A166,'[1]Raw Data'!$A$3:$FB$285,137,FALSE)</f>
        <v/>
      </c>
      <c r="EU166" s="27" t="str">
        <f>VLOOKUP($A166,'[1]Raw Data'!$A$3:$FB$285,138,FALSE)</f>
        <v/>
      </c>
      <c r="EV166" s="27" t="str">
        <f>VLOOKUP($A166,'[1]Raw Data'!$A$3:$FB$285,139,FALSE)</f>
        <v/>
      </c>
      <c r="EW166" s="38">
        <f>VLOOKUP($A166,[1]Training!$A$2:$I$284,5,FALSE)</f>
        <v>178.53846153846155</v>
      </c>
      <c r="EX166" s="31">
        <f>VLOOKUP($A166,[1]Training!$A$2:$I$284,6,FALSE)</f>
        <v>0</v>
      </c>
      <c r="EY166" s="38">
        <f>VLOOKUP($A166,[1]Training!$A$2:$I$284,8,FALSE)</f>
        <v>204.95084476364278</v>
      </c>
      <c r="EZ166" s="31">
        <f>VLOOKUP($A166,[1]Training!$A$2:$I$284,9,FALSE)</f>
        <v>0</v>
      </c>
      <c r="FA166" s="27">
        <v>1</v>
      </c>
      <c r="FB166" s="27">
        <v>2</v>
      </c>
      <c r="FC166" s="27" t="str">
        <f>VLOOKUP($A166,'[1]Raw Data'!$A$3:$FB$285,148,FALSE)</f>
        <v>Hari Thalang</v>
      </c>
      <c r="FD166" s="27" t="s">
        <v>1307</v>
      </c>
      <c r="FE166" s="27" t="str">
        <f>VLOOKUP($A166,'[1]Raw Data'!$A$3:$FB$285,149,FALSE)</f>
        <v>District Coordinator</v>
      </c>
      <c r="FF166" s="27" t="s">
        <v>885</v>
      </c>
      <c r="FG166" s="27">
        <f>VLOOKUP($A166,'[1]Raw Data'!$A$3:$FB$285,150,FALSE)</f>
        <v>9851224505</v>
      </c>
      <c r="FH166" s="27" t="str">
        <f>VLOOKUP($A166,'[1]Raw Data'!$A$3:$FB$285,156,FALSE)</f>
        <v xml:space="preserve">Kausal Bist </v>
      </c>
      <c r="FI166" s="27" t="s">
        <v>1308</v>
      </c>
      <c r="FJ166" s="27" t="str">
        <f>VLOOKUP($A166,'[1]Raw Data'!$A$3:$FB$285,157,FALSE)</f>
        <v>District Technical Officer</v>
      </c>
      <c r="FK166" s="27" t="s">
        <v>886</v>
      </c>
      <c r="FL166" s="27">
        <f>VLOOKUP($A166,'[1]Raw Data'!$A$3:$FB$285,158,FALSE)</f>
        <v>9849787273</v>
      </c>
      <c r="FM166" s="27" t="str">
        <f>VLOOKUP($A166,'[1]Raw Data'!$A$3:$FB$285,152,FALSE)</f>
        <v>Nirmal Nepali</v>
      </c>
      <c r="FN166" s="27" t="s">
        <v>1309</v>
      </c>
      <c r="FO166" s="27" t="str">
        <f>VLOOKUP($A166,'[1]Raw Data'!$A$3:$FB$285,153,FALSE)</f>
        <v>DIstrict Information Management Officer</v>
      </c>
      <c r="FP166" s="27" t="s">
        <v>887</v>
      </c>
      <c r="FQ166" s="27">
        <f>VLOOKUP($A166,'[1]Raw Data'!$A$3:$FB$285,154,FALSE)</f>
        <v>9848500348</v>
      </c>
    </row>
    <row r="167" spans="1:173" ht="24" x14ac:dyDescent="0.45">
      <c r="A167" s="27">
        <v>31009</v>
      </c>
      <c r="B167" s="36" t="str">
        <f ca="1">IFERROR(__xludf.DUMMYFUNCTION("""COMPUTED_VALUE"""),"Raksirang Gaunpalika")</f>
        <v>Raksirang Gaunpalika</v>
      </c>
      <c r="C167" s="37" t="str">
        <f>VLOOKUP(A167,'[1]Palika and District in Nepali '!$D$1:$F$283,3,FALSE)</f>
        <v>राक्सिरांङ गाउँपालिका</v>
      </c>
      <c r="D167" s="36" t="str">
        <f ca="1">IFERROR(__xludf.DUMMYFUNCTION("""COMPUTED_VALUE"""),"Makwanpur")</f>
        <v>Makwanpur</v>
      </c>
      <c r="E167" s="36"/>
      <c r="F167" s="27">
        <f>VLOOKUP(A167,'[1]Raw Data'!$A$3:$FB$285,4,FALSE)</f>
        <v>3274</v>
      </c>
      <c r="G167" s="27">
        <f>VLOOKUP(A167,'[1]Raw Data'!$A$3:$FB$285,5,FALSE)</f>
        <v>1817</v>
      </c>
      <c r="H167" s="27">
        <f>VLOOKUP(A167,'[1]Raw Data'!$A$3:$FB$285,6,FALSE)</f>
        <v>5091</v>
      </c>
      <c r="I167" s="27">
        <f>VLOOKUP($A167,'[1]Raw Data'!$A$3:$FB$285,8,FALSE)</f>
        <v>0.84</v>
      </c>
      <c r="J167" s="27">
        <f>VLOOKUP($A167,'[1]Raw Data'!$A$3:$FB$285,9,FALSE)</f>
        <v>1.32</v>
      </c>
      <c r="K167" s="27">
        <f>VLOOKUP($A167,'[1]Raw Data'!$A$3:$FB$285,11,FALSE)</f>
        <v>72.5</v>
      </c>
      <c r="L167" s="27">
        <f>VLOOKUP($A167,'[1]Raw Data'!$A$3:$FB$285,12,FALSE)</f>
        <v>44.19</v>
      </c>
      <c r="M167" s="27">
        <f>VLOOKUP($A167,'[1]Raw Data'!$A$3:$FB$285,14,FALSE)</f>
        <v>2.36</v>
      </c>
      <c r="N167" s="27">
        <f>VLOOKUP($A167,'[1]Raw Data'!$A$3:$FB$285,15,FALSE)</f>
        <v>26.6</v>
      </c>
      <c r="O167" s="27">
        <f>VLOOKUP($A167,'[1]Raw Data'!$A$3:$FB$285,17,FALSE)</f>
        <v>0.12</v>
      </c>
      <c r="P167" s="27">
        <f>VLOOKUP($A167,'[1]Raw Data'!$A$3:$FB$285,18,FALSE)</f>
        <v>2.36</v>
      </c>
      <c r="Q167" s="27">
        <f>VLOOKUP($A167,'[1]Raw Data'!$A$3:$FB$285,20,FALSE)</f>
        <v>0.02</v>
      </c>
      <c r="R167" s="27">
        <f>VLOOKUP($A167,'[1]Raw Data'!$A$3:$FB$285,21,FALSE)</f>
        <v>5.22</v>
      </c>
      <c r="S167" s="27">
        <f>VLOOKUP($A167,'[1]Raw Data'!$A$3:$FB$285,23,FALSE)</f>
        <v>0</v>
      </c>
      <c r="T167" s="27">
        <f>VLOOKUP($A167,'[1]Raw Data'!$A$3:$FB$285,24,FALSE)</f>
        <v>0</v>
      </c>
      <c r="U167" s="27">
        <f>VLOOKUP($A167,'[1]Raw Data'!$A$3:$FB$285,26,FALSE)</f>
        <v>23.85</v>
      </c>
      <c r="V167" s="27">
        <f>VLOOKUP($A167,'[1]Raw Data'!$A$3:$FB$285,27,FALSE)</f>
        <v>16.91</v>
      </c>
      <c r="W167" s="27">
        <f>VLOOKUP($A167,'[1]Raw Data'!$A$3:$FB$285,29,FALSE)</f>
        <v>0</v>
      </c>
      <c r="X167" s="27">
        <f>VLOOKUP($A167,'[1]Raw Data'!$A$3:$FB$285,30,FALSE)</f>
        <v>0</v>
      </c>
      <c r="Y167" s="27">
        <f>VLOOKUP($A167,'[1]Raw Data'!$A$3:$FB$285,32,FALSE)</f>
        <v>0.12</v>
      </c>
      <c r="Z167" s="27">
        <f>VLOOKUP($A167,'[1]Raw Data'!$A$3:$FB$285,33,FALSE)</f>
        <v>0.22</v>
      </c>
      <c r="AA167" s="27">
        <f>VLOOKUP($A167,'[1]Raw Data'!$A$3:$FB$285,35,FALSE)</f>
        <v>0.1</v>
      </c>
      <c r="AB167" s="27">
        <f>VLOOKUP($A167,'[1]Raw Data'!$A$3:$FB$285,36,FALSE)</f>
        <v>2.85</v>
      </c>
      <c r="AC167" s="27">
        <f>VLOOKUP($A167,'[1]Raw Data'!$A$3:$FB$285,38,FALSE)</f>
        <v>0.1</v>
      </c>
      <c r="AD167" s="27">
        <f>VLOOKUP($A167,'[1]Raw Data'!$A$3:$FB$285,39,FALSE)</f>
        <v>0.32</v>
      </c>
      <c r="AE167" s="27">
        <f>VLOOKUP($A167,'[1]Raw Data'!$A$3:$FB$285,41,FALSE)</f>
        <v>0</v>
      </c>
      <c r="AF167" s="27">
        <f>VLOOKUP($A167,'[1]Raw Data'!$A$3:$FB$285,42,FALSE)</f>
        <v>0</v>
      </c>
      <c r="AG167" s="27">
        <f>VLOOKUP($A167,'[1]Raw Data'!$A$3:$FB$285,44,FALSE)</f>
        <v>0</v>
      </c>
      <c r="AH167" s="27">
        <f>VLOOKUP($A167,'[1]Raw Data'!$A$3:$FB$285,45,FALSE)</f>
        <v>0</v>
      </c>
      <c r="AI167" s="27">
        <f>VLOOKUP($A167,'[1]Raw Data'!$A$3:$FB$285,46,FALSE)</f>
        <v>1710</v>
      </c>
      <c r="AJ167" s="27">
        <f>VLOOKUP($A167,'[1]Raw Data'!$A$3:$FB$285,47,FALSE)</f>
        <v>1588</v>
      </c>
      <c r="AK167" s="27">
        <f>VLOOKUP($A167,'[1]Raw Data'!$A$3:$FB$285,48,FALSE)</f>
        <v>1517</v>
      </c>
      <c r="AL167" s="27">
        <f>VLOOKUP($A167,'[1]Raw Data'!$A$3:$FB$285,49,FALSE)</f>
        <v>1403</v>
      </c>
      <c r="AM167" s="27">
        <f>VLOOKUP($A167,'[1]Raw Data'!$A$3:$FB$285,50,FALSE)</f>
        <v>932</v>
      </c>
      <c r="AN167" s="27">
        <f>VLOOKUP($A167,'[1]Raw Data'!$A$3:$FB$285,51,FALSE)</f>
        <v>1469</v>
      </c>
      <c r="AO167" s="27">
        <f>VLOOKUP($A167,'[1]Raw Data'!$A$3:$FB$285,52,FALSE)</f>
        <v>750</v>
      </c>
      <c r="AP167" s="27">
        <f>VLOOKUP($A167,'[1]Raw Data'!$A$3:$FB$285,53,FALSE)</f>
        <v>537</v>
      </c>
      <c r="AQ167" s="27">
        <f>VLOOKUP($A167,'[1]Raw Data'!$A$3:$FB$285,54,FALSE)</f>
        <v>358</v>
      </c>
      <c r="AR167" s="27">
        <f>VLOOKUP($A167,'[1]Raw Data'!$A$3:$FB$285,55,FALSE)</f>
        <v>358</v>
      </c>
      <c r="AS167" s="27">
        <f>VLOOKUP($A167,'[1]Raw Data'!$A$3:$FB$285,56,FALSE)</f>
        <v>0</v>
      </c>
      <c r="AT167" s="27">
        <f>VLOOKUP($A167,'[1]Raw Data'!$A$3:$FB$285,57,FALSE)</f>
        <v>1224</v>
      </c>
      <c r="AU167" s="27">
        <f>VLOOKUP($A167,'[1]Raw Data'!$A$3:$FB$285,58,FALSE)</f>
        <v>1224</v>
      </c>
      <c r="AV167" s="27">
        <f>VLOOKUP($A167,'[1]Raw Data'!$A$3:$FB$285,59,FALSE)</f>
        <v>54</v>
      </c>
      <c r="AW167" s="27">
        <f>VLOOKUP($A167,'[1]Raw Data'!$A$3:$FB$285,60,FALSE)</f>
        <v>54</v>
      </c>
      <c r="AX167" s="27" t="str">
        <f>VLOOKUP(A167,'[1]PO''s List'!A165:E447,4,FALSE)</f>
        <v>NRCS(Livelihood,Employment ,Health,Shelter,Health),PIN(Shelter)</v>
      </c>
      <c r="AZ167" s="27" t="str">
        <f>VLOOKUP(A167,'[1]PO''s List'!$A$3:$E$285,5,FALSE)</f>
        <v>BNMT(Health),EBMF(Education),HELVETAS(Shelter)</v>
      </c>
      <c r="BB167" s="27">
        <f>VLOOKUP($A167,'[1]Raw Data'!$A$3:$FB$285,63,FALSE)</f>
        <v>25080</v>
      </c>
      <c r="BC167" s="27" t="str">
        <f>VLOOKUP($A167,'[1]Raw Data'!$A$3:$FB$285,64,FALSE)</f>
        <v/>
      </c>
      <c r="BD167" s="27" t="str">
        <f t="shared" si="18"/>
        <v/>
      </c>
      <c r="BE167" s="27" t="str">
        <f>VLOOKUP($A167,'[1]Raw Data'!$A$3:$FB$285,65,FALSE)</f>
        <v/>
      </c>
      <c r="BF167" s="27">
        <f>VLOOKUP($A167,'[1]Raw Data'!$A$3:$FB$285,66,FALSE)</f>
        <v>26173</v>
      </c>
      <c r="BG167" s="27" t="str">
        <f>VLOOKUP($A167,'[1]Raw Data'!$A$3:$FB$285,67,FALSE)</f>
        <v/>
      </c>
      <c r="BH167" s="27" t="str">
        <f t="shared" si="19"/>
        <v/>
      </c>
      <c r="BI167" s="27" t="str">
        <f>VLOOKUP($A167,'[1]Raw Data'!$A$3:$FB$285,68,FALSE)</f>
        <v/>
      </c>
      <c r="BJ167" s="27">
        <f>VLOOKUP($A167,'[1]Raw Data'!$A$3:$FB$285,69,FALSE)</f>
        <v>2682</v>
      </c>
      <c r="BK167" s="27" t="str">
        <f>VLOOKUP($A167,'[1]Raw Data'!$A$3:$FB$285,70,FALSE)</f>
        <v/>
      </c>
      <c r="BL167" s="27" t="str">
        <f t="shared" si="20"/>
        <v/>
      </c>
      <c r="BM167" s="27" t="str">
        <f>VLOOKUP($A167,'[1]Raw Data'!$A$3:$FB$285,71,FALSE)</f>
        <v/>
      </c>
      <c r="BN167" s="27">
        <f>VLOOKUP($A167,'[1]Raw Data'!$A$3:$FB$285,72,FALSE)</f>
        <v>3110</v>
      </c>
      <c r="BO167" s="27" t="str">
        <f>VLOOKUP($A167,'[1]Raw Data'!$A$3:$FB$285,73,FALSE)</f>
        <v/>
      </c>
      <c r="BP167" s="27" t="str">
        <f t="shared" si="21"/>
        <v/>
      </c>
      <c r="BQ167" s="27" t="str">
        <f>VLOOKUP($A167,'[1]Raw Data'!$A$3:$FB$285,74,FALSE)</f>
        <v/>
      </c>
      <c r="BR167" s="27" t="str">
        <f>VLOOKUP($A167,'[1]Raw Data'!$A$3:$FB$285,75,FALSE)</f>
        <v/>
      </c>
      <c r="BS167" s="27" t="str">
        <f>VLOOKUP($A167,'[1]Raw Data'!$A$3:$FB$285,76,FALSE)</f>
        <v/>
      </c>
      <c r="BT167" s="27" t="str">
        <f t="shared" si="22"/>
        <v/>
      </c>
      <c r="BU167" s="27" t="str">
        <f>VLOOKUP($A167,'[1]Raw Data'!$A$3:$FB$285,77,FALSE)</f>
        <v/>
      </c>
      <c r="BV167" s="27">
        <f>VLOOKUP($A167,'[1]Raw Data'!$A$3:$FB$285,78,FALSE)</f>
        <v>86558</v>
      </c>
      <c r="BW167" s="27" t="str">
        <f>VLOOKUP($A167,'[1]Raw Data'!$A$3:$FB$285,79,FALSE)</f>
        <v/>
      </c>
      <c r="BX167" s="27" t="str">
        <f t="shared" si="23"/>
        <v/>
      </c>
      <c r="BY167" s="27" t="str">
        <f>VLOOKUP($A167,'[1]Raw Data'!$A$3:$FB$285,80,FALSE)</f>
        <v/>
      </c>
      <c r="BZ167" s="27">
        <f>VLOOKUP($A167,'[1]Raw Data'!$A$3:$FB$285,81,FALSE)</f>
        <v>271079</v>
      </c>
      <c r="CA167" s="27" t="str">
        <f>VLOOKUP($A167,'[1]Raw Data'!$A$3:$FB$285,82,FALSE)</f>
        <v/>
      </c>
      <c r="CB167" s="27" t="str">
        <f t="shared" si="24"/>
        <v/>
      </c>
      <c r="CC167" s="27" t="str">
        <f>VLOOKUP($A167,'[1]Raw Data'!$A$3:$FB$285,83,FALSE)</f>
        <v/>
      </c>
      <c r="CD167" s="27">
        <f>VLOOKUP($A167,'[1]Raw Data'!$A$3:$FB$285,84,FALSE)</f>
        <v>3538</v>
      </c>
      <c r="CE167" s="27" t="str">
        <f>VLOOKUP($A167,'[1]Raw Data'!$A$3:$FB$285,85,FALSE)</f>
        <v/>
      </c>
      <c r="CF167" s="27" t="str">
        <f t="shared" si="25"/>
        <v/>
      </c>
      <c r="CG167" s="27" t="str">
        <f>VLOOKUP($A167,'[1]Raw Data'!$A$3:$FB$285,86,FALSE)</f>
        <v/>
      </c>
      <c r="CH167" s="27">
        <f>VLOOKUP($A167,'[1]Raw Data'!$A$3:$FB$285,87,FALSE)</f>
        <v>201044</v>
      </c>
      <c r="CI167" s="27" t="str">
        <f>VLOOKUP($A167,'[1]Raw Data'!$A$3:$FB$285,88,FALSE)</f>
        <v/>
      </c>
      <c r="CJ167" s="27" t="str">
        <f t="shared" si="26"/>
        <v/>
      </c>
      <c r="CK167" s="27" t="str">
        <f>VLOOKUP($A167,'[1]Raw Data'!$A$3:$FB$285,89,FALSE)</f>
        <v/>
      </c>
      <c r="CL167" s="27" t="str">
        <f>VLOOKUP($A167,'[1]Raw Data'!$A$3:$FB$285,91,FALSE)</f>
        <v/>
      </c>
      <c r="CM167" s="27" t="str">
        <f>VLOOKUP($A167,'[1]Raw Data'!$A$3:$FB$285,93,FALSE)</f>
        <v/>
      </c>
      <c r="CN167" s="27" t="str">
        <f>VLOOKUP($A167,'[1]Raw Data'!$A$3:$FB$285,94,FALSE)</f>
        <v/>
      </c>
      <c r="CO167" s="27" t="str">
        <f>VLOOKUP($A167,'[1]Raw Data'!$A$3:$FB$285,95,FALSE)</f>
        <v/>
      </c>
      <c r="CP167" s="27" t="str">
        <f>VLOOKUP($A167,'[1]Raw Data'!$A$3:$FB$285,96,FALSE)</f>
        <v/>
      </c>
      <c r="CQ167" s="27" t="str">
        <f>VLOOKUP($A167,'[1]Raw Data'!$A$3:$FB$285,97,FALSE)</f>
        <v/>
      </c>
      <c r="CR167" s="27" t="str">
        <f>VLOOKUP($A167,'[1]Raw Data'!$A$3:$FB$285,98,FALSE)</f>
        <v/>
      </c>
      <c r="CS167" s="27" t="str">
        <f>VLOOKUP($A167,'[1]Raw Data'!$A$3:$FB$285,99,FALSE)</f>
        <v/>
      </c>
      <c r="CT167" s="27" t="str">
        <f>VLOOKUP($A167,'[1]Raw Data'!$A$3:$FB$285,101,FALSE)</f>
        <v>Raj Kumar Malla</v>
      </c>
      <c r="CU167" s="27" t="s">
        <v>1338</v>
      </c>
      <c r="CV167" s="27" t="str">
        <f>VLOOKUP($A167,'[1]Raw Data'!$A$3:$FB$285,102,FALSE)</f>
        <v xml:space="preserve">Chairman </v>
      </c>
      <c r="CW167" s="27" t="s">
        <v>878</v>
      </c>
      <c r="CX167" s="27">
        <f>VLOOKUP($A167,'[1]Raw Data'!$A$3:$FB$285,103,FALSE)</f>
        <v>9855069405</v>
      </c>
      <c r="CY167" s="27" t="str">
        <f>VLOOKUP($A167,'[1]Raw Data'!$A$3:$FB$285,105,FALSE)</f>
        <v>Nirmala Himdung</v>
      </c>
      <c r="CZ167" s="27" t="s">
        <v>1339</v>
      </c>
      <c r="DA167" s="27" t="str">
        <f>VLOOKUP($A167,'[1]Raw Data'!$A$3:$FB$285,106,FALSE)</f>
        <v>Deputy Chairman</v>
      </c>
      <c r="DB167" s="27" t="s">
        <v>879</v>
      </c>
      <c r="DC167" s="27">
        <f>VLOOKUP($A167,'[1]Raw Data'!$A$3:$FB$285,107,FALSE)</f>
        <v>9845599541</v>
      </c>
      <c r="DD167" s="27" t="str">
        <f>VLOOKUP($A167,'[1]Raw Data'!$A$3:$FB$285,109,FALSE)</f>
        <v>Ram Kumar Pudasaini</v>
      </c>
      <c r="DE167" s="27" t="s">
        <v>1340</v>
      </c>
      <c r="DF167" s="27" t="str">
        <f>VLOOKUP($A167,'[1]Raw Data'!$A$3:$FB$285,110,FALSE)</f>
        <v>Chief Adminstration Officer</v>
      </c>
      <c r="DG167" s="27" t="s">
        <v>880</v>
      </c>
      <c r="DH167" s="27">
        <f>VLOOKUP($A167,'[1]Raw Data'!$A$3:$FB$285,111,FALSE)</f>
        <v>9845502695</v>
      </c>
      <c r="DI167" s="27" t="str">
        <f>VLOOKUP($A167,'[1]Raw Data'!$A$3:$FB$285,121,FALSE)</f>
        <v>Er.Ram k.c.</v>
      </c>
      <c r="DJ167" s="27" t="s">
        <v>1341</v>
      </c>
      <c r="DK167" s="27" t="str">
        <f>VLOOKUP($A167,'[1]Raw Data'!$A$3:$FB$285,122,FALSE)</f>
        <v>Focal Person</v>
      </c>
      <c r="DL167" s="27" t="s">
        <v>881</v>
      </c>
      <c r="DM167" s="27">
        <f>VLOOKUP($A167,'[1]Raw Data'!$A$3:$FB$285,123,FALSE)</f>
        <v>9846606447</v>
      </c>
      <c r="DN167" s="27" t="str">
        <f>VLOOKUP($A167,'[1]Raw Data'!$A$3:$FB$285,113,FALSE)</f>
        <v xml:space="preserve">Som Raj Timilsena </v>
      </c>
      <c r="DO167" s="27" t="s">
        <v>1305</v>
      </c>
      <c r="DP167" s="27" t="str">
        <f>VLOOKUP($A167,'[1]Raw Data'!$A$3:$FB$285,114,FALSE)</f>
        <v>NRA Chief-District</v>
      </c>
      <c r="DQ167" s="27" t="s">
        <v>882</v>
      </c>
      <c r="DR167" s="27">
        <f>VLOOKUP($A167,'[1]Raw Data'!$A$3:$FB$285,115,FALSE)</f>
        <v>9855030632</v>
      </c>
      <c r="DS167" s="27" t="str">
        <f>VLOOKUP($A167,'[1]Raw Data'!$A$3:$FB$285,117,FALSE)</f>
        <v xml:space="preserve">Sudip Achrya </v>
      </c>
      <c r="DT167" s="27" t="s">
        <v>1306</v>
      </c>
      <c r="DU167" s="27" t="str">
        <f>VLOOKUP($A167,'[1]Raw Data'!$A$3:$FB$285,118,FALSE)</f>
        <v>DUDBC.DLPIU Chief</v>
      </c>
      <c r="DV167" s="27" t="s">
        <v>883</v>
      </c>
      <c r="DW167" s="27">
        <f>VLOOKUP($A167,'[1]Raw Data'!$A$3:$FB$285,119,FALSE)</f>
        <v>9851153206</v>
      </c>
      <c r="DX167" s="27" t="s">
        <v>339</v>
      </c>
      <c r="DY167" s="27" t="str">
        <f>VLOOKUP($A167,'[1]Raw Data'!$A$3:$FB$285,124,FALSE)</f>
        <v/>
      </c>
      <c r="DZ167" s="27" t="s">
        <v>884</v>
      </c>
      <c r="EA167" s="27" t="str">
        <f>VLOOKUP($A167,'[1]Raw Data'!$A$3:$FB$285,125,FALSE)</f>
        <v/>
      </c>
      <c r="EB167" s="27" t="s">
        <v>341</v>
      </c>
      <c r="EC167" s="27" t="str">
        <f>VLOOKUP($A167,'[1]Raw Data'!$A$3:$FB$285,126,FALSE)</f>
        <v/>
      </c>
      <c r="ED167" t="s">
        <v>478</v>
      </c>
      <c r="EE167" s="27" t="str">
        <f>VLOOKUP($A167,'[1]Raw Data'!$A$3:$FB$285,127,FALSE)</f>
        <v/>
      </c>
      <c r="EF167" s="27" t="s">
        <v>343</v>
      </c>
      <c r="EG167" s="27" t="str">
        <f>VLOOKUP($A167,'[1]Raw Data'!$A$3:$FB$285,128,FALSE)</f>
        <v/>
      </c>
      <c r="EH167" t="s">
        <v>344</v>
      </c>
      <c r="EI167" s="27" t="str">
        <f>VLOOKUP($A167,'[1]Raw Data'!$A$3:$FB$285,129,FALSE)</f>
        <v/>
      </c>
      <c r="EM167" s="27" t="str">
        <f>VLOOKUP($A167,'[1]Raw Data'!$A$3:$FB$285,130,FALSE)</f>
        <v/>
      </c>
      <c r="EN167" s="27" t="str">
        <f>VLOOKUP($A167,'[1]Raw Data'!$A$3:$FB$285,131,FALSE)</f>
        <v/>
      </c>
      <c r="EO167" s="27" t="str">
        <f>VLOOKUP($A167,'[1]Raw Data'!$A$3:$FB$285,132,FALSE)</f>
        <v/>
      </c>
      <c r="EP167" s="27" t="str">
        <f>VLOOKUP($A167,'[1]Raw Data'!$A$3:$FB$285,133,FALSE)</f>
        <v/>
      </c>
      <c r="EQ167" s="27" t="str">
        <f>VLOOKUP($A167,'[1]Raw Data'!$A$3:$FB$285,134,FALSE)</f>
        <v/>
      </c>
      <c r="ER167" s="27" t="str">
        <f>VLOOKUP($A167,'[1]Raw Data'!$A$3:$FB$285,135,FALSE)</f>
        <v/>
      </c>
      <c r="ES167" s="27" t="str">
        <f>VLOOKUP($A167,'[1]Raw Data'!$A$3:$FB$285,136,FALSE)</f>
        <v/>
      </c>
      <c r="ET167" s="27" t="str">
        <f>VLOOKUP($A167,'[1]Raw Data'!$A$3:$FB$285,137,FALSE)</f>
        <v/>
      </c>
      <c r="EU167" s="27" t="str">
        <f>VLOOKUP($A167,'[1]Raw Data'!$A$3:$FB$285,138,FALSE)</f>
        <v/>
      </c>
      <c r="EV167" s="27" t="str">
        <f>VLOOKUP($A167,'[1]Raw Data'!$A$3:$FB$285,139,FALSE)</f>
        <v/>
      </c>
      <c r="EW167" s="38">
        <f>VLOOKUP($A167,[1]Training!$A$2:$I$284,5,FALSE)</f>
        <v>131.53846153846155</v>
      </c>
      <c r="EX167" s="31">
        <f>VLOOKUP($A167,[1]Training!$A$2:$I$284,6,FALSE)</f>
        <v>30</v>
      </c>
      <c r="EY167" s="38">
        <f>VLOOKUP($A167,[1]Training!$A$2:$I$284,8,FALSE)</f>
        <v>150.99782186377817</v>
      </c>
      <c r="EZ167" s="31">
        <f>VLOOKUP($A167,[1]Training!$A$2:$I$284,9,FALSE)</f>
        <v>0</v>
      </c>
      <c r="FA167" s="27">
        <v>1</v>
      </c>
      <c r="FB167" s="27">
        <v>2</v>
      </c>
      <c r="FC167" s="27" t="str">
        <f>VLOOKUP($A167,'[1]Raw Data'!$A$3:$FB$285,148,FALSE)</f>
        <v>Hari Thalang</v>
      </c>
      <c r="FD167" s="27" t="s">
        <v>1307</v>
      </c>
      <c r="FE167" s="27" t="str">
        <f>VLOOKUP($A167,'[1]Raw Data'!$A$3:$FB$285,149,FALSE)</f>
        <v>District Coordinator</v>
      </c>
      <c r="FF167" s="27" t="s">
        <v>885</v>
      </c>
      <c r="FG167" s="27">
        <f>VLOOKUP($A167,'[1]Raw Data'!$A$3:$FB$285,150,FALSE)</f>
        <v>9851224505</v>
      </c>
      <c r="FH167" s="27" t="str">
        <f>VLOOKUP($A167,'[1]Raw Data'!$A$3:$FB$285,156,FALSE)</f>
        <v xml:space="preserve">Kausal Bist </v>
      </c>
      <c r="FI167" s="27" t="s">
        <v>1308</v>
      </c>
      <c r="FJ167" s="27" t="str">
        <f>VLOOKUP($A167,'[1]Raw Data'!$A$3:$FB$285,157,FALSE)</f>
        <v>District Technical Officer</v>
      </c>
      <c r="FK167" s="27" t="s">
        <v>886</v>
      </c>
      <c r="FL167" s="27">
        <f>VLOOKUP($A167,'[1]Raw Data'!$A$3:$FB$285,158,FALSE)</f>
        <v>9849787273</v>
      </c>
      <c r="FM167" s="27" t="str">
        <f>VLOOKUP($A167,'[1]Raw Data'!$A$3:$FB$285,152,FALSE)</f>
        <v>Nirmal Nepali</v>
      </c>
      <c r="FN167" s="27" t="s">
        <v>1309</v>
      </c>
      <c r="FO167" s="27" t="str">
        <f>VLOOKUP($A167,'[1]Raw Data'!$A$3:$FB$285,153,FALSE)</f>
        <v>DIstrict Information Management Officer</v>
      </c>
      <c r="FP167" s="27" t="s">
        <v>887</v>
      </c>
      <c r="FQ167" s="27">
        <f>VLOOKUP($A167,'[1]Raw Data'!$A$3:$FB$285,154,FALSE)</f>
        <v>9848500348</v>
      </c>
    </row>
    <row r="168" spans="1:173" ht="24" x14ac:dyDescent="0.45">
      <c r="A168" s="27">
        <v>31010</v>
      </c>
      <c r="B168" s="36" t="str">
        <f ca="1">IFERROR(__xludf.DUMMYFUNCTION("""COMPUTED_VALUE"""),"Thaha Nagarpalika")</f>
        <v>Thaha Nagarpalika</v>
      </c>
      <c r="C168" s="37" t="str">
        <f>VLOOKUP(A168,'[1]Palika and District in Nepali '!$D$1:$F$283,3,FALSE)</f>
        <v>थाहा नगरपालिका</v>
      </c>
      <c r="D168" s="36" t="str">
        <f ca="1">IFERROR(__xludf.DUMMYFUNCTION("""COMPUTED_VALUE"""),"Makwanpur")</f>
        <v>Makwanpur</v>
      </c>
      <c r="E168" s="36"/>
      <c r="F168" s="27">
        <f>VLOOKUP(A168,'[1]Raw Data'!$A$3:$FB$285,4,FALSE)</f>
        <v>3003</v>
      </c>
      <c r="G168" s="27">
        <f>VLOOKUP(A168,'[1]Raw Data'!$A$3:$FB$285,5,FALSE)</f>
        <v>7516</v>
      </c>
      <c r="H168" s="27">
        <f>VLOOKUP(A168,'[1]Raw Data'!$A$3:$FB$285,6,FALSE)</f>
        <v>10519</v>
      </c>
      <c r="I168" s="27">
        <f>VLOOKUP($A168,'[1]Raw Data'!$A$3:$FB$285,8,FALSE)</f>
        <v>1.2</v>
      </c>
      <c r="J168" s="27">
        <f>VLOOKUP($A168,'[1]Raw Data'!$A$3:$FB$285,9,FALSE)</f>
        <v>1.32</v>
      </c>
      <c r="K168" s="27">
        <f>VLOOKUP($A168,'[1]Raw Data'!$A$3:$FB$285,11,FALSE)</f>
        <v>80.59</v>
      </c>
      <c r="L168" s="27">
        <f>VLOOKUP($A168,'[1]Raw Data'!$A$3:$FB$285,12,FALSE)</f>
        <v>44.19</v>
      </c>
      <c r="M168" s="27">
        <f>VLOOKUP($A168,'[1]Raw Data'!$A$3:$FB$285,14,FALSE)</f>
        <v>4.59</v>
      </c>
      <c r="N168" s="27">
        <f>VLOOKUP($A168,'[1]Raw Data'!$A$3:$FB$285,15,FALSE)</f>
        <v>26.6</v>
      </c>
      <c r="O168" s="27">
        <f>VLOOKUP($A168,'[1]Raw Data'!$A$3:$FB$285,17,FALSE)</f>
        <v>0.52</v>
      </c>
      <c r="P168" s="27">
        <f>VLOOKUP($A168,'[1]Raw Data'!$A$3:$FB$285,18,FALSE)</f>
        <v>2.36</v>
      </c>
      <c r="Q168" s="27">
        <f>VLOOKUP($A168,'[1]Raw Data'!$A$3:$FB$285,20,FALSE)</f>
        <v>1.71</v>
      </c>
      <c r="R168" s="27">
        <f>VLOOKUP($A168,'[1]Raw Data'!$A$3:$FB$285,21,FALSE)</f>
        <v>5.22</v>
      </c>
      <c r="S168" s="27">
        <f>VLOOKUP($A168,'[1]Raw Data'!$A$3:$FB$285,23,FALSE)</f>
        <v>0</v>
      </c>
      <c r="T168" s="27">
        <f>VLOOKUP($A168,'[1]Raw Data'!$A$3:$FB$285,24,FALSE)</f>
        <v>0</v>
      </c>
      <c r="U168" s="27">
        <f>VLOOKUP($A168,'[1]Raw Data'!$A$3:$FB$285,26,FALSE)</f>
        <v>0.65</v>
      </c>
      <c r="V168" s="27">
        <f>VLOOKUP($A168,'[1]Raw Data'!$A$3:$FB$285,27,FALSE)</f>
        <v>16.91</v>
      </c>
      <c r="W168" s="27">
        <f>VLOOKUP($A168,'[1]Raw Data'!$A$3:$FB$285,29,FALSE)</f>
        <v>0</v>
      </c>
      <c r="X168" s="27">
        <f>VLOOKUP($A168,'[1]Raw Data'!$A$3:$FB$285,30,FALSE)</f>
        <v>0</v>
      </c>
      <c r="Y168" s="27">
        <f>VLOOKUP($A168,'[1]Raw Data'!$A$3:$FB$285,32,FALSE)</f>
        <v>0.17</v>
      </c>
      <c r="Z168" s="27">
        <f>VLOOKUP($A168,'[1]Raw Data'!$A$3:$FB$285,33,FALSE)</f>
        <v>0.22</v>
      </c>
      <c r="AA168" s="27">
        <f>VLOOKUP($A168,'[1]Raw Data'!$A$3:$FB$285,35,FALSE)</f>
        <v>10.54</v>
      </c>
      <c r="AB168" s="27">
        <f>VLOOKUP($A168,'[1]Raw Data'!$A$3:$FB$285,36,FALSE)</f>
        <v>2.85</v>
      </c>
      <c r="AC168" s="27">
        <f>VLOOKUP($A168,'[1]Raw Data'!$A$3:$FB$285,38,FALSE)</f>
        <v>0.02</v>
      </c>
      <c r="AD168" s="27">
        <f>VLOOKUP($A168,'[1]Raw Data'!$A$3:$FB$285,39,FALSE)</f>
        <v>0.32</v>
      </c>
      <c r="AE168" s="27">
        <f>VLOOKUP($A168,'[1]Raw Data'!$A$3:$FB$285,41,FALSE)</f>
        <v>0</v>
      </c>
      <c r="AF168" s="27">
        <f>VLOOKUP($A168,'[1]Raw Data'!$A$3:$FB$285,42,FALSE)</f>
        <v>0</v>
      </c>
      <c r="AG168" s="27">
        <f>VLOOKUP($A168,'[1]Raw Data'!$A$3:$FB$285,44,FALSE)</f>
        <v>0</v>
      </c>
      <c r="AH168" s="27">
        <f>VLOOKUP($A168,'[1]Raw Data'!$A$3:$FB$285,45,FALSE)</f>
        <v>0</v>
      </c>
      <c r="AI168" s="27">
        <f>VLOOKUP($A168,'[1]Raw Data'!$A$3:$FB$285,46,FALSE)</f>
        <v>6727</v>
      </c>
      <c r="AJ168" s="27">
        <f>VLOOKUP($A168,'[1]Raw Data'!$A$3:$FB$285,47,FALSE)</f>
        <v>6017</v>
      </c>
      <c r="AK168" s="27">
        <f>VLOOKUP($A168,'[1]Raw Data'!$A$3:$FB$285,48,FALSE)</f>
        <v>6007</v>
      </c>
      <c r="AL168" s="27">
        <f>VLOOKUP($A168,'[1]Raw Data'!$A$3:$FB$285,49,FALSE)</f>
        <v>4725</v>
      </c>
      <c r="AM168" s="27">
        <f>VLOOKUP($A168,'[1]Raw Data'!$A$3:$FB$285,50,FALSE)</f>
        <v>2933</v>
      </c>
      <c r="AN168" s="27">
        <f>VLOOKUP($A168,'[1]Raw Data'!$A$3:$FB$285,51,FALSE)</f>
        <v>4634</v>
      </c>
      <c r="AO168" s="27">
        <f>VLOOKUP($A168,'[1]Raw Data'!$A$3:$FB$285,52,FALSE)</f>
        <v>2650</v>
      </c>
      <c r="AP168" s="27">
        <f>VLOOKUP($A168,'[1]Raw Data'!$A$3:$FB$285,53,FALSE)</f>
        <v>1178</v>
      </c>
      <c r="AQ168" s="27">
        <f>VLOOKUP($A168,'[1]Raw Data'!$A$3:$FB$285,54,FALSE)</f>
        <v>612</v>
      </c>
      <c r="AR168" s="27">
        <f>VLOOKUP($A168,'[1]Raw Data'!$A$3:$FB$285,55,FALSE)</f>
        <v>612</v>
      </c>
      <c r="AS168" s="27">
        <f>VLOOKUP($A168,'[1]Raw Data'!$A$3:$FB$285,56,FALSE)</f>
        <v>0</v>
      </c>
      <c r="AT168" s="27">
        <f>VLOOKUP($A168,'[1]Raw Data'!$A$3:$FB$285,57,FALSE)</f>
        <v>2658</v>
      </c>
      <c r="AU168" s="27">
        <f>VLOOKUP($A168,'[1]Raw Data'!$A$3:$FB$285,58,FALSE)</f>
        <v>2658</v>
      </c>
      <c r="AV168" s="27">
        <f>VLOOKUP($A168,'[1]Raw Data'!$A$3:$FB$285,59,FALSE)</f>
        <v>267</v>
      </c>
      <c r="AW168" s="27">
        <f>VLOOKUP($A168,'[1]Raw Data'!$A$3:$FB$285,60,FALSE)</f>
        <v>238</v>
      </c>
      <c r="AX168" s="27" t="str">
        <f>VLOOKUP(A168,'[1]PO''s List'!A166:E448,4,FALSE)</f>
        <v>BC(Shelter)</v>
      </c>
      <c r="AZ168" s="27" t="str">
        <f>VLOOKUP(A168,'[1]PO''s List'!$A$3:$E$285,5,FALSE)</f>
        <v/>
      </c>
      <c r="BB168" s="27">
        <f>VLOOKUP($A168,'[1]Raw Data'!$A$3:$FB$285,63,FALSE)</f>
        <v>110482</v>
      </c>
      <c r="BC168" s="27" t="str">
        <f>VLOOKUP($A168,'[1]Raw Data'!$A$3:$FB$285,64,FALSE)</f>
        <v/>
      </c>
      <c r="BD168" s="27" t="str">
        <f t="shared" si="18"/>
        <v/>
      </c>
      <c r="BE168" s="27" t="str">
        <f>VLOOKUP($A168,'[1]Raw Data'!$A$3:$FB$285,65,FALSE)</f>
        <v/>
      </c>
      <c r="BF168" s="27">
        <f>VLOOKUP($A168,'[1]Raw Data'!$A$3:$FB$285,66,FALSE)</f>
        <v>110939</v>
      </c>
      <c r="BG168" s="27" t="str">
        <f>VLOOKUP($A168,'[1]Raw Data'!$A$3:$FB$285,67,FALSE)</f>
        <v/>
      </c>
      <c r="BH168" s="27" t="str">
        <f t="shared" si="19"/>
        <v/>
      </c>
      <c r="BI168" s="27" t="str">
        <f>VLOOKUP($A168,'[1]Raw Data'!$A$3:$FB$285,68,FALSE)</f>
        <v/>
      </c>
      <c r="BJ168" s="27">
        <f>VLOOKUP($A168,'[1]Raw Data'!$A$3:$FB$285,69,FALSE)</f>
        <v>11778</v>
      </c>
      <c r="BK168" s="27" t="str">
        <f>VLOOKUP($A168,'[1]Raw Data'!$A$3:$FB$285,70,FALSE)</f>
        <v/>
      </c>
      <c r="BL168" s="27" t="str">
        <f t="shared" si="20"/>
        <v/>
      </c>
      <c r="BM168" s="27" t="str">
        <f>VLOOKUP($A168,'[1]Raw Data'!$A$3:$FB$285,71,FALSE)</f>
        <v/>
      </c>
      <c r="BN168" s="27">
        <f>VLOOKUP($A168,'[1]Raw Data'!$A$3:$FB$285,72,FALSE)</f>
        <v>13521</v>
      </c>
      <c r="BO168" s="27" t="str">
        <f>VLOOKUP($A168,'[1]Raw Data'!$A$3:$FB$285,73,FALSE)</f>
        <v/>
      </c>
      <c r="BP168" s="27" t="str">
        <f t="shared" si="21"/>
        <v/>
      </c>
      <c r="BQ168" s="27" t="str">
        <f>VLOOKUP($A168,'[1]Raw Data'!$A$3:$FB$285,74,FALSE)</f>
        <v/>
      </c>
      <c r="BR168" s="27" t="str">
        <f>VLOOKUP($A168,'[1]Raw Data'!$A$3:$FB$285,75,FALSE)</f>
        <v/>
      </c>
      <c r="BS168" s="27" t="str">
        <f>VLOOKUP($A168,'[1]Raw Data'!$A$3:$FB$285,76,FALSE)</f>
        <v/>
      </c>
      <c r="BT168" s="27" t="str">
        <f t="shared" si="22"/>
        <v/>
      </c>
      <c r="BU168" s="27" t="str">
        <f>VLOOKUP($A168,'[1]Raw Data'!$A$3:$FB$285,77,FALSE)</f>
        <v/>
      </c>
      <c r="BV168" s="27">
        <f>VLOOKUP($A168,'[1]Raw Data'!$A$3:$FB$285,78,FALSE)</f>
        <v>370327</v>
      </c>
      <c r="BW168" s="27" t="str">
        <f>VLOOKUP($A168,'[1]Raw Data'!$A$3:$FB$285,79,FALSE)</f>
        <v/>
      </c>
      <c r="BX168" s="27" t="str">
        <f t="shared" si="23"/>
        <v/>
      </c>
      <c r="BY168" s="27" t="str">
        <f>VLOOKUP($A168,'[1]Raw Data'!$A$3:$FB$285,80,FALSE)</f>
        <v/>
      </c>
      <c r="BZ168" s="27">
        <f>VLOOKUP($A168,'[1]Raw Data'!$A$3:$FB$285,81,FALSE)</f>
        <v>1204388</v>
      </c>
      <c r="CA168" s="27" t="str">
        <f>VLOOKUP($A168,'[1]Raw Data'!$A$3:$FB$285,82,FALSE)</f>
        <v/>
      </c>
      <c r="CB168" s="27" t="str">
        <f t="shared" si="24"/>
        <v/>
      </c>
      <c r="CC168" s="27" t="str">
        <f>VLOOKUP($A168,'[1]Raw Data'!$A$3:$FB$285,83,FALSE)</f>
        <v/>
      </c>
      <c r="CD168" s="27">
        <f>VLOOKUP($A168,'[1]Raw Data'!$A$3:$FB$285,84,FALSE)</f>
        <v>15145</v>
      </c>
      <c r="CE168" s="27" t="str">
        <f>VLOOKUP($A168,'[1]Raw Data'!$A$3:$FB$285,85,FALSE)</f>
        <v/>
      </c>
      <c r="CF168" s="27" t="str">
        <f t="shared" si="25"/>
        <v/>
      </c>
      <c r="CG168" s="27" t="str">
        <f>VLOOKUP($A168,'[1]Raw Data'!$A$3:$FB$285,86,FALSE)</f>
        <v/>
      </c>
      <c r="CH168" s="27">
        <f>VLOOKUP($A168,'[1]Raw Data'!$A$3:$FB$285,87,FALSE)</f>
        <v>1627026</v>
      </c>
      <c r="CI168" s="27" t="str">
        <f>VLOOKUP($A168,'[1]Raw Data'!$A$3:$FB$285,88,FALSE)</f>
        <v/>
      </c>
      <c r="CJ168" s="27" t="str">
        <f t="shared" si="26"/>
        <v/>
      </c>
      <c r="CK168" s="27" t="str">
        <f>VLOOKUP($A168,'[1]Raw Data'!$A$3:$FB$285,89,FALSE)</f>
        <v/>
      </c>
      <c r="CL168" s="27" t="str">
        <f>VLOOKUP($A168,'[1]Raw Data'!$A$3:$FB$285,91,FALSE)</f>
        <v/>
      </c>
      <c r="CM168" s="27" t="str">
        <f>VLOOKUP($A168,'[1]Raw Data'!$A$3:$FB$285,93,FALSE)</f>
        <v/>
      </c>
      <c r="CN168" s="27" t="str">
        <f>VLOOKUP($A168,'[1]Raw Data'!$A$3:$FB$285,94,FALSE)</f>
        <v/>
      </c>
      <c r="CO168" s="27" t="str">
        <f>VLOOKUP($A168,'[1]Raw Data'!$A$3:$FB$285,95,FALSE)</f>
        <v/>
      </c>
      <c r="CP168" s="27" t="str">
        <f>VLOOKUP($A168,'[1]Raw Data'!$A$3:$FB$285,96,FALSE)</f>
        <v/>
      </c>
      <c r="CQ168" s="27" t="str">
        <f>VLOOKUP($A168,'[1]Raw Data'!$A$3:$FB$285,97,FALSE)</f>
        <v/>
      </c>
      <c r="CR168" s="27" t="str">
        <f>VLOOKUP($A168,'[1]Raw Data'!$A$3:$FB$285,98,FALSE)</f>
        <v/>
      </c>
      <c r="CS168" s="27" t="str">
        <f>VLOOKUP($A168,'[1]Raw Data'!$A$3:$FB$285,99,FALSE)</f>
        <v/>
      </c>
      <c r="CT168" s="27" t="str">
        <f>VLOOKUP($A168,'[1]Raw Data'!$A$3:$FB$285,101,FALSE)</f>
        <v>LawSher Bist</v>
      </c>
      <c r="CU168" s="27" t="s">
        <v>1342</v>
      </c>
      <c r="CV168" s="27" t="str">
        <f>VLOOKUP($A168,'[1]Raw Data'!$A$3:$FB$285,102,FALSE)</f>
        <v>Mayor</v>
      </c>
      <c r="CW168" s="27" t="s">
        <v>834</v>
      </c>
      <c r="CX168" s="27">
        <f>VLOOKUP($A168,'[1]Raw Data'!$A$3:$FB$285,103,FALSE)</f>
        <v>9855067692</v>
      </c>
      <c r="CY168" s="27" t="str">
        <f>VLOOKUP($A168,'[1]Raw Data'!$A$3:$FB$285,105,FALSE)</f>
        <v>Khadka Bdr. Gopali</v>
      </c>
      <c r="CZ168" s="27" t="s">
        <v>1343</v>
      </c>
      <c r="DA168" s="27" t="str">
        <f>VLOOKUP($A168,'[1]Raw Data'!$A$3:$FB$285,106,FALSE)</f>
        <v>Deputy Mayor</v>
      </c>
      <c r="DB168" s="27" t="s">
        <v>888</v>
      </c>
      <c r="DC168" s="27">
        <f>VLOOKUP($A168,'[1]Raw Data'!$A$3:$FB$285,107,FALSE)</f>
        <v>9855067045</v>
      </c>
      <c r="DD168" s="27" t="str">
        <f>VLOOKUP($A168,'[1]Raw Data'!$A$3:$FB$285,109,FALSE)</f>
        <v>Hari Lal Pun</v>
      </c>
      <c r="DE168" s="27" t="s">
        <v>1344</v>
      </c>
      <c r="DF168" s="27" t="str">
        <f>VLOOKUP($A168,'[1]Raw Data'!$A$3:$FB$285,110,FALSE)</f>
        <v>Chief Adminstration Officer</v>
      </c>
      <c r="DG168" s="27" t="s">
        <v>880</v>
      </c>
      <c r="DH168" s="27">
        <f>VLOOKUP($A168,'[1]Raw Data'!$A$3:$FB$285,111,FALSE)</f>
        <v>9855012111</v>
      </c>
      <c r="DI168" s="27" t="str">
        <f>VLOOKUP($A168,'[1]Raw Data'!$A$3:$FB$285,121,FALSE)</f>
        <v>Er.Laxman dhakal</v>
      </c>
      <c r="DJ168" s="27" t="s">
        <v>1345</v>
      </c>
      <c r="DK168" s="27" t="str">
        <f>VLOOKUP($A168,'[1]Raw Data'!$A$3:$FB$285,122,FALSE)</f>
        <v>Focal Person</v>
      </c>
      <c r="DL168" s="27" t="s">
        <v>881</v>
      </c>
      <c r="DM168" s="27">
        <f>VLOOKUP($A168,'[1]Raw Data'!$A$3:$FB$285,123,FALSE)</f>
        <v>9845615021</v>
      </c>
      <c r="DN168" s="27" t="str">
        <f>VLOOKUP($A168,'[1]Raw Data'!$A$3:$FB$285,113,FALSE)</f>
        <v xml:space="preserve">Som Raj Timilsena </v>
      </c>
      <c r="DO168" s="27" t="s">
        <v>1305</v>
      </c>
      <c r="DP168" s="27" t="str">
        <f>VLOOKUP($A168,'[1]Raw Data'!$A$3:$FB$285,114,FALSE)</f>
        <v>NRA Chief-District</v>
      </c>
      <c r="DQ168" s="27" t="s">
        <v>882</v>
      </c>
      <c r="DR168" s="27">
        <f>VLOOKUP($A168,'[1]Raw Data'!$A$3:$FB$285,115,FALSE)</f>
        <v>9855030632</v>
      </c>
      <c r="DS168" s="27" t="str">
        <f>VLOOKUP($A168,'[1]Raw Data'!$A$3:$FB$285,117,FALSE)</f>
        <v xml:space="preserve">Sudip Achrya </v>
      </c>
      <c r="DT168" s="27" t="s">
        <v>1306</v>
      </c>
      <c r="DU168" s="27" t="str">
        <f>VLOOKUP($A168,'[1]Raw Data'!$A$3:$FB$285,118,FALSE)</f>
        <v>DUDBC.DLPIU Chief</v>
      </c>
      <c r="DV168" s="27" t="s">
        <v>883</v>
      </c>
      <c r="DW168" s="27">
        <f>VLOOKUP($A168,'[1]Raw Data'!$A$3:$FB$285,119,FALSE)</f>
        <v>9851153206</v>
      </c>
      <c r="DX168" s="27" t="s">
        <v>339</v>
      </c>
      <c r="DY168" s="27" t="str">
        <f>VLOOKUP($A168,'[1]Raw Data'!$A$3:$FB$285,124,FALSE)</f>
        <v/>
      </c>
      <c r="DZ168" s="27" t="s">
        <v>884</v>
      </c>
      <c r="EA168" s="27" t="str">
        <f>VLOOKUP($A168,'[1]Raw Data'!$A$3:$FB$285,125,FALSE)</f>
        <v/>
      </c>
      <c r="EB168" s="27" t="s">
        <v>341</v>
      </c>
      <c r="EC168" s="27" t="str">
        <f>VLOOKUP($A168,'[1]Raw Data'!$A$3:$FB$285,126,FALSE)</f>
        <v/>
      </c>
      <c r="ED168" t="s">
        <v>478</v>
      </c>
      <c r="EE168" s="27" t="str">
        <f>VLOOKUP($A168,'[1]Raw Data'!$A$3:$FB$285,127,FALSE)</f>
        <v/>
      </c>
      <c r="EF168" s="27" t="s">
        <v>343</v>
      </c>
      <c r="EG168" s="27" t="str">
        <f>VLOOKUP($A168,'[1]Raw Data'!$A$3:$FB$285,128,FALSE)</f>
        <v/>
      </c>
      <c r="EH168" t="s">
        <v>344</v>
      </c>
      <c r="EI168" s="27" t="str">
        <f>VLOOKUP($A168,'[1]Raw Data'!$A$3:$FB$285,129,FALSE)</f>
        <v/>
      </c>
      <c r="EM168" s="27" t="str">
        <f>VLOOKUP($A168,'[1]Raw Data'!$A$3:$FB$285,130,FALSE)</f>
        <v/>
      </c>
      <c r="EN168" s="27" t="str">
        <f>VLOOKUP($A168,'[1]Raw Data'!$A$3:$FB$285,131,FALSE)</f>
        <v/>
      </c>
      <c r="EO168" s="27" t="str">
        <f>VLOOKUP($A168,'[1]Raw Data'!$A$3:$FB$285,132,FALSE)</f>
        <v/>
      </c>
      <c r="EP168" s="27" t="str">
        <f>VLOOKUP($A168,'[1]Raw Data'!$A$3:$FB$285,133,FALSE)</f>
        <v/>
      </c>
      <c r="EQ168" s="27" t="str">
        <f>VLOOKUP($A168,'[1]Raw Data'!$A$3:$FB$285,134,FALSE)</f>
        <v/>
      </c>
      <c r="ER168" s="27" t="str">
        <f>VLOOKUP($A168,'[1]Raw Data'!$A$3:$FB$285,135,FALSE)</f>
        <v/>
      </c>
      <c r="ES168" s="27" t="str">
        <f>VLOOKUP($A168,'[1]Raw Data'!$A$3:$FB$285,136,FALSE)</f>
        <v/>
      </c>
      <c r="ET168" s="27" t="str">
        <f>VLOOKUP($A168,'[1]Raw Data'!$A$3:$FB$285,137,FALSE)</f>
        <v/>
      </c>
      <c r="EU168" s="27" t="str">
        <f>VLOOKUP($A168,'[1]Raw Data'!$A$3:$FB$285,138,FALSE)</f>
        <v/>
      </c>
      <c r="EV168" s="27" t="str">
        <f>VLOOKUP($A168,'[1]Raw Data'!$A$3:$FB$285,139,FALSE)</f>
        <v/>
      </c>
      <c r="EW168" s="38">
        <f>VLOOKUP($A168,[1]Training!$A$2:$I$284,5,FALSE)</f>
        <v>517.46153846153845</v>
      </c>
      <c r="EX168" s="31">
        <f>VLOOKUP($A168,[1]Training!$A$2:$I$284,6,FALSE)</f>
        <v>525</v>
      </c>
      <c r="EY168" s="38">
        <f>VLOOKUP($A168,[1]Training!$A$2:$I$284,8,FALSE)</f>
        <v>594.01306881733092</v>
      </c>
      <c r="EZ168" s="31">
        <f>VLOOKUP($A168,[1]Training!$A$2:$I$284,9,FALSE)</f>
        <v>0</v>
      </c>
      <c r="FA168" s="27">
        <v>1</v>
      </c>
      <c r="FB168" s="27">
        <v>2</v>
      </c>
      <c r="FC168" s="27" t="str">
        <f>VLOOKUP($A168,'[1]Raw Data'!$A$3:$FB$285,148,FALSE)</f>
        <v>Hari Thalang</v>
      </c>
      <c r="FD168" s="27" t="s">
        <v>1307</v>
      </c>
      <c r="FE168" s="27" t="str">
        <f>VLOOKUP($A168,'[1]Raw Data'!$A$3:$FB$285,149,FALSE)</f>
        <v>District Coordinator</v>
      </c>
      <c r="FF168" s="27" t="s">
        <v>885</v>
      </c>
      <c r="FG168" s="27">
        <f>VLOOKUP($A168,'[1]Raw Data'!$A$3:$FB$285,150,FALSE)</f>
        <v>9851224505</v>
      </c>
      <c r="FH168" s="27" t="str">
        <f>VLOOKUP($A168,'[1]Raw Data'!$A$3:$FB$285,156,FALSE)</f>
        <v xml:space="preserve">Kausal Bist </v>
      </c>
      <c r="FI168" s="27" t="s">
        <v>1308</v>
      </c>
      <c r="FJ168" s="27" t="str">
        <f>VLOOKUP($A168,'[1]Raw Data'!$A$3:$FB$285,157,FALSE)</f>
        <v>District Technical Officer</v>
      </c>
      <c r="FK168" s="27" t="s">
        <v>886</v>
      </c>
      <c r="FL168" s="27">
        <f>VLOOKUP($A168,'[1]Raw Data'!$A$3:$FB$285,158,FALSE)</f>
        <v>9849787273</v>
      </c>
      <c r="FM168" s="27" t="str">
        <f>VLOOKUP($A168,'[1]Raw Data'!$A$3:$FB$285,152,FALSE)</f>
        <v>Nirmal Nepali</v>
      </c>
      <c r="FN168" s="27" t="s">
        <v>1309</v>
      </c>
      <c r="FO168" s="27" t="str">
        <f>VLOOKUP($A168,'[1]Raw Data'!$A$3:$FB$285,153,FALSE)</f>
        <v>DIstrict Information Management Officer</v>
      </c>
      <c r="FP168" s="27" t="s">
        <v>887</v>
      </c>
      <c r="FQ168" s="27">
        <f>VLOOKUP($A168,'[1]Raw Data'!$A$3:$FB$285,154,FALSE)</f>
        <v>9848500348</v>
      </c>
    </row>
    <row r="169" spans="1:173" ht="24" x14ac:dyDescent="0.45">
      <c r="A169" s="27">
        <v>35001</v>
      </c>
      <c r="B169" s="36" t="str">
        <f ca="1">IFERROR(__xludf.DUMMYFUNCTION("""COMPUTED_VALUE"""),"Bharatpur Mahanagarpalika")</f>
        <v>Bharatpur Mahanagarpalika</v>
      </c>
      <c r="C169" s="37" t="str">
        <f>VLOOKUP(A169,'[1]Palika and District in Nepali '!$D$1:$F$283,3,FALSE)</f>
        <v>भरतपुर महानगरपालिका</v>
      </c>
      <c r="D169" s="36" t="str">
        <f ca="1">IFERROR(__xludf.DUMMYFUNCTION("""COMPUTED_VALUE"""),"Chitwan")</f>
        <v>Chitwan</v>
      </c>
      <c r="E169" s="36"/>
      <c r="F169" s="27">
        <f>VLOOKUP(A169,'[1]Raw Data'!$A$3:$FB$285,4,FALSE)</f>
        <v>1309</v>
      </c>
      <c r="G169" s="27">
        <f>VLOOKUP(A169,'[1]Raw Data'!$A$3:$FB$285,5,FALSE)</f>
        <v>778</v>
      </c>
      <c r="H169" s="27">
        <f>VLOOKUP(A169,'[1]Raw Data'!$A$3:$FB$285,6,FALSE)</f>
        <v>2087</v>
      </c>
      <c r="I169" s="27">
        <f>VLOOKUP($A169,'[1]Raw Data'!$A$3:$FB$285,8,FALSE)</f>
        <v>1.73</v>
      </c>
      <c r="J169" s="27">
        <f>VLOOKUP($A169,'[1]Raw Data'!$A$3:$FB$285,9,FALSE)</f>
        <v>1.59</v>
      </c>
      <c r="K169" s="27">
        <f>VLOOKUP($A169,'[1]Raw Data'!$A$3:$FB$285,11,FALSE)</f>
        <v>21.72</v>
      </c>
      <c r="L169" s="27">
        <f>VLOOKUP($A169,'[1]Raw Data'!$A$3:$FB$285,12,FALSE)</f>
        <v>35.369999999999997</v>
      </c>
      <c r="M169" s="27">
        <f>VLOOKUP($A169,'[1]Raw Data'!$A$3:$FB$285,14,FALSE)</f>
        <v>64.09</v>
      </c>
      <c r="N169" s="27">
        <f>VLOOKUP($A169,'[1]Raw Data'!$A$3:$FB$285,15,FALSE)</f>
        <v>37.97</v>
      </c>
      <c r="O169" s="27">
        <f>VLOOKUP($A169,'[1]Raw Data'!$A$3:$FB$285,17,FALSE)</f>
        <v>5.03</v>
      </c>
      <c r="P169" s="27">
        <f>VLOOKUP($A169,'[1]Raw Data'!$A$3:$FB$285,18,FALSE)</f>
        <v>13.49</v>
      </c>
      <c r="Q169" s="27">
        <f>VLOOKUP($A169,'[1]Raw Data'!$A$3:$FB$285,20,FALSE)</f>
        <v>4.3099999999999996</v>
      </c>
      <c r="R169" s="27">
        <f>VLOOKUP($A169,'[1]Raw Data'!$A$3:$FB$285,21,FALSE)</f>
        <v>6.16</v>
      </c>
      <c r="S169" s="27">
        <f>VLOOKUP($A169,'[1]Raw Data'!$A$3:$FB$285,23,FALSE)</f>
        <v>0</v>
      </c>
      <c r="T169" s="27">
        <f>VLOOKUP($A169,'[1]Raw Data'!$A$3:$FB$285,24,FALSE)</f>
        <v>0</v>
      </c>
      <c r="U169" s="27">
        <f>VLOOKUP($A169,'[1]Raw Data'!$A$3:$FB$285,26,FALSE)</f>
        <v>0.62</v>
      </c>
      <c r="V169" s="27">
        <f>VLOOKUP($A169,'[1]Raw Data'!$A$3:$FB$285,27,FALSE)</f>
        <v>2.7</v>
      </c>
      <c r="W169" s="27">
        <f>VLOOKUP($A169,'[1]Raw Data'!$A$3:$FB$285,29,FALSE)</f>
        <v>0</v>
      </c>
      <c r="X169" s="27">
        <f>VLOOKUP($A169,'[1]Raw Data'!$A$3:$FB$285,30,FALSE)</f>
        <v>0</v>
      </c>
      <c r="Y169" s="27">
        <f>VLOOKUP($A169,'[1]Raw Data'!$A$3:$FB$285,32,FALSE)</f>
        <v>0</v>
      </c>
      <c r="Z169" s="27">
        <f>VLOOKUP($A169,'[1]Raw Data'!$A$3:$FB$285,33,FALSE)</f>
        <v>0.27</v>
      </c>
      <c r="AA169" s="27">
        <f>VLOOKUP($A169,'[1]Raw Data'!$A$3:$FB$285,35,FALSE)</f>
        <v>2.35</v>
      </c>
      <c r="AB169" s="27">
        <f>VLOOKUP($A169,'[1]Raw Data'!$A$3:$FB$285,36,FALSE)</f>
        <v>2.0499999999999998</v>
      </c>
      <c r="AC169" s="27">
        <f>VLOOKUP($A169,'[1]Raw Data'!$A$3:$FB$285,38,FALSE)</f>
        <v>0.14000000000000001</v>
      </c>
      <c r="AD169" s="27">
        <f>VLOOKUP($A169,'[1]Raw Data'!$A$3:$FB$285,39,FALSE)</f>
        <v>0.41</v>
      </c>
      <c r="AE169" s="27">
        <f>VLOOKUP($A169,'[1]Raw Data'!$A$3:$FB$285,41,FALSE)</f>
        <v>0</v>
      </c>
      <c r="AF169" s="27">
        <f>VLOOKUP($A169,'[1]Raw Data'!$A$3:$FB$285,42,FALSE)</f>
        <v>0</v>
      </c>
      <c r="AG169" s="27">
        <f>VLOOKUP($A169,'[1]Raw Data'!$A$3:$FB$285,44,FALSE)</f>
        <v>0</v>
      </c>
      <c r="AH169" s="27">
        <f>VLOOKUP($A169,'[1]Raw Data'!$A$3:$FB$285,45,FALSE)</f>
        <v>0</v>
      </c>
      <c r="AI169" s="27">
        <f>VLOOKUP($A169,'[1]Raw Data'!$A$3:$FB$285,46,FALSE)</f>
        <v>710</v>
      </c>
      <c r="AJ169" s="27">
        <f>VLOOKUP($A169,'[1]Raw Data'!$A$3:$FB$285,47,FALSE)</f>
        <v>655</v>
      </c>
      <c r="AK169" s="27">
        <f>VLOOKUP($A169,'[1]Raw Data'!$A$3:$FB$285,48,FALSE)</f>
        <v>655</v>
      </c>
      <c r="AL169" s="27">
        <f>VLOOKUP($A169,'[1]Raw Data'!$A$3:$FB$285,49,FALSE)</f>
        <v>156</v>
      </c>
      <c r="AM169" s="27">
        <f>VLOOKUP($A169,'[1]Raw Data'!$A$3:$FB$285,50,FALSE)</f>
        <v>61</v>
      </c>
      <c r="AN169" s="27">
        <f>VLOOKUP($A169,'[1]Raw Data'!$A$3:$FB$285,51,FALSE)</f>
        <v>0</v>
      </c>
      <c r="AO169" s="27">
        <f>VLOOKUP($A169,'[1]Raw Data'!$A$3:$FB$285,52,FALSE)</f>
        <v>0</v>
      </c>
      <c r="AP169" s="27">
        <f>VLOOKUP($A169,'[1]Raw Data'!$A$3:$FB$285,53,FALSE)</f>
        <v>38</v>
      </c>
      <c r="AQ169" s="27">
        <f>VLOOKUP($A169,'[1]Raw Data'!$A$3:$FB$285,54,FALSE)</f>
        <v>9</v>
      </c>
      <c r="AR169" s="27">
        <f>VLOOKUP($A169,'[1]Raw Data'!$A$3:$FB$285,55,FALSE)</f>
        <v>9</v>
      </c>
      <c r="AS169" s="27">
        <f>VLOOKUP($A169,'[1]Raw Data'!$A$3:$FB$285,56,FALSE)</f>
        <v>0</v>
      </c>
      <c r="AT169" s="27">
        <f>VLOOKUP($A169,'[1]Raw Data'!$A$3:$FB$285,57,FALSE)</f>
        <v>324</v>
      </c>
      <c r="AU169" s="27" t="str">
        <f>VLOOKUP($A169,'[1]Raw Data'!$A$3:$FB$285,58,FALSE)</f>
        <v/>
      </c>
      <c r="AV169" s="27" t="str">
        <f>VLOOKUP($A169,'[1]Raw Data'!$A$3:$FB$285,59,FALSE)</f>
        <v/>
      </c>
      <c r="AW169" s="27" t="str">
        <f>VLOOKUP($A169,'[1]Raw Data'!$A$3:$FB$285,60,FALSE)</f>
        <v/>
      </c>
      <c r="AX169" s="27" t="str">
        <f>VLOOKUP(A169,'[1]PO''s List'!A167:E449,4,FALSE)</f>
        <v/>
      </c>
      <c r="AZ169" s="27" t="str">
        <f>VLOOKUP(A169,'[1]PO''s List'!$A$3:$E$285,5,FALSE)</f>
        <v/>
      </c>
      <c r="BB169" s="27">
        <f>VLOOKUP($A169,'[1]Raw Data'!$A$3:$FB$285,63,FALSE)</f>
        <v>20960</v>
      </c>
      <c r="BC169" s="27" t="str">
        <f>VLOOKUP($A169,'[1]Raw Data'!$A$3:$FB$285,64,FALSE)</f>
        <v/>
      </c>
      <c r="BD169" s="27" t="str">
        <f t="shared" si="18"/>
        <v/>
      </c>
      <c r="BE169" s="27" t="str">
        <f>VLOOKUP($A169,'[1]Raw Data'!$A$3:$FB$285,65,FALSE)</f>
        <v/>
      </c>
      <c r="BF169" s="27">
        <f>VLOOKUP($A169,'[1]Raw Data'!$A$3:$FB$285,66,FALSE)</f>
        <v>7833</v>
      </c>
      <c r="BG169" s="27" t="str">
        <f>VLOOKUP($A169,'[1]Raw Data'!$A$3:$FB$285,67,FALSE)</f>
        <v/>
      </c>
      <c r="BH169" s="27" t="str">
        <f t="shared" si="19"/>
        <v/>
      </c>
      <c r="BI169" s="27" t="str">
        <f>VLOOKUP($A169,'[1]Raw Data'!$A$3:$FB$285,68,FALSE)</f>
        <v/>
      </c>
      <c r="BJ169" s="27">
        <f>VLOOKUP($A169,'[1]Raw Data'!$A$3:$FB$285,69,FALSE)</f>
        <v>2123</v>
      </c>
      <c r="BK169" s="27" t="str">
        <f>VLOOKUP($A169,'[1]Raw Data'!$A$3:$FB$285,70,FALSE)</f>
        <v/>
      </c>
      <c r="BL169" s="27" t="str">
        <f t="shared" si="20"/>
        <v/>
      </c>
      <c r="BM169" s="27" t="str">
        <f>VLOOKUP($A169,'[1]Raw Data'!$A$3:$FB$285,71,FALSE)</f>
        <v/>
      </c>
      <c r="BN169" s="27">
        <f>VLOOKUP($A169,'[1]Raw Data'!$A$3:$FB$285,72,FALSE)</f>
        <v>2025</v>
      </c>
      <c r="BO169" s="27" t="str">
        <f>VLOOKUP($A169,'[1]Raw Data'!$A$3:$FB$285,73,FALSE)</f>
        <v/>
      </c>
      <c r="BP169" s="27" t="str">
        <f t="shared" si="21"/>
        <v/>
      </c>
      <c r="BQ169" s="27" t="str">
        <f>VLOOKUP($A169,'[1]Raw Data'!$A$3:$FB$285,74,FALSE)</f>
        <v/>
      </c>
      <c r="BR169" s="27" t="str">
        <f>VLOOKUP($A169,'[1]Raw Data'!$A$3:$FB$285,75,FALSE)</f>
        <v/>
      </c>
      <c r="BS169" s="27" t="str">
        <f>VLOOKUP($A169,'[1]Raw Data'!$A$3:$FB$285,76,FALSE)</f>
        <v/>
      </c>
      <c r="BT169" s="27" t="str">
        <f t="shared" si="22"/>
        <v/>
      </c>
      <c r="BU169" s="27" t="str">
        <f>VLOOKUP($A169,'[1]Raw Data'!$A$3:$FB$285,77,FALSE)</f>
        <v/>
      </c>
      <c r="BV169" s="27">
        <f>VLOOKUP($A169,'[1]Raw Data'!$A$3:$FB$285,78,FALSE)</f>
        <v>37128</v>
      </c>
      <c r="BW169" s="27" t="str">
        <f>VLOOKUP($A169,'[1]Raw Data'!$A$3:$FB$285,79,FALSE)</f>
        <v/>
      </c>
      <c r="BX169" s="27" t="str">
        <f t="shared" si="23"/>
        <v/>
      </c>
      <c r="BY169" s="27" t="str">
        <f>VLOOKUP($A169,'[1]Raw Data'!$A$3:$FB$285,80,FALSE)</f>
        <v/>
      </c>
      <c r="BZ169" s="27">
        <f>VLOOKUP($A169,'[1]Raw Data'!$A$3:$FB$285,81,FALSE)</f>
        <v>259767</v>
      </c>
      <c r="CA169" s="27" t="str">
        <f>VLOOKUP($A169,'[1]Raw Data'!$A$3:$FB$285,82,FALSE)</f>
        <v/>
      </c>
      <c r="CB169" s="27" t="str">
        <f t="shared" si="24"/>
        <v/>
      </c>
      <c r="CC169" s="27" t="str">
        <f>VLOOKUP($A169,'[1]Raw Data'!$A$3:$FB$285,83,FALSE)</f>
        <v/>
      </c>
      <c r="CD169" s="27">
        <f>VLOOKUP($A169,'[1]Raw Data'!$A$3:$FB$285,84,FALSE)</f>
        <v>1550</v>
      </c>
      <c r="CE169" s="27" t="str">
        <f>VLOOKUP($A169,'[1]Raw Data'!$A$3:$FB$285,85,FALSE)</f>
        <v/>
      </c>
      <c r="CF169" s="27" t="str">
        <f t="shared" si="25"/>
        <v/>
      </c>
      <c r="CG169" s="27" t="str">
        <f>VLOOKUP($A169,'[1]Raw Data'!$A$3:$FB$285,86,FALSE)</f>
        <v/>
      </c>
      <c r="CH169" s="27">
        <f>VLOOKUP($A169,'[1]Raw Data'!$A$3:$FB$285,87,FALSE)</f>
        <v>2579667</v>
      </c>
      <c r="CI169" s="27" t="str">
        <f>VLOOKUP($A169,'[1]Raw Data'!$A$3:$FB$285,88,FALSE)</f>
        <v/>
      </c>
      <c r="CJ169" s="27" t="str">
        <f t="shared" si="26"/>
        <v/>
      </c>
      <c r="CK169" s="27" t="str">
        <f>VLOOKUP($A169,'[1]Raw Data'!$A$3:$FB$285,89,FALSE)</f>
        <v/>
      </c>
      <c r="CL169" s="27" t="str">
        <f>VLOOKUP($A169,'[1]Raw Data'!$A$3:$FB$285,91,FALSE)</f>
        <v/>
      </c>
      <c r="CM169" s="27" t="str">
        <f>VLOOKUP($A169,'[1]Raw Data'!$A$3:$FB$285,93,FALSE)</f>
        <v/>
      </c>
      <c r="CN169" s="27" t="str">
        <f>VLOOKUP($A169,'[1]Raw Data'!$A$3:$FB$285,94,FALSE)</f>
        <v/>
      </c>
      <c r="CO169" s="27" t="str">
        <f>VLOOKUP($A169,'[1]Raw Data'!$A$3:$FB$285,95,FALSE)</f>
        <v/>
      </c>
      <c r="CP169" s="27" t="str">
        <f>VLOOKUP($A169,'[1]Raw Data'!$A$3:$FB$285,96,FALSE)</f>
        <v/>
      </c>
      <c r="CQ169" s="27" t="str">
        <f>VLOOKUP($A169,'[1]Raw Data'!$A$3:$FB$285,97,FALSE)</f>
        <v/>
      </c>
      <c r="CR169" s="27" t="str">
        <f>VLOOKUP($A169,'[1]Raw Data'!$A$3:$FB$285,98,FALSE)</f>
        <v/>
      </c>
      <c r="CS169" s="27" t="str">
        <f>VLOOKUP($A169,'[1]Raw Data'!$A$3:$FB$285,99,FALSE)</f>
        <v/>
      </c>
      <c r="CT169" s="27" t="str">
        <f>VLOOKUP($A169,'[1]Raw Data'!$A$3:$FB$285,101,FALSE)</f>
        <v>Renu Dahal</v>
      </c>
      <c r="CU169" s="27" t="s">
        <v>1346</v>
      </c>
      <c r="CV169" s="27" t="str">
        <f>VLOOKUP($A169,'[1]Raw Data'!$A$3:$FB$285,102,FALSE)</f>
        <v>Mayor</v>
      </c>
      <c r="CW169" s="27" t="s">
        <v>834</v>
      </c>
      <c r="CX169" s="27">
        <f>VLOOKUP($A169,'[1]Raw Data'!$A$3:$FB$285,103,FALSE)</f>
        <v>9855116603</v>
      </c>
      <c r="CY169" s="27" t="str">
        <f>VLOOKUP($A169,'[1]Raw Data'!$A$3:$FB$285,105,FALSE)</f>
        <v>Parbati Shah</v>
      </c>
      <c r="CZ169" s="27" t="s">
        <v>1347</v>
      </c>
      <c r="DA169" s="27" t="str">
        <f>VLOOKUP($A169,'[1]Raw Data'!$A$3:$FB$285,106,FALSE)</f>
        <v>Deputy Mayor</v>
      </c>
      <c r="DB169" s="27" t="s">
        <v>888</v>
      </c>
      <c r="DC169" s="27">
        <f>VLOOKUP($A169,'[1]Raw Data'!$A$3:$FB$285,107,FALSE)</f>
        <v>9855116603</v>
      </c>
      <c r="DD169" s="27" t="str">
        <f>VLOOKUP($A169,'[1]Raw Data'!$A$3:$FB$285,109,FALSE)</f>
        <v>Netra Prasad Subedhi</v>
      </c>
      <c r="DE169" s="27" t="s">
        <v>1348</v>
      </c>
      <c r="DF169" s="27" t="str">
        <f>VLOOKUP($A169,'[1]Raw Data'!$A$3:$FB$285,110,FALSE)</f>
        <v>Chief Adminstration Officer</v>
      </c>
      <c r="DG169" s="27" t="s">
        <v>880</v>
      </c>
      <c r="DH169" s="27">
        <f>VLOOKUP($A169,'[1]Raw Data'!$A$3:$FB$285,111,FALSE)</f>
        <v>9855013111</v>
      </c>
      <c r="DI169" s="27" t="str">
        <f>VLOOKUP($A169,'[1]Raw Data'!$A$3:$FB$285,121,FALSE)</f>
        <v>Birat Ghimire</v>
      </c>
      <c r="DJ169" s="27" t="s">
        <v>1349</v>
      </c>
      <c r="DK169" s="27" t="str">
        <f>VLOOKUP($A169,'[1]Raw Data'!$A$3:$FB$285,122,FALSE)</f>
        <v>Focal Person</v>
      </c>
      <c r="DL169" s="27" t="s">
        <v>881</v>
      </c>
      <c r="DM169" s="27">
        <f>VLOOKUP($A169,'[1]Raw Data'!$A$3:$FB$285,123,FALSE)</f>
        <v>9855056035</v>
      </c>
      <c r="DN169" s="27" t="str">
        <f>VLOOKUP($A169,'[1]Raw Data'!$A$3:$FB$285,113,FALSE)</f>
        <v>Puskar Prasad Pokharel</v>
      </c>
      <c r="DO169" s="27" t="s">
        <v>1350</v>
      </c>
      <c r="DP169" s="27" t="str">
        <f>VLOOKUP($A169,'[1]Raw Data'!$A$3:$FB$285,114,FALSE)</f>
        <v>NRA Chief-District</v>
      </c>
      <c r="DQ169" s="27" t="s">
        <v>882</v>
      </c>
      <c r="DR169" s="27">
        <f>VLOOKUP($A169,'[1]Raw Data'!$A$3:$FB$285,115,FALSE)</f>
        <v>9855083820</v>
      </c>
      <c r="DS169" s="27" t="str">
        <f>VLOOKUP($A169,'[1]Raw Data'!$A$3:$FB$285,117,FALSE)</f>
        <v>Sudip Acharya</v>
      </c>
      <c r="DT169" s="27" t="s">
        <v>1306</v>
      </c>
      <c r="DU169" s="27" t="str">
        <f>VLOOKUP($A169,'[1]Raw Data'!$A$3:$FB$285,118,FALSE)</f>
        <v>DUDBC.DLPIU Chief</v>
      </c>
      <c r="DV169" s="27" t="s">
        <v>883</v>
      </c>
      <c r="DW169" s="27">
        <f>VLOOKUP($A169,'[1]Raw Data'!$A$3:$FB$285,119,FALSE)</f>
        <v>9855071284</v>
      </c>
      <c r="DX169" s="27" t="s">
        <v>339</v>
      </c>
      <c r="DY169" s="27" t="str">
        <f>VLOOKUP($A169,'[1]Raw Data'!$A$3:$FB$285,124,FALSE)</f>
        <v/>
      </c>
      <c r="DZ169" s="27" t="s">
        <v>884</v>
      </c>
      <c r="EA169" s="27" t="str">
        <f>VLOOKUP($A169,'[1]Raw Data'!$A$3:$FB$285,125,FALSE)</f>
        <v/>
      </c>
      <c r="EB169" s="27" t="s">
        <v>341</v>
      </c>
      <c r="EC169" s="27" t="str">
        <f>VLOOKUP($A169,'[1]Raw Data'!$A$3:$FB$285,126,FALSE)</f>
        <v/>
      </c>
      <c r="ED169" t="s">
        <v>478</v>
      </c>
      <c r="EE169" s="27" t="str">
        <f>VLOOKUP($A169,'[1]Raw Data'!$A$3:$FB$285,127,FALSE)</f>
        <v/>
      </c>
      <c r="EF169" s="27" t="s">
        <v>343</v>
      </c>
      <c r="EG169" s="27" t="str">
        <f>VLOOKUP($A169,'[1]Raw Data'!$A$3:$FB$285,128,FALSE)</f>
        <v/>
      </c>
      <c r="EH169" t="s">
        <v>344</v>
      </c>
      <c r="EI169" s="27" t="str">
        <f>VLOOKUP($A169,'[1]Raw Data'!$A$3:$FB$285,129,FALSE)</f>
        <v/>
      </c>
      <c r="EM169" s="27" t="str">
        <f>VLOOKUP($A169,'[1]Raw Data'!$A$3:$FB$285,130,FALSE)</f>
        <v/>
      </c>
      <c r="EN169" s="27" t="str">
        <f>VLOOKUP($A169,'[1]Raw Data'!$A$3:$FB$285,131,FALSE)</f>
        <v/>
      </c>
      <c r="EO169" s="27" t="str">
        <f>VLOOKUP($A169,'[1]Raw Data'!$A$3:$FB$285,132,FALSE)</f>
        <v/>
      </c>
      <c r="EP169" s="27" t="str">
        <f>VLOOKUP($A169,'[1]Raw Data'!$A$3:$FB$285,133,FALSE)</f>
        <v/>
      </c>
      <c r="EQ169" s="27" t="str">
        <f>VLOOKUP($A169,'[1]Raw Data'!$A$3:$FB$285,134,FALSE)</f>
        <v/>
      </c>
      <c r="ER169" s="27" t="str">
        <f>VLOOKUP($A169,'[1]Raw Data'!$A$3:$FB$285,135,FALSE)</f>
        <v/>
      </c>
      <c r="ES169" s="27" t="str">
        <f>VLOOKUP($A169,'[1]Raw Data'!$A$3:$FB$285,136,FALSE)</f>
        <v/>
      </c>
      <c r="ET169" s="27" t="str">
        <f>VLOOKUP($A169,'[1]Raw Data'!$A$3:$FB$285,137,FALSE)</f>
        <v/>
      </c>
      <c r="EU169" s="27" t="str">
        <f>VLOOKUP($A169,'[1]Raw Data'!$A$3:$FB$285,138,FALSE)</f>
        <v/>
      </c>
      <c r="EV169" s="27" t="str">
        <f>VLOOKUP($A169,'[1]Raw Data'!$A$3:$FB$285,139,FALSE)</f>
        <v/>
      </c>
      <c r="EW169" s="38">
        <f>VLOOKUP($A169,[1]Training!$A$2:$I$284,5,FALSE)</f>
        <v>54.692307692307693</v>
      </c>
      <c r="EX169" s="31">
        <f>VLOOKUP($A169,[1]Training!$A$2:$I$284,6,FALSE)</f>
        <v>0</v>
      </c>
      <c r="EY169" s="38">
        <f>VLOOKUP($A169,[1]Training!$A$2:$I$284,8,FALSE)</f>
        <v>64.63636363636364</v>
      </c>
      <c r="EZ169" s="31">
        <f>VLOOKUP($A169,[1]Training!$A$2:$I$284,9,FALSE)</f>
        <v>0</v>
      </c>
      <c r="FA169" s="27">
        <v>1</v>
      </c>
      <c r="FB169" s="27">
        <v>2</v>
      </c>
      <c r="FC169" s="27" t="str">
        <f>VLOOKUP($A169,'[1]Raw Data'!$A$3:$FB$285,148,FALSE)</f>
        <v xml:space="preserve">Hari Prasad Thalang </v>
      </c>
      <c r="FE169" s="27" t="str">
        <f>VLOOKUP($A169,'[1]Raw Data'!$A$3:$FB$285,149,FALSE)</f>
        <v>District Coordinator</v>
      </c>
      <c r="FF169" s="27" t="s">
        <v>885</v>
      </c>
      <c r="FG169" s="27">
        <f>VLOOKUP($A169,'[1]Raw Data'!$A$3:$FB$285,150,FALSE)</f>
        <v>9851224505</v>
      </c>
      <c r="FH169" s="27" t="str">
        <f>VLOOKUP($A169,'[1]Raw Data'!$A$3:$FB$285,156,FALSE)</f>
        <v>Kausal Bist</v>
      </c>
      <c r="FJ169" s="27" t="str">
        <f>VLOOKUP($A169,'[1]Raw Data'!$A$3:$FB$285,157,FALSE)</f>
        <v>District Technical Officer</v>
      </c>
      <c r="FK169" s="27" t="s">
        <v>886</v>
      </c>
      <c r="FL169" s="27">
        <f>VLOOKUP($A169,'[1]Raw Data'!$A$3:$FB$285,158,FALSE)</f>
        <v>9849787273</v>
      </c>
      <c r="FM169" s="27" t="str">
        <f>VLOOKUP($A169,'[1]Raw Data'!$A$3:$FB$285,152,FALSE)</f>
        <v xml:space="preserve">Nirmal Nepali </v>
      </c>
      <c r="FO169" s="27" t="str">
        <f>VLOOKUP($A169,'[1]Raw Data'!$A$3:$FB$285,153,FALSE)</f>
        <v>DIstrict Information Management Officer</v>
      </c>
      <c r="FP169" s="27" t="s">
        <v>887</v>
      </c>
      <c r="FQ169" s="27">
        <f>VLOOKUP($A169,'[1]Raw Data'!$A$3:$FB$285,154,FALSE)</f>
        <v>9848500348</v>
      </c>
    </row>
    <row r="170" spans="1:173" ht="24" x14ac:dyDescent="0.45">
      <c r="A170" s="27">
        <v>35002</v>
      </c>
      <c r="B170" s="36" t="str">
        <f ca="1">IFERROR(__xludf.DUMMYFUNCTION("""COMPUTED_VALUE"""),"Ichchhyakamana Gaunpalika")</f>
        <v>Ichchhyakamana Gaunpalika</v>
      </c>
      <c r="C170" s="37" t="str">
        <f>VLOOKUP(A170,'[1]Palika and District in Nepali '!$D$1:$F$283,3,FALSE)</f>
        <v>ईच्छाकामना गाउँपालिका</v>
      </c>
      <c r="D170" s="36" t="str">
        <f ca="1">IFERROR(__xludf.DUMMYFUNCTION("""COMPUTED_VALUE"""),"Chitwan")</f>
        <v>Chitwan</v>
      </c>
      <c r="E170" s="36"/>
      <c r="F170" s="27">
        <f>VLOOKUP(A170,'[1]Raw Data'!$A$3:$FB$285,4,FALSE)</f>
        <v>935</v>
      </c>
      <c r="G170" s="27">
        <f>VLOOKUP(A170,'[1]Raw Data'!$A$3:$FB$285,5,FALSE)</f>
        <v>2636</v>
      </c>
      <c r="H170" s="27">
        <f>VLOOKUP(A170,'[1]Raw Data'!$A$3:$FB$285,6,FALSE)</f>
        <v>3571</v>
      </c>
      <c r="I170" s="27">
        <f>VLOOKUP($A170,'[1]Raw Data'!$A$3:$FB$285,8,FALSE)</f>
        <v>1.1499999999999999</v>
      </c>
      <c r="J170" s="27">
        <f>VLOOKUP($A170,'[1]Raw Data'!$A$3:$FB$285,9,FALSE)</f>
        <v>1.59</v>
      </c>
      <c r="K170" s="27">
        <f>VLOOKUP($A170,'[1]Raw Data'!$A$3:$FB$285,11,FALSE)</f>
        <v>79.599999999999994</v>
      </c>
      <c r="L170" s="27">
        <f>VLOOKUP($A170,'[1]Raw Data'!$A$3:$FB$285,12,FALSE)</f>
        <v>35.369999999999997</v>
      </c>
      <c r="M170" s="27">
        <f>VLOOKUP($A170,'[1]Raw Data'!$A$3:$FB$285,14,FALSE)</f>
        <v>8.0299999999999994</v>
      </c>
      <c r="N170" s="27">
        <f>VLOOKUP($A170,'[1]Raw Data'!$A$3:$FB$285,15,FALSE)</f>
        <v>37.97</v>
      </c>
      <c r="O170" s="27">
        <f>VLOOKUP($A170,'[1]Raw Data'!$A$3:$FB$285,17,FALSE)</f>
        <v>0.42</v>
      </c>
      <c r="P170" s="27">
        <f>VLOOKUP($A170,'[1]Raw Data'!$A$3:$FB$285,18,FALSE)</f>
        <v>13.49</v>
      </c>
      <c r="Q170" s="27">
        <f>VLOOKUP($A170,'[1]Raw Data'!$A$3:$FB$285,20,FALSE)</f>
        <v>4.88</v>
      </c>
      <c r="R170" s="27">
        <f>VLOOKUP($A170,'[1]Raw Data'!$A$3:$FB$285,21,FALSE)</f>
        <v>6.16</v>
      </c>
      <c r="S170" s="27">
        <f>VLOOKUP($A170,'[1]Raw Data'!$A$3:$FB$285,23,FALSE)</f>
        <v>0</v>
      </c>
      <c r="T170" s="27">
        <f>VLOOKUP($A170,'[1]Raw Data'!$A$3:$FB$285,24,FALSE)</f>
        <v>0</v>
      </c>
      <c r="U170" s="27">
        <f>VLOOKUP($A170,'[1]Raw Data'!$A$3:$FB$285,26,FALSE)</f>
        <v>4.63</v>
      </c>
      <c r="V170" s="27">
        <f>VLOOKUP($A170,'[1]Raw Data'!$A$3:$FB$285,27,FALSE)</f>
        <v>2.7</v>
      </c>
      <c r="W170" s="27">
        <f>VLOOKUP($A170,'[1]Raw Data'!$A$3:$FB$285,29,FALSE)</f>
        <v>0</v>
      </c>
      <c r="X170" s="27">
        <f>VLOOKUP($A170,'[1]Raw Data'!$A$3:$FB$285,30,FALSE)</f>
        <v>0</v>
      </c>
      <c r="Y170" s="27">
        <f>VLOOKUP($A170,'[1]Raw Data'!$A$3:$FB$285,32,FALSE)</f>
        <v>0.53</v>
      </c>
      <c r="Z170" s="27">
        <f>VLOOKUP($A170,'[1]Raw Data'!$A$3:$FB$285,33,FALSE)</f>
        <v>0.27</v>
      </c>
      <c r="AA170" s="27">
        <f>VLOOKUP($A170,'[1]Raw Data'!$A$3:$FB$285,35,FALSE)</f>
        <v>0.11</v>
      </c>
      <c r="AB170" s="27">
        <f>VLOOKUP($A170,'[1]Raw Data'!$A$3:$FB$285,36,FALSE)</f>
        <v>2.0499999999999998</v>
      </c>
      <c r="AC170" s="27">
        <f>VLOOKUP($A170,'[1]Raw Data'!$A$3:$FB$285,38,FALSE)</f>
        <v>0.65</v>
      </c>
      <c r="AD170" s="27">
        <f>VLOOKUP($A170,'[1]Raw Data'!$A$3:$FB$285,39,FALSE)</f>
        <v>0.41</v>
      </c>
      <c r="AE170" s="27">
        <f>VLOOKUP($A170,'[1]Raw Data'!$A$3:$FB$285,41,FALSE)</f>
        <v>0</v>
      </c>
      <c r="AF170" s="27">
        <f>VLOOKUP($A170,'[1]Raw Data'!$A$3:$FB$285,42,FALSE)</f>
        <v>0</v>
      </c>
      <c r="AG170" s="27">
        <f>VLOOKUP($A170,'[1]Raw Data'!$A$3:$FB$285,44,FALSE)</f>
        <v>0</v>
      </c>
      <c r="AH170" s="27">
        <f>VLOOKUP($A170,'[1]Raw Data'!$A$3:$FB$285,45,FALSE)</f>
        <v>0</v>
      </c>
      <c r="AI170" s="27">
        <f>VLOOKUP($A170,'[1]Raw Data'!$A$3:$FB$285,46,FALSE)</f>
        <v>2353</v>
      </c>
      <c r="AJ170" s="27">
        <f>VLOOKUP($A170,'[1]Raw Data'!$A$3:$FB$285,47,FALSE)</f>
        <v>2043</v>
      </c>
      <c r="AK170" s="27">
        <f>VLOOKUP($A170,'[1]Raw Data'!$A$3:$FB$285,48,FALSE)</f>
        <v>2043</v>
      </c>
      <c r="AL170" s="27">
        <f>VLOOKUP($A170,'[1]Raw Data'!$A$3:$FB$285,49,FALSE)</f>
        <v>1724</v>
      </c>
      <c r="AM170" s="27">
        <f>VLOOKUP($A170,'[1]Raw Data'!$A$3:$FB$285,50,FALSE)</f>
        <v>815</v>
      </c>
      <c r="AN170" s="27">
        <f>VLOOKUP($A170,'[1]Raw Data'!$A$3:$FB$285,51,FALSE)</f>
        <v>0</v>
      </c>
      <c r="AO170" s="27">
        <f>VLOOKUP($A170,'[1]Raw Data'!$A$3:$FB$285,52,FALSE)</f>
        <v>0</v>
      </c>
      <c r="AP170" s="27">
        <f>VLOOKUP($A170,'[1]Raw Data'!$A$3:$FB$285,53,FALSE)</f>
        <v>248</v>
      </c>
      <c r="AQ170" s="27">
        <f>VLOOKUP($A170,'[1]Raw Data'!$A$3:$FB$285,54,FALSE)</f>
        <v>196</v>
      </c>
      <c r="AR170" s="27">
        <f>VLOOKUP($A170,'[1]Raw Data'!$A$3:$FB$285,55,FALSE)</f>
        <v>196</v>
      </c>
      <c r="AS170" s="27">
        <f>VLOOKUP($A170,'[1]Raw Data'!$A$3:$FB$285,56,FALSE)</f>
        <v>0</v>
      </c>
      <c r="AT170" s="27">
        <f>VLOOKUP($A170,'[1]Raw Data'!$A$3:$FB$285,57,FALSE)</f>
        <v>1128</v>
      </c>
      <c r="AU170" s="27" t="str">
        <f>VLOOKUP($A170,'[1]Raw Data'!$A$3:$FB$285,58,FALSE)</f>
        <v/>
      </c>
      <c r="AV170" s="27" t="str">
        <f>VLOOKUP($A170,'[1]Raw Data'!$A$3:$FB$285,59,FALSE)</f>
        <v/>
      </c>
      <c r="AW170" s="27" t="str">
        <f>VLOOKUP($A170,'[1]Raw Data'!$A$3:$FB$285,60,FALSE)</f>
        <v/>
      </c>
      <c r="AX170" s="27" t="str">
        <f>VLOOKUP(A170,'[1]PO''s List'!A168:E450,4,FALSE)</f>
        <v/>
      </c>
      <c r="AZ170" s="27" t="str">
        <f>VLOOKUP(A170,'[1]PO''s List'!$A$3:$E$285,5,FALSE)</f>
        <v/>
      </c>
      <c r="BB170" s="27">
        <f>VLOOKUP($A170,'[1]Raw Data'!$A$3:$FB$285,63,FALSE)</f>
        <v>117500</v>
      </c>
      <c r="BC170" s="27" t="str">
        <f>VLOOKUP($A170,'[1]Raw Data'!$A$3:$FB$285,64,FALSE)</f>
        <v/>
      </c>
      <c r="BD170" s="27" t="str">
        <f t="shared" si="18"/>
        <v/>
      </c>
      <c r="BE170" s="27" t="str">
        <f>VLOOKUP($A170,'[1]Raw Data'!$A$3:$FB$285,65,FALSE)</f>
        <v/>
      </c>
      <c r="BF170" s="27">
        <f>VLOOKUP($A170,'[1]Raw Data'!$A$3:$FB$285,66,FALSE)</f>
        <v>89180</v>
      </c>
      <c r="BG170" s="27" t="str">
        <f>VLOOKUP($A170,'[1]Raw Data'!$A$3:$FB$285,67,FALSE)</f>
        <v/>
      </c>
      <c r="BH170" s="27" t="str">
        <f t="shared" si="19"/>
        <v/>
      </c>
      <c r="BI170" s="27" t="str">
        <f>VLOOKUP($A170,'[1]Raw Data'!$A$3:$FB$285,68,FALSE)</f>
        <v/>
      </c>
      <c r="BJ170" s="27">
        <f>VLOOKUP($A170,'[1]Raw Data'!$A$3:$FB$285,69,FALSE)</f>
        <v>12254</v>
      </c>
      <c r="BK170" s="27" t="str">
        <f>VLOOKUP($A170,'[1]Raw Data'!$A$3:$FB$285,70,FALSE)</f>
        <v/>
      </c>
      <c r="BL170" s="27" t="str">
        <f t="shared" si="20"/>
        <v/>
      </c>
      <c r="BM170" s="27" t="str">
        <f>VLOOKUP($A170,'[1]Raw Data'!$A$3:$FB$285,71,FALSE)</f>
        <v/>
      </c>
      <c r="BN170" s="27">
        <f>VLOOKUP($A170,'[1]Raw Data'!$A$3:$FB$285,72,FALSE)</f>
        <v>13071</v>
      </c>
      <c r="BO170" s="27" t="str">
        <f>VLOOKUP($A170,'[1]Raw Data'!$A$3:$FB$285,73,FALSE)</f>
        <v/>
      </c>
      <c r="BP170" s="27" t="str">
        <f t="shared" si="21"/>
        <v/>
      </c>
      <c r="BQ170" s="27" t="str">
        <f>VLOOKUP($A170,'[1]Raw Data'!$A$3:$FB$285,74,FALSE)</f>
        <v/>
      </c>
      <c r="BR170" s="27" t="str">
        <f>VLOOKUP($A170,'[1]Raw Data'!$A$3:$FB$285,75,FALSE)</f>
        <v/>
      </c>
      <c r="BS170" s="27" t="str">
        <f>VLOOKUP($A170,'[1]Raw Data'!$A$3:$FB$285,76,FALSE)</f>
        <v/>
      </c>
      <c r="BT170" s="27" t="str">
        <f t="shared" si="22"/>
        <v/>
      </c>
      <c r="BU170" s="27" t="str">
        <f>VLOOKUP($A170,'[1]Raw Data'!$A$3:$FB$285,77,FALSE)</f>
        <v/>
      </c>
      <c r="BV170" s="27">
        <f>VLOOKUP($A170,'[1]Raw Data'!$A$3:$FB$285,78,FALSE)</f>
        <v>301063</v>
      </c>
      <c r="BW170" s="27" t="str">
        <f>VLOOKUP($A170,'[1]Raw Data'!$A$3:$FB$285,79,FALSE)</f>
        <v/>
      </c>
      <c r="BX170" s="27" t="str">
        <f t="shared" si="23"/>
        <v/>
      </c>
      <c r="BY170" s="27" t="str">
        <f>VLOOKUP($A170,'[1]Raw Data'!$A$3:$FB$285,80,FALSE)</f>
        <v/>
      </c>
      <c r="BZ170" s="27">
        <f>VLOOKUP($A170,'[1]Raw Data'!$A$3:$FB$285,81,FALSE)</f>
        <v>1321521</v>
      </c>
      <c r="CA170" s="27" t="str">
        <f>VLOOKUP($A170,'[1]Raw Data'!$A$3:$FB$285,82,FALSE)</f>
        <v/>
      </c>
      <c r="CB170" s="27" t="str">
        <f t="shared" si="24"/>
        <v/>
      </c>
      <c r="CC170" s="27" t="str">
        <f>VLOOKUP($A170,'[1]Raw Data'!$A$3:$FB$285,83,FALSE)</f>
        <v/>
      </c>
      <c r="CD170" s="27">
        <f>VLOOKUP($A170,'[1]Raw Data'!$A$3:$FB$285,84,FALSE)</f>
        <v>12260</v>
      </c>
      <c r="CE170" s="27" t="str">
        <f>VLOOKUP($A170,'[1]Raw Data'!$A$3:$FB$285,85,FALSE)</f>
        <v/>
      </c>
      <c r="CF170" s="27" t="str">
        <f t="shared" si="25"/>
        <v/>
      </c>
      <c r="CG170" s="27" t="str">
        <f>VLOOKUP($A170,'[1]Raw Data'!$A$3:$FB$285,86,FALSE)</f>
        <v/>
      </c>
      <c r="CH170" s="27">
        <f>VLOOKUP($A170,'[1]Raw Data'!$A$3:$FB$285,87,FALSE)</f>
        <v>3531651</v>
      </c>
      <c r="CI170" s="27" t="str">
        <f>VLOOKUP($A170,'[1]Raw Data'!$A$3:$FB$285,88,FALSE)</f>
        <v/>
      </c>
      <c r="CJ170" s="27" t="str">
        <f t="shared" si="26"/>
        <v/>
      </c>
      <c r="CK170" s="27" t="str">
        <f>VLOOKUP($A170,'[1]Raw Data'!$A$3:$FB$285,89,FALSE)</f>
        <v/>
      </c>
      <c r="CL170" s="27" t="str">
        <f>VLOOKUP($A170,'[1]Raw Data'!$A$3:$FB$285,91,FALSE)</f>
        <v/>
      </c>
      <c r="CM170" s="27" t="str">
        <f>VLOOKUP($A170,'[1]Raw Data'!$A$3:$FB$285,93,FALSE)</f>
        <v/>
      </c>
      <c r="CN170" s="27" t="str">
        <f>VLOOKUP($A170,'[1]Raw Data'!$A$3:$FB$285,94,FALSE)</f>
        <v/>
      </c>
      <c r="CO170" s="27" t="str">
        <f>VLOOKUP($A170,'[1]Raw Data'!$A$3:$FB$285,95,FALSE)</f>
        <v/>
      </c>
      <c r="CP170" s="27" t="str">
        <f>VLOOKUP($A170,'[1]Raw Data'!$A$3:$FB$285,96,FALSE)</f>
        <v/>
      </c>
      <c r="CQ170" s="27" t="str">
        <f>VLOOKUP($A170,'[1]Raw Data'!$A$3:$FB$285,97,FALSE)</f>
        <v/>
      </c>
      <c r="CR170" s="27" t="str">
        <f>VLOOKUP($A170,'[1]Raw Data'!$A$3:$FB$285,98,FALSE)</f>
        <v/>
      </c>
      <c r="CS170" s="27" t="str">
        <f>VLOOKUP($A170,'[1]Raw Data'!$A$3:$FB$285,99,FALSE)</f>
        <v/>
      </c>
      <c r="CT170" s="27" t="str">
        <f>VLOOKUP($A170,'[1]Raw Data'!$A$3:$FB$285,101,FALSE)</f>
        <v>Geeta Gurung</v>
      </c>
      <c r="CU170" s="27" t="s">
        <v>1351</v>
      </c>
      <c r="CV170" s="27" t="str">
        <f>VLOOKUP($A170,'[1]Raw Data'!$A$3:$FB$285,102,FALSE)</f>
        <v>Chairman</v>
      </c>
      <c r="CW170" s="27" t="s">
        <v>878</v>
      </c>
      <c r="CX170" s="27">
        <f>VLOOKUP($A170,'[1]Raw Data'!$A$3:$FB$285,103,FALSE)</f>
        <v>9845056273</v>
      </c>
      <c r="CY170" s="27" t="str">
        <f>VLOOKUP($A170,'[1]Raw Data'!$A$3:$FB$285,105,FALSE)</f>
        <v>Kriti Kumar Shrestha</v>
      </c>
      <c r="CZ170" s="27" t="s">
        <v>1352</v>
      </c>
      <c r="DA170" s="27" t="str">
        <f>VLOOKUP($A170,'[1]Raw Data'!$A$3:$FB$285,106,FALSE)</f>
        <v>Deputy Chairman</v>
      </c>
      <c r="DB170" s="27" t="s">
        <v>879</v>
      </c>
      <c r="DC170" s="27">
        <f>VLOOKUP($A170,'[1]Raw Data'!$A$3:$FB$285,107,FALSE)</f>
        <v>9845146185</v>
      </c>
      <c r="DD170" s="27" t="str">
        <f>VLOOKUP($A170,'[1]Raw Data'!$A$3:$FB$285,109,FALSE)</f>
        <v>Narahari Sapkota</v>
      </c>
      <c r="DE170" s="27" t="s">
        <v>1353</v>
      </c>
      <c r="DF170" s="27" t="str">
        <f>VLOOKUP($A170,'[1]Raw Data'!$A$3:$FB$285,110,FALSE)</f>
        <v>Chief Adminstration Officer</v>
      </c>
      <c r="DG170" s="27" t="s">
        <v>880</v>
      </c>
      <c r="DH170" s="27">
        <f>VLOOKUP($A170,'[1]Raw Data'!$A$3:$FB$285,111,FALSE)</f>
        <v>9855050999</v>
      </c>
      <c r="DI170" s="27" t="str">
        <f>VLOOKUP($A170,'[1]Raw Data'!$A$3:$FB$285,121,FALSE)</f>
        <v>Rajan Ghimire</v>
      </c>
      <c r="DJ170" s="27" t="s">
        <v>1354</v>
      </c>
      <c r="DK170" s="27" t="str">
        <f>VLOOKUP($A170,'[1]Raw Data'!$A$3:$FB$285,122,FALSE)</f>
        <v>Focal Person</v>
      </c>
      <c r="DL170" s="27" t="s">
        <v>881</v>
      </c>
      <c r="DM170" s="27">
        <f>VLOOKUP($A170,'[1]Raw Data'!$A$3:$FB$285,123,FALSE)</f>
        <v>9855046874</v>
      </c>
      <c r="DN170" s="27" t="str">
        <f>VLOOKUP($A170,'[1]Raw Data'!$A$3:$FB$285,113,FALSE)</f>
        <v>Puskar Prasad Pokharel</v>
      </c>
      <c r="DO170" s="27" t="s">
        <v>1350</v>
      </c>
      <c r="DP170" s="27" t="str">
        <f>VLOOKUP($A170,'[1]Raw Data'!$A$3:$FB$285,114,FALSE)</f>
        <v>NRA Chief-District</v>
      </c>
      <c r="DQ170" s="27" t="s">
        <v>882</v>
      </c>
      <c r="DR170" s="27">
        <f>VLOOKUP($A170,'[1]Raw Data'!$A$3:$FB$285,115,FALSE)</f>
        <v>9855083820</v>
      </c>
      <c r="DS170" s="27" t="str">
        <f>VLOOKUP($A170,'[1]Raw Data'!$A$3:$FB$285,117,FALSE)</f>
        <v>Sudip Acharya</v>
      </c>
      <c r="DT170" s="27" t="s">
        <v>1306</v>
      </c>
      <c r="DU170" s="27" t="str">
        <f>VLOOKUP($A170,'[1]Raw Data'!$A$3:$FB$285,118,FALSE)</f>
        <v>DUDBC.DLPIU Chief</v>
      </c>
      <c r="DV170" s="27" t="s">
        <v>883</v>
      </c>
      <c r="DW170" s="27">
        <f>VLOOKUP($A170,'[1]Raw Data'!$A$3:$FB$285,119,FALSE)</f>
        <v>9855071284</v>
      </c>
      <c r="DX170" s="27" t="s">
        <v>339</v>
      </c>
      <c r="DY170" s="27" t="str">
        <f>VLOOKUP($A170,'[1]Raw Data'!$A$3:$FB$285,124,FALSE)</f>
        <v/>
      </c>
      <c r="DZ170" s="27" t="s">
        <v>884</v>
      </c>
      <c r="EA170" s="27" t="str">
        <f>VLOOKUP($A170,'[1]Raw Data'!$A$3:$FB$285,125,FALSE)</f>
        <v/>
      </c>
      <c r="EB170" s="27" t="s">
        <v>341</v>
      </c>
      <c r="EC170" s="27" t="str">
        <f>VLOOKUP($A170,'[1]Raw Data'!$A$3:$FB$285,126,FALSE)</f>
        <v/>
      </c>
      <c r="ED170" t="s">
        <v>478</v>
      </c>
      <c r="EE170" s="27" t="str">
        <f>VLOOKUP($A170,'[1]Raw Data'!$A$3:$FB$285,127,FALSE)</f>
        <v/>
      </c>
      <c r="EF170" s="27" t="s">
        <v>343</v>
      </c>
      <c r="EG170" s="27" t="str">
        <f>VLOOKUP($A170,'[1]Raw Data'!$A$3:$FB$285,128,FALSE)</f>
        <v/>
      </c>
      <c r="EH170" t="s">
        <v>344</v>
      </c>
      <c r="EI170" s="27" t="str">
        <f>VLOOKUP($A170,'[1]Raw Data'!$A$3:$FB$285,129,FALSE)</f>
        <v/>
      </c>
      <c r="EM170" s="27" t="str">
        <f>VLOOKUP($A170,'[1]Raw Data'!$A$3:$FB$285,130,FALSE)</f>
        <v/>
      </c>
      <c r="EN170" s="27" t="str">
        <f>VLOOKUP($A170,'[1]Raw Data'!$A$3:$FB$285,131,FALSE)</f>
        <v/>
      </c>
      <c r="EO170" s="27" t="str">
        <f>VLOOKUP($A170,'[1]Raw Data'!$A$3:$FB$285,132,FALSE)</f>
        <v/>
      </c>
      <c r="EP170" s="27" t="str">
        <f>VLOOKUP($A170,'[1]Raw Data'!$A$3:$FB$285,133,FALSE)</f>
        <v/>
      </c>
      <c r="EQ170" s="27" t="str">
        <f>VLOOKUP($A170,'[1]Raw Data'!$A$3:$FB$285,134,FALSE)</f>
        <v/>
      </c>
      <c r="ER170" s="27" t="str">
        <f>VLOOKUP($A170,'[1]Raw Data'!$A$3:$FB$285,135,FALSE)</f>
        <v/>
      </c>
      <c r="ES170" s="27" t="str">
        <f>VLOOKUP($A170,'[1]Raw Data'!$A$3:$FB$285,136,FALSE)</f>
        <v/>
      </c>
      <c r="ET170" s="27" t="str">
        <f>VLOOKUP($A170,'[1]Raw Data'!$A$3:$FB$285,137,FALSE)</f>
        <v/>
      </c>
      <c r="EU170" s="27" t="str">
        <f>VLOOKUP($A170,'[1]Raw Data'!$A$3:$FB$285,138,FALSE)</f>
        <v/>
      </c>
      <c r="EV170" s="27" t="str">
        <f>VLOOKUP($A170,'[1]Raw Data'!$A$3:$FB$285,139,FALSE)</f>
        <v/>
      </c>
      <c r="EW170" s="38">
        <f>VLOOKUP($A170,[1]Training!$A$2:$I$284,5,FALSE)</f>
        <v>182.84615384615384</v>
      </c>
      <c r="EX170" s="31">
        <f>VLOOKUP($A170,[1]Training!$A$2:$I$284,6,FALSE)</f>
        <v>0</v>
      </c>
      <c r="EY170" s="38">
        <f>VLOOKUP($A170,[1]Training!$A$2:$I$284,8,FALSE)</f>
        <v>216.09090909090909</v>
      </c>
      <c r="EZ170" s="31">
        <f>VLOOKUP($A170,[1]Training!$A$2:$I$284,9,FALSE)</f>
        <v>0</v>
      </c>
      <c r="FA170" s="27">
        <v>1</v>
      </c>
      <c r="FB170" s="27">
        <v>2</v>
      </c>
      <c r="FC170" s="27" t="str">
        <f>VLOOKUP($A170,'[1]Raw Data'!$A$3:$FB$285,148,FALSE)</f>
        <v xml:space="preserve">Hari Prasad Thalang </v>
      </c>
      <c r="FE170" s="27" t="str">
        <f>VLOOKUP($A170,'[1]Raw Data'!$A$3:$FB$285,149,FALSE)</f>
        <v>District Coordinator</v>
      </c>
      <c r="FF170" s="27" t="s">
        <v>885</v>
      </c>
      <c r="FG170" s="27">
        <f>VLOOKUP($A170,'[1]Raw Data'!$A$3:$FB$285,150,FALSE)</f>
        <v>9851224505</v>
      </c>
      <c r="FH170" s="27" t="str">
        <f>VLOOKUP($A170,'[1]Raw Data'!$A$3:$FB$285,156,FALSE)</f>
        <v>Kausal Bist</v>
      </c>
      <c r="FJ170" s="27" t="str">
        <f>VLOOKUP($A170,'[1]Raw Data'!$A$3:$FB$285,157,FALSE)</f>
        <v>District Technical Officer</v>
      </c>
      <c r="FK170" s="27" t="s">
        <v>886</v>
      </c>
      <c r="FL170" s="27">
        <f>VLOOKUP($A170,'[1]Raw Data'!$A$3:$FB$285,158,FALSE)</f>
        <v>9849787273</v>
      </c>
      <c r="FM170" s="27" t="str">
        <f>VLOOKUP($A170,'[1]Raw Data'!$A$3:$FB$285,152,FALSE)</f>
        <v xml:space="preserve">Nirmal Nepali </v>
      </c>
      <c r="FO170" s="27" t="str">
        <f>VLOOKUP($A170,'[1]Raw Data'!$A$3:$FB$285,153,FALSE)</f>
        <v>DIstrict Information Management Officer</v>
      </c>
      <c r="FP170" s="27" t="s">
        <v>887</v>
      </c>
      <c r="FQ170" s="27">
        <f>VLOOKUP($A170,'[1]Raw Data'!$A$3:$FB$285,154,FALSE)</f>
        <v>9848500348</v>
      </c>
    </row>
    <row r="171" spans="1:173" ht="24" x14ac:dyDescent="0.45">
      <c r="A171" s="27">
        <v>35003</v>
      </c>
      <c r="B171" s="36" t="str">
        <f ca="1">IFERROR(__xludf.DUMMYFUNCTION("""COMPUTED_VALUE"""),"Kalika Nagarpalika")</f>
        <v>Kalika Nagarpalika</v>
      </c>
      <c r="C171" s="37" t="str">
        <f>VLOOKUP(A171,'[1]Palika and District in Nepali '!$D$1:$F$283,3,FALSE)</f>
        <v>कालिका नगरपालिका</v>
      </c>
      <c r="D171" s="36" t="str">
        <f ca="1">IFERROR(__xludf.DUMMYFUNCTION("""COMPUTED_VALUE"""),"Chitwan")</f>
        <v>Chitwan</v>
      </c>
      <c r="E171" s="36"/>
      <c r="F171" s="27">
        <f>VLOOKUP(A171,'[1]Raw Data'!$A$3:$FB$285,4,FALSE)</f>
        <v>1578</v>
      </c>
      <c r="G171" s="27">
        <f>VLOOKUP(A171,'[1]Raw Data'!$A$3:$FB$285,5,FALSE)</f>
        <v>987</v>
      </c>
      <c r="H171" s="27">
        <f>VLOOKUP(A171,'[1]Raw Data'!$A$3:$FB$285,6,FALSE)</f>
        <v>2565</v>
      </c>
      <c r="I171" s="27">
        <f>VLOOKUP($A171,'[1]Raw Data'!$A$3:$FB$285,8,FALSE)</f>
        <v>0.78</v>
      </c>
      <c r="J171" s="27">
        <f>VLOOKUP($A171,'[1]Raw Data'!$A$3:$FB$285,9,FALSE)</f>
        <v>1.59</v>
      </c>
      <c r="K171" s="27">
        <f>VLOOKUP($A171,'[1]Raw Data'!$A$3:$FB$285,11,FALSE)</f>
        <v>27.49</v>
      </c>
      <c r="L171" s="27">
        <f>VLOOKUP($A171,'[1]Raw Data'!$A$3:$FB$285,12,FALSE)</f>
        <v>35.369999999999997</v>
      </c>
      <c r="M171" s="27">
        <f>VLOOKUP($A171,'[1]Raw Data'!$A$3:$FB$285,14,FALSE)</f>
        <v>40.94</v>
      </c>
      <c r="N171" s="27">
        <f>VLOOKUP($A171,'[1]Raw Data'!$A$3:$FB$285,15,FALSE)</f>
        <v>37.97</v>
      </c>
      <c r="O171" s="27">
        <f>VLOOKUP($A171,'[1]Raw Data'!$A$3:$FB$285,17,FALSE)</f>
        <v>24.6</v>
      </c>
      <c r="P171" s="27">
        <f>VLOOKUP($A171,'[1]Raw Data'!$A$3:$FB$285,18,FALSE)</f>
        <v>13.49</v>
      </c>
      <c r="Q171" s="27">
        <f>VLOOKUP($A171,'[1]Raw Data'!$A$3:$FB$285,20,FALSE)</f>
        <v>3.55</v>
      </c>
      <c r="R171" s="27">
        <f>VLOOKUP($A171,'[1]Raw Data'!$A$3:$FB$285,21,FALSE)</f>
        <v>6.16</v>
      </c>
      <c r="S171" s="27">
        <f>VLOOKUP($A171,'[1]Raw Data'!$A$3:$FB$285,23,FALSE)</f>
        <v>0</v>
      </c>
      <c r="T171" s="27">
        <f>VLOOKUP($A171,'[1]Raw Data'!$A$3:$FB$285,24,FALSE)</f>
        <v>0</v>
      </c>
      <c r="U171" s="27">
        <f>VLOOKUP($A171,'[1]Raw Data'!$A$3:$FB$285,26,FALSE)</f>
        <v>2.0299999999999998</v>
      </c>
      <c r="V171" s="27">
        <f>VLOOKUP($A171,'[1]Raw Data'!$A$3:$FB$285,27,FALSE)</f>
        <v>2.7</v>
      </c>
      <c r="W171" s="27">
        <f>VLOOKUP($A171,'[1]Raw Data'!$A$3:$FB$285,29,FALSE)</f>
        <v>0</v>
      </c>
      <c r="X171" s="27">
        <f>VLOOKUP($A171,'[1]Raw Data'!$A$3:$FB$285,30,FALSE)</f>
        <v>0</v>
      </c>
      <c r="Y171" s="27">
        <f>VLOOKUP($A171,'[1]Raw Data'!$A$3:$FB$285,32,FALSE)</f>
        <v>0.23</v>
      </c>
      <c r="Z171" s="27">
        <f>VLOOKUP($A171,'[1]Raw Data'!$A$3:$FB$285,33,FALSE)</f>
        <v>0.27</v>
      </c>
      <c r="AA171" s="27">
        <f>VLOOKUP($A171,'[1]Raw Data'!$A$3:$FB$285,35,FALSE)</f>
        <v>0.35</v>
      </c>
      <c r="AB171" s="27">
        <f>VLOOKUP($A171,'[1]Raw Data'!$A$3:$FB$285,36,FALSE)</f>
        <v>2.0499999999999998</v>
      </c>
      <c r="AC171" s="27">
        <f>VLOOKUP($A171,'[1]Raw Data'!$A$3:$FB$285,38,FALSE)</f>
        <v>0.04</v>
      </c>
      <c r="AD171" s="27">
        <f>VLOOKUP($A171,'[1]Raw Data'!$A$3:$FB$285,39,FALSE)</f>
        <v>0.41</v>
      </c>
      <c r="AE171" s="27">
        <f>VLOOKUP($A171,'[1]Raw Data'!$A$3:$FB$285,41,FALSE)</f>
        <v>0</v>
      </c>
      <c r="AF171" s="27">
        <f>VLOOKUP($A171,'[1]Raw Data'!$A$3:$FB$285,42,FALSE)</f>
        <v>0</v>
      </c>
      <c r="AG171" s="27">
        <f>VLOOKUP($A171,'[1]Raw Data'!$A$3:$FB$285,44,FALSE)</f>
        <v>0</v>
      </c>
      <c r="AH171" s="27">
        <f>VLOOKUP($A171,'[1]Raw Data'!$A$3:$FB$285,45,FALSE)</f>
        <v>0</v>
      </c>
      <c r="AI171" s="27">
        <f>VLOOKUP($A171,'[1]Raw Data'!$A$3:$FB$285,46,FALSE)</f>
        <v>916</v>
      </c>
      <c r="AJ171" s="27">
        <f>VLOOKUP($A171,'[1]Raw Data'!$A$3:$FB$285,47,FALSE)</f>
        <v>611</v>
      </c>
      <c r="AK171" s="27">
        <f>VLOOKUP($A171,'[1]Raw Data'!$A$3:$FB$285,48,FALSE)</f>
        <v>611</v>
      </c>
      <c r="AL171" s="27">
        <f>VLOOKUP($A171,'[1]Raw Data'!$A$3:$FB$285,49,FALSE)</f>
        <v>341</v>
      </c>
      <c r="AM171" s="27">
        <f>VLOOKUP($A171,'[1]Raw Data'!$A$3:$FB$285,50,FALSE)</f>
        <v>97</v>
      </c>
      <c r="AN171" s="27">
        <f>VLOOKUP($A171,'[1]Raw Data'!$A$3:$FB$285,51,FALSE)</f>
        <v>0</v>
      </c>
      <c r="AO171" s="27">
        <f>VLOOKUP($A171,'[1]Raw Data'!$A$3:$FB$285,52,FALSE)</f>
        <v>0</v>
      </c>
      <c r="AP171" s="27">
        <f>VLOOKUP($A171,'[1]Raw Data'!$A$3:$FB$285,53,FALSE)</f>
        <v>42</v>
      </c>
      <c r="AQ171" s="27">
        <f>VLOOKUP($A171,'[1]Raw Data'!$A$3:$FB$285,54,FALSE)</f>
        <v>27</v>
      </c>
      <c r="AR171" s="27">
        <f>VLOOKUP($A171,'[1]Raw Data'!$A$3:$FB$285,55,FALSE)</f>
        <v>27</v>
      </c>
      <c r="AS171" s="27">
        <f>VLOOKUP($A171,'[1]Raw Data'!$A$3:$FB$285,56,FALSE)</f>
        <v>0</v>
      </c>
      <c r="AT171" s="27">
        <f>VLOOKUP($A171,'[1]Raw Data'!$A$3:$FB$285,57,FALSE)</f>
        <v>1980</v>
      </c>
      <c r="AU171" s="27" t="str">
        <f>VLOOKUP($A171,'[1]Raw Data'!$A$3:$FB$285,58,FALSE)</f>
        <v/>
      </c>
      <c r="AV171" s="27" t="str">
        <f>VLOOKUP($A171,'[1]Raw Data'!$A$3:$FB$285,59,FALSE)</f>
        <v/>
      </c>
      <c r="AW171" s="27" t="str">
        <f>VLOOKUP($A171,'[1]Raw Data'!$A$3:$FB$285,60,FALSE)</f>
        <v/>
      </c>
      <c r="AX171" s="27" t="str">
        <f>VLOOKUP(A171,'[1]PO''s List'!A169:E451,4,FALSE)</f>
        <v/>
      </c>
      <c r="AZ171" s="27" t="str">
        <f>VLOOKUP(A171,'[1]PO''s List'!$A$3:$E$285,5,FALSE)</f>
        <v/>
      </c>
      <c r="BB171" s="27">
        <f>VLOOKUP($A171,'[1]Raw Data'!$A$3:$FB$285,63,FALSE)</f>
        <v>28695</v>
      </c>
      <c r="BC171" s="27" t="str">
        <f>VLOOKUP($A171,'[1]Raw Data'!$A$3:$FB$285,64,FALSE)</f>
        <v/>
      </c>
      <c r="BD171" s="27" t="str">
        <f t="shared" si="18"/>
        <v/>
      </c>
      <c r="BE171" s="27" t="str">
        <f>VLOOKUP($A171,'[1]Raw Data'!$A$3:$FB$285,65,FALSE)</f>
        <v/>
      </c>
      <c r="BF171" s="27">
        <f>VLOOKUP($A171,'[1]Raw Data'!$A$3:$FB$285,66,FALSE)</f>
        <v>16798</v>
      </c>
      <c r="BG171" s="27" t="str">
        <f>VLOOKUP($A171,'[1]Raw Data'!$A$3:$FB$285,67,FALSE)</f>
        <v/>
      </c>
      <c r="BH171" s="27" t="str">
        <f t="shared" si="19"/>
        <v/>
      </c>
      <c r="BI171" s="27" t="str">
        <f>VLOOKUP($A171,'[1]Raw Data'!$A$3:$FB$285,68,FALSE)</f>
        <v/>
      </c>
      <c r="BJ171" s="27">
        <f>VLOOKUP($A171,'[1]Raw Data'!$A$3:$FB$285,69,FALSE)</f>
        <v>2954</v>
      </c>
      <c r="BK171" s="27" t="str">
        <f>VLOOKUP($A171,'[1]Raw Data'!$A$3:$FB$285,70,FALSE)</f>
        <v/>
      </c>
      <c r="BL171" s="27" t="str">
        <f t="shared" si="20"/>
        <v/>
      </c>
      <c r="BM171" s="27" t="str">
        <f>VLOOKUP($A171,'[1]Raw Data'!$A$3:$FB$285,71,FALSE)</f>
        <v/>
      </c>
      <c r="BN171" s="27">
        <f>VLOOKUP($A171,'[1]Raw Data'!$A$3:$FB$285,72,FALSE)</f>
        <v>3005</v>
      </c>
      <c r="BO171" s="27" t="str">
        <f>VLOOKUP($A171,'[1]Raw Data'!$A$3:$FB$285,73,FALSE)</f>
        <v/>
      </c>
      <c r="BP171" s="27" t="str">
        <f t="shared" si="21"/>
        <v/>
      </c>
      <c r="BQ171" s="27" t="str">
        <f>VLOOKUP($A171,'[1]Raw Data'!$A$3:$FB$285,74,FALSE)</f>
        <v/>
      </c>
      <c r="BR171" s="27" t="str">
        <f>VLOOKUP($A171,'[1]Raw Data'!$A$3:$FB$285,75,FALSE)</f>
        <v/>
      </c>
      <c r="BS171" s="27" t="str">
        <f>VLOOKUP($A171,'[1]Raw Data'!$A$3:$FB$285,76,FALSE)</f>
        <v/>
      </c>
      <c r="BT171" s="27" t="str">
        <f t="shared" si="22"/>
        <v/>
      </c>
      <c r="BU171" s="27" t="str">
        <f>VLOOKUP($A171,'[1]Raw Data'!$A$3:$FB$285,77,FALSE)</f>
        <v/>
      </c>
      <c r="BV171" s="27">
        <f>VLOOKUP($A171,'[1]Raw Data'!$A$3:$FB$285,78,FALSE)</f>
        <v>63568</v>
      </c>
      <c r="BW171" s="27" t="str">
        <f>VLOOKUP($A171,'[1]Raw Data'!$A$3:$FB$285,79,FALSE)</f>
        <v/>
      </c>
      <c r="BX171" s="27" t="str">
        <f t="shared" si="23"/>
        <v/>
      </c>
      <c r="BY171" s="27" t="str">
        <f>VLOOKUP($A171,'[1]Raw Data'!$A$3:$FB$285,80,FALSE)</f>
        <v/>
      </c>
      <c r="BZ171" s="27">
        <f>VLOOKUP($A171,'[1]Raw Data'!$A$3:$FB$285,81,FALSE)</f>
        <v>337926</v>
      </c>
      <c r="CA171" s="27" t="str">
        <f>VLOOKUP($A171,'[1]Raw Data'!$A$3:$FB$285,82,FALSE)</f>
        <v/>
      </c>
      <c r="CB171" s="27" t="str">
        <f t="shared" si="24"/>
        <v/>
      </c>
      <c r="CC171" s="27" t="str">
        <f>VLOOKUP($A171,'[1]Raw Data'!$A$3:$FB$285,83,FALSE)</f>
        <v/>
      </c>
      <c r="CD171" s="27">
        <f>VLOOKUP($A171,'[1]Raw Data'!$A$3:$FB$285,84,FALSE)</f>
        <v>2614</v>
      </c>
      <c r="CE171" s="27" t="str">
        <f>VLOOKUP($A171,'[1]Raw Data'!$A$3:$FB$285,85,FALSE)</f>
        <v/>
      </c>
      <c r="CF171" s="27" t="str">
        <f t="shared" si="25"/>
        <v/>
      </c>
      <c r="CG171" s="27" t="str">
        <f>VLOOKUP($A171,'[1]Raw Data'!$A$3:$FB$285,86,FALSE)</f>
        <v/>
      </c>
      <c r="CH171" s="27">
        <f>VLOOKUP($A171,'[1]Raw Data'!$A$3:$FB$285,87,FALSE)</f>
        <v>2106661</v>
      </c>
      <c r="CI171" s="27" t="str">
        <f>VLOOKUP($A171,'[1]Raw Data'!$A$3:$FB$285,88,FALSE)</f>
        <v/>
      </c>
      <c r="CJ171" s="27" t="str">
        <f t="shared" si="26"/>
        <v/>
      </c>
      <c r="CK171" s="27" t="str">
        <f>VLOOKUP($A171,'[1]Raw Data'!$A$3:$FB$285,89,FALSE)</f>
        <v/>
      </c>
      <c r="CL171" s="27" t="str">
        <f>VLOOKUP($A171,'[1]Raw Data'!$A$3:$FB$285,91,FALSE)</f>
        <v/>
      </c>
      <c r="CM171" s="27" t="str">
        <f>VLOOKUP($A171,'[1]Raw Data'!$A$3:$FB$285,93,FALSE)</f>
        <v/>
      </c>
      <c r="CN171" s="27" t="str">
        <f>VLOOKUP($A171,'[1]Raw Data'!$A$3:$FB$285,94,FALSE)</f>
        <v/>
      </c>
      <c r="CO171" s="27" t="str">
        <f>VLOOKUP($A171,'[1]Raw Data'!$A$3:$FB$285,95,FALSE)</f>
        <v/>
      </c>
      <c r="CP171" s="27" t="str">
        <f>VLOOKUP($A171,'[1]Raw Data'!$A$3:$FB$285,96,FALSE)</f>
        <v/>
      </c>
      <c r="CQ171" s="27" t="str">
        <f>VLOOKUP($A171,'[1]Raw Data'!$A$3:$FB$285,97,FALSE)</f>
        <v/>
      </c>
      <c r="CR171" s="27" t="str">
        <f>VLOOKUP($A171,'[1]Raw Data'!$A$3:$FB$285,98,FALSE)</f>
        <v/>
      </c>
      <c r="CS171" s="27" t="str">
        <f>VLOOKUP($A171,'[1]Raw Data'!$A$3:$FB$285,99,FALSE)</f>
        <v/>
      </c>
      <c r="CT171" s="27" t="str">
        <f>VLOOKUP($A171,'[1]Raw Data'!$A$3:$FB$285,101,FALSE)</f>
        <v>Khum Narayan Shrestha</v>
      </c>
      <c r="CU171" s="27" t="s">
        <v>1355</v>
      </c>
      <c r="CV171" s="27" t="str">
        <f>VLOOKUP($A171,'[1]Raw Data'!$A$3:$FB$285,102,FALSE)</f>
        <v>Mayor</v>
      </c>
      <c r="CW171" s="27" t="s">
        <v>834</v>
      </c>
      <c r="CX171" s="27">
        <f>VLOOKUP($A171,'[1]Raw Data'!$A$3:$FB$285,103,FALSE)</f>
        <v>9843767995</v>
      </c>
      <c r="CY171" s="27" t="str">
        <f>VLOOKUP($A171,'[1]Raw Data'!$A$3:$FB$285,105,FALSE)</f>
        <v>Kamala Bhattrai</v>
      </c>
      <c r="CZ171" s="27" t="s">
        <v>1356</v>
      </c>
      <c r="DA171" s="27" t="str">
        <f>VLOOKUP($A171,'[1]Raw Data'!$A$3:$FB$285,106,FALSE)</f>
        <v>Deputy Mayor</v>
      </c>
      <c r="DB171" s="27" t="s">
        <v>888</v>
      </c>
      <c r="DC171" s="27">
        <f>VLOOKUP($A171,'[1]Raw Data'!$A$3:$FB$285,107,FALSE)</f>
        <v>9845276270</v>
      </c>
      <c r="DD171" s="27" t="str">
        <f>VLOOKUP($A171,'[1]Raw Data'!$A$3:$FB$285,109,FALSE)</f>
        <v>Yega Puri</v>
      </c>
      <c r="DE171" s="27" t="s">
        <v>1357</v>
      </c>
      <c r="DF171" s="27" t="str">
        <f>VLOOKUP($A171,'[1]Raw Data'!$A$3:$FB$285,110,FALSE)</f>
        <v>Chief Adminstration Officer</v>
      </c>
      <c r="DG171" s="27" t="s">
        <v>880</v>
      </c>
      <c r="DH171" s="27">
        <f>VLOOKUP($A171,'[1]Raw Data'!$A$3:$FB$285,111,FALSE)</f>
        <v>9855019111</v>
      </c>
      <c r="DI171" s="27" t="str">
        <f>VLOOKUP($A171,'[1]Raw Data'!$A$3:$FB$285,121,FALSE)</f>
        <v>Balram Luitel</v>
      </c>
      <c r="DJ171" s="27" t="s">
        <v>1358</v>
      </c>
      <c r="DK171" s="27" t="str">
        <f>VLOOKUP($A171,'[1]Raw Data'!$A$3:$FB$285,122,FALSE)</f>
        <v>Focal Person</v>
      </c>
      <c r="DL171" s="27" t="s">
        <v>881</v>
      </c>
      <c r="DM171" s="27">
        <f>VLOOKUP($A171,'[1]Raw Data'!$A$3:$FB$285,123,FALSE)</f>
        <v>9855059010</v>
      </c>
      <c r="DN171" s="27" t="str">
        <f>VLOOKUP($A171,'[1]Raw Data'!$A$3:$FB$285,113,FALSE)</f>
        <v>Puskar Prasad Pokharel</v>
      </c>
      <c r="DO171" s="27" t="s">
        <v>1350</v>
      </c>
      <c r="DP171" s="27" t="str">
        <f>VLOOKUP($A171,'[1]Raw Data'!$A$3:$FB$285,114,FALSE)</f>
        <v>NRA Chief-District</v>
      </c>
      <c r="DQ171" s="27" t="s">
        <v>882</v>
      </c>
      <c r="DR171" s="27">
        <f>VLOOKUP($A171,'[1]Raw Data'!$A$3:$FB$285,115,FALSE)</f>
        <v>9855083820</v>
      </c>
      <c r="DS171" s="27" t="str">
        <f>VLOOKUP($A171,'[1]Raw Data'!$A$3:$FB$285,117,FALSE)</f>
        <v>Sudip Acharya</v>
      </c>
      <c r="DT171" s="27" t="s">
        <v>1306</v>
      </c>
      <c r="DU171" s="27" t="str">
        <f>VLOOKUP($A171,'[1]Raw Data'!$A$3:$FB$285,118,FALSE)</f>
        <v>DUDBC.DLPIU Chief</v>
      </c>
      <c r="DV171" s="27" t="s">
        <v>883</v>
      </c>
      <c r="DW171" s="27">
        <f>VLOOKUP($A171,'[1]Raw Data'!$A$3:$FB$285,119,FALSE)</f>
        <v>9855071284</v>
      </c>
      <c r="DX171" s="27" t="s">
        <v>339</v>
      </c>
      <c r="DY171" s="27" t="str">
        <f>VLOOKUP($A171,'[1]Raw Data'!$A$3:$FB$285,124,FALSE)</f>
        <v/>
      </c>
      <c r="DZ171" s="27" t="s">
        <v>884</v>
      </c>
      <c r="EA171" s="27" t="str">
        <f>VLOOKUP($A171,'[1]Raw Data'!$A$3:$FB$285,125,FALSE)</f>
        <v/>
      </c>
      <c r="EB171" s="27" t="s">
        <v>341</v>
      </c>
      <c r="EC171" s="27" t="str">
        <f>VLOOKUP($A171,'[1]Raw Data'!$A$3:$FB$285,126,FALSE)</f>
        <v/>
      </c>
      <c r="ED171" t="s">
        <v>478</v>
      </c>
      <c r="EE171" s="27" t="str">
        <f>VLOOKUP($A171,'[1]Raw Data'!$A$3:$FB$285,127,FALSE)</f>
        <v/>
      </c>
      <c r="EF171" s="27" t="s">
        <v>343</v>
      </c>
      <c r="EG171" s="27" t="str">
        <f>VLOOKUP($A171,'[1]Raw Data'!$A$3:$FB$285,128,FALSE)</f>
        <v/>
      </c>
      <c r="EH171" t="s">
        <v>344</v>
      </c>
      <c r="EI171" s="27" t="str">
        <f>VLOOKUP($A171,'[1]Raw Data'!$A$3:$FB$285,129,FALSE)</f>
        <v/>
      </c>
      <c r="EM171" s="27" t="str">
        <f>VLOOKUP($A171,'[1]Raw Data'!$A$3:$FB$285,130,FALSE)</f>
        <v/>
      </c>
      <c r="EN171" s="27" t="str">
        <f>VLOOKUP($A171,'[1]Raw Data'!$A$3:$FB$285,131,FALSE)</f>
        <v/>
      </c>
      <c r="EO171" s="27" t="str">
        <f>VLOOKUP($A171,'[1]Raw Data'!$A$3:$FB$285,132,FALSE)</f>
        <v/>
      </c>
      <c r="EP171" s="27" t="str">
        <f>VLOOKUP($A171,'[1]Raw Data'!$A$3:$FB$285,133,FALSE)</f>
        <v/>
      </c>
      <c r="EQ171" s="27" t="str">
        <f>VLOOKUP($A171,'[1]Raw Data'!$A$3:$FB$285,134,FALSE)</f>
        <v/>
      </c>
      <c r="ER171" s="27" t="str">
        <f>VLOOKUP($A171,'[1]Raw Data'!$A$3:$FB$285,135,FALSE)</f>
        <v/>
      </c>
      <c r="ES171" s="27" t="str">
        <f>VLOOKUP($A171,'[1]Raw Data'!$A$3:$FB$285,136,FALSE)</f>
        <v/>
      </c>
      <c r="ET171" s="27" t="str">
        <f>VLOOKUP($A171,'[1]Raw Data'!$A$3:$FB$285,137,FALSE)</f>
        <v/>
      </c>
      <c r="EU171" s="27" t="str">
        <f>VLOOKUP($A171,'[1]Raw Data'!$A$3:$FB$285,138,FALSE)</f>
        <v/>
      </c>
      <c r="EV171" s="27" t="str">
        <f>VLOOKUP($A171,'[1]Raw Data'!$A$3:$FB$285,139,FALSE)</f>
        <v/>
      </c>
      <c r="EW171" s="38">
        <f>VLOOKUP($A171,[1]Training!$A$2:$I$284,5,FALSE)</f>
        <v>70.461538461538467</v>
      </c>
      <c r="EX171" s="31">
        <f>VLOOKUP($A171,[1]Training!$A$2:$I$284,6,FALSE)</f>
        <v>0</v>
      </c>
      <c r="EY171" s="38">
        <f>VLOOKUP($A171,[1]Training!$A$2:$I$284,8,FALSE)</f>
        <v>83.272727272727266</v>
      </c>
      <c r="EZ171" s="31">
        <f>VLOOKUP($A171,[1]Training!$A$2:$I$284,9,FALSE)</f>
        <v>0</v>
      </c>
      <c r="FA171" s="27">
        <v>1</v>
      </c>
      <c r="FB171" s="27">
        <v>2</v>
      </c>
      <c r="FC171" s="27" t="str">
        <f>VLOOKUP($A171,'[1]Raw Data'!$A$3:$FB$285,148,FALSE)</f>
        <v xml:space="preserve">Hari Prasad Thalang </v>
      </c>
      <c r="FE171" s="27" t="str">
        <f>VLOOKUP($A171,'[1]Raw Data'!$A$3:$FB$285,149,FALSE)</f>
        <v>District Coordinator</v>
      </c>
      <c r="FF171" s="27" t="s">
        <v>885</v>
      </c>
      <c r="FG171" s="27">
        <f>VLOOKUP($A171,'[1]Raw Data'!$A$3:$FB$285,150,FALSE)</f>
        <v>9851224505</v>
      </c>
      <c r="FH171" s="27" t="str">
        <f>VLOOKUP($A171,'[1]Raw Data'!$A$3:$FB$285,156,FALSE)</f>
        <v>Kausal Bist</v>
      </c>
      <c r="FJ171" s="27" t="str">
        <f>VLOOKUP($A171,'[1]Raw Data'!$A$3:$FB$285,157,FALSE)</f>
        <v>District Technical Officer</v>
      </c>
      <c r="FK171" s="27" t="s">
        <v>886</v>
      </c>
      <c r="FL171" s="27">
        <f>VLOOKUP($A171,'[1]Raw Data'!$A$3:$FB$285,158,FALSE)</f>
        <v>9849787273</v>
      </c>
      <c r="FM171" s="27" t="str">
        <f>VLOOKUP($A171,'[1]Raw Data'!$A$3:$FB$285,152,FALSE)</f>
        <v xml:space="preserve">Nirmal Nepali </v>
      </c>
      <c r="FO171" s="27" t="str">
        <f>VLOOKUP($A171,'[1]Raw Data'!$A$3:$FB$285,153,FALSE)</f>
        <v>DIstrict Information Management Officer</v>
      </c>
      <c r="FP171" s="27" t="s">
        <v>887</v>
      </c>
      <c r="FQ171" s="27">
        <f>VLOOKUP($A171,'[1]Raw Data'!$A$3:$FB$285,154,FALSE)</f>
        <v>9848500348</v>
      </c>
    </row>
    <row r="172" spans="1:173" ht="24" x14ac:dyDescent="0.45">
      <c r="A172" s="27">
        <v>35004</v>
      </c>
      <c r="B172" s="36" t="str">
        <f ca="1">IFERROR(__xludf.DUMMYFUNCTION("""COMPUTED_VALUE"""),"Khairahani Nagarpalika")</f>
        <v>Khairahani Nagarpalika</v>
      </c>
      <c r="C172" s="37" t="str">
        <f>VLOOKUP(A172,'[1]Palika and District in Nepali '!$D$1:$F$283,3,FALSE)</f>
        <v>खैरहनी नगरपालिका</v>
      </c>
      <c r="D172" s="36" t="str">
        <f ca="1">IFERROR(__xludf.DUMMYFUNCTION("""COMPUTED_VALUE"""),"Chitwan")</f>
        <v>Chitwan</v>
      </c>
      <c r="E172" s="36"/>
      <c r="F172" s="27">
        <f>VLOOKUP(A172,'[1]Raw Data'!$A$3:$FB$285,4,FALSE)</f>
        <v>988</v>
      </c>
      <c r="G172" s="27">
        <f>VLOOKUP(A172,'[1]Raw Data'!$A$3:$FB$285,5,FALSE)</f>
        <v>578</v>
      </c>
      <c r="H172" s="27">
        <f>VLOOKUP(A172,'[1]Raw Data'!$A$3:$FB$285,6,FALSE)</f>
        <v>1566</v>
      </c>
      <c r="I172" s="27">
        <f>VLOOKUP($A172,'[1]Raw Data'!$A$3:$FB$285,8,FALSE)</f>
        <v>0.96</v>
      </c>
      <c r="J172" s="27">
        <f>VLOOKUP($A172,'[1]Raw Data'!$A$3:$FB$285,9,FALSE)</f>
        <v>1.59</v>
      </c>
      <c r="K172" s="27">
        <f>VLOOKUP($A172,'[1]Raw Data'!$A$3:$FB$285,11,FALSE)</f>
        <v>0.89</v>
      </c>
      <c r="L172" s="27">
        <f>VLOOKUP($A172,'[1]Raw Data'!$A$3:$FB$285,12,FALSE)</f>
        <v>35.369999999999997</v>
      </c>
      <c r="M172" s="27">
        <f>VLOOKUP($A172,'[1]Raw Data'!$A$3:$FB$285,14,FALSE)</f>
        <v>52.55</v>
      </c>
      <c r="N172" s="27">
        <f>VLOOKUP($A172,'[1]Raw Data'!$A$3:$FB$285,15,FALSE)</f>
        <v>37.97</v>
      </c>
      <c r="O172" s="27">
        <f>VLOOKUP($A172,'[1]Raw Data'!$A$3:$FB$285,17,FALSE)</f>
        <v>14.62</v>
      </c>
      <c r="P172" s="27">
        <f>VLOOKUP($A172,'[1]Raw Data'!$A$3:$FB$285,18,FALSE)</f>
        <v>13.49</v>
      </c>
      <c r="Q172" s="27">
        <f>VLOOKUP($A172,'[1]Raw Data'!$A$3:$FB$285,20,FALSE)</f>
        <v>13.6</v>
      </c>
      <c r="R172" s="27">
        <f>VLOOKUP($A172,'[1]Raw Data'!$A$3:$FB$285,21,FALSE)</f>
        <v>6.16</v>
      </c>
      <c r="S172" s="27">
        <f>VLOOKUP($A172,'[1]Raw Data'!$A$3:$FB$285,23,FALSE)</f>
        <v>0</v>
      </c>
      <c r="T172" s="27">
        <f>VLOOKUP($A172,'[1]Raw Data'!$A$3:$FB$285,24,FALSE)</f>
        <v>0</v>
      </c>
      <c r="U172" s="27">
        <f>VLOOKUP($A172,'[1]Raw Data'!$A$3:$FB$285,26,FALSE)</f>
        <v>2.11</v>
      </c>
      <c r="V172" s="27">
        <f>VLOOKUP($A172,'[1]Raw Data'!$A$3:$FB$285,27,FALSE)</f>
        <v>2.7</v>
      </c>
      <c r="W172" s="27">
        <f>VLOOKUP($A172,'[1]Raw Data'!$A$3:$FB$285,29,FALSE)</f>
        <v>0</v>
      </c>
      <c r="X172" s="27">
        <f>VLOOKUP($A172,'[1]Raw Data'!$A$3:$FB$285,30,FALSE)</f>
        <v>0</v>
      </c>
      <c r="Y172" s="27">
        <f>VLOOKUP($A172,'[1]Raw Data'!$A$3:$FB$285,32,FALSE)</f>
        <v>0.38</v>
      </c>
      <c r="Z172" s="27">
        <f>VLOOKUP($A172,'[1]Raw Data'!$A$3:$FB$285,33,FALSE)</f>
        <v>0.27</v>
      </c>
      <c r="AA172" s="27">
        <f>VLOOKUP($A172,'[1]Raw Data'!$A$3:$FB$285,35,FALSE)</f>
        <v>14.62</v>
      </c>
      <c r="AB172" s="27">
        <f>VLOOKUP($A172,'[1]Raw Data'!$A$3:$FB$285,36,FALSE)</f>
        <v>2.0499999999999998</v>
      </c>
      <c r="AC172" s="27">
        <f>VLOOKUP($A172,'[1]Raw Data'!$A$3:$FB$285,38,FALSE)</f>
        <v>0.26</v>
      </c>
      <c r="AD172" s="27">
        <f>VLOOKUP($A172,'[1]Raw Data'!$A$3:$FB$285,39,FALSE)</f>
        <v>0.41</v>
      </c>
      <c r="AE172" s="27">
        <f>VLOOKUP($A172,'[1]Raw Data'!$A$3:$FB$285,41,FALSE)</f>
        <v>0</v>
      </c>
      <c r="AF172" s="27">
        <f>VLOOKUP($A172,'[1]Raw Data'!$A$3:$FB$285,42,FALSE)</f>
        <v>0</v>
      </c>
      <c r="AG172" s="27">
        <f>VLOOKUP($A172,'[1]Raw Data'!$A$3:$FB$285,44,FALSE)</f>
        <v>0</v>
      </c>
      <c r="AH172" s="27">
        <f>VLOOKUP($A172,'[1]Raw Data'!$A$3:$FB$285,45,FALSE)</f>
        <v>0</v>
      </c>
      <c r="AI172" s="27">
        <f>VLOOKUP($A172,'[1]Raw Data'!$A$3:$FB$285,46,FALSE)</f>
        <v>559</v>
      </c>
      <c r="AJ172" s="27">
        <f>VLOOKUP($A172,'[1]Raw Data'!$A$3:$FB$285,47,FALSE)</f>
        <v>523</v>
      </c>
      <c r="AK172" s="27">
        <f>VLOOKUP($A172,'[1]Raw Data'!$A$3:$FB$285,48,FALSE)</f>
        <v>523</v>
      </c>
      <c r="AL172" s="27">
        <f>VLOOKUP($A172,'[1]Raw Data'!$A$3:$FB$285,49,FALSE)</f>
        <v>237</v>
      </c>
      <c r="AM172" s="27">
        <f>VLOOKUP($A172,'[1]Raw Data'!$A$3:$FB$285,50,FALSE)</f>
        <v>178</v>
      </c>
      <c r="AN172" s="27">
        <f>VLOOKUP($A172,'[1]Raw Data'!$A$3:$FB$285,51,FALSE)</f>
        <v>0</v>
      </c>
      <c r="AO172" s="27">
        <f>VLOOKUP($A172,'[1]Raw Data'!$A$3:$FB$285,52,FALSE)</f>
        <v>0</v>
      </c>
      <c r="AP172" s="27">
        <f>VLOOKUP($A172,'[1]Raw Data'!$A$3:$FB$285,53,FALSE)</f>
        <v>4</v>
      </c>
      <c r="AQ172" s="27">
        <f>VLOOKUP($A172,'[1]Raw Data'!$A$3:$FB$285,54,FALSE)</f>
        <v>4</v>
      </c>
      <c r="AR172" s="27">
        <f>VLOOKUP($A172,'[1]Raw Data'!$A$3:$FB$285,55,FALSE)</f>
        <v>4</v>
      </c>
      <c r="AS172" s="27">
        <f>VLOOKUP($A172,'[1]Raw Data'!$A$3:$FB$285,56,FALSE)</f>
        <v>0</v>
      </c>
      <c r="AT172" s="27">
        <f>VLOOKUP($A172,'[1]Raw Data'!$A$3:$FB$285,57,FALSE)</f>
        <v>557</v>
      </c>
      <c r="AU172" s="27" t="str">
        <f>VLOOKUP($A172,'[1]Raw Data'!$A$3:$FB$285,58,FALSE)</f>
        <v/>
      </c>
      <c r="AV172" s="27" t="str">
        <f>VLOOKUP($A172,'[1]Raw Data'!$A$3:$FB$285,59,FALSE)</f>
        <v/>
      </c>
      <c r="AW172" s="27" t="str">
        <f>VLOOKUP($A172,'[1]Raw Data'!$A$3:$FB$285,60,FALSE)</f>
        <v/>
      </c>
      <c r="AX172" s="27" t="str">
        <f>VLOOKUP(A172,'[1]PO''s List'!A170:E452,4,FALSE)</f>
        <v/>
      </c>
      <c r="AZ172" s="27" t="str">
        <f>VLOOKUP(A172,'[1]PO''s List'!$A$3:$E$285,5,FALSE)</f>
        <v/>
      </c>
      <c r="BB172" s="27">
        <f>VLOOKUP($A172,'[1]Raw Data'!$A$3:$FB$285,63,FALSE)</f>
        <v>22824</v>
      </c>
      <c r="BC172" s="27" t="str">
        <f>VLOOKUP($A172,'[1]Raw Data'!$A$3:$FB$285,64,FALSE)</f>
        <v/>
      </c>
      <c r="BD172" s="27" t="str">
        <f t="shared" si="18"/>
        <v/>
      </c>
      <c r="BE172" s="27" t="str">
        <f>VLOOKUP($A172,'[1]Raw Data'!$A$3:$FB$285,65,FALSE)</f>
        <v/>
      </c>
      <c r="BF172" s="27">
        <f>VLOOKUP($A172,'[1]Raw Data'!$A$3:$FB$285,66,FALSE)</f>
        <v>7939</v>
      </c>
      <c r="BG172" s="27" t="str">
        <f>VLOOKUP($A172,'[1]Raw Data'!$A$3:$FB$285,67,FALSE)</f>
        <v/>
      </c>
      <c r="BH172" s="27" t="str">
        <f t="shared" si="19"/>
        <v/>
      </c>
      <c r="BI172" s="27" t="str">
        <f>VLOOKUP($A172,'[1]Raw Data'!$A$3:$FB$285,68,FALSE)</f>
        <v/>
      </c>
      <c r="BJ172" s="27">
        <f>VLOOKUP($A172,'[1]Raw Data'!$A$3:$FB$285,69,FALSE)</f>
        <v>2305</v>
      </c>
      <c r="BK172" s="27" t="str">
        <f>VLOOKUP($A172,'[1]Raw Data'!$A$3:$FB$285,70,FALSE)</f>
        <v/>
      </c>
      <c r="BL172" s="27" t="str">
        <f t="shared" si="20"/>
        <v/>
      </c>
      <c r="BM172" s="27" t="str">
        <f>VLOOKUP($A172,'[1]Raw Data'!$A$3:$FB$285,71,FALSE)</f>
        <v/>
      </c>
      <c r="BN172" s="27">
        <f>VLOOKUP($A172,'[1]Raw Data'!$A$3:$FB$285,72,FALSE)</f>
        <v>2171</v>
      </c>
      <c r="BO172" s="27" t="str">
        <f>VLOOKUP($A172,'[1]Raw Data'!$A$3:$FB$285,73,FALSE)</f>
        <v/>
      </c>
      <c r="BP172" s="27" t="str">
        <f t="shared" si="21"/>
        <v/>
      </c>
      <c r="BQ172" s="27" t="str">
        <f>VLOOKUP($A172,'[1]Raw Data'!$A$3:$FB$285,74,FALSE)</f>
        <v/>
      </c>
      <c r="BR172" s="27" t="str">
        <f>VLOOKUP($A172,'[1]Raw Data'!$A$3:$FB$285,75,FALSE)</f>
        <v/>
      </c>
      <c r="BS172" s="27" t="str">
        <f>VLOOKUP($A172,'[1]Raw Data'!$A$3:$FB$285,76,FALSE)</f>
        <v/>
      </c>
      <c r="BT172" s="27" t="str">
        <f t="shared" si="22"/>
        <v/>
      </c>
      <c r="BU172" s="27" t="str">
        <f>VLOOKUP($A172,'[1]Raw Data'!$A$3:$FB$285,77,FALSE)</f>
        <v/>
      </c>
      <c r="BV172" s="27">
        <f>VLOOKUP($A172,'[1]Raw Data'!$A$3:$FB$285,78,FALSE)</f>
        <v>37302</v>
      </c>
      <c r="BW172" s="27" t="str">
        <f>VLOOKUP($A172,'[1]Raw Data'!$A$3:$FB$285,79,FALSE)</f>
        <v/>
      </c>
      <c r="BX172" s="27" t="str">
        <f t="shared" si="23"/>
        <v/>
      </c>
      <c r="BY172" s="27" t="str">
        <f>VLOOKUP($A172,'[1]Raw Data'!$A$3:$FB$285,80,FALSE)</f>
        <v/>
      </c>
      <c r="BZ172" s="27">
        <f>VLOOKUP($A172,'[1]Raw Data'!$A$3:$FB$285,81,FALSE)</f>
        <v>282070</v>
      </c>
      <c r="CA172" s="27" t="str">
        <f>VLOOKUP($A172,'[1]Raw Data'!$A$3:$FB$285,82,FALSE)</f>
        <v/>
      </c>
      <c r="CB172" s="27" t="str">
        <f t="shared" si="24"/>
        <v/>
      </c>
      <c r="CC172" s="27" t="str">
        <f>VLOOKUP($A172,'[1]Raw Data'!$A$3:$FB$285,83,FALSE)</f>
        <v/>
      </c>
      <c r="CD172" s="27">
        <f>VLOOKUP($A172,'[1]Raw Data'!$A$3:$FB$285,84,FALSE)</f>
        <v>1552</v>
      </c>
      <c r="CE172" s="27" t="str">
        <f>VLOOKUP($A172,'[1]Raw Data'!$A$3:$FB$285,85,FALSE)</f>
        <v/>
      </c>
      <c r="CF172" s="27" t="str">
        <f t="shared" si="25"/>
        <v/>
      </c>
      <c r="CG172" s="27" t="str">
        <f>VLOOKUP($A172,'[1]Raw Data'!$A$3:$FB$285,86,FALSE)</f>
        <v/>
      </c>
      <c r="CH172" s="27">
        <f>VLOOKUP($A172,'[1]Raw Data'!$A$3:$FB$285,87,FALSE)</f>
        <v>2658641</v>
      </c>
      <c r="CI172" s="27" t="str">
        <f>VLOOKUP($A172,'[1]Raw Data'!$A$3:$FB$285,88,FALSE)</f>
        <v/>
      </c>
      <c r="CJ172" s="27" t="str">
        <f t="shared" si="26"/>
        <v/>
      </c>
      <c r="CK172" s="27" t="str">
        <f>VLOOKUP($A172,'[1]Raw Data'!$A$3:$FB$285,89,FALSE)</f>
        <v/>
      </c>
      <c r="CL172" s="27" t="str">
        <f>VLOOKUP($A172,'[1]Raw Data'!$A$3:$FB$285,91,FALSE)</f>
        <v/>
      </c>
      <c r="CM172" s="27" t="str">
        <f>VLOOKUP($A172,'[1]Raw Data'!$A$3:$FB$285,93,FALSE)</f>
        <v/>
      </c>
      <c r="CN172" s="27" t="str">
        <f>VLOOKUP($A172,'[1]Raw Data'!$A$3:$FB$285,94,FALSE)</f>
        <v/>
      </c>
      <c r="CO172" s="27" t="str">
        <f>VLOOKUP($A172,'[1]Raw Data'!$A$3:$FB$285,95,FALSE)</f>
        <v/>
      </c>
      <c r="CP172" s="27" t="str">
        <f>VLOOKUP($A172,'[1]Raw Data'!$A$3:$FB$285,96,FALSE)</f>
        <v/>
      </c>
      <c r="CQ172" s="27" t="str">
        <f>VLOOKUP($A172,'[1]Raw Data'!$A$3:$FB$285,97,FALSE)</f>
        <v/>
      </c>
      <c r="CR172" s="27" t="str">
        <f>VLOOKUP($A172,'[1]Raw Data'!$A$3:$FB$285,98,FALSE)</f>
        <v/>
      </c>
      <c r="CS172" s="27" t="str">
        <f>VLOOKUP($A172,'[1]Raw Data'!$A$3:$FB$285,99,FALSE)</f>
        <v/>
      </c>
      <c r="CT172" s="27" t="str">
        <f>VLOOKUP($A172,'[1]Raw Data'!$A$3:$FB$285,101,FALSE)</f>
        <v>Lal Madi Chaudhary</v>
      </c>
      <c r="CU172" s="27" t="s">
        <v>1359</v>
      </c>
      <c r="CV172" s="27" t="str">
        <f>VLOOKUP($A172,'[1]Raw Data'!$A$3:$FB$285,102,FALSE)</f>
        <v>Mayor</v>
      </c>
      <c r="CW172" s="27" t="s">
        <v>834</v>
      </c>
      <c r="CX172" s="27">
        <f>VLOOKUP($A172,'[1]Raw Data'!$A$3:$FB$285,103,FALSE)</f>
        <v>9855064807</v>
      </c>
      <c r="CY172" s="27" t="str">
        <f>VLOOKUP($A172,'[1]Raw Data'!$A$3:$FB$285,105,FALSE)</f>
        <v>Sunita Thapaliya</v>
      </c>
      <c r="CZ172" s="27" t="s">
        <v>1360</v>
      </c>
      <c r="DA172" s="27" t="str">
        <f>VLOOKUP($A172,'[1]Raw Data'!$A$3:$FB$285,106,FALSE)</f>
        <v>Deputy Mayor</v>
      </c>
      <c r="DB172" s="27" t="s">
        <v>888</v>
      </c>
      <c r="DC172" s="27">
        <f>VLOOKUP($A172,'[1]Raw Data'!$A$3:$FB$285,107,FALSE)</f>
        <v>9845055165</v>
      </c>
      <c r="DD172" s="27" t="str">
        <f>VLOOKUP($A172,'[1]Raw Data'!$A$3:$FB$285,109,FALSE)</f>
        <v>Purshottam Sharma</v>
      </c>
      <c r="DE172" s="27" t="s">
        <v>1361</v>
      </c>
      <c r="DF172" s="27" t="str">
        <f>VLOOKUP($A172,'[1]Raw Data'!$A$3:$FB$285,110,FALSE)</f>
        <v>Chief Adminstration Officer</v>
      </c>
      <c r="DG172" s="27" t="s">
        <v>880</v>
      </c>
      <c r="DH172" s="27">
        <f>VLOOKUP($A172,'[1]Raw Data'!$A$3:$FB$285,111,FALSE)</f>
        <v>9855015111</v>
      </c>
      <c r="DI172" s="27" t="str">
        <f>VLOOKUP($A172,'[1]Raw Data'!$A$3:$FB$285,121,FALSE)</f>
        <v>Prakash Chandra Poudel</v>
      </c>
      <c r="DJ172" s="27" t="s">
        <v>1362</v>
      </c>
      <c r="DK172" s="27" t="str">
        <f>VLOOKUP($A172,'[1]Raw Data'!$A$3:$FB$285,122,FALSE)</f>
        <v>Focal Person</v>
      </c>
      <c r="DL172" s="27" t="s">
        <v>881</v>
      </c>
      <c r="DM172" s="27">
        <f>VLOOKUP($A172,'[1]Raw Data'!$A$3:$FB$285,123,FALSE)</f>
        <v>9855061131</v>
      </c>
      <c r="DN172" s="27" t="str">
        <f>VLOOKUP($A172,'[1]Raw Data'!$A$3:$FB$285,113,FALSE)</f>
        <v>Puskar Prasad Pokharel</v>
      </c>
      <c r="DO172" s="27" t="s">
        <v>1350</v>
      </c>
      <c r="DP172" s="27" t="str">
        <f>VLOOKUP($A172,'[1]Raw Data'!$A$3:$FB$285,114,FALSE)</f>
        <v>NRA Chief-District</v>
      </c>
      <c r="DQ172" s="27" t="s">
        <v>882</v>
      </c>
      <c r="DR172" s="27">
        <f>VLOOKUP($A172,'[1]Raw Data'!$A$3:$FB$285,115,FALSE)</f>
        <v>9855083820</v>
      </c>
      <c r="DS172" s="27" t="str">
        <f>VLOOKUP($A172,'[1]Raw Data'!$A$3:$FB$285,117,FALSE)</f>
        <v>Sudip Acharya</v>
      </c>
      <c r="DT172" s="27" t="s">
        <v>1306</v>
      </c>
      <c r="DU172" s="27" t="str">
        <f>VLOOKUP($A172,'[1]Raw Data'!$A$3:$FB$285,118,FALSE)</f>
        <v>DUDBC.DLPIU Chief</v>
      </c>
      <c r="DV172" s="27" t="s">
        <v>883</v>
      </c>
      <c r="DW172" s="27">
        <f>VLOOKUP($A172,'[1]Raw Data'!$A$3:$FB$285,119,FALSE)</f>
        <v>9855071284</v>
      </c>
      <c r="DX172" s="27" t="s">
        <v>339</v>
      </c>
      <c r="DY172" s="27" t="str">
        <f>VLOOKUP($A172,'[1]Raw Data'!$A$3:$FB$285,124,FALSE)</f>
        <v/>
      </c>
      <c r="DZ172" s="27" t="s">
        <v>884</v>
      </c>
      <c r="EA172" s="27" t="str">
        <f>VLOOKUP($A172,'[1]Raw Data'!$A$3:$FB$285,125,FALSE)</f>
        <v/>
      </c>
      <c r="EB172" s="27" t="s">
        <v>341</v>
      </c>
      <c r="EC172" s="27" t="str">
        <f>VLOOKUP($A172,'[1]Raw Data'!$A$3:$FB$285,126,FALSE)</f>
        <v/>
      </c>
      <c r="ED172" t="s">
        <v>478</v>
      </c>
      <c r="EE172" s="27" t="str">
        <f>VLOOKUP($A172,'[1]Raw Data'!$A$3:$FB$285,127,FALSE)</f>
        <v/>
      </c>
      <c r="EF172" s="27" t="s">
        <v>343</v>
      </c>
      <c r="EG172" s="27" t="str">
        <f>VLOOKUP($A172,'[1]Raw Data'!$A$3:$FB$285,128,FALSE)</f>
        <v/>
      </c>
      <c r="EH172" t="s">
        <v>344</v>
      </c>
      <c r="EI172" s="27" t="str">
        <f>VLOOKUP($A172,'[1]Raw Data'!$A$3:$FB$285,129,FALSE)</f>
        <v/>
      </c>
      <c r="EM172" s="27" t="str">
        <f>VLOOKUP($A172,'[1]Raw Data'!$A$3:$FB$285,130,FALSE)</f>
        <v/>
      </c>
      <c r="EN172" s="27" t="str">
        <f>VLOOKUP($A172,'[1]Raw Data'!$A$3:$FB$285,131,FALSE)</f>
        <v/>
      </c>
      <c r="EO172" s="27" t="str">
        <f>VLOOKUP($A172,'[1]Raw Data'!$A$3:$FB$285,132,FALSE)</f>
        <v/>
      </c>
      <c r="EP172" s="27" t="str">
        <f>VLOOKUP($A172,'[1]Raw Data'!$A$3:$FB$285,133,FALSE)</f>
        <v/>
      </c>
      <c r="EQ172" s="27" t="str">
        <f>VLOOKUP($A172,'[1]Raw Data'!$A$3:$FB$285,134,FALSE)</f>
        <v/>
      </c>
      <c r="ER172" s="27" t="str">
        <f>VLOOKUP($A172,'[1]Raw Data'!$A$3:$FB$285,135,FALSE)</f>
        <v/>
      </c>
      <c r="ES172" s="27" t="str">
        <f>VLOOKUP($A172,'[1]Raw Data'!$A$3:$FB$285,136,FALSE)</f>
        <v/>
      </c>
      <c r="ET172" s="27" t="str">
        <f>VLOOKUP($A172,'[1]Raw Data'!$A$3:$FB$285,137,FALSE)</f>
        <v/>
      </c>
      <c r="EU172" s="27" t="str">
        <f>VLOOKUP($A172,'[1]Raw Data'!$A$3:$FB$285,138,FALSE)</f>
        <v/>
      </c>
      <c r="EV172" s="27" t="str">
        <f>VLOOKUP($A172,'[1]Raw Data'!$A$3:$FB$285,139,FALSE)</f>
        <v/>
      </c>
      <c r="EW172" s="38">
        <f>VLOOKUP($A172,[1]Training!$A$2:$I$284,5,FALSE)</f>
        <v>43</v>
      </c>
      <c r="EX172" s="31">
        <f>VLOOKUP($A172,[1]Training!$A$2:$I$284,6,FALSE)</f>
        <v>0</v>
      </c>
      <c r="EY172" s="38">
        <f>VLOOKUP($A172,[1]Training!$A$2:$I$284,8,FALSE)</f>
        <v>50.81818181818182</v>
      </c>
      <c r="EZ172" s="31">
        <f>VLOOKUP($A172,[1]Training!$A$2:$I$284,9,FALSE)</f>
        <v>0</v>
      </c>
      <c r="FA172" s="27">
        <v>1</v>
      </c>
      <c r="FB172" s="27">
        <v>2</v>
      </c>
      <c r="FC172" s="27" t="str">
        <f>VLOOKUP($A172,'[1]Raw Data'!$A$3:$FB$285,148,FALSE)</f>
        <v xml:space="preserve">Hari Prasad Thalang </v>
      </c>
      <c r="FE172" s="27" t="str">
        <f>VLOOKUP($A172,'[1]Raw Data'!$A$3:$FB$285,149,FALSE)</f>
        <v>District Coordinator</v>
      </c>
      <c r="FF172" s="27" t="s">
        <v>885</v>
      </c>
      <c r="FG172" s="27">
        <f>VLOOKUP($A172,'[1]Raw Data'!$A$3:$FB$285,150,FALSE)</f>
        <v>9851224505</v>
      </c>
      <c r="FH172" s="27" t="str">
        <f>VLOOKUP($A172,'[1]Raw Data'!$A$3:$FB$285,156,FALSE)</f>
        <v>Kausal Bist</v>
      </c>
      <c r="FJ172" s="27" t="str">
        <f>VLOOKUP($A172,'[1]Raw Data'!$A$3:$FB$285,157,FALSE)</f>
        <v>District Technical Officer</v>
      </c>
      <c r="FK172" s="27" t="s">
        <v>886</v>
      </c>
      <c r="FL172" s="27">
        <f>VLOOKUP($A172,'[1]Raw Data'!$A$3:$FB$285,158,FALSE)</f>
        <v>9849787273</v>
      </c>
      <c r="FM172" s="27" t="str">
        <f>VLOOKUP($A172,'[1]Raw Data'!$A$3:$FB$285,152,FALSE)</f>
        <v xml:space="preserve">Nirmal Nepali </v>
      </c>
      <c r="FO172" s="27" t="str">
        <f>VLOOKUP($A172,'[1]Raw Data'!$A$3:$FB$285,153,FALSE)</f>
        <v>DIstrict Information Management Officer</v>
      </c>
      <c r="FP172" s="27" t="s">
        <v>887</v>
      </c>
      <c r="FQ172" s="27">
        <f>VLOOKUP($A172,'[1]Raw Data'!$A$3:$FB$285,154,FALSE)</f>
        <v>9848500348</v>
      </c>
    </row>
    <row r="173" spans="1:173" ht="24" x14ac:dyDescent="0.45">
      <c r="A173" s="27">
        <v>35005</v>
      </c>
      <c r="B173" s="36" t="str">
        <f ca="1">IFERROR(__xludf.DUMMYFUNCTION("""COMPUTED_VALUE"""),"Madi Nagarpalika")</f>
        <v>Madi Nagarpalika</v>
      </c>
      <c r="C173" s="37" t="str">
        <f>VLOOKUP(A173,'[1]Palika and District in Nepali '!$D$1:$F$283,3,FALSE)</f>
        <v>मादी नगरपालिका</v>
      </c>
      <c r="D173" s="36" t="str">
        <f ca="1">IFERROR(__xludf.DUMMYFUNCTION("""COMPUTED_VALUE"""),"Chitwan")</f>
        <v>Chitwan</v>
      </c>
      <c r="E173" s="36"/>
      <c r="F173" s="27">
        <f>VLOOKUP(A173,'[1]Raw Data'!$A$3:$FB$285,4,FALSE)</f>
        <v>84</v>
      </c>
      <c r="G173" s="27">
        <f>VLOOKUP(A173,'[1]Raw Data'!$A$3:$FB$285,5,FALSE)</f>
        <v>39</v>
      </c>
      <c r="H173" s="27">
        <f>VLOOKUP(A173,'[1]Raw Data'!$A$3:$FB$285,6,FALSE)</f>
        <v>123</v>
      </c>
      <c r="I173" s="27">
        <f>VLOOKUP($A173,'[1]Raw Data'!$A$3:$FB$285,8,FALSE)</f>
        <v>5.69</v>
      </c>
      <c r="J173" s="27">
        <f>VLOOKUP($A173,'[1]Raw Data'!$A$3:$FB$285,9,FALSE)</f>
        <v>1.59</v>
      </c>
      <c r="K173" s="27">
        <f>VLOOKUP($A173,'[1]Raw Data'!$A$3:$FB$285,11,FALSE)</f>
        <v>0.81</v>
      </c>
      <c r="L173" s="27">
        <f>VLOOKUP($A173,'[1]Raw Data'!$A$3:$FB$285,12,FALSE)</f>
        <v>35.369999999999997</v>
      </c>
      <c r="M173" s="27">
        <f>VLOOKUP($A173,'[1]Raw Data'!$A$3:$FB$285,14,FALSE)</f>
        <v>36.590000000000003</v>
      </c>
      <c r="N173" s="27">
        <f>VLOOKUP($A173,'[1]Raw Data'!$A$3:$FB$285,15,FALSE)</f>
        <v>37.97</v>
      </c>
      <c r="O173" s="27">
        <f>VLOOKUP($A173,'[1]Raw Data'!$A$3:$FB$285,17,FALSE)</f>
        <v>45.53</v>
      </c>
      <c r="P173" s="27">
        <f>VLOOKUP($A173,'[1]Raw Data'!$A$3:$FB$285,18,FALSE)</f>
        <v>13.49</v>
      </c>
      <c r="Q173" s="27">
        <f>VLOOKUP($A173,'[1]Raw Data'!$A$3:$FB$285,20,FALSE)</f>
        <v>1.63</v>
      </c>
      <c r="R173" s="27">
        <f>VLOOKUP($A173,'[1]Raw Data'!$A$3:$FB$285,21,FALSE)</f>
        <v>6.16</v>
      </c>
      <c r="S173" s="27">
        <f>VLOOKUP($A173,'[1]Raw Data'!$A$3:$FB$285,23,FALSE)</f>
        <v>0</v>
      </c>
      <c r="T173" s="27">
        <f>VLOOKUP($A173,'[1]Raw Data'!$A$3:$FB$285,24,FALSE)</f>
        <v>0</v>
      </c>
      <c r="U173" s="27">
        <f>VLOOKUP($A173,'[1]Raw Data'!$A$3:$FB$285,26,FALSE)</f>
        <v>9.76</v>
      </c>
      <c r="V173" s="27">
        <f>VLOOKUP($A173,'[1]Raw Data'!$A$3:$FB$285,27,FALSE)</f>
        <v>2.7</v>
      </c>
      <c r="W173" s="27">
        <f>VLOOKUP($A173,'[1]Raw Data'!$A$3:$FB$285,29,FALSE)</f>
        <v>0</v>
      </c>
      <c r="X173" s="27">
        <f>VLOOKUP($A173,'[1]Raw Data'!$A$3:$FB$285,30,FALSE)</f>
        <v>0</v>
      </c>
      <c r="Y173" s="27">
        <f>VLOOKUP($A173,'[1]Raw Data'!$A$3:$FB$285,32,FALSE)</f>
        <v>0</v>
      </c>
      <c r="Z173" s="27">
        <f>VLOOKUP($A173,'[1]Raw Data'!$A$3:$FB$285,33,FALSE)</f>
        <v>0.27</v>
      </c>
      <c r="AA173" s="27">
        <f>VLOOKUP($A173,'[1]Raw Data'!$A$3:$FB$285,35,FALSE)</f>
        <v>0</v>
      </c>
      <c r="AB173" s="27">
        <f>VLOOKUP($A173,'[1]Raw Data'!$A$3:$FB$285,36,FALSE)</f>
        <v>2.0499999999999998</v>
      </c>
      <c r="AC173" s="27">
        <f>VLOOKUP($A173,'[1]Raw Data'!$A$3:$FB$285,38,FALSE)</f>
        <v>0</v>
      </c>
      <c r="AD173" s="27">
        <f>VLOOKUP($A173,'[1]Raw Data'!$A$3:$FB$285,39,FALSE)</f>
        <v>0.41</v>
      </c>
      <c r="AE173" s="27">
        <f>VLOOKUP($A173,'[1]Raw Data'!$A$3:$FB$285,41,FALSE)</f>
        <v>0</v>
      </c>
      <c r="AF173" s="27">
        <f>VLOOKUP($A173,'[1]Raw Data'!$A$3:$FB$285,42,FALSE)</f>
        <v>0</v>
      </c>
      <c r="AG173" s="27">
        <f>VLOOKUP($A173,'[1]Raw Data'!$A$3:$FB$285,44,FALSE)</f>
        <v>0</v>
      </c>
      <c r="AH173" s="27">
        <f>VLOOKUP($A173,'[1]Raw Data'!$A$3:$FB$285,45,FALSE)</f>
        <v>0</v>
      </c>
      <c r="AI173" s="27">
        <f>VLOOKUP($A173,'[1]Raw Data'!$A$3:$FB$285,46,FALSE)</f>
        <v>23</v>
      </c>
      <c r="AJ173" s="27">
        <f>VLOOKUP($A173,'[1]Raw Data'!$A$3:$FB$285,47,FALSE)</f>
        <v>23</v>
      </c>
      <c r="AK173" s="27">
        <f>VLOOKUP($A173,'[1]Raw Data'!$A$3:$FB$285,48,FALSE)</f>
        <v>23</v>
      </c>
      <c r="AL173" s="27">
        <f>VLOOKUP($A173,'[1]Raw Data'!$A$3:$FB$285,49,FALSE)</f>
        <v>19</v>
      </c>
      <c r="AM173" s="27">
        <f>VLOOKUP($A173,'[1]Raw Data'!$A$3:$FB$285,50,FALSE)</f>
        <v>15</v>
      </c>
      <c r="AN173" s="27">
        <f>VLOOKUP($A173,'[1]Raw Data'!$A$3:$FB$285,51,FALSE)</f>
        <v>0</v>
      </c>
      <c r="AO173" s="27">
        <f>VLOOKUP($A173,'[1]Raw Data'!$A$3:$FB$285,52,FALSE)</f>
        <v>0</v>
      </c>
      <c r="AP173" s="27">
        <f>VLOOKUP($A173,'[1]Raw Data'!$A$3:$FB$285,53,FALSE)</f>
        <v>15</v>
      </c>
      <c r="AQ173" s="27">
        <f>VLOOKUP($A173,'[1]Raw Data'!$A$3:$FB$285,54,FALSE)</f>
        <v>13</v>
      </c>
      <c r="AR173" s="27">
        <f>VLOOKUP($A173,'[1]Raw Data'!$A$3:$FB$285,55,FALSE)</f>
        <v>13</v>
      </c>
      <c r="AS173" s="27">
        <f>VLOOKUP($A173,'[1]Raw Data'!$A$3:$FB$285,56,FALSE)</f>
        <v>0</v>
      </c>
      <c r="AT173" s="27">
        <f>VLOOKUP($A173,'[1]Raw Data'!$A$3:$FB$285,57,FALSE)</f>
        <v>21</v>
      </c>
      <c r="AU173" s="27" t="str">
        <f>VLOOKUP($A173,'[1]Raw Data'!$A$3:$FB$285,58,FALSE)</f>
        <v/>
      </c>
      <c r="AV173" s="27" t="str">
        <f>VLOOKUP($A173,'[1]Raw Data'!$A$3:$FB$285,59,FALSE)</f>
        <v/>
      </c>
      <c r="AW173" s="27" t="str">
        <f>VLOOKUP($A173,'[1]Raw Data'!$A$3:$FB$285,60,FALSE)</f>
        <v/>
      </c>
      <c r="AX173" s="27" t="str">
        <f>VLOOKUP(A173,'[1]PO''s List'!A171:E453,4,FALSE)</f>
        <v/>
      </c>
      <c r="AZ173" s="27" t="str">
        <f>VLOOKUP(A173,'[1]PO''s List'!$A$3:$E$285,5,FALSE)</f>
        <v/>
      </c>
      <c r="BB173" s="27">
        <f>VLOOKUP($A173,'[1]Raw Data'!$A$3:$FB$285,63,FALSE)</f>
        <v>780</v>
      </c>
      <c r="BC173" s="27" t="str">
        <f>VLOOKUP($A173,'[1]Raw Data'!$A$3:$FB$285,64,FALSE)</f>
        <v/>
      </c>
      <c r="BD173" s="27" t="str">
        <f t="shared" si="18"/>
        <v/>
      </c>
      <c r="BE173" s="27" t="str">
        <f>VLOOKUP($A173,'[1]Raw Data'!$A$3:$FB$285,65,FALSE)</f>
        <v/>
      </c>
      <c r="BF173" s="27">
        <f>VLOOKUP($A173,'[1]Raw Data'!$A$3:$FB$285,66,FALSE)</f>
        <v>612</v>
      </c>
      <c r="BG173" s="27" t="str">
        <f>VLOOKUP($A173,'[1]Raw Data'!$A$3:$FB$285,67,FALSE)</f>
        <v/>
      </c>
      <c r="BH173" s="27" t="str">
        <f t="shared" si="19"/>
        <v/>
      </c>
      <c r="BI173" s="27" t="str">
        <f>VLOOKUP($A173,'[1]Raw Data'!$A$3:$FB$285,68,FALSE)</f>
        <v/>
      </c>
      <c r="BJ173" s="27">
        <f>VLOOKUP($A173,'[1]Raw Data'!$A$3:$FB$285,69,FALSE)</f>
        <v>82</v>
      </c>
      <c r="BK173" s="27" t="str">
        <f>VLOOKUP($A173,'[1]Raw Data'!$A$3:$FB$285,70,FALSE)</f>
        <v/>
      </c>
      <c r="BL173" s="27" t="str">
        <f t="shared" si="20"/>
        <v/>
      </c>
      <c r="BM173" s="27" t="str">
        <f>VLOOKUP($A173,'[1]Raw Data'!$A$3:$FB$285,71,FALSE)</f>
        <v/>
      </c>
      <c r="BN173" s="27">
        <f>VLOOKUP($A173,'[1]Raw Data'!$A$3:$FB$285,72,FALSE)</f>
        <v>89</v>
      </c>
      <c r="BO173" s="27" t="str">
        <f>VLOOKUP($A173,'[1]Raw Data'!$A$3:$FB$285,73,FALSE)</f>
        <v/>
      </c>
      <c r="BP173" s="27" t="str">
        <f t="shared" si="21"/>
        <v/>
      </c>
      <c r="BQ173" s="27" t="str">
        <f>VLOOKUP($A173,'[1]Raw Data'!$A$3:$FB$285,74,FALSE)</f>
        <v/>
      </c>
      <c r="BR173" s="27" t="str">
        <f>VLOOKUP($A173,'[1]Raw Data'!$A$3:$FB$285,75,FALSE)</f>
        <v/>
      </c>
      <c r="BS173" s="27" t="str">
        <f>VLOOKUP($A173,'[1]Raw Data'!$A$3:$FB$285,76,FALSE)</f>
        <v/>
      </c>
      <c r="BT173" s="27" t="str">
        <f t="shared" si="22"/>
        <v/>
      </c>
      <c r="BU173" s="27" t="str">
        <f>VLOOKUP($A173,'[1]Raw Data'!$A$3:$FB$285,77,FALSE)</f>
        <v/>
      </c>
      <c r="BV173" s="27">
        <f>VLOOKUP($A173,'[1]Raw Data'!$A$3:$FB$285,78,FALSE)</f>
        <v>2338</v>
      </c>
      <c r="BW173" s="27" t="str">
        <f>VLOOKUP($A173,'[1]Raw Data'!$A$3:$FB$285,79,FALSE)</f>
        <v/>
      </c>
      <c r="BX173" s="27" t="str">
        <f t="shared" si="23"/>
        <v/>
      </c>
      <c r="BY173" s="27" t="str">
        <f>VLOOKUP($A173,'[1]Raw Data'!$A$3:$FB$285,80,FALSE)</f>
        <v/>
      </c>
      <c r="BZ173" s="27">
        <f>VLOOKUP($A173,'[1]Raw Data'!$A$3:$FB$285,81,FALSE)</f>
        <v>9115</v>
      </c>
      <c r="CA173" s="27" t="str">
        <f>VLOOKUP($A173,'[1]Raw Data'!$A$3:$FB$285,82,FALSE)</f>
        <v/>
      </c>
      <c r="CB173" s="27" t="str">
        <f t="shared" si="24"/>
        <v/>
      </c>
      <c r="CC173" s="27" t="str">
        <f>VLOOKUP($A173,'[1]Raw Data'!$A$3:$FB$285,83,FALSE)</f>
        <v/>
      </c>
      <c r="CD173" s="27">
        <f>VLOOKUP($A173,'[1]Raw Data'!$A$3:$FB$285,84,FALSE)</f>
        <v>97</v>
      </c>
      <c r="CE173" s="27" t="str">
        <f>VLOOKUP($A173,'[1]Raw Data'!$A$3:$FB$285,85,FALSE)</f>
        <v/>
      </c>
      <c r="CF173" s="27" t="str">
        <f t="shared" si="25"/>
        <v/>
      </c>
      <c r="CG173" s="27" t="str">
        <f>VLOOKUP($A173,'[1]Raw Data'!$A$3:$FB$285,86,FALSE)</f>
        <v/>
      </c>
      <c r="CH173" s="27">
        <f>VLOOKUP($A173,'[1]Raw Data'!$A$3:$FB$285,87,FALSE)</f>
        <v>64523</v>
      </c>
      <c r="CI173" s="27" t="str">
        <f>VLOOKUP($A173,'[1]Raw Data'!$A$3:$FB$285,88,FALSE)</f>
        <v/>
      </c>
      <c r="CJ173" s="27" t="str">
        <f t="shared" si="26"/>
        <v/>
      </c>
      <c r="CK173" s="27" t="str">
        <f>VLOOKUP($A173,'[1]Raw Data'!$A$3:$FB$285,89,FALSE)</f>
        <v/>
      </c>
      <c r="CL173" s="27" t="str">
        <f>VLOOKUP($A173,'[1]Raw Data'!$A$3:$FB$285,91,FALSE)</f>
        <v/>
      </c>
      <c r="CM173" s="27" t="str">
        <f>VLOOKUP($A173,'[1]Raw Data'!$A$3:$FB$285,93,FALSE)</f>
        <v/>
      </c>
      <c r="CN173" s="27" t="str">
        <f>VLOOKUP($A173,'[1]Raw Data'!$A$3:$FB$285,94,FALSE)</f>
        <v/>
      </c>
      <c r="CO173" s="27" t="str">
        <f>VLOOKUP($A173,'[1]Raw Data'!$A$3:$FB$285,95,FALSE)</f>
        <v/>
      </c>
      <c r="CP173" s="27" t="str">
        <f>VLOOKUP($A173,'[1]Raw Data'!$A$3:$FB$285,96,FALSE)</f>
        <v/>
      </c>
      <c r="CQ173" s="27" t="str">
        <f>VLOOKUP($A173,'[1]Raw Data'!$A$3:$FB$285,97,FALSE)</f>
        <v/>
      </c>
      <c r="CR173" s="27" t="str">
        <f>VLOOKUP($A173,'[1]Raw Data'!$A$3:$FB$285,98,FALSE)</f>
        <v/>
      </c>
      <c r="CS173" s="27" t="str">
        <f>VLOOKUP($A173,'[1]Raw Data'!$A$3:$FB$285,99,FALSE)</f>
        <v/>
      </c>
      <c r="CT173" s="27" t="str">
        <f>VLOOKUP($A173,'[1]Raw Data'!$A$3:$FB$285,101,FALSE)</f>
        <v>Thakur Dhakal</v>
      </c>
      <c r="CU173" s="27" t="s">
        <v>1363</v>
      </c>
      <c r="CV173" s="27" t="str">
        <f>VLOOKUP($A173,'[1]Raw Data'!$A$3:$FB$285,102,FALSE)</f>
        <v>Mayor</v>
      </c>
      <c r="CW173" s="27" t="s">
        <v>834</v>
      </c>
      <c r="CX173" s="27">
        <f>VLOOKUP($A173,'[1]Raw Data'!$A$3:$FB$285,103,FALSE)</f>
        <v>9855063665</v>
      </c>
      <c r="CY173" s="27" t="str">
        <f>VLOOKUP($A173,'[1]Raw Data'!$A$3:$FB$285,105,FALSE)</f>
        <v>Tara Kumari Mahato</v>
      </c>
      <c r="CZ173" s="27" t="s">
        <v>1364</v>
      </c>
      <c r="DA173" s="27" t="str">
        <f>VLOOKUP($A173,'[1]Raw Data'!$A$3:$FB$285,106,FALSE)</f>
        <v>Deputy Mayor</v>
      </c>
      <c r="DB173" s="27" t="s">
        <v>888</v>
      </c>
      <c r="DC173" s="27">
        <f>VLOOKUP($A173,'[1]Raw Data'!$A$3:$FB$285,107,FALSE)</f>
        <v>9855048306</v>
      </c>
      <c r="DD173" s="27" t="str">
        <f>VLOOKUP($A173,'[1]Raw Data'!$A$3:$FB$285,109,FALSE)</f>
        <v>Hari Datta Kadel</v>
      </c>
      <c r="DE173" s="27" t="s">
        <v>1365</v>
      </c>
      <c r="DF173" s="27" t="str">
        <f>VLOOKUP($A173,'[1]Raw Data'!$A$3:$FB$285,110,FALSE)</f>
        <v>Chief Adminstration Officer</v>
      </c>
      <c r="DG173" s="27" t="s">
        <v>880</v>
      </c>
      <c r="DH173" s="27">
        <f>VLOOKUP($A173,'[1]Raw Data'!$A$3:$FB$285,111,FALSE)</f>
        <v>9855055306</v>
      </c>
      <c r="DI173" s="27" t="str">
        <f>VLOOKUP($A173,'[1]Raw Data'!$A$3:$FB$285,121,FALSE)</f>
        <v>Santosh Subedi</v>
      </c>
      <c r="DJ173" s="27" t="s">
        <v>1366</v>
      </c>
      <c r="DK173" s="27" t="str">
        <f>VLOOKUP($A173,'[1]Raw Data'!$A$3:$FB$285,122,FALSE)</f>
        <v>Focal Person</v>
      </c>
      <c r="DL173" s="27" t="s">
        <v>881</v>
      </c>
      <c r="DM173" s="27">
        <f>VLOOKUP($A173,'[1]Raw Data'!$A$3:$FB$285,123,FALSE)</f>
        <v>9855046334</v>
      </c>
      <c r="DN173" s="27" t="str">
        <f>VLOOKUP($A173,'[1]Raw Data'!$A$3:$FB$285,113,FALSE)</f>
        <v>Puskar Prasad Pokharel</v>
      </c>
      <c r="DO173" s="27" t="s">
        <v>1350</v>
      </c>
      <c r="DP173" s="27" t="str">
        <f>VLOOKUP($A173,'[1]Raw Data'!$A$3:$FB$285,114,FALSE)</f>
        <v>NRA Chief-District</v>
      </c>
      <c r="DQ173" s="27" t="s">
        <v>882</v>
      </c>
      <c r="DR173" s="27">
        <f>VLOOKUP($A173,'[1]Raw Data'!$A$3:$FB$285,115,FALSE)</f>
        <v>9855083820</v>
      </c>
      <c r="DS173" s="27" t="str">
        <f>VLOOKUP($A173,'[1]Raw Data'!$A$3:$FB$285,117,FALSE)</f>
        <v>Sudip Acharya</v>
      </c>
      <c r="DT173" s="27" t="s">
        <v>1306</v>
      </c>
      <c r="DU173" s="27" t="str">
        <f>VLOOKUP($A173,'[1]Raw Data'!$A$3:$FB$285,118,FALSE)</f>
        <v>DUDBC.DLPIU Chief</v>
      </c>
      <c r="DV173" s="27" t="s">
        <v>883</v>
      </c>
      <c r="DW173" s="27">
        <f>VLOOKUP($A173,'[1]Raw Data'!$A$3:$FB$285,119,FALSE)</f>
        <v>9855071284</v>
      </c>
      <c r="DX173" s="27" t="s">
        <v>339</v>
      </c>
      <c r="DY173" s="27" t="str">
        <f>VLOOKUP($A173,'[1]Raw Data'!$A$3:$FB$285,124,FALSE)</f>
        <v/>
      </c>
      <c r="DZ173" s="27" t="s">
        <v>884</v>
      </c>
      <c r="EA173" s="27" t="str">
        <f>VLOOKUP($A173,'[1]Raw Data'!$A$3:$FB$285,125,FALSE)</f>
        <v/>
      </c>
      <c r="EB173" s="27" t="s">
        <v>341</v>
      </c>
      <c r="EC173" s="27" t="str">
        <f>VLOOKUP($A173,'[1]Raw Data'!$A$3:$FB$285,126,FALSE)</f>
        <v/>
      </c>
      <c r="ED173" t="s">
        <v>478</v>
      </c>
      <c r="EE173" s="27" t="str">
        <f>VLOOKUP($A173,'[1]Raw Data'!$A$3:$FB$285,127,FALSE)</f>
        <v/>
      </c>
      <c r="EF173" s="27" t="s">
        <v>343</v>
      </c>
      <c r="EG173" s="27" t="str">
        <f>VLOOKUP($A173,'[1]Raw Data'!$A$3:$FB$285,128,FALSE)</f>
        <v/>
      </c>
      <c r="EH173" t="s">
        <v>344</v>
      </c>
      <c r="EI173" s="27" t="str">
        <f>VLOOKUP($A173,'[1]Raw Data'!$A$3:$FB$285,129,FALSE)</f>
        <v/>
      </c>
      <c r="EM173" s="27" t="str">
        <f>VLOOKUP($A173,'[1]Raw Data'!$A$3:$FB$285,130,FALSE)</f>
        <v/>
      </c>
      <c r="EN173" s="27" t="str">
        <f>VLOOKUP($A173,'[1]Raw Data'!$A$3:$FB$285,131,FALSE)</f>
        <v/>
      </c>
      <c r="EO173" s="27" t="str">
        <f>VLOOKUP($A173,'[1]Raw Data'!$A$3:$FB$285,132,FALSE)</f>
        <v/>
      </c>
      <c r="EP173" s="27" t="str">
        <f>VLOOKUP($A173,'[1]Raw Data'!$A$3:$FB$285,133,FALSE)</f>
        <v/>
      </c>
      <c r="EQ173" s="27" t="str">
        <f>VLOOKUP($A173,'[1]Raw Data'!$A$3:$FB$285,134,FALSE)</f>
        <v/>
      </c>
      <c r="ER173" s="27" t="str">
        <f>VLOOKUP($A173,'[1]Raw Data'!$A$3:$FB$285,135,FALSE)</f>
        <v/>
      </c>
      <c r="ES173" s="27" t="str">
        <f>VLOOKUP($A173,'[1]Raw Data'!$A$3:$FB$285,136,FALSE)</f>
        <v/>
      </c>
      <c r="ET173" s="27" t="str">
        <f>VLOOKUP($A173,'[1]Raw Data'!$A$3:$FB$285,137,FALSE)</f>
        <v/>
      </c>
      <c r="EU173" s="27" t="str">
        <f>VLOOKUP($A173,'[1]Raw Data'!$A$3:$FB$285,138,FALSE)</f>
        <v/>
      </c>
      <c r="EV173" s="27" t="str">
        <f>VLOOKUP($A173,'[1]Raw Data'!$A$3:$FB$285,139,FALSE)</f>
        <v/>
      </c>
      <c r="EW173" s="38">
        <f>VLOOKUP($A173,[1]Training!$A$2:$I$284,5,FALSE)</f>
        <v>1.7692307692307692</v>
      </c>
      <c r="EX173" s="31">
        <f>VLOOKUP($A173,[1]Training!$A$2:$I$284,6,FALSE)</f>
        <v>0</v>
      </c>
      <c r="EY173" s="38">
        <f>VLOOKUP($A173,[1]Training!$A$2:$I$284,8,FALSE)</f>
        <v>2.0909090909090908</v>
      </c>
      <c r="EZ173" s="31">
        <f>VLOOKUP($A173,[1]Training!$A$2:$I$284,9,FALSE)</f>
        <v>0</v>
      </c>
      <c r="FA173" s="27">
        <v>1</v>
      </c>
      <c r="FB173" s="27">
        <v>2</v>
      </c>
      <c r="FC173" s="27" t="str">
        <f>VLOOKUP($A173,'[1]Raw Data'!$A$3:$FB$285,148,FALSE)</f>
        <v xml:space="preserve">Hari Prasad Thalang </v>
      </c>
      <c r="FE173" s="27" t="str">
        <f>VLOOKUP($A173,'[1]Raw Data'!$A$3:$FB$285,149,FALSE)</f>
        <v>District Coordinator</v>
      </c>
      <c r="FF173" s="27" t="s">
        <v>885</v>
      </c>
      <c r="FG173" s="27">
        <f>VLOOKUP($A173,'[1]Raw Data'!$A$3:$FB$285,150,FALSE)</f>
        <v>9851224505</v>
      </c>
      <c r="FH173" s="27" t="str">
        <f>VLOOKUP($A173,'[1]Raw Data'!$A$3:$FB$285,156,FALSE)</f>
        <v>Kausal Bist</v>
      </c>
      <c r="FJ173" s="27" t="str">
        <f>VLOOKUP($A173,'[1]Raw Data'!$A$3:$FB$285,157,FALSE)</f>
        <v>District Technical Officer</v>
      </c>
      <c r="FK173" s="27" t="s">
        <v>886</v>
      </c>
      <c r="FL173" s="27">
        <f>VLOOKUP($A173,'[1]Raw Data'!$A$3:$FB$285,158,FALSE)</f>
        <v>9849787273</v>
      </c>
      <c r="FM173" s="27" t="str">
        <f>VLOOKUP($A173,'[1]Raw Data'!$A$3:$FB$285,152,FALSE)</f>
        <v xml:space="preserve">Nirmal Nepali </v>
      </c>
      <c r="FO173" s="27" t="str">
        <f>VLOOKUP($A173,'[1]Raw Data'!$A$3:$FB$285,153,FALSE)</f>
        <v>DIstrict Information Management Officer</v>
      </c>
      <c r="FP173" s="27" t="s">
        <v>887</v>
      </c>
      <c r="FQ173" s="27">
        <f>VLOOKUP($A173,'[1]Raw Data'!$A$3:$FB$285,154,FALSE)</f>
        <v>9848500348</v>
      </c>
    </row>
    <row r="174" spans="1:173" ht="24" x14ac:dyDescent="0.45">
      <c r="A174" s="27">
        <v>35006</v>
      </c>
      <c r="B174" s="36" t="str">
        <f ca="1">IFERROR(__xludf.DUMMYFUNCTION("""COMPUTED_VALUE"""),"Rapti Nagarpalika")</f>
        <v>Rapti Nagarpalika</v>
      </c>
      <c r="C174" s="37" t="str">
        <f>VLOOKUP(A174,'[1]Palika and District in Nepali '!$D$1:$F$283,3,FALSE)</f>
        <v>राप्ति नगरपालिका</v>
      </c>
      <c r="D174" s="36" t="str">
        <f ca="1">IFERROR(__xludf.DUMMYFUNCTION("""COMPUTED_VALUE"""),"Chitwan")</f>
        <v>Chitwan</v>
      </c>
      <c r="E174" s="36"/>
      <c r="F174" s="27">
        <f>VLOOKUP(A174,'[1]Raw Data'!$A$3:$FB$285,4,FALSE)</f>
        <v>1490</v>
      </c>
      <c r="G174" s="27">
        <f>VLOOKUP(A174,'[1]Raw Data'!$A$3:$FB$285,5,FALSE)</f>
        <v>2104</v>
      </c>
      <c r="H174" s="27">
        <f>VLOOKUP(A174,'[1]Raw Data'!$A$3:$FB$285,6,FALSE)</f>
        <v>3594</v>
      </c>
      <c r="I174" s="27">
        <f>VLOOKUP($A174,'[1]Raw Data'!$A$3:$FB$285,8,FALSE)</f>
        <v>2.76</v>
      </c>
      <c r="J174" s="27">
        <f>VLOOKUP($A174,'[1]Raw Data'!$A$3:$FB$285,9,FALSE)</f>
        <v>1.59</v>
      </c>
      <c r="K174" s="27">
        <f>VLOOKUP($A174,'[1]Raw Data'!$A$3:$FB$285,11,FALSE)</f>
        <v>36.99</v>
      </c>
      <c r="L174" s="27">
        <f>VLOOKUP($A174,'[1]Raw Data'!$A$3:$FB$285,12,FALSE)</f>
        <v>35.369999999999997</v>
      </c>
      <c r="M174" s="27">
        <f>VLOOKUP($A174,'[1]Raw Data'!$A$3:$FB$285,14,FALSE)</f>
        <v>37.380000000000003</v>
      </c>
      <c r="N174" s="27">
        <f>VLOOKUP($A174,'[1]Raw Data'!$A$3:$FB$285,15,FALSE)</f>
        <v>37.97</v>
      </c>
      <c r="O174" s="27">
        <f>VLOOKUP($A174,'[1]Raw Data'!$A$3:$FB$285,17,FALSE)</f>
        <v>12.9</v>
      </c>
      <c r="P174" s="27">
        <f>VLOOKUP($A174,'[1]Raw Data'!$A$3:$FB$285,18,FALSE)</f>
        <v>13.49</v>
      </c>
      <c r="Q174" s="27">
        <f>VLOOKUP($A174,'[1]Raw Data'!$A$3:$FB$285,20,FALSE)</f>
        <v>5.07</v>
      </c>
      <c r="R174" s="27">
        <f>VLOOKUP($A174,'[1]Raw Data'!$A$3:$FB$285,21,FALSE)</f>
        <v>6.16</v>
      </c>
      <c r="S174" s="27">
        <f>VLOOKUP($A174,'[1]Raw Data'!$A$3:$FB$285,23,FALSE)</f>
        <v>0</v>
      </c>
      <c r="T174" s="27">
        <f>VLOOKUP($A174,'[1]Raw Data'!$A$3:$FB$285,24,FALSE)</f>
        <v>0</v>
      </c>
      <c r="U174" s="27">
        <f>VLOOKUP($A174,'[1]Raw Data'!$A$3:$FB$285,26,FALSE)</f>
        <v>3.65</v>
      </c>
      <c r="V174" s="27">
        <f>VLOOKUP($A174,'[1]Raw Data'!$A$3:$FB$285,27,FALSE)</f>
        <v>2.7</v>
      </c>
      <c r="W174" s="27">
        <f>VLOOKUP($A174,'[1]Raw Data'!$A$3:$FB$285,29,FALSE)</f>
        <v>0</v>
      </c>
      <c r="X174" s="27">
        <f>VLOOKUP($A174,'[1]Raw Data'!$A$3:$FB$285,30,FALSE)</f>
        <v>0</v>
      </c>
      <c r="Y174" s="27">
        <f>VLOOKUP($A174,'[1]Raw Data'!$A$3:$FB$285,32,FALSE)</f>
        <v>0.19</v>
      </c>
      <c r="Z174" s="27">
        <f>VLOOKUP($A174,'[1]Raw Data'!$A$3:$FB$285,33,FALSE)</f>
        <v>0.27</v>
      </c>
      <c r="AA174" s="27">
        <f>VLOOKUP($A174,'[1]Raw Data'!$A$3:$FB$285,35,FALSE)</f>
        <v>0.31</v>
      </c>
      <c r="AB174" s="27">
        <f>VLOOKUP($A174,'[1]Raw Data'!$A$3:$FB$285,36,FALSE)</f>
        <v>2.0499999999999998</v>
      </c>
      <c r="AC174" s="27">
        <f>VLOOKUP($A174,'[1]Raw Data'!$A$3:$FB$285,38,FALSE)</f>
        <v>0.75</v>
      </c>
      <c r="AD174" s="27">
        <f>VLOOKUP($A174,'[1]Raw Data'!$A$3:$FB$285,39,FALSE)</f>
        <v>0.41</v>
      </c>
      <c r="AE174" s="27">
        <f>VLOOKUP($A174,'[1]Raw Data'!$A$3:$FB$285,41,FALSE)</f>
        <v>0</v>
      </c>
      <c r="AF174" s="27">
        <f>VLOOKUP($A174,'[1]Raw Data'!$A$3:$FB$285,42,FALSE)</f>
        <v>0</v>
      </c>
      <c r="AG174" s="27">
        <f>VLOOKUP($A174,'[1]Raw Data'!$A$3:$FB$285,44,FALSE)</f>
        <v>0</v>
      </c>
      <c r="AH174" s="27">
        <f>VLOOKUP($A174,'[1]Raw Data'!$A$3:$FB$285,45,FALSE)</f>
        <v>0</v>
      </c>
      <c r="AI174" s="27">
        <f>VLOOKUP($A174,'[1]Raw Data'!$A$3:$FB$285,46,FALSE)</f>
        <v>2043</v>
      </c>
      <c r="AJ174" s="27">
        <f>VLOOKUP($A174,'[1]Raw Data'!$A$3:$FB$285,47,FALSE)</f>
        <v>1266</v>
      </c>
      <c r="AK174" s="27">
        <f>VLOOKUP($A174,'[1]Raw Data'!$A$3:$FB$285,48,FALSE)</f>
        <v>1266</v>
      </c>
      <c r="AL174" s="27">
        <f>VLOOKUP($A174,'[1]Raw Data'!$A$3:$FB$285,49,FALSE)</f>
        <v>676</v>
      </c>
      <c r="AM174" s="27">
        <f>VLOOKUP($A174,'[1]Raw Data'!$A$3:$FB$285,50,FALSE)</f>
        <v>278</v>
      </c>
      <c r="AN174" s="27">
        <f>VLOOKUP($A174,'[1]Raw Data'!$A$3:$FB$285,51,FALSE)</f>
        <v>0</v>
      </c>
      <c r="AO174" s="27">
        <f>VLOOKUP($A174,'[1]Raw Data'!$A$3:$FB$285,52,FALSE)</f>
        <v>0</v>
      </c>
      <c r="AP174" s="27">
        <f>VLOOKUP($A174,'[1]Raw Data'!$A$3:$FB$285,53,FALSE)</f>
        <v>71</v>
      </c>
      <c r="AQ174" s="27">
        <f>VLOOKUP($A174,'[1]Raw Data'!$A$3:$FB$285,54,FALSE)</f>
        <v>18</v>
      </c>
      <c r="AR174" s="27">
        <f>VLOOKUP($A174,'[1]Raw Data'!$A$3:$FB$285,55,FALSE)</f>
        <v>18</v>
      </c>
      <c r="AS174" s="27">
        <f>VLOOKUP($A174,'[1]Raw Data'!$A$3:$FB$285,56,FALSE)</f>
        <v>0</v>
      </c>
      <c r="AT174" s="27">
        <f>VLOOKUP($A174,'[1]Raw Data'!$A$3:$FB$285,57,FALSE)</f>
        <v>955</v>
      </c>
      <c r="AU174" s="27" t="str">
        <f>VLOOKUP($A174,'[1]Raw Data'!$A$3:$FB$285,58,FALSE)</f>
        <v/>
      </c>
      <c r="AV174" s="27" t="str">
        <f>VLOOKUP($A174,'[1]Raw Data'!$A$3:$FB$285,59,FALSE)</f>
        <v/>
      </c>
      <c r="AW174" s="27" t="str">
        <f>VLOOKUP($A174,'[1]Raw Data'!$A$3:$FB$285,60,FALSE)</f>
        <v/>
      </c>
      <c r="AX174" s="27" t="str">
        <f>VLOOKUP(A174,'[1]PO''s List'!A172:E454,4,FALSE)</f>
        <v/>
      </c>
      <c r="AZ174" s="27" t="str">
        <f>VLOOKUP(A174,'[1]PO''s List'!$A$3:$E$285,5,FALSE)</f>
        <v>Paribartan-N(Education)</v>
      </c>
      <c r="BB174" s="27">
        <f>VLOOKUP($A174,'[1]Raw Data'!$A$3:$FB$285,63,FALSE)</f>
        <v>38633</v>
      </c>
      <c r="BC174" s="27" t="str">
        <f>VLOOKUP($A174,'[1]Raw Data'!$A$3:$FB$285,64,FALSE)</f>
        <v/>
      </c>
      <c r="BD174" s="27" t="str">
        <f t="shared" si="18"/>
        <v/>
      </c>
      <c r="BE174" s="27" t="str">
        <f>VLOOKUP($A174,'[1]Raw Data'!$A$3:$FB$285,65,FALSE)</f>
        <v/>
      </c>
      <c r="BF174" s="27">
        <f>VLOOKUP($A174,'[1]Raw Data'!$A$3:$FB$285,66,FALSE)</f>
        <v>21200</v>
      </c>
      <c r="BG174" s="27" t="str">
        <f>VLOOKUP($A174,'[1]Raw Data'!$A$3:$FB$285,67,FALSE)</f>
        <v/>
      </c>
      <c r="BH174" s="27" t="str">
        <f t="shared" si="19"/>
        <v/>
      </c>
      <c r="BI174" s="27" t="str">
        <f>VLOOKUP($A174,'[1]Raw Data'!$A$3:$FB$285,68,FALSE)</f>
        <v/>
      </c>
      <c r="BJ174" s="27">
        <f>VLOOKUP($A174,'[1]Raw Data'!$A$3:$FB$285,69,FALSE)</f>
        <v>3970</v>
      </c>
      <c r="BK174" s="27" t="str">
        <f>VLOOKUP($A174,'[1]Raw Data'!$A$3:$FB$285,70,FALSE)</f>
        <v/>
      </c>
      <c r="BL174" s="27" t="str">
        <f t="shared" si="20"/>
        <v/>
      </c>
      <c r="BM174" s="27" t="str">
        <f>VLOOKUP($A174,'[1]Raw Data'!$A$3:$FB$285,71,FALSE)</f>
        <v/>
      </c>
      <c r="BN174" s="27">
        <f>VLOOKUP($A174,'[1]Raw Data'!$A$3:$FB$285,72,FALSE)</f>
        <v>4009</v>
      </c>
      <c r="BO174" s="27" t="str">
        <f>VLOOKUP($A174,'[1]Raw Data'!$A$3:$FB$285,73,FALSE)</f>
        <v/>
      </c>
      <c r="BP174" s="27" t="str">
        <f t="shared" si="21"/>
        <v/>
      </c>
      <c r="BQ174" s="27" t="str">
        <f>VLOOKUP($A174,'[1]Raw Data'!$A$3:$FB$285,74,FALSE)</f>
        <v/>
      </c>
      <c r="BR174" s="27" t="str">
        <f>VLOOKUP($A174,'[1]Raw Data'!$A$3:$FB$285,75,FALSE)</f>
        <v/>
      </c>
      <c r="BS174" s="27" t="str">
        <f>VLOOKUP($A174,'[1]Raw Data'!$A$3:$FB$285,76,FALSE)</f>
        <v/>
      </c>
      <c r="BT174" s="27" t="str">
        <f t="shared" si="22"/>
        <v/>
      </c>
      <c r="BU174" s="27" t="str">
        <f>VLOOKUP($A174,'[1]Raw Data'!$A$3:$FB$285,77,FALSE)</f>
        <v/>
      </c>
      <c r="BV174" s="27">
        <f>VLOOKUP($A174,'[1]Raw Data'!$A$3:$FB$285,78,FALSE)</f>
        <v>85424</v>
      </c>
      <c r="BW174" s="27" t="str">
        <f>VLOOKUP($A174,'[1]Raw Data'!$A$3:$FB$285,79,FALSE)</f>
        <v/>
      </c>
      <c r="BX174" s="27" t="str">
        <f t="shared" si="23"/>
        <v/>
      </c>
      <c r="BY174" s="27" t="str">
        <f>VLOOKUP($A174,'[1]Raw Data'!$A$3:$FB$285,80,FALSE)</f>
        <v/>
      </c>
      <c r="BZ174" s="27">
        <f>VLOOKUP($A174,'[1]Raw Data'!$A$3:$FB$285,81,FALSE)</f>
        <v>462839</v>
      </c>
      <c r="CA174" s="27" t="str">
        <f>VLOOKUP($A174,'[1]Raw Data'!$A$3:$FB$285,82,FALSE)</f>
        <v/>
      </c>
      <c r="CB174" s="27" t="str">
        <f t="shared" si="24"/>
        <v/>
      </c>
      <c r="CC174" s="27" t="str">
        <f>VLOOKUP($A174,'[1]Raw Data'!$A$3:$FB$285,83,FALSE)</f>
        <v/>
      </c>
      <c r="CD174" s="27">
        <f>VLOOKUP($A174,'[1]Raw Data'!$A$3:$FB$285,84,FALSE)</f>
        <v>3536</v>
      </c>
      <c r="CE174" s="27" t="str">
        <f>VLOOKUP($A174,'[1]Raw Data'!$A$3:$FB$285,85,FALSE)</f>
        <v/>
      </c>
      <c r="CF174" s="27" t="str">
        <f t="shared" si="25"/>
        <v/>
      </c>
      <c r="CG174" s="27" t="str">
        <f>VLOOKUP($A174,'[1]Raw Data'!$A$3:$FB$285,86,FALSE)</f>
        <v/>
      </c>
      <c r="CH174" s="27">
        <f>VLOOKUP($A174,'[1]Raw Data'!$A$3:$FB$285,87,FALSE)</f>
        <v>3598113</v>
      </c>
      <c r="CI174" s="27" t="str">
        <f>VLOOKUP($A174,'[1]Raw Data'!$A$3:$FB$285,88,FALSE)</f>
        <v/>
      </c>
      <c r="CJ174" s="27" t="str">
        <f t="shared" si="26"/>
        <v/>
      </c>
      <c r="CK174" s="27" t="str">
        <f>VLOOKUP($A174,'[1]Raw Data'!$A$3:$FB$285,89,FALSE)</f>
        <v/>
      </c>
      <c r="CL174" s="27" t="str">
        <f>VLOOKUP($A174,'[1]Raw Data'!$A$3:$FB$285,91,FALSE)</f>
        <v/>
      </c>
      <c r="CM174" s="27" t="str">
        <f>VLOOKUP($A174,'[1]Raw Data'!$A$3:$FB$285,93,FALSE)</f>
        <v/>
      </c>
      <c r="CN174" s="27" t="str">
        <f>VLOOKUP($A174,'[1]Raw Data'!$A$3:$FB$285,94,FALSE)</f>
        <v/>
      </c>
      <c r="CO174" s="27" t="str">
        <f>VLOOKUP($A174,'[1]Raw Data'!$A$3:$FB$285,95,FALSE)</f>
        <v/>
      </c>
      <c r="CP174" s="27" t="str">
        <f>VLOOKUP($A174,'[1]Raw Data'!$A$3:$FB$285,96,FALSE)</f>
        <v/>
      </c>
      <c r="CQ174" s="27" t="str">
        <f>VLOOKUP($A174,'[1]Raw Data'!$A$3:$FB$285,97,FALSE)</f>
        <v/>
      </c>
      <c r="CR174" s="27" t="str">
        <f>VLOOKUP($A174,'[1]Raw Data'!$A$3:$FB$285,98,FALSE)</f>
        <v/>
      </c>
      <c r="CS174" s="27" t="str">
        <f>VLOOKUP($A174,'[1]Raw Data'!$A$3:$FB$285,99,FALSE)</f>
        <v/>
      </c>
      <c r="CT174" s="27" t="str">
        <f>VLOOKUP($A174,'[1]Raw Data'!$A$3:$FB$285,101,FALSE)</f>
        <v>Prava Baral</v>
      </c>
      <c r="CU174" s="27" t="s">
        <v>1367</v>
      </c>
      <c r="CV174" s="27" t="str">
        <f>VLOOKUP($A174,'[1]Raw Data'!$A$3:$FB$285,102,FALSE)</f>
        <v>Mayor</v>
      </c>
      <c r="CW174" s="27" t="s">
        <v>834</v>
      </c>
      <c r="CX174" s="27">
        <f>VLOOKUP($A174,'[1]Raw Data'!$A$3:$FB$285,103,FALSE)</f>
        <v>9845376995</v>
      </c>
      <c r="CY174" s="27" t="str">
        <f>VLOOKUP($A174,'[1]Raw Data'!$A$3:$FB$285,105,FALSE)</f>
        <v>Iman Singh Lama</v>
      </c>
      <c r="CZ174" s="27" t="s">
        <v>1368</v>
      </c>
      <c r="DA174" s="27" t="str">
        <f>VLOOKUP($A174,'[1]Raw Data'!$A$3:$FB$285,106,FALSE)</f>
        <v>Deputy Mayor</v>
      </c>
      <c r="DB174" s="27" t="s">
        <v>888</v>
      </c>
      <c r="DC174" s="27">
        <f>VLOOKUP($A174,'[1]Raw Data'!$A$3:$FB$285,107,FALSE)</f>
        <v>9855055165</v>
      </c>
      <c r="DD174" s="27" t="str">
        <f>VLOOKUP($A174,'[1]Raw Data'!$A$3:$FB$285,109,FALSE)</f>
        <v>Mittha Ram Humagain</v>
      </c>
      <c r="DE174" s="27" t="s">
        <v>1369</v>
      </c>
      <c r="DF174" s="27" t="str">
        <f>VLOOKUP($A174,'[1]Raw Data'!$A$3:$FB$285,110,FALSE)</f>
        <v>Chief Adminstration Officer</v>
      </c>
      <c r="DG174" s="27" t="s">
        <v>880</v>
      </c>
      <c r="DH174" s="27">
        <f>VLOOKUP($A174,'[1]Raw Data'!$A$3:$FB$285,111,FALSE)</f>
        <v>9855043111</v>
      </c>
      <c r="DI174" s="27" t="str">
        <f>VLOOKUP($A174,'[1]Raw Data'!$A$3:$FB$285,121,FALSE)</f>
        <v>Chandra Kant Neupane</v>
      </c>
      <c r="DJ174" s="27" t="s">
        <v>1370</v>
      </c>
      <c r="DK174" s="27" t="str">
        <f>VLOOKUP($A174,'[1]Raw Data'!$A$3:$FB$285,122,FALSE)</f>
        <v>Focal Person</v>
      </c>
      <c r="DL174" s="27" t="s">
        <v>881</v>
      </c>
      <c r="DM174" s="27">
        <f>VLOOKUP($A174,'[1]Raw Data'!$A$3:$FB$285,123,FALSE)</f>
        <v>9845090373</v>
      </c>
      <c r="DN174" s="27" t="str">
        <f>VLOOKUP($A174,'[1]Raw Data'!$A$3:$FB$285,113,FALSE)</f>
        <v>Puskar Prasad Pokharel</v>
      </c>
      <c r="DO174" s="27" t="s">
        <v>1350</v>
      </c>
      <c r="DP174" s="27" t="str">
        <f>VLOOKUP($A174,'[1]Raw Data'!$A$3:$FB$285,114,FALSE)</f>
        <v>NRA Chief-District</v>
      </c>
      <c r="DQ174" s="27" t="s">
        <v>882</v>
      </c>
      <c r="DR174" s="27">
        <f>VLOOKUP($A174,'[1]Raw Data'!$A$3:$FB$285,115,FALSE)</f>
        <v>9855083820</v>
      </c>
      <c r="DS174" s="27" t="str">
        <f>VLOOKUP($A174,'[1]Raw Data'!$A$3:$FB$285,117,FALSE)</f>
        <v>Sudip Acharya</v>
      </c>
      <c r="DT174" s="27" t="s">
        <v>1306</v>
      </c>
      <c r="DU174" s="27" t="str">
        <f>VLOOKUP($A174,'[1]Raw Data'!$A$3:$FB$285,118,FALSE)</f>
        <v>DUDBC.DLPIU Chief</v>
      </c>
      <c r="DV174" s="27" t="s">
        <v>883</v>
      </c>
      <c r="DW174" s="27">
        <f>VLOOKUP($A174,'[1]Raw Data'!$A$3:$FB$285,119,FALSE)</f>
        <v>9855071284</v>
      </c>
      <c r="DX174" s="27" t="s">
        <v>339</v>
      </c>
      <c r="DY174" s="27" t="str">
        <f>VLOOKUP($A174,'[1]Raw Data'!$A$3:$FB$285,124,FALSE)</f>
        <v/>
      </c>
      <c r="DZ174" s="27" t="s">
        <v>884</v>
      </c>
      <c r="EA174" s="27" t="str">
        <f>VLOOKUP($A174,'[1]Raw Data'!$A$3:$FB$285,125,FALSE)</f>
        <v/>
      </c>
      <c r="EB174" s="27" t="s">
        <v>341</v>
      </c>
      <c r="EC174" s="27" t="str">
        <f>VLOOKUP($A174,'[1]Raw Data'!$A$3:$FB$285,126,FALSE)</f>
        <v/>
      </c>
      <c r="ED174" t="s">
        <v>478</v>
      </c>
      <c r="EE174" s="27" t="str">
        <f>VLOOKUP($A174,'[1]Raw Data'!$A$3:$FB$285,127,FALSE)</f>
        <v/>
      </c>
      <c r="EF174" s="27" t="s">
        <v>343</v>
      </c>
      <c r="EG174" s="27" t="str">
        <f>VLOOKUP($A174,'[1]Raw Data'!$A$3:$FB$285,128,FALSE)</f>
        <v/>
      </c>
      <c r="EH174" t="s">
        <v>344</v>
      </c>
      <c r="EI174" s="27" t="str">
        <f>VLOOKUP($A174,'[1]Raw Data'!$A$3:$FB$285,129,FALSE)</f>
        <v/>
      </c>
      <c r="EM174" s="27" t="str">
        <f>VLOOKUP($A174,'[1]Raw Data'!$A$3:$FB$285,130,FALSE)</f>
        <v/>
      </c>
      <c r="EN174" s="27" t="str">
        <f>VLOOKUP($A174,'[1]Raw Data'!$A$3:$FB$285,131,FALSE)</f>
        <v/>
      </c>
      <c r="EO174" s="27" t="str">
        <f>VLOOKUP($A174,'[1]Raw Data'!$A$3:$FB$285,132,FALSE)</f>
        <v/>
      </c>
      <c r="EP174" s="27" t="str">
        <f>VLOOKUP($A174,'[1]Raw Data'!$A$3:$FB$285,133,FALSE)</f>
        <v/>
      </c>
      <c r="EQ174" s="27" t="str">
        <f>VLOOKUP($A174,'[1]Raw Data'!$A$3:$FB$285,134,FALSE)</f>
        <v/>
      </c>
      <c r="ER174" s="27" t="str">
        <f>VLOOKUP($A174,'[1]Raw Data'!$A$3:$FB$285,135,FALSE)</f>
        <v/>
      </c>
      <c r="ES174" s="27" t="str">
        <f>VLOOKUP($A174,'[1]Raw Data'!$A$3:$FB$285,136,FALSE)</f>
        <v/>
      </c>
      <c r="ET174" s="27" t="str">
        <f>VLOOKUP($A174,'[1]Raw Data'!$A$3:$FB$285,137,FALSE)</f>
        <v/>
      </c>
      <c r="EU174" s="27" t="str">
        <f>VLOOKUP($A174,'[1]Raw Data'!$A$3:$FB$285,138,FALSE)</f>
        <v/>
      </c>
      <c r="EV174" s="27" t="str">
        <f>VLOOKUP($A174,'[1]Raw Data'!$A$3:$FB$285,139,FALSE)</f>
        <v/>
      </c>
      <c r="EW174" s="38">
        <f>VLOOKUP($A174,[1]Training!$A$2:$I$284,5,FALSE)</f>
        <v>157.46153846153845</v>
      </c>
      <c r="EX174" s="31">
        <f>VLOOKUP($A174,[1]Training!$A$2:$I$284,6,FALSE)</f>
        <v>0</v>
      </c>
      <c r="EY174" s="38">
        <f>VLOOKUP($A174,[1]Training!$A$2:$I$284,8,FALSE)</f>
        <v>186.09090909090909</v>
      </c>
      <c r="EZ174" s="31">
        <f>VLOOKUP($A174,[1]Training!$A$2:$I$284,9,FALSE)</f>
        <v>0</v>
      </c>
      <c r="FA174" s="27">
        <v>1</v>
      </c>
      <c r="FB174" s="27">
        <v>2</v>
      </c>
      <c r="FC174" s="27" t="str">
        <f>VLOOKUP($A174,'[1]Raw Data'!$A$3:$FB$285,148,FALSE)</f>
        <v xml:space="preserve">Hari Prasad Thalang </v>
      </c>
      <c r="FE174" s="27" t="str">
        <f>VLOOKUP($A174,'[1]Raw Data'!$A$3:$FB$285,149,FALSE)</f>
        <v>District Coordinator</v>
      </c>
      <c r="FF174" s="27" t="s">
        <v>885</v>
      </c>
      <c r="FG174" s="27">
        <f>VLOOKUP($A174,'[1]Raw Data'!$A$3:$FB$285,150,FALSE)</f>
        <v>9851224505</v>
      </c>
      <c r="FH174" s="27" t="str">
        <f>VLOOKUP($A174,'[1]Raw Data'!$A$3:$FB$285,156,FALSE)</f>
        <v>Kausal Bist</v>
      </c>
      <c r="FJ174" s="27" t="str">
        <f>VLOOKUP($A174,'[1]Raw Data'!$A$3:$FB$285,157,FALSE)</f>
        <v>District Technical Officer</v>
      </c>
      <c r="FK174" s="27" t="s">
        <v>886</v>
      </c>
      <c r="FL174" s="27">
        <f>VLOOKUP($A174,'[1]Raw Data'!$A$3:$FB$285,158,FALSE)</f>
        <v>9849787273</v>
      </c>
      <c r="FM174" s="27" t="str">
        <f>VLOOKUP($A174,'[1]Raw Data'!$A$3:$FB$285,152,FALSE)</f>
        <v xml:space="preserve">Nirmal Nepali </v>
      </c>
      <c r="FO174" s="27" t="str">
        <f>VLOOKUP($A174,'[1]Raw Data'!$A$3:$FB$285,153,FALSE)</f>
        <v>DIstrict Information Management Officer</v>
      </c>
      <c r="FP174" s="27" t="s">
        <v>887</v>
      </c>
      <c r="FQ174" s="27">
        <f>VLOOKUP($A174,'[1]Raw Data'!$A$3:$FB$285,154,FALSE)</f>
        <v>9848500348</v>
      </c>
    </row>
    <row r="175" spans="1:173" ht="24" x14ac:dyDescent="0.45">
      <c r="A175" s="27">
        <v>35007</v>
      </c>
      <c r="B175" s="36" t="str">
        <f ca="1">IFERROR(__xludf.DUMMYFUNCTION("""COMPUTED_VALUE"""),"Ratnanagar Nagarpalika")</f>
        <v>Ratnanagar Nagarpalika</v>
      </c>
      <c r="C175" s="37" t="str">
        <f>VLOOKUP(A175,'[1]Palika and District in Nepali '!$D$1:$F$283,3,FALSE)</f>
        <v>रत्ननगर नगरपालिका</v>
      </c>
      <c r="D175" s="36" t="str">
        <f ca="1">IFERROR(__xludf.DUMMYFUNCTION("""COMPUTED_VALUE"""),"Chitwan")</f>
        <v>Chitwan</v>
      </c>
      <c r="E175" s="36"/>
      <c r="F175" s="27">
        <f>VLOOKUP(A175,'[1]Raw Data'!$A$3:$FB$285,4,FALSE)</f>
        <v>833</v>
      </c>
      <c r="G175" s="27">
        <f>VLOOKUP(A175,'[1]Raw Data'!$A$3:$FB$285,5,FALSE)</f>
        <v>930</v>
      </c>
      <c r="H175" s="27">
        <f>VLOOKUP(A175,'[1]Raw Data'!$A$3:$FB$285,6,FALSE)</f>
        <v>1763</v>
      </c>
      <c r="I175" s="27">
        <f>VLOOKUP($A175,'[1]Raw Data'!$A$3:$FB$285,8,FALSE)</f>
        <v>1.36</v>
      </c>
      <c r="J175" s="27">
        <f>VLOOKUP($A175,'[1]Raw Data'!$A$3:$FB$285,9,FALSE)</f>
        <v>1.59</v>
      </c>
      <c r="K175" s="27">
        <f>VLOOKUP($A175,'[1]Raw Data'!$A$3:$FB$285,11,FALSE)</f>
        <v>3.35</v>
      </c>
      <c r="L175" s="27">
        <f>VLOOKUP($A175,'[1]Raw Data'!$A$3:$FB$285,12,FALSE)</f>
        <v>35.369999999999997</v>
      </c>
      <c r="M175" s="27">
        <f>VLOOKUP($A175,'[1]Raw Data'!$A$3:$FB$285,14,FALSE)</f>
        <v>51.65</v>
      </c>
      <c r="N175" s="27">
        <f>VLOOKUP($A175,'[1]Raw Data'!$A$3:$FB$285,15,FALSE)</f>
        <v>37.97</v>
      </c>
      <c r="O175" s="27">
        <f>VLOOKUP($A175,'[1]Raw Data'!$A$3:$FB$285,17,FALSE)</f>
        <v>31.73</v>
      </c>
      <c r="P175" s="27">
        <f>VLOOKUP($A175,'[1]Raw Data'!$A$3:$FB$285,18,FALSE)</f>
        <v>13.49</v>
      </c>
      <c r="Q175" s="27">
        <f>VLOOKUP($A175,'[1]Raw Data'!$A$3:$FB$285,20,FALSE)</f>
        <v>10.61</v>
      </c>
      <c r="R175" s="27">
        <f>VLOOKUP($A175,'[1]Raw Data'!$A$3:$FB$285,21,FALSE)</f>
        <v>6.16</v>
      </c>
      <c r="S175" s="27">
        <f>VLOOKUP($A175,'[1]Raw Data'!$A$3:$FB$285,23,FALSE)</f>
        <v>0</v>
      </c>
      <c r="T175" s="27">
        <f>VLOOKUP($A175,'[1]Raw Data'!$A$3:$FB$285,24,FALSE)</f>
        <v>0</v>
      </c>
      <c r="U175" s="27">
        <f>VLOOKUP($A175,'[1]Raw Data'!$A$3:$FB$285,26,FALSE)</f>
        <v>0.34</v>
      </c>
      <c r="V175" s="27">
        <f>VLOOKUP($A175,'[1]Raw Data'!$A$3:$FB$285,27,FALSE)</f>
        <v>2.7</v>
      </c>
      <c r="W175" s="27">
        <f>VLOOKUP($A175,'[1]Raw Data'!$A$3:$FB$285,29,FALSE)</f>
        <v>0</v>
      </c>
      <c r="X175" s="27">
        <f>VLOOKUP($A175,'[1]Raw Data'!$A$3:$FB$285,30,FALSE)</f>
        <v>0</v>
      </c>
      <c r="Y175" s="27">
        <f>VLOOKUP($A175,'[1]Raw Data'!$A$3:$FB$285,32,FALSE)</f>
        <v>0.17</v>
      </c>
      <c r="Z175" s="27">
        <f>VLOOKUP($A175,'[1]Raw Data'!$A$3:$FB$285,33,FALSE)</f>
        <v>0.27</v>
      </c>
      <c r="AA175" s="27">
        <f>VLOOKUP($A175,'[1]Raw Data'!$A$3:$FB$285,35,FALSE)</f>
        <v>0.56999999999999995</v>
      </c>
      <c r="AB175" s="27">
        <f>VLOOKUP($A175,'[1]Raw Data'!$A$3:$FB$285,36,FALSE)</f>
        <v>2.0499999999999998</v>
      </c>
      <c r="AC175" s="27">
        <f>VLOOKUP($A175,'[1]Raw Data'!$A$3:$FB$285,38,FALSE)</f>
        <v>0.23</v>
      </c>
      <c r="AD175" s="27">
        <f>VLOOKUP($A175,'[1]Raw Data'!$A$3:$FB$285,39,FALSE)</f>
        <v>0.41</v>
      </c>
      <c r="AE175" s="27">
        <f>VLOOKUP($A175,'[1]Raw Data'!$A$3:$FB$285,41,FALSE)</f>
        <v>0</v>
      </c>
      <c r="AF175" s="27">
        <f>VLOOKUP($A175,'[1]Raw Data'!$A$3:$FB$285,42,FALSE)</f>
        <v>0</v>
      </c>
      <c r="AG175" s="27">
        <f>VLOOKUP($A175,'[1]Raw Data'!$A$3:$FB$285,44,FALSE)</f>
        <v>0</v>
      </c>
      <c r="AH175" s="27">
        <f>VLOOKUP($A175,'[1]Raw Data'!$A$3:$FB$285,45,FALSE)</f>
        <v>0</v>
      </c>
      <c r="AI175" s="27">
        <f>VLOOKUP($A175,'[1]Raw Data'!$A$3:$FB$285,46,FALSE)</f>
        <v>731</v>
      </c>
      <c r="AJ175" s="27">
        <f>VLOOKUP($A175,'[1]Raw Data'!$A$3:$FB$285,47,FALSE)</f>
        <v>650</v>
      </c>
      <c r="AK175" s="27">
        <f>VLOOKUP($A175,'[1]Raw Data'!$A$3:$FB$285,48,FALSE)</f>
        <v>650</v>
      </c>
      <c r="AL175" s="27">
        <f>VLOOKUP($A175,'[1]Raw Data'!$A$3:$FB$285,49,FALSE)</f>
        <v>396</v>
      </c>
      <c r="AM175" s="27">
        <f>VLOOKUP($A175,'[1]Raw Data'!$A$3:$FB$285,50,FALSE)</f>
        <v>334</v>
      </c>
      <c r="AN175" s="27">
        <f>VLOOKUP($A175,'[1]Raw Data'!$A$3:$FB$285,51,FALSE)</f>
        <v>0</v>
      </c>
      <c r="AO175" s="27">
        <f>VLOOKUP($A175,'[1]Raw Data'!$A$3:$FB$285,52,FALSE)</f>
        <v>0</v>
      </c>
      <c r="AP175" s="27">
        <f>VLOOKUP($A175,'[1]Raw Data'!$A$3:$FB$285,53,FALSE)</f>
        <v>175</v>
      </c>
      <c r="AQ175" s="27">
        <f>VLOOKUP($A175,'[1]Raw Data'!$A$3:$FB$285,54,FALSE)</f>
        <v>164</v>
      </c>
      <c r="AR175" s="27">
        <f>VLOOKUP($A175,'[1]Raw Data'!$A$3:$FB$285,55,FALSE)</f>
        <v>164</v>
      </c>
      <c r="AS175" s="27">
        <f>VLOOKUP($A175,'[1]Raw Data'!$A$3:$FB$285,56,FALSE)</f>
        <v>0</v>
      </c>
      <c r="AT175" s="27">
        <f>VLOOKUP($A175,'[1]Raw Data'!$A$3:$FB$285,57,FALSE)</f>
        <v>1052</v>
      </c>
      <c r="AU175" s="27" t="str">
        <f>VLOOKUP($A175,'[1]Raw Data'!$A$3:$FB$285,58,FALSE)</f>
        <v/>
      </c>
      <c r="AV175" s="27" t="str">
        <f>VLOOKUP($A175,'[1]Raw Data'!$A$3:$FB$285,59,FALSE)</f>
        <v/>
      </c>
      <c r="AW175" s="27" t="str">
        <f>VLOOKUP($A175,'[1]Raw Data'!$A$3:$FB$285,60,FALSE)</f>
        <v/>
      </c>
      <c r="AX175" s="27" t="str">
        <f>VLOOKUP(A175,'[1]PO''s List'!A173:E455,4,FALSE)</f>
        <v/>
      </c>
      <c r="AZ175" s="27" t="str">
        <f>VLOOKUP(A175,'[1]PO''s List'!$A$3:$E$285,5,FALSE)</f>
        <v/>
      </c>
      <c r="BB175" s="27">
        <f>VLOOKUP($A175,'[1]Raw Data'!$A$3:$FB$285,63,FALSE)</f>
        <v>36398</v>
      </c>
      <c r="BC175" s="27" t="str">
        <f>VLOOKUP($A175,'[1]Raw Data'!$A$3:$FB$285,64,FALSE)</f>
        <v/>
      </c>
      <c r="BD175" s="27" t="str">
        <f t="shared" si="18"/>
        <v/>
      </c>
      <c r="BE175" s="27" t="str">
        <f>VLOOKUP($A175,'[1]Raw Data'!$A$3:$FB$285,65,FALSE)</f>
        <v/>
      </c>
      <c r="BF175" s="27">
        <f>VLOOKUP($A175,'[1]Raw Data'!$A$3:$FB$285,66,FALSE)</f>
        <v>12959</v>
      </c>
      <c r="BG175" s="27" t="str">
        <f>VLOOKUP($A175,'[1]Raw Data'!$A$3:$FB$285,67,FALSE)</f>
        <v/>
      </c>
      <c r="BH175" s="27" t="str">
        <f t="shared" si="19"/>
        <v/>
      </c>
      <c r="BI175" s="27" t="str">
        <f>VLOOKUP($A175,'[1]Raw Data'!$A$3:$FB$285,68,FALSE)</f>
        <v/>
      </c>
      <c r="BJ175" s="27">
        <f>VLOOKUP($A175,'[1]Raw Data'!$A$3:$FB$285,69,FALSE)</f>
        <v>3678</v>
      </c>
      <c r="BK175" s="27" t="str">
        <f>VLOOKUP($A175,'[1]Raw Data'!$A$3:$FB$285,70,FALSE)</f>
        <v/>
      </c>
      <c r="BL175" s="27" t="str">
        <f t="shared" si="20"/>
        <v/>
      </c>
      <c r="BM175" s="27" t="str">
        <f>VLOOKUP($A175,'[1]Raw Data'!$A$3:$FB$285,71,FALSE)</f>
        <v/>
      </c>
      <c r="BN175" s="27">
        <f>VLOOKUP($A175,'[1]Raw Data'!$A$3:$FB$285,72,FALSE)</f>
        <v>3475</v>
      </c>
      <c r="BO175" s="27" t="str">
        <f>VLOOKUP($A175,'[1]Raw Data'!$A$3:$FB$285,73,FALSE)</f>
        <v/>
      </c>
      <c r="BP175" s="27" t="str">
        <f t="shared" si="21"/>
        <v/>
      </c>
      <c r="BQ175" s="27" t="str">
        <f>VLOOKUP($A175,'[1]Raw Data'!$A$3:$FB$285,74,FALSE)</f>
        <v/>
      </c>
      <c r="BR175" s="27" t="str">
        <f>VLOOKUP($A175,'[1]Raw Data'!$A$3:$FB$285,75,FALSE)</f>
        <v/>
      </c>
      <c r="BS175" s="27" t="str">
        <f>VLOOKUP($A175,'[1]Raw Data'!$A$3:$FB$285,76,FALSE)</f>
        <v/>
      </c>
      <c r="BT175" s="27" t="str">
        <f t="shared" si="22"/>
        <v/>
      </c>
      <c r="BU175" s="27" t="str">
        <f>VLOOKUP($A175,'[1]Raw Data'!$A$3:$FB$285,77,FALSE)</f>
        <v/>
      </c>
      <c r="BV175" s="27">
        <f>VLOOKUP($A175,'[1]Raw Data'!$A$3:$FB$285,78,FALSE)</f>
        <v>60484</v>
      </c>
      <c r="BW175" s="27" t="str">
        <f>VLOOKUP($A175,'[1]Raw Data'!$A$3:$FB$285,79,FALSE)</f>
        <v/>
      </c>
      <c r="BX175" s="27" t="str">
        <f t="shared" si="23"/>
        <v/>
      </c>
      <c r="BY175" s="27" t="str">
        <f>VLOOKUP($A175,'[1]Raw Data'!$A$3:$FB$285,80,FALSE)</f>
        <v/>
      </c>
      <c r="BZ175" s="27">
        <f>VLOOKUP($A175,'[1]Raw Data'!$A$3:$FB$285,81,FALSE)</f>
        <v>449441</v>
      </c>
      <c r="CA175" s="27" t="str">
        <f>VLOOKUP($A175,'[1]Raw Data'!$A$3:$FB$285,82,FALSE)</f>
        <v/>
      </c>
      <c r="CB175" s="27" t="str">
        <f t="shared" si="24"/>
        <v/>
      </c>
      <c r="CC175" s="27" t="str">
        <f>VLOOKUP($A175,'[1]Raw Data'!$A$3:$FB$285,83,FALSE)</f>
        <v/>
      </c>
      <c r="CD175" s="27">
        <f>VLOOKUP($A175,'[1]Raw Data'!$A$3:$FB$285,84,FALSE)</f>
        <v>2516</v>
      </c>
      <c r="CE175" s="27" t="str">
        <f>VLOOKUP($A175,'[1]Raw Data'!$A$3:$FB$285,85,FALSE)</f>
        <v/>
      </c>
      <c r="CF175" s="27" t="str">
        <f t="shared" si="25"/>
        <v/>
      </c>
      <c r="CG175" s="27" t="str">
        <f>VLOOKUP($A175,'[1]Raw Data'!$A$3:$FB$285,86,FALSE)</f>
        <v/>
      </c>
      <c r="CH175" s="27">
        <f>VLOOKUP($A175,'[1]Raw Data'!$A$3:$FB$285,87,FALSE)</f>
        <v>4226592</v>
      </c>
      <c r="CI175" s="27" t="str">
        <f>VLOOKUP($A175,'[1]Raw Data'!$A$3:$FB$285,88,FALSE)</f>
        <v/>
      </c>
      <c r="CJ175" s="27" t="str">
        <f t="shared" si="26"/>
        <v/>
      </c>
      <c r="CK175" s="27" t="str">
        <f>VLOOKUP($A175,'[1]Raw Data'!$A$3:$FB$285,89,FALSE)</f>
        <v/>
      </c>
      <c r="CL175" s="27" t="str">
        <f>VLOOKUP($A175,'[1]Raw Data'!$A$3:$FB$285,91,FALSE)</f>
        <v/>
      </c>
      <c r="CM175" s="27" t="str">
        <f>VLOOKUP($A175,'[1]Raw Data'!$A$3:$FB$285,93,FALSE)</f>
        <v/>
      </c>
      <c r="CN175" s="27" t="str">
        <f>VLOOKUP($A175,'[1]Raw Data'!$A$3:$FB$285,94,FALSE)</f>
        <v/>
      </c>
      <c r="CO175" s="27" t="str">
        <f>VLOOKUP($A175,'[1]Raw Data'!$A$3:$FB$285,95,FALSE)</f>
        <v/>
      </c>
      <c r="CP175" s="27" t="str">
        <f>VLOOKUP($A175,'[1]Raw Data'!$A$3:$FB$285,96,FALSE)</f>
        <v/>
      </c>
      <c r="CQ175" s="27" t="str">
        <f>VLOOKUP($A175,'[1]Raw Data'!$A$3:$FB$285,97,FALSE)</f>
        <v/>
      </c>
      <c r="CR175" s="27" t="str">
        <f>VLOOKUP($A175,'[1]Raw Data'!$A$3:$FB$285,98,FALSE)</f>
        <v/>
      </c>
      <c r="CS175" s="27" t="str">
        <f>VLOOKUP($A175,'[1]Raw Data'!$A$3:$FB$285,99,FALSE)</f>
        <v/>
      </c>
      <c r="CT175" s="27" t="str">
        <f>VLOOKUP($A175,'[1]Raw Data'!$A$3:$FB$285,101,FALSE)</f>
        <v>Narayan Ban</v>
      </c>
      <c r="CU175" s="27" t="s">
        <v>1371</v>
      </c>
      <c r="CV175" s="27" t="str">
        <f>VLOOKUP($A175,'[1]Raw Data'!$A$3:$FB$285,102,FALSE)</f>
        <v>Mayor</v>
      </c>
      <c r="CW175" s="27" t="s">
        <v>834</v>
      </c>
      <c r="CX175" s="27">
        <f>VLOOKUP($A175,'[1]Raw Data'!$A$3:$FB$285,103,FALSE)</f>
        <v>9855024111</v>
      </c>
      <c r="CY175" s="27" t="str">
        <f>VLOOKUP($A175,'[1]Raw Data'!$A$3:$FB$285,105,FALSE)</f>
        <v>Bimal Duwadi</v>
      </c>
      <c r="CZ175" s="27" t="s">
        <v>1372</v>
      </c>
      <c r="DA175" s="27" t="str">
        <f>VLOOKUP($A175,'[1]Raw Data'!$A$3:$FB$285,106,FALSE)</f>
        <v>Deputy Mayor</v>
      </c>
      <c r="DB175" s="27" t="s">
        <v>888</v>
      </c>
      <c r="DC175" s="27">
        <f>VLOOKUP($A175,'[1]Raw Data'!$A$3:$FB$285,107,FALSE)</f>
        <v>9855060046</v>
      </c>
      <c r="DD175" s="27" t="str">
        <f>VLOOKUP($A175,'[1]Raw Data'!$A$3:$FB$285,109,FALSE)</f>
        <v>Babulal Regmi</v>
      </c>
      <c r="DE175" s="27" t="s">
        <v>1373</v>
      </c>
      <c r="DF175" s="27" t="str">
        <f>VLOOKUP($A175,'[1]Raw Data'!$A$3:$FB$285,110,FALSE)</f>
        <v>Chief Adminstration Officer</v>
      </c>
      <c r="DG175" s="27" t="s">
        <v>880</v>
      </c>
      <c r="DH175" s="27">
        <f>VLOOKUP($A175,'[1]Raw Data'!$A$3:$FB$285,111,FALSE)</f>
        <v>9855014111</v>
      </c>
      <c r="DI175" s="27" t="str">
        <f>VLOOKUP($A175,'[1]Raw Data'!$A$3:$FB$285,121,FALSE)</f>
        <v>Urmila Dahal</v>
      </c>
      <c r="DJ175" s="27" t="s">
        <v>1374</v>
      </c>
      <c r="DK175" s="27" t="str">
        <f>VLOOKUP($A175,'[1]Raw Data'!$A$3:$FB$285,122,FALSE)</f>
        <v>Focal Person</v>
      </c>
      <c r="DL175" s="27" t="s">
        <v>881</v>
      </c>
      <c r="DM175" s="27">
        <f>VLOOKUP($A175,'[1]Raw Data'!$A$3:$FB$285,123,FALSE)</f>
        <v>9845350559</v>
      </c>
      <c r="DN175" s="27" t="str">
        <f>VLOOKUP($A175,'[1]Raw Data'!$A$3:$FB$285,113,FALSE)</f>
        <v>Puskar Prasad Pokharel</v>
      </c>
      <c r="DO175" s="27" t="s">
        <v>1350</v>
      </c>
      <c r="DP175" s="27" t="str">
        <f>VLOOKUP($A175,'[1]Raw Data'!$A$3:$FB$285,114,FALSE)</f>
        <v>NRA Chief-District</v>
      </c>
      <c r="DQ175" s="27" t="s">
        <v>882</v>
      </c>
      <c r="DR175" s="27">
        <f>VLOOKUP($A175,'[1]Raw Data'!$A$3:$FB$285,115,FALSE)</f>
        <v>9855083820</v>
      </c>
      <c r="DS175" s="27" t="str">
        <f>VLOOKUP($A175,'[1]Raw Data'!$A$3:$FB$285,117,FALSE)</f>
        <v>Sudip Acharya</v>
      </c>
      <c r="DT175" s="27" t="s">
        <v>1306</v>
      </c>
      <c r="DU175" s="27" t="str">
        <f>VLOOKUP($A175,'[1]Raw Data'!$A$3:$FB$285,118,FALSE)</f>
        <v>DUDBC.DLPIU Chief</v>
      </c>
      <c r="DV175" s="27" t="s">
        <v>883</v>
      </c>
      <c r="DW175" s="27">
        <f>VLOOKUP($A175,'[1]Raw Data'!$A$3:$FB$285,119,FALSE)</f>
        <v>9855071284</v>
      </c>
      <c r="DX175" s="27" t="s">
        <v>339</v>
      </c>
      <c r="DY175" s="27" t="str">
        <f>VLOOKUP($A175,'[1]Raw Data'!$A$3:$FB$285,124,FALSE)</f>
        <v/>
      </c>
      <c r="DZ175" s="27" t="s">
        <v>884</v>
      </c>
      <c r="EA175" s="27" t="str">
        <f>VLOOKUP($A175,'[1]Raw Data'!$A$3:$FB$285,125,FALSE)</f>
        <v/>
      </c>
      <c r="EB175" s="27" t="s">
        <v>341</v>
      </c>
      <c r="EC175" s="27" t="str">
        <f>VLOOKUP($A175,'[1]Raw Data'!$A$3:$FB$285,126,FALSE)</f>
        <v/>
      </c>
      <c r="ED175" t="s">
        <v>478</v>
      </c>
      <c r="EE175" s="27" t="str">
        <f>VLOOKUP($A175,'[1]Raw Data'!$A$3:$FB$285,127,FALSE)</f>
        <v/>
      </c>
      <c r="EF175" s="27" t="s">
        <v>343</v>
      </c>
      <c r="EG175" s="27" t="str">
        <f>VLOOKUP($A175,'[1]Raw Data'!$A$3:$FB$285,128,FALSE)</f>
        <v/>
      </c>
      <c r="EH175" t="s">
        <v>344</v>
      </c>
      <c r="EI175" s="27" t="str">
        <f>VLOOKUP($A175,'[1]Raw Data'!$A$3:$FB$285,129,FALSE)</f>
        <v/>
      </c>
      <c r="EM175" s="27" t="str">
        <f>VLOOKUP($A175,'[1]Raw Data'!$A$3:$FB$285,130,FALSE)</f>
        <v/>
      </c>
      <c r="EN175" s="27" t="str">
        <f>VLOOKUP($A175,'[1]Raw Data'!$A$3:$FB$285,131,FALSE)</f>
        <v/>
      </c>
      <c r="EO175" s="27" t="str">
        <f>VLOOKUP($A175,'[1]Raw Data'!$A$3:$FB$285,132,FALSE)</f>
        <v/>
      </c>
      <c r="EP175" s="27" t="str">
        <f>VLOOKUP($A175,'[1]Raw Data'!$A$3:$FB$285,133,FALSE)</f>
        <v/>
      </c>
      <c r="EQ175" s="27" t="str">
        <f>VLOOKUP($A175,'[1]Raw Data'!$A$3:$FB$285,134,FALSE)</f>
        <v/>
      </c>
      <c r="ER175" s="27" t="str">
        <f>VLOOKUP($A175,'[1]Raw Data'!$A$3:$FB$285,135,FALSE)</f>
        <v/>
      </c>
      <c r="ES175" s="27" t="str">
        <f>VLOOKUP($A175,'[1]Raw Data'!$A$3:$FB$285,136,FALSE)</f>
        <v/>
      </c>
      <c r="ET175" s="27" t="str">
        <f>VLOOKUP($A175,'[1]Raw Data'!$A$3:$FB$285,137,FALSE)</f>
        <v/>
      </c>
      <c r="EU175" s="27" t="str">
        <f>VLOOKUP($A175,'[1]Raw Data'!$A$3:$FB$285,138,FALSE)</f>
        <v/>
      </c>
      <c r="EV175" s="27" t="str">
        <f>VLOOKUP($A175,'[1]Raw Data'!$A$3:$FB$285,139,FALSE)</f>
        <v/>
      </c>
      <c r="EW175" s="38">
        <f>VLOOKUP($A175,[1]Training!$A$2:$I$284,5,FALSE)</f>
        <v>56.307692307692307</v>
      </c>
      <c r="EX175" s="31">
        <f>VLOOKUP($A175,[1]Training!$A$2:$I$284,6,FALSE)</f>
        <v>0</v>
      </c>
      <c r="EY175" s="38">
        <f>VLOOKUP($A175,[1]Training!$A$2:$I$284,8,FALSE)</f>
        <v>66.545454545454547</v>
      </c>
      <c r="EZ175" s="31">
        <f>VLOOKUP($A175,[1]Training!$A$2:$I$284,9,FALSE)</f>
        <v>0</v>
      </c>
      <c r="FA175" s="27">
        <v>1</v>
      </c>
      <c r="FB175" s="27">
        <v>2</v>
      </c>
      <c r="FC175" s="27" t="str">
        <f>VLOOKUP($A175,'[1]Raw Data'!$A$3:$FB$285,148,FALSE)</f>
        <v xml:space="preserve">Hari Prasad Thalang </v>
      </c>
      <c r="FE175" s="27" t="str">
        <f>VLOOKUP($A175,'[1]Raw Data'!$A$3:$FB$285,149,FALSE)</f>
        <v>District Coordinator</v>
      </c>
      <c r="FF175" s="27" t="s">
        <v>885</v>
      </c>
      <c r="FG175" s="27">
        <f>VLOOKUP($A175,'[1]Raw Data'!$A$3:$FB$285,150,FALSE)</f>
        <v>9851224505</v>
      </c>
      <c r="FH175" s="27" t="str">
        <f>VLOOKUP($A175,'[1]Raw Data'!$A$3:$FB$285,156,FALSE)</f>
        <v>Kausal Bist</v>
      </c>
      <c r="FJ175" s="27" t="str">
        <f>VLOOKUP($A175,'[1]Raw Data'!$A$3:$FB$285,157,FALSE)</f>
        <v>District Technical Officer</v>
      </c>
      <c r="FK175" s="27" t="s">
        <v>886</v>
      </c>
      <c r="FL175" s="27">
        <f>VLOOKUP($A175,'[1]Raw Data'!$A$3:$FB$285,158,FALSE)</f>
        <v>9849787273</v>
      </c>
      <c r="FM175" s="27" t="str">
        <f>VLOOKUP($A175,'[1]Raw Data'!$A$3:$FB$285,152,FALSE)</f>
        <v xml:space="preserve">Nirmal Nepali </v>
      </c>
      <c r="FO175" s="27" t="str">
        <f>VLOOKUP($A175,'[1]Raw Data'!$A$3:$FB$285,153,FALSE)</f>
        <v>DIstrict Information Management Officer</v>
      </c>
      <c r="FP175" s="27" t="s">
        <v>887</v>
      </c>
      <c r="FQ175" s="27">
        <f>VLOOKUP($A175,'[1]Raw Data'!$A$3:$FB$285,154,FALSE)</f>
        <v>9848500348</v>
      </c>
    </row>
    <row r="176" spans="1:173" ht="24" x14ac:dyDescent="0.45">
      <c r="A176" s="27">
        <v>36001</v>
      </c>
      <c r="B176" s="36" t="str">
        <f ca="1">IFERROR(__xludf.DUMMYFUNCTION("""COMPUTED_VALUE"""),"Aarughat Gaunpalika")</f>
        <v>Aarughat Gaunpalika</v>
      </c>
      <c r="C176" s="37" t="str">
        <f>VLOOKUP(A176,'[1]Palika and District in Nepali '!$D$1:$F$283,3,FALSE)</f>
        <v>आरूघाट गाउँपालिका</v>
      </c>
      <c r="D176" s="36" t="str">
        <f ca="1">IFERROR(__xludf.DUMMYFUNCTION("""COMPUTED_VALUE"""),"Gorkha")</f>
        <v>Gorkha</v>
      </c>
      <c r="E176" s="36"/>
      <c r="F176" s="27">
        <f>VLOOKUP(A176,'[1]Raw Data'!$A$3:$FB$285,4,FALSE)</f>
        <v>626</v>
      </c>
      <c r="G176" s="27">
        <f>VLOOKUP(A176,'[1]Raw Data'!$A$3:$FB$285,5,FALSE)</f>
        <v>6562</v>
      </c>
      <c r="H176" s="27">
        <f>VLOOKUP(A176,'[1]Raw Data'!$A$3:$FB$285,6,FALSE)</f>
        <v>7188</v>
      </c>
      <c r="I176" s="27">
        <f>VLOOKUP($A176,'[1]Raw Data'!$A$3:$FB$285,8,FALSE)</f>
        <v>0.69</v>
      </c>
      <c r="J176" s="27">
        <f>VLOOKUP($A176,'[1]Raw Data'!$A$3:$FB$285,9,FALSE)</f>
        <v>1.27</v>
      </c>
      <c r="K176" s="27">
        <f>VLOOKUP($A176,'[1]Raw Data'!$A$3:$FB$285,11,FALSE)</f>
        <v>91.73</v>
      </c>
      <c r="L176" s="27">
        <f>VLOOKUP($A176,'[1]Raw Data'!$A$3:$FB$285,12,FALSE)</f>
        <v>82.76</v>
      </c>
      <c r="M176" s="27">
        <f>VLOOKUP($A176,'[1]Raw Data'!$A$3:$FB$285,14,FALSE)</f>
        <v>1.36</v>
      </c>
      <c r="N176" s="27">
        <f>VLOOKUP($A176,'[1]Raw Data'!$A$3:$FB$285,15,FALSE)</f>
        <v>2.57</v>
      </c>
      <c r="O176" s="27">
        <f>VLOOKUP($A176,'[1]Raw Data'!$A$3:$FB$285,17,FALSE)</f>
        <v>0.27</v>
      </c>
      <c r="P176" s="27">
        <f>VLOOKUP($A176,'[1]Raw Data'!$A$3:$FB$285,18,FALSE)</f>
        <v>3</v>
      </c>
      <c r="Q176" s="27">
        <f>VLOOKUP($A176,'[1]Raw Data'!$A$3:$FB$285,20,FALSE)</f>
        <v>4.6500000000000004</v>
      </c>
      <c r="R176" s="27">
        <f>VLOOKUP($A176,'[1]Raw Data'!$A$3:$FB$285,21,FALSE)</f>
        <v>3.23</v>
      </c>
      <c r="S176" s="27">
        <f>VLOOKUP($A176,'[1]Raw Data'!$A$3:$FB$285,23,FALSE)</f>
        <v>0</v>
      </c>
      <c r="T176" s="27">
        <f>VLOOKUP($A176,'[1]Raw Data'!$A$3:$FB$285,24,FALSE)</f>
        <v>0</v>
      </c>
      <c r="U176" s="27">
        <f>VLOOKUP($A176,'[1]Raw Data'!$A$3:$FB$285,26,FALSE)</f>
        <v>1.05</v>
      </c>
      <c r="V176" s="27">
        <f>VLOOKUP($A176,'[1]Raw Data'!$A$3:$FB$285,27,FALSE)</f>
        <v>0.88</v>
      </c>
      <c r="W176" s="27">
        <f>VLOOKUP($A176,'[1]Raw Data'!$A$3:$FB$285,29,FALSE)</f>
        <v>0</v>
      </c>
      <c r="X176" s="27">
        <f>VLOOKUP($A176,'[1]Raw Data'!$A$3:$FB$285,30,FALSE)</f>
        <v>0</v>
      </c>
      <c r="Y176" s="27">
        <f>VLOOKUP($A176,'[1]Raw Data'!$A$3:$FB$285,32,FALSE)</f>
        <v>7.0000000000000007E-2</v>
      </c>
      <c r="Z176" s="27">
        <f>VLOOKUP($A176,'[1]Raw Data'!$A$3:$FB$285,33,FALSE)</f>
        <v>4.17</v>
      </c>
      <c r="AA176" s="27">
        <f>VLOOKUP($A176,'[1]Raw Data'!$A$3:$FB$285,35,FALSE)</f>
        <v>0.14000000000000001</v>
      </c>
      <c r="AB176" s="27">
        <f>VLOOKUP($A176,'[1]Raw Data'!$A$3:$FB$285,36,FALSE)</f>
        <v>1.79</v>
      </c>
      <c r="AC176" s="27">
        <f>VLOOKUP($A176,'[1]Raw Data'!$A$3:$FB$285,38,FALSE)</f>
        <v>0.06</v>
      </c>
      <c r="AD176" s="27">
        <f>VLOOKUP($A176,'[1]Raw Data'!$A$3:$FB$285,39,FALSE)</f>
        <v>0.34</v>
      </c>
      <c r="AE176" s="27">
        <f>VLOOKUP($A176,'[1]Raw Data'!$A$3:$FB$285,41,FALSE)</f>
        <v>0</v>
      </c>
      <c r="AF176" s="27">
        <f>VLOOKUP($A176,'[1]Raw Data'!$A$3:$FB$285,42,FALSE)</f>
        <v>0</v>
      </c>
      <c r="AG176" s="27">
        <f>VLOOKUP($A176,'[1]Raw Data'!$A$3:$FB$285,44,FALSE)</f>
        <v>0</v>
      </c>
      <c r="AH176" s="27">
        <f>VLOOKUP($A176,'[1]Raw Data'!$A$3:$FB$285,45,FALSE)</f>
        <v>0</v>
      </c>
      <c r="AI176" s="27">
        <f>VLOOKUP($A176,'[1]Raw Data'!$A$3:$FB$285,46,FALSE)</f>
        <v>6924</v>
      </c>
      <c r="AJ176" s="27">
        <f>VLOOKUP($A176,'[1]Raw Data'!$A$3:$FB$285,47,FALSE)</f>
        <v>6615</v>
      </c>
      <c r="AK176" s="27">
        <f>VLOOKUP($A176,'[1]Raw Data'!$A$3:$FB$285,48,FALSE)</f>
        <v>6616</v>
      </c>
      <c r="AL176" s="27">
        <f>VLOOKUP($A176,'[1]Raw Data'!$A$3:$FB$285,49,FALSE)</f>
        <v>6110</v>
      </c>
      <c r="AM176" s="27">
        <f>VLOOKUP($A176,'[1]Raw Data'!$A$3:$FB$285,50,FALSE)</f>
        <v>5034</v>
      </c>
      <c r="AN176" s="27">
        <f>VLOOKUP($A176,'[1]Raw Data'!$A$3:$FB$285,51,FALSE)</f>
        <v>1076</v>
      </c>
      <c r="AO176" s="27">
        <f>VLOOKUP($A176,'[1]Raw Data'!$A$3:$FB$285,52,FALSE)</f>
        <v>5034</v>
      </c>
      <c r="AP176" s="27">
        <f>VLOOKUP($A176,'[1]Raw Data'!$A$3:$FB$285,53,FALSE)</f>
        <v>171</v>
      </c>
      <c r="AQ176" s="27">
        <f>VLOOKUP($A176,'[1]Raw Data'!$A$3:$FB$285,54,FALSE)</f>
        <v>31</v>
      </c>
      <c r="AR176" s="27">
        <f>VLOOKUP($A176,'[1]Raw Data'!$A$3:$FB$285,55,FALSE)</f>
        <v>31</v>
      </c>
      <c r="AS176" s="27" t="str">
        <f>VLOOKUP($A176,'[1]Raw Data'!$A$3:$FB$285,56,FALSE)</f>
        <v/>
      </c>
      <c r="AT176" s="27">
        <f>VLOOKUP($A176,'[1]Raw Data'!$A$3:$FB$285,57,FALSE)</f>
        <v>967</v>
      </c>
      <c r="AU176" s="27">
        <f>VLOOKUP($A176,'[1]Raw Data'!$A$3:$FB$285,58,FALSE)</f>
        <v>511</v>
      </c>
      <c r="AV176" s="27" t="str">
        <f>VLOOKUP($A176,'[1]Raw Data'!$A$3:$FB$285,59,FALSE)</f>
        <v/>
      </c>
      <c r="AW176" s="27" t="str">
        <f>VLOOKUP($A176,'[1]Raw Data'!$A$3:$FB$285,60,FALSE)</f>
        <v/>
      </c>
      <c r="AX176" s="27" t="str">
        <f>VLOOKUP(A176,'[1]PO''s List'!A174:E456,4,FALSE)</f>
        <v>INF(Employment )</v>
      </c>
      <c r="AZ176" s="27" t="str">
        <f>VLOOKUP(A176,'[1]PO''s List'!$A$3:$E$285,5,FALSE)</f>
        <v>CRS(Livelihood,Employment ,Shelter,Health),FCA(Education),GNI(Health),HELVETAS(Shelter),LIONS(Education),SAHAS(Shelter),SCI(Education,Health,Shelter,Social Protection)</v>
      </c>
      <c r="BB176" s="27">
        <f>VLOOKUP($A176,'[1]Raw Data'!$A$3:$FB$285,63,FALSE)</f>
        <v>166542</v>
      </c>
      <c r="BC176" s="27" t="str">
        <f>VLOOKUP($A176,'[1]Raw Data'!$A$3:$FB$285,64,FALSE)</f>
        <v>Y</v>
      </c>
      <c r="BD176" s="27" t="str">
        <f t="shared" si="18"/>
        <v>छ</v>
      </c>
      <c r="BE176" s="27">
        <f>VLOOKUP($A176,'[1]Raw Data'!$A$3:$FB$285,65,FALSE)</f>
        <v>1800</v>
      </c>
      <c r="BF176" s="27">
        <f>VLOOKUP($A176,'[1]Raw Data'!$A$3:$FB$285,66,FALSE)</f>
        <v>141795</v>
      </c>
      <c r="BG176" s="27" t="str">
        <f>VLOOKUP($A176,'[1]Raw Data'!$A$3:$FB$285,67,FALSE)</f>
        <v/>
      </c>
      <c r="BH176" s="27" t="str">
        <f t="shared" si="19"/>
        <v/>
      </c>
      <c r="BI176" s="27">
        <f>VLOOKUP($A176,'[1]Raw Data'!$A$3:$FB$285,68,FALSE)</f>
        <v>8000</v>
      </c>
      <c r="BJ176" s="27">
        <f>VLOOKUP($A176,'[1]Raw Data'!$A$3:$FB$285,69,FALSE)</f>
        <v>17506</v>
      </c>
      <c r="BK176" s="27" t="str">
        <f>VLOOKUP($A176,'[1]Raw Data'!$A$3:$FB$285,70,FALSE)</f>
        <v/>
      </c>
      <c r="BL176" s="27" t="str">
        <f t="shared" si="20"/>
        <v/>
      </c>
      <c r="BM176" s="27">
        <f>VLOOKUP($A176,'[1]Raw Data'!$A$3:$FB$285,71,FALSE)</f>
        <v>7000</v>
      </c>
      <c r="BN176" s="27">
        <f>VLOOKUP($A176,'[1]Raw Data'!$A$3:$FB$285,72,FALSE)</f>
        <v>19190</v>
      </c>
      <c r="BO176" s="27" t="str">
        <f>VLOOKUP($A176,'[1]Raw Data'!$A$3:$FB$285,73,FALSE)</f>
        <v/>
      </c>
      <c r="BP176" s="27" t="str">
        <f t="shared" si="21"/>
        <v/>
      </c>
      <c r="BQ176" s="27" t="str">
        <f>VLOOKUP($A176,'[1]Raw Data'!$A$3:$FB$285,74,FALSE)</f>
        <v/>
      </c>
      <c r="BR176" s="27" t="str">
        <f>VLOOKUP($A176,'[1]Raw Data'!$A$3:$FB$285,75,FALSE)</f>
        <v/>
      </c>
      <c r="BS176" s="27" t="str">
        <f>VLOOKUP($A176,'[1]Raw Data'!$A$3:$FB$285,76,FALSE)</f>
        <v>Y</v>
      </c>
      <c r="BT176" s="27" t="str">
        <f t="shared" si="22"/>
        <v>छ</v>
      </c>
      <c r="BU176" s="27">
        <f>VLOOKUP($A176,'[1]Raw Data'!$A$3:$FB$285,77,FALSE)</f>
        <v>1000</v>
      </c>
      <c r="BV176" s="27">
        <f>VLOOKUP($A176,'[1]Raw Data'!$A$3:$FB$285,78,FALSE)</f>
        <v>470708</v>
      </c>
      <c r="BW176" s="27" t="str">
        <f>VLOOKUP($A176,'[1]Raw Data'!$A$3:$FB$285,79,FALSE)</f>
        <v>N</v>
      </c>
      <c r="BX176" s="27" t="str">
        <f t="shared" si="23"/>
        <v>छैन</v>
      </c>
      <c r="BY176" s="27">
        <f>VLOOKUP($A176,'[1]Raw Data'!$A$3:$FB$285,80,FALSE)</f>
        <v>1200</v>
      </c>
      <c r="BZ176" s="27">
        <f>VLOOKUP($A176,'[1]Raw Data'!$A$3:$FB$285,81,FALSE)</f>
        <v>1843877</v>
      </c>
      <c r="CA176" s="27" t="str">
        <f>VLOOKUP($A176,'[1]Raw Data'!$A$3:$FB$285,82,FALSE)</f>
        <v/>
      </c>
      <c r="CB176" s="27" t="str">
        <f t="shared" si="24"/>
        <v/>
      </c>
      <c r="CC176" s="27" t="str">
        <f>VLOOKUP($A176,'[1]Raw Data'!$A$3:$FB$285,83,FALSE)</f>
        <v/>
      </c>
      <c r="CD176" s="27">
        <f>VLOOKUP($A176,'[1]Raw Data'!$A$3:$FB$285,84,FALSE)</f>
        <v>19171</v>
      </c>
      <c r="CE176" s="27" t="str">
        <f>VLOOKUP($A176,'[1]Raw Data'!$A$3:$FB$285,85,FALSE)</f>
        <v/>
      </c>
      <c r="CF176" s="27" t="str">
        <f t="shared" si="25"/>
        <v/>
      </c>
      <c r="CG176" s="27" t="str">
        <f>VLOOKUP($A176,'[1]Raw Data'!$A$3:$FB$285,86,FALSE)</f>
        <v/>
      </c>
      <c r="CH176" s="27">
        <f>VLOOKUP($A176,'[1]Raw Data'!$A$3:$FB$285,87,FALSE)</f>
        <v>3186234</v>
      </c>
      <c r="CI176" s="27" t="str">
        <f>VLOOKUP($A176,'[1]Raw Data'!$A$3:$FB$285,88,FALSE)</f>
        <v/>
      </c>
      <c r="CJ176" s="27" t="str">
        <f t="shared" si="26"/>
        <v/>
      </c>
      <c r="CK176" s="27">
        <f>VLOOKUP($A176,'[1]Raw Data'!$A$3:$FB$285,89,FALSE)</f>
        <v>20</v>
      </c>
      <c r="CL176" s="27">
        <f>VLOOKUP($A176,'[1]Raw Data'!$A$3:$FB$285,91,FALSE)</f>
        <v>1500</v>
      </c>
      <c r="CM176" s="27">
        <f>VLOOKUP($A176,'[1]Raw Data'!$A$3:$FB$285,93,FALSE)</f>
        <v>900</v>
      </c>
      <c r="CN176" s="27" t="str">
        <f>VLOOKUP($A176,'[1]Raw Data'!$A$3:$FB$285,94,FALSE)</f>
        <v>294</v>
      </c>
      <c r="CO176" s="27" t="str">
        <f>VLOOKUP($A176,'[1]Raw Data'!$A$3:$FB$285,95,FALSE)</f>
        <v/>
      </c>
      <c r="CP176" s="27" t="str">
        <f>VLOOKUP($A176,'[1]Raw Data'!$A$3:$FB$285,96,FALSE)</f>
        <v/>
      </c>
      <c r="CQ176" s="27" t="str">
        <f>VLOOKUP($A176,'[1]Raw Data'!$A$3:$FB$285,97,FALSE)</f>
        <v/>
      </c>
      <c r="CR176" s="27" t="str">
        <f>VLOOKUP($A176,'[1]Raw Data'!$A$3:$FB$285,98,FALSE)</f>
        <v/>
      </c>
      <c r="CS176" s="27" t="str">
        <f>VLOOKUP($A176,'[1]Raw Data'!$A$3:$FB$285,99,FALSE)</f>
        <v/>
      </c>
      <c r="CT176" s="27" t="str">
        <f>VLOOKUP($A176,'[1]Raw Data'!$A$3:$FB$285,101,FALSE)</f>
        <v>Purna Bahadur Dahal</v>
      </c>
      <c r="CU176" s="27" t="s">
        <v>1375</v>
      </c>
      <c r="CV176" s="27" t="str">
        <f>VLOOKUP($A176,'[1]Raw Data'!$A$3:$FB$285,102,FALSE)</f>
        <v xml:space="preserve">Chairman </v>
      </c>
      <c r="CW176" s="27" t="s">
        <v>878</v>
      </c>
      <c r="CX176" s="27">
        <f>VLOOKUP($A176,'[1]Raw Data'!$A$3:$FB$285,103,FALSE)</f>
        <v>9846543034</v>
      </c>
      <c r="CY176" s="27" t="str">
        <f>VLOOKUP($A176,'[1]Raw Data'!$A$3:$FB$285,105,FALSE)</f>
        <v>Kalpana Nepali</v>
      </c>
      <c r="CZ176" s="27" t="s">
        <v>1376</v>
      </c>
      <c r="DA176" s="27" t="str">
        <f>VLOOKUP($A176,'[1]Raw Data'!$A$3:$FB$285,106,FALSE)</f>
        <v>Deputy Chairman</v>
      </c>
      <c r="DB176" s="27" t="s">
        <v>879</v>
      </c>
      <c r="DC176" s="27">
        <f>VLOOKUP($A176,'[1]Raw Data'!$A$3:$FB$285,107,FALSE)</f>
        <v>9846075455</v>
      </c>
      <c r="DD176" s="27" t="str">
        <f>VLOOKUP($A176,'[1]Raw Data'!$A$3:$FB$285,109,FALSE)</f>
        <v>Eak Dev Khannal</v>
      </c>
      <c r="DE176" s="27" t="s">
        <v>1377</v>
      </c>
      <c r="DF176" s="27" t="str">
        <f>VLOOKUP($A176,'[1]Raw Data'!$A$3:$FB$285,110,FALSE)</f>
        <v>Chief Adminstration Officer</v>
      </c>
      <c r="DG176" s="27" t="s">
        <v>880</v>
      </c>
      <c r="DH176" s="27">
        <f>VLOOKUP($A176,'[1]Raw Data'!$A$3:$FB$285,111,FALSE)</f>
        <v>9856010044</v>
      </c>
      <c r="DI176" s="27" t="str">
        <f>VLOOKUP($A176,'[1]Raw Data'!$A$3:$FB$285,121,FALSE)</f>
        <v>Nabaraj Khanal</v>
      </c>
      <c r="DJ176" s="27" t="s">
        <v>1378</v>
      </c>
      <c r="DK176" s="27" t="str">
        <f>VLOOKUP($A176,'[1]Raw Data'!$A$3:$FB$285,122,FALSE)</f>
        <v>Focal Person</v>
      </c>
      <c r="DL176" s="27" t="s">
        <v>881</v>
      </c>
      <c r="DM176" s="27">
        <f>VLOOKUP($A176,'[1]Raw Data'!$A$3:$FB$285,123,FALSE)</f>
        <v>9860841586</v>
      </c>
      <c r="DN176" s="27" t="str">
        <f>VLOOKUP($A176,'[1]Raw Data'!$A$3:$FB$285,113,FALSE)</f>
        <v>Ram Sharan Acharya</v>
      </c>
      <c r="DO176" s="27" t="s">
        <v>1379</v>
      </c>
      <c r="DP176" s="27" t="str">
        <f>VLOOKUP($A176,'[1]Raw Data'!$A$3:$FB$285,114,FALSE)</f>
        <v>NRA Chief-District</v>
      </c>
      <c r="DQ176" s="27" t="s">
        <v>882</v>
      </c>
      <c r="DR176" s="27">
        <f>VLOOKUP($A176,'[1]Raw Data'!$A$3:$FB$285,115,FALSE)</f>
        <v>9856042637</v>
      </c>
      <c r="DS176" s="27" t="str">
        <f>VLOOKUP($A176,'[1]Raw Data'!$A$3:$FB$285,117,FALSE)</f>
        <v>Sunita Shrestha</v>
      </c>
      <c r="DT176" s="27" t="s">
        <v>1380</v>
      </c>
      <c r="DU176" s="27" t="str">
        <f>VLOOKUP($A176,'[1]Raw Data'!$A$3:$FB$285,118,FALSE)</f>
        <v>DUDBC.DLPIU Chief</v>
      </c>
      <c r="DV176" s="27" t="s">
        <v>883</v>
      </c>
      <c r="DW176" s="27">
        <f>VLOOKUP($A176,'[1]Raw Data'!$A$3:$FB$285,119,FALSE)</f>
        <v>9841632087</v>
      </c>
      <c r="DX176" s="27" t="s">
        <v>339</v>
      </c>
      <c r="DY176" s="27" t="str">
        <f>VLOOKUP($A176,'[1]Raw Data'!$A$3:$FB$285,124,FALSE)</f>
        <v>30</v>
      </c>
      <c r="DZ176" s="27" t="s">
        <v>884</v>
      </c>
      <c r="EA176" s="27" t="str">
        <f>VLOOKUP($A176,'[1]Raw Data'!$A$3:$FB$285,125,FALSE)</f>
        <v/>
      </c>
      <c r="EB176" s="27" t="s">
        <v>341</v>
      </c>
      <c r="EC176" s="27" t="str">
        <f>VLOOKUP($A176,'[1]Raw Data'!$A$3:$FB$285,126,FALSE)</f>
        <v>25</v>
      </c>
      <c r="ED176" t="s">
        <v>478</v>
      </c>
      <c r="EE176" s="27" t="str">
        <f>VLOOKUP($A176,'[1]Raw Data'!$A$3:$FB$285,127,FALSE)</f>
        <v>200</v>
      </c>
      <c r="EF176" s="27" t="s">
        <v>343</v>
      </c>
      <c r="EG176" s="27" t="str">
        <f>VLOOKUP($A176,'[1]Raw Data'!$A$3:$FB$285,128,FALSE)</f>
        <v>10</v>
      </c>
      <c r="EH176" t="s">
        <v>344</v>
      </c>
      <c r="EI176" s="27" t="str">
        <f>VLOOKUP($A176,'[1]Raw Data'!$A$3:$FB$285,129,FALSE)</f>
        <v/>
      </c>
      <c r="EM176" s="27">
        <f>VLOOKUP($A176,'[1]Raw Data'!$A$3:$FB$285,130,FALSE)</f>
        <v>7</v>
      </c>
      <c r="EN176" s="27" t="str">
        <f>VLOOKUP($A176,'[1]Raw Data'!$A$3:$FB$285,131,FALSE)</f>
        <v/>
      </c>
      <c r="EO176" s="27">
        <f>VLOOKUP($A176,'[1]Raw Data'!$A$3:$FB$285,132,FALSE)</f>
        <v>14</v>
      </c>
      <c r="EP176" s="27" t="str">
        <f>VLOOKUP($A176,'[1]Raw Data'!$A$3:$FB$285,133,FALSE)</f>
        <v/>
      </c>
      <c r="EQ176" s="27">
        <f>VLOOKUP($A176,'[1]Raw Data'!$A$3:$FB$285,134,FALSE)</f>
        <v>7</v>
      </c>
      <c r="ER176" s="27" t="str">
        <f>VLOOKUP($A176,'[1]Raw Data'!$A$3:$FB$285,135,FALSE)</f>
        <v/>
      </c>
      <c r="ES176" s="27" t="str">
        <f>VLOOKUP($A176,'[1]Raw Data'!$A$3:$FB$285,136,FALSE)</f>
        <v>1016</v>
      </c>
      <c r="ET176" s="27" t="str">
        <f>VLOOKUP($A176,'[1]Raw Data'!$A$3:$FB$285,137,FALSE)</f>
        <v>1500</v>
      </c>
      <c r="EU176" s="27" t="str">
        <f>VLOOKUP($A176,'[1]Raw Data'!$A$3:$FB$285,138,FALSE)</f>
        <v>574</v>
      </c>
      <c r="EV176" s="27" t="str">
        <f>VLOOKUP($A176,'[1]Raw Data'!$A$3:$FB$285,139,FALSE)</f>
        <v>1000</v>
      </c>
      <c r="EW176" s="38">
        <f>VLOOKUP($A176,[1]Training!$A$2:$I$284,5,FALSE)</f>
        <v>531.61538461538464</v>
      </c>
      <c r="EX176" s="31">
        <f>VLOOKUP($A176,[1]Training!$A$2:$I$284,6,FALSE)</f>
        <v>545</v>
      </c>
      <c r="EY176" s="38">
        <f>VLOOKUP($A176,[1]Training!$A$2:$I$284,8,FALSE)</f>
        <v>683.59993217273336</v>
      </c>
      <c r="EZ176" s="31">
        <f>VLOOKUP($A176,[1]Training!$A$2:$I$284,9,FALSE)</f>
        <v>0</v>
      </c>
      <c r="FA176" s="27">
        <v>1</v>
      </c>
      <c r="FB176" s="27">
        <v>2</v>
      </c>
      <c r="FC176" s="27" t="str">
        <f>VLOOKUP($A176,'[1]Raw Data'!$A$3:$FB$285,148,FALSE)</f>
        <v>Chandra Gurung</v>
      </c>
      <c r="FD176" s="27" t="s">
        <v>1381</v>
      </c>
      <c r="FE176" s="27" t="str">
        <f>VLOOKUP($A176,'[1]Raw Data'!$A$3:$FB$285,149,FALSE)</f>
        <v>District Coordinator</v>
      </c>
      <c r="FF176" s="27" t="s">
        <v>885</v>
      </c>
      <c r="FG176" s="27">
        <f>VLOOKUP($A176,'[1]Raw Data'!$A$3:$FB$285,150,FALSE)</f>
        <v>9841478742</v>
      </c>
      <c r="FH176" s="27" t="str">
        <f>VLOOKUP($A176,'[1]Raw Data'!$A$3:$FB$285,156,FALSE)</f>
        <v>Atit Shrestha</v>
      </c>
      <c r="FI176" s="27" t="s">
        <v>1382</v>
      </c>
      <c r="FJ176" s="27" t="str">
        <f>VLOOKUP($A176,'[1]Raw Data'!$A$3:$FB$285,157,FALSE)</f>
        <v>District Technical Officer</v>
      </c>
      <c r="FK176" s="27" t="s">
        <v>886</v>
      </c>
      <c r="FL176" s="27">
        <f>VLOOKUP($A176,'[1]Raw Data'!$A$3:$FB$285,158,FALSE)</f>
        <v>9801328282</v>
      </c>
      <c r="FM176" s="27" t="str">
        <f>VLOOKUP($A176,'[1]Raw Data'!$A$3:$FB$285,152,FALSE)</f>
        <v>Birodh Kattel</v>
      </c>
      <c r="FN176" s="27" t="s">
        <v>1383</v>
      </c>
      <c r="FO176" s="27" t="str">
        <f>VLOOKUP($A176,'[1]Raw Data'!$A$3:$FB$285,153,FALSE)</f>
        <v>DIstrict Information Management Officer</v>
      </c>
      <c r="FP176" s="27" t="s">
        <v>887</v>
      </c>
      <c r="FQ176" s="27">
        <f>VLOOKUP($A176,'[1]Raw Data'!$A$3:$FB$285,154,FALSE)</f>
        <v>9841419970</v>
      </c>
    </row>
    <row r="177" spans="1:173" ht="24" x14ac:dyDescent="0.45">
      <c r="A177" s="27">
        <v>36002</v>
      </c>
      <c r="B177" s="36" t="str">
        <f ca="1">IFERROR(__xludf.DUMMYFUNCTION("""COMPUTED_VALUE"""),"Ajirkot Gaunpalika")</f>
        <v>Ajirkot Gaunpalika</v>
      </c>
      <c r="C177" s="37" t="str">
        <f>VLOOKUP(A177,'[1]Palika and District in Nepali '!$D$1:$F$283,3,FALSE)</f>
        <v>अजिरकोट गाउँपालिका</v>
      </c>
      <c r="D177" s="36" t="str">
        <f ca="1">IFERROR(__xludf.DUMMYFUNCTION("""COMPUTED_VALUE"""),"Gorkha")</f>
        <v>Gorkha</v>
      </c>
      <c r="E177" s="36"/>
      <c r="F177" s="27">
        <f>VLOOKUP(A177,'[1]Raw Data'!$A$3:$FB$285,4,FALSE)</f>
        <v>108</v>
      </c>
      <c r="G177" s="27">
        <f>VLOOKUP(A177,'[1]Raw Data'!$A$3:$FB$285,5,FALSE)</f>
        <v>4067</v>
      </c>
      <c r="H177" s="27">
        <f>VLOOKUP(A177,'[1]Raw Data'!$A$3:$FB$285,6,FALSE)</f>
        <v>4175</v>
      </c>
      <c r="I177" s="27">
        <f>VLOOKUP($A177,'[1]Raw Data'!$A$3:$FB$285,8,FALSE)</f>
        <v>0.12</v>
      </c>
      <c r="J177" s="27">
        <f>VLOOKUP($A177,'[1]Raw Data'!$A$3:$FB$285,9,FALSE)</f>
        <v>1.27</v>
      </c>
      <c r="K177" s="27">
        <f>VLOOKUP($A177,'[1]Raw Data'!$A$3:$FB$285,11,FALSE)</f>
        <v>96.93</v>
      </c>
      <c r="L177" s="27">
        <f>VLOOKUP($A177,'[1]Raw Data'!$A$3:$FB$285,12,FALSE)</f>
        <v>82.76</v>
      </c>
      <c r="M177" s="27">
        <f>VLOOKUP($A177,'[1]Raw Data'!$A$3:$FB$285,14,FALSE)</f>
        <v>0.12</v>
      </c>
      <c r="N177" s="27">
        <f>VLOOKUP($A177,'[1]Raw Data'!$A$3:$FB$285,15,FALSE)</f>
        <v>2.57</v>
      </c>
      <c r="O177" s="27">
        <f>VLOOKUP($A177,'[1]Raw Data'!$A$3:$FB$285,17,FALSE)</f>
        <v>0.02</v>
      </c>
      <c r="P177" s="27">
        <f>VLOOKUP($A177,'[1]Raw Data'!$A$3:$FB$285,18,FALSE)</f>
        <v>3</v>
      </c>
      <c r="Q177" s="27">
        <f>VLOOKUP($A177,'[1]Raw Data'!$A$3:$FB$285,20,FALSE)</f>
        <v>0.26</v>
      </c>
      <c r="R177" s="27">
        <f>VLOOKUP($A177,'[1]Raw Data'!$A$3:$FB$285,21,FALSE)</f>
        <v>3.23</v>
      </c>
      <c r="S177" s="27">
        <f>VLOOKUP($A177,'[1]Raw Data'!$A$3:$FB$285,23,FALSE)</f>
        <v>0</v>
      </c>
      <c r="T177" s="27">
        <f>VLOOKUP($A177,'[1]Raw Data'!$A$3:$FB$285,24,FALSE)</f>
        <v>0</v>
      </c>
      <c r="U177" s="27">
        <f>VLOOKUP($A177,'[1]Raw Data'!$A$3:$FB$285,26,FALSE)</f>
        <v>1.61</v>
      </c>
      <c r="V177" s="27">
        <f>VLOOKUP($A177,'[1]Raw Data'!$A$3:$FB$285,27,FALSE)</f>
        <v>0.88</v>
      </c>
      <c r="W177" s="27">
        <f>VLOOKUP($A177,'[1]Raw Data'!$A$3:$FB$285,29,FALSE)</f>
        <v>0</v>
      </c>
      <c r="X177" s="27">
        <f>VLOOKUP($A177,'[1]Raw Data'!$A$3:$FB$285,30,FALSE)</f>
        <v>0</v>
      </c>
      <c r="Y177" s="27">
        <f>VLOOKUP($A177,'[1]Raw Data'!$A$3:$FB$285,32,FALSE)</f>
        <v>0.22</v>
      </c>
      <c r="Z177" s="27">
        <f>VLOOKUP($A177,'[1]Raw Data'!$A$3:$FB$285,33,FALSE)</f>
        <v>4.17</v>
      </c>
      <c r="AA177" s="27">
        <f>VLOOKUP($A177,'[1]Raw Data'!$A$3:$FB$285,35,FALSE)</f>
        <v>0.26</v>
      </c>
      <c r="AB177" s="27">
        <f>VLOOKUP($A177,'[1]Raw Data'!$A$3:$FB$285,36,FALSE)</f>
        <v>1.79</v>
      </c>
      <c r="AC177" s="27">
        <f>VLOOKUP($A177,'[1]Raw Data'!$A$3:$FB$285,38,FALSE)</f>
        <v>0.46</v>
      </c>
      <c r="AD177" s="27">
        <f>VLOOKUP($A177,'[1]Raw Data'!$A$3:$FB$285,39,FALSE)</f>
        <v>0.34</v>
      </c>
      <c r="AE177" s="27">
        <f>VLOOKUP($A177,'[1]Raw Data'!$A$3:$FB$285,41,FALSE)</f>
        <v>0</v>
      </c>
      <c r="AF177" s="27">
        <f>VLOOKUP($A177,'[1]Raw Data'!$A$3:$FB$285,42,FALSE)</f>
        <v>0</v>
      </c>
      <c r="AG177" s="27">
        <f>VLOOKUP($A177,'[1]Raw Data'!$A$3:$FB$285,44,FALSE)</f>
        <v>0</v>
      </c>
      <c r="AH177" s="27">
        <f>VLOOKUP($A177,'[1]Raw Data'!$A$3:$FB$285,45,FALSE)</f>
        <v>0</v>
      </c>
      <c r="AI177" s="27">
        <f>VLOOKUP($A177,'[1]Raw Data'!$A$3:$FB$285,46,FALSE)</f>
        <v>4125</v>
      </c>
      <c r="AJ177" s="27">
        <f>VLOOKUP($A177,'[1]Raw Data'!$A$3:$FB$285,47,FALSE)</f>
        <v>3951</v>
      </c>
      <c r="AK177" s="27">
        <f>VLOOKUP($A177,'[1]Raw Data'!$A$3:$FB$285,48,FALSE)</f>
        <v>3951</v>
      </c>
      <c r="AL177" s="27">
        <f>VLOOKUP($A177,'[1]Raw Data'!$A$3:$FB$285,49,FALSE)</f>
        <v>3745</v>
      </c>
      <c r="AM177" s="27">
        <f>VLOOKUP($A177,'[1]Raw Data'!$A$3:$FB$285,50,FALSE)</f>
        <v>3258</v>
      </c>
      <c r="AN177" s="27">
        <f>VLOOKUP($A177,'[1]Raw Data'!$A$3:$FB$285,51,FALSE)</f>
        <v>487</v>
      </c>
      <c r="AO177" s="27">
        <f>VLOOKUP($A177,'[1]Raw Data'!$A$3:$FB$285,52,FALSE)</f>
        <v>3258</v>
      </c>
      <c r="AP177" s="27">
        <f>VLOOKUP($A177,'[1]Raw Data'!$A$3:$FB$285,53,FALSE)</f>
        <v>63</v>
      </c>
      <c r="AQ177" s="27">
        <f>VLOOKUP($A177,'[1]Raw Data'!$A$3:$FB$285,54,FALSE)</f>
        <v>3</v>
      </c>
      <c r="AR177" s="27">
        <f>VLOOKUP($A177,'[1]Raw Data'!$A$3:$FB$285,55,FALSE)</f>
        <v>3</v>
      </c>
      <c r="AS177" s="27" t="str">
        <f>VLOOKUP($A177,'[1]Raw Data'!$A$3:$FB$285,56,FALSE)</f>
        <v/>
      </c>
      <c r="AT177" s="27">
        <f>VLOOKUP($A177,'[1]Raw Data'!$A$3:$FB$285,57,FALSE)</f>
        <v>452</v>
      </c>
      <c r="AU177" s="27">
        <f>VLOOKUP($A177,'[1]Raw Data'!$A$3:$FB$285,58,FALSE)</f>
        <v>207</v>
      </c>
      <c r="AV177" s="27" t="str">
        <f>VLOOKUP($A177,'[1]Raw Data'!$A$3:$FB$285,59,FALSE)</f>
        <v/>
      </c>
      <c r="AW177" s="27" t="str">
        <f>VLOOKUP($A177,'[1]Raw Data'!$A$3:$FB$285,60,FALSE)</f>
        <v/>
      </c>
      <c r="AX177" s="27" t="str">
        <f>VLOOKUP(A177,'[1]PO''s List'!A175:E457,4,FALSE)</f>
        <v>CARE-N(Livelihood,DRR,GESI,Health,Shelter,Health),INF(Employment ,Shelter)</v>
      </c>
      <c r="AZ177" s="27" t="str">
        <f>VLOOKUP(A177,'[1]PO''s List'!$A$3:$E$285,5,FALSE)</f>
        <v>CW(Education,Shelter),IMS(Livelihood,DRR,Education,Employment ,Environment ,Governance),IOM(Shelter),JICA(Shelter),LIONS(Education),NRA(Shelter),WVIN(Livelihood,Employment ,Health)</v>
      </c>
      <c r="BB177" s="27">
        <f>VLOOKUP($A177,'[1]Raw Data'!$A$3:$FB$285,63,FALSE)</f>
        <v>87666</v>
      </c>
      <c r="BC177" s="27" t="str">
        <f>VLOOKUP($A177,'[1]Raw Data'!$A$3:$FB$285,64,FALSE)</f>
        <v/>
      </c>
      <c r="BD177" s="27" t="str">
        <f t="shared" si="18"/>
        <v/>
      </c>
      <c r="BE177" s="27" t="str">
        <f>VLOOKUP($A177,'[1]Raw Data'!$A$3:$FB$285,65,FALSE)</f>
        <v/>
      </c>
      <c r="BF177" s="27">
        <f>VLOOKUP($A177,'[1]Raw Data'!$A$3:$FB$285,66,FALSE)</f>
        <v>89720</v>
      </c>
      <c r="BG177" s="27" t="str">
        <f>VLOOKUP($A177,'[1]Raw Data'!$A$3:$FB$285,67,FALSE)</f>
        <v/>
      </c>
      <c r="BH177" s="27" t="str">
        <f t="shared" si="19"/>
        <v/>
      </c>
      <c r="BI177" s="27" t="str">
        <f>VLOOKUP($A177,'[1]Raw Data'!$A$3:$FB$285,68,FALSE)</f>
        <v/>
      </c>
      <c r="BJ177" s="27">
        <f>VLOOKUP($A177,'[1]Raw Data'!$A$3:$FB$285,69,FALSE)</f>
        <v>9361</v>
      </c>
      <c r="BK177" s="27" t="str">
        <f>VLOOKUP($A177,'[1]Raw Data'!$A$3:$FB$285,70,FALSE)</f>
        <v/>
      </c>
      <c r="BL177" s="27" t="str">
        <f t="shared" si="20"/>
        <v/>
      </c>
      <c r="BM177" s="27" t="str">
        <f>VLOOKUP($A177,'[1]Raw Data'!$A$3:$FB$285,71,FALSE)</f>
        <v/>
      </c>
      <c r="BN177" s="27">
        <f>VLOOKUP($A177,'[1]Raw Data'!$A$3:$FB$285,72,FALSE)</f>
        <v>10802</v>
      </c>
      <c r="BO177" s="27" t="str">
        <f>VLOOKUP($A177,'[1]Raw Data'!$A$3:$FB$285,73,FALSE)</f>
        <v/>
      </c>
      <c r="BP177" s="27" t="str">
        <f t="shared" si="21"/>
        <v/>
      </c>
      <c r="BQ177" s="27" t="str">
        <f>VLOOKUP($A177,'[1]Raw Data'!$A$3:$FB$285,74,FALSE)</f>
        <v/>
      </c>
      <c r="BR177" s="27" t="str">
        <f>VLOOKUP($A177,'[1]Raw Data'!$A$3:$FB$285,75,FALSE)</f>
        <v/>
      </c>
      <c r="BS177" s="27" t="str">
        <f>VLOOKUP($A177,'[1]Raw Data'!$A$3:$FB$285,76,FALSE)</f>
        <v/>
      </c>
      <c r="BT177" s="27" t="str">
        <f t="shared" si="22"/>
        <v/>
      </c>
      <c r="BU177" s="27" t="str">
        <f>VLOOKUP($A177,'[1]Raw Data'!$A$3:$FB$285,77,FALSE)</f>
        <v/>
      </c>
      <c r="BV177" s="27">
        <f>VLOOKUP($A177,'[1]Raw Data'!$A$3:$FB$285,78,FALSE)</f>
        <v>298752</v>
      </c>
      <c r="BW177" s="27" t="str">
        <f>VLOOKUP($A177,'[1]Raw Data'!$A$3:$FB$285,79,FALSE)</f>
        <v/>
      </c>
      <c r="BX177" s="27" t="str">
        <f t="shared" si="23"/>
        <v/>
      </c>
      <c r="BY177" s="27" t="str">
        <f>VLOOKUP($A177,'[1]Raw Data'!$A$3:$FB$285,80,FALSE)</f>
        <v/>
      </c>
      <c r="BZ177" s="27">
        <f>VLOOKUP($A177,'[1]Raw Data'!$A$3:$FB$285,81,FALSE)</f>
        <v>952557</v>
      </c>
      <c r="CA177" s="27" t="str">
        <f>VLOOKUP($A177,'[1]Raw Data'!$A$3:$FB$285,82,FALSE)</f>
        <v/>
      </c>
      <c r="CB177" s="27" t="str">
        <f t="shared" si="24"/>
        <v/>
      </c>
      <c r="CC177" s="27" t="str">
        <f>VLOOKUP($A177,'[1]Raw Data'!$A$3:$FB$285,83,FALSE)</f>
        <v/>
      </c>
      <c r="CD177" s="27">
        <f>VLOOKUP($A177,'[1]Raw Data'!$A$3:$FB$285,84,FALSE)</f>
        <v>12218</v>
      </c>
      <c r="CE177" s="27" t="str">
        <f>VLOOKUP($A177,'[1]Raw Data'!$A$3:$FB$285,85,FALSE)</f>
        <v/>
      </c>
      <c r="CF177" s="27" t="str">
        <f t="shared" si="25"/>
        <v/>
      </c>
      <c r="CG177" s="27" t="str">
        <f>VLOOKUP($A177,'[1]Raw Data'!$A$3:$FB$285,86,FALSE)</f>
        <v/>
      </c>
      <c r="CH177" s="27">
        <f>VLOOKUP($A177,'[1]Raw Data'!$A$3:$FB$285,87,FALSE)</f>
        <v>1101540</v>
      </c>
      <c r="CI177" s="27" t="str">
        <f>VLOOKUP($A177,'[1]Raw Data'!$A$3:$FB$285,88,FALSE)</f>
        <v/>
      </c>
      <c r="CJ177" s="27" t="str">
        <f t="shared" si="26"/>
        <v/>
      </c>
      <c r="CK177" s="27" t="str">
        <f>VLOOKUP($A177,'[1]Raw Data'!$A$3:$FB$285,89,FALSE)</f>
        <v/>
      </c>
      <c r="CL177" s="27" t="str">
        <f>VLOOKUP($A177,'[1]Raw Data'!$A$3:$FB$285,91,FALSE)</f>
        <v/>
      </c>
      <c r="CM177" s="27" t="str">
        <f>VLOOKUP($A177,'[1]Raw Data'!$A$3:$FB$285,93,FALSE)</f>
        <v/>
      </c>
      <c r="CN177" s="27" t="str">
        <f>VLOOKUP($A177,'[1]Raw Data'!$A$3:$FB$285,94,FALSE)</f>
        <v>261</v>
      </c>
      <c r="CO177" s="27" t="str">
        <f>VLOOKUP($A177,'[1]Raw Data'!$A$3:$FB$285,95,FALSE)</f>
        <v/>
      </c>
      <c r="CP177" s="27" t="str">
        <f>VLOOKUP($A177,'[1]Raw Data'!$A$3:$FB$285,96,FALSE)</f>
        <v/>
      </c>
      <c r="CQ177" s="27" t="str">
        <f>VLOOKUP($A177,'[1]Raw Data'!$A$3:$FB$285,97,FALSE)</f>
        <v/>
      </c>
      <c r="CR177" s="27" t="str">
        <f>VLOOKUP($A177,'[1]Raw Data'!$A$3:$FB$285,98,FALSE)</f>
        <v/>
      </c>
      <c r="CS177" s="27" t="str">
        <f>VLOOKUP($A177,'[1]Raw Data'!$A$3:$FB$285,99,FALSE)</f>
        <v/>
      </c>
      <c r="CT177" s="27" t="str">
        <f>VLOOKUP($A177,'[1]Raw Data'!$A$3:$FB$285,101,FALSE)</f>
        <v>Phadindra Dhital</v>
      </c>
      <c r="CU177" s="27" t="s">
        <v>1384</v>
      </c>
      <c r="CV177" s="27" t="str">
        <f>VLOOKUP($A177,'[1]Raw Data'!$A$3:$FB$285,102,FALSE)</f>
        <v xml:space="preserve">Chairman </v>
      </c>
      <c r="CW177" s="27" t="s">
        <v>878</v>
      </c>
      <c r="CX177" s="27">
        <f>VLOOKUP($A177,'[1]Raw Data'!$A$3:$FB$285,103,FALSE)</f>
        <v>9841710738</v>
      </c>
      <c r="CY177" s="27" t="str">
        <f>VLOOKUP($A177,'[1]Raw Data'!$A$3:$FB$285,105,FALSE)</f>
        <v>Chandra Maya Gurung</v>
      </c>
      <c r="CZ177" s="27" t="s">
        <v>1385</v>
      </c>
      <c r="DA177" s="27" t="str">
        <f>VLOOKUP($A177,'[1]Raw Data'!$A$3:$FB$285,106,FALSE)</f>
        <v>Deputy Chairman</v>
      </c>
      <c r="DB177" s="27" t="s">
        <v>879</v>
      </c>
      <c r="DC177" s="27">
        <f>VLOOKUP($A177,'[1]Raw Data'!$A$3:$FB$285,107,FALSE)</f>
        <v>9856040707</v>
      </c>
      <c r="DD177" s="27" t="str">
        <f>VLOOKUP($A177,'[1]Raw Data'!$A$3:$FB$285,109,FALSE)</f>
        <v>Yubaraj Acharya</v>
      </c>
      <c r="DE177" s="27" t="s">
        <v>1386</v>
      </c>
      <c r="DF177" s="27" t="str">
        <f>VLOOKUP($A177,'[1]Raw Data'!$A$3:$FB$285,110,FALSE)</f>
        <v>Chief Adminstration Officer</v>
      </c>
      <c r="DG177" s="27" t="s">
        <v>880</v>
      </c>
      <c r="DH177" s="27">
        <f>VLOOKUP($A177,'[1]Raw Data'!$A$3:$FB$285,111,FALSE)</f>
        <v>9856010055</v>
      </c>
      <c r="DI177" s="27" t="str">
        <f>VLOOKUP($A177,'[1]Raw Data'!$A$3:$FB$285,121,FALSE)</f>
        <v>Laxaman Neupane</v>
      </c>
      <c r="DJ177" s="27" t="s">
        <v>1387</v>
      </c>
      <c r="DK177" s="27" t="str">
        <f>VLOOKUP($A177,'[1]Raw Data'!$A$3:$FB$285,122,FALSE)</f>
        <v>Focal Person</v>
      </c>
      <c r="DL177" s="27" t="s">
        <v>881</v>
      </c>
      <c r="DM177" s="27">
        <f>VLOOKUP($A177,'[1]Raw Data'!$A$3:$FB$285,123,FALSE)</f>
        <v>9869003206</v>
      </c>
      <c r="DN177" s="27" t="str">
        <f>VLOOKUP($A177,'[1]Raw Data'!$A$3:$FB$285,113,FALSE)</f>
        <v>Ram Sharan Acharya</v>
      </c>
      <c r="DO177" s="27" t="s">
        <v>1379</v>
      </c>
      <c r="DP177" s="27" t="str">
        <f>VLOOKUP($A177,'[1]Raw Data'!$A$3:$FB$285,114,FALSE)</f>
        <v>NRA Chief-District</v>
      </c>
      <c r="DQ177" s="27" t="s">
        <v>882</v>
      </c>
      <c r="DR177" s="27">
        <f>VLOOKUP($A177,'[1]Raw Data'!$A$3:$FB$285,115,FALSE)</f>
        <v>9856042637</v>
      </c>
      <c r="DS177" s="27" t="str">
        <f>VLOOKUP($A177,'[1]Raw Data'!$A$3:$FB$285,117,FALSE)</f>
        <v>Sunita Shrestha</v>
      </c>
      <c r="DT177" s="27" t="s">
        <v>1380</v>
      </c>
      <c r="DU177" s="27" t="str">
        <f>VLOOKUP($A177,'[1]Raw Data'!$A$3:$FB$285,118,FALSE)</f>
        <v>DUDBC.DLPIU Chief</v>
      </c>
      <c r="DV177" s="27" t="s">
        <v>883</v>
      </c>
      <c r="DW177" s="27">
        <f>VLOOKUP($A177,'[1]Raw Data'!$A$3:$FB$285,119,FALSE)</f>
        <v>9841632087</v>
      </c>
      <c r="DX177" s="27" t="s">
        <v>339</v>
      </c>
      <c r="DY177" s="27" t="str">
        <f>VLOOKUP($A177,'[1]Raw Data'!$A$3:$FB$285,124,FALSE)</f>
        <v/>
      </c>
      <c r="DZ177" s="27" t="s">
        <v>884</v>
      </c>
      <c r="EA177" s="27" t="str">
        <f>VLOOKUP($A177,'[1]Raw Data'!$A$3:$FB$285,125,FALSE)</f>
        <v/>
      </c>
      <c r="EB177" s="27" t="s">
        <v>341</v>
      </c>
      <c r="EC177" s="27" t="str">
        <f>VLOOKUP($A177,'[1]Raw Data'!$A$3:$FB$285,126,FALSE)</f>
        <v/>
      </c>
      <c r="ED177" t="s">
        <v>478</v>
      </c>
      <c r="EE177" s="27" t="str">
        <f>VLOOKUP($A177,'[1]Raw Data'!$A$3:$FB$285,127,FALSE)</f>
        <v/>
      </c>
      <c r="EF177" s="27" t="s">
        <v>343</v>
      </c>
      <c r="EG177" s="27" t="str">
        <f>VLOOKUP($A177,'[1]Raw Data'!$A$3:$FB$285,128,FALSE)</f>
        <v/>
      </c>
      <c r="EH177" t="s">
        <v>344</v>
      </c>
      <c r="EI177" s="27" t="str">
        <f>VLOOKUP($A177,'[1]Raw Data'!$A$3:$FB$285,129,FALSE)</f>
        <v/>
      </c>
      <c r="EM177" s="27">
        <f>VLOOKUP($A177,'[1]Raw Data'!$A$3:$FB$285,130,FALSE)</f>
        <v>5</v>
      </c>
      <c r="EN177" s="27" t="str">
        <f>VLOOKUP($A177,'[1]Raw Data'!$A$3:$FB$285,131,FALSE)</f>
        <v>0</v>
      </c>
      <c r="EO177" s="27">
        <f>VLOOKUP($A177,'[1]Raw Data'!$A$3:$FB$285,132,FALSE)</f>
        <v>4</v>
      </c>
      <c r="EP177" s="27" t="str">
        <f>VLOOKUP($A177,'[1]Raw Data'!$A$3:$FB$285,133,FALSE)</f>
        <v>1</v>
      </c>
      <c r="EQ177" s="27">
        <f>VLOOKUP($A177,'[1]Raw Data'!$A$3:$FB$285,134,FALSE)</f>
        <v>4</v>
      </c>
      <c r="ER177" s="27" t="str">
        <f>VLOOKUP($A177,'[1]Raw Data'!$A$3:$FB$285,135,FALSE)</f>
        <v>1</v>
      </c>
      <c r="ES177" s="27" t="str">
        <f>VLOOKUP($A177,'[1]Raw Data'!$A$3:$FB$285,136,FALSE)</f>
        <v>100</v>
      </c>
      <c r="ET177" s="27" t="str">
        <f>VLOOKUP($A177,'[1]Raw Data'!$A$3:$FB$285,137,FALSE)</f>
        <v/>
      </c>
      <c r="EU177" s="27" t="str">
        <f>VLOOKUP($A177,'[1]Raw Data'!$A$3:$FB$285,138,FALSE)</f>
        <v/>
      </c>
      <c r="EV177" s="27" t="str">
        <f>VLOOKUP($A177,'[1]Raw Data'!$A$3:$FB$285,139,FALSE)</f>
        <v/>
      </c>
      <c r="EW177" s="38">
        <f>VLOOKUP($A177,[1]Training!$A$2:$I$284,5,FALSE)</f>
        <v>317.15384615384613</v>
      </c>
      <c r="EX177" s="31">
        <f>VLOOKUP($A177,[1]Training!$A$2:$I$284,6,FALSE)</f>
        <v>360</v>
      </c>
      <c r="EY177" s="38">
        <f>VLOOKUP($A177,[1]Training!$A$2:$I$284,8,FALSE)</f>
        <v>407.82557087949351</v>
      </c>
      <c r="EZ177" s="31">
        <f>VLOOKUP($A177,[1]Training!$A$2:$I$284,9,FALSE)</f>
        <v>0</v>
      </c>
      <c r="FA177" s="27">
        <v>1</v>
      </c>
      <c r="FB177" s="27">
        <v>2</v>
      </c>
      <c r="FC177" s="27" t="str">
        <f>VLOOKUP($A177,'[1]Raw Data'!$A$3:$FB$285,148,FALSE)</f>
        <v>Chandra Gurung</v>
      </c>
      <c r="FD177" s="27" t="s">
        <v>1381</v>
      </c>
      <c r="FE177" s="27" t="str">
        <f>VLOOKUP($A177,'[1]Raw Data'!$A$3:$FB$285,149,FALSE)</f>
        <v>District Coordinator</v>
      </c>
      <c r="FF177" s="27" t="s">
        <v>885</v>
      </c>
      <c r="FG177" s="27">
        <f>VLOOKUP($A177,'[1]Raw Data'!$A$3:$FB$285,150,FALSE)</f>
        <v>9841478742</v>
      </c>
      <c r="FH177" s="27" t="str">
        <f>VLOOKUP($A177,'[1]Raw Data'!$A$3:$FB$285,156,FALSE)</f>
        <v>Atit Shrestha</v>
      </c>
      <c r="FI177" s="27" t="s">
        <v>1382</v>
      </c>
      <c r="FJ177" s="27" t="str">
        <f>VLOOKUP($A177,'[1]Raw Data'!$A$3:$FB$285,157,FALSE)</f>
        <v>District Technical Officer</v>
      </c>
      <c r="FK177" s="27" t="s">
        <v>886</v>
      </c>
      <c r="FL177" s="27">
        <f>VLOOKUP($A177,'[1]Raw Data'!$A$3:$FB$285,158,FALSE)</f>
        <v>9801328282</v>
      </c>
      <c r="FM177" s="27" t="str">
        <f>VLOOKUP($A177,'[1]Raw Data'!$A$3:$FB$285,152,FALSE)</f>
        <v>Birodh Kattel</v>
      </c>
      <c r="FN177" s="27" t="s">
        <v>1383</v>
      </c>
      <c r="FO177" s="27" t="str">
        <f>VLOOKUP($A177,'[1]Raw Data'!$A$3:$FB$285,153,FALSE)</f>
        <v>DIstrict Information Management Officer</v>
      </c>
      <c r="FP177" s="27" t="s">
        <v>887</v>
      </c>
      <c r="FQ177" s="27">
        <f>VLOOKUP($A177,'[1]Raw Data'!$A$3:$FB$285,154,FALSE)</f>
        <v>9841419970</v>
      </c>
    </row>
    <row r="178" spans="1:173" ht="24" x14ac:dyDescent="0.45">
      <c r="A178" s="27">
        <v>36003</v>
      </c>
      <c r="B178" s="36" t="str">
        <f ca="1">IFERROR(__xludf.DUMMYFUNCTION("""COMPUTED_VALUE"""),"Bhimsen Gaunpalika")</f>
        <v>Bhimsen Gaunpalika</v>
      </c>
      <c r="C178" s="37" t="str">
        <f>VLOOKUP(A178,'[1]Palika and District in Nepali '!$D$1:$F$283,3,FALSE)</f>
        <v>भिमसेन गाउँपालिका</v>
      </c>
      <c r="D178" s="36" t="str">
        <f ca="1">IFERROR(__xludf.DUMMYFUNCTION("""COMPUTED_VALUE"""),"Gorkha")</f>
        <v>Gorkha</v>
      </c>
      <c r="E178" s="36"/>
      <c r="F178" s="27">
        <f>VLOOKUP(A178,'[1]Raw Data'!$A$3:$FB$285,4,FALSE)</f>
        <v>508</v>
      </c>
      <c r="G178" s="27">
        <f>VLOOKUP(A178,'[1]Raw Data'!$A$3:$FB$285,5,FALSE)</f>
        <v>6250</v>
      </c>
      <c r="H178" s="27">
        <f>VLOOKUP(A178,'[1]Raw Data'!$A$3:$FB$285,6,FALSE)</f>
        <v>6758</v>
      </c>
      <c r="I178" s="27">
        <f>VLOOKUP($A178,'[1]Raw Data'!$A$3:$FB$285,8,FALSE)</f>
        <v>0.21</v>
      </c>
      <c r="J178" s="27">
        <f>VLOOKUP($A178,'[1]Raw Data'!$A$3:$FB$285,9,FALSE)</f>
        <v>1.27</v>
      </c>
      <c r="K178" s="27">
        <f>VLOOKUP($A178,'[1]Raw Data'!$A$3:$FB$285,11,FALSE)</f>
        <v>95.67</v>
      </c>
      <c r="L178" s="27">
        <f>VLOOKUP($A178,'[1]Raw Data'!$A$3:$FB$285,12,FALSE)</f>
        <v>82.76</v>
      </c>
      <c r="M178" s="27">
        <f>VLOOKUP($A178,'[1]Raw Data'!$A$3:$FB$285,14,FALSE)</f>
        <v>0.49</v>
      </c>
      <c r="N178" s="27">
        <f>VLOOKUP($A178,'[1]Raw Data'!$A$3:$FB$285,15,FALSE)</f>
        <v>2.57</v>
      </c>
      <c r="O178" s="27">
        <f>VLOOKUP($A178,'[1]Raw Data'!$A$3:$FB$285,17,FALSE)</f>
        <v>1.21</v>
      </c>
      <c r="P178" s="27">
        <f>VLOOKUP($A178,'[1]Raw Data'!$A$3:$FB$285,18,FALSE)</f>
        <v>3</v>
      </c>
      <c r="Q178" s="27">
        <f>VLOOKUP($A178,'[1]Raw Data'!$A$3:$FB$285,20,FALSE)</f>
        <v>1.23</v>
      </c>
      <c r="R178" s="27">
        <f>VLOOKUP($A178,'[1]Raw Data'!$A$3:$FB$285,21,FALSE)</f>
        <v>3.23</v>
      </c>
      <c r="S178" s="27">
        <f>VLOOKUP($A178,'[1]Raw Data'!$A$3:$FB$285,23,FALSE)</f>
        <v>0</v>
      </c>
      <c r="T178" s="27">
        <f>VLOOKUP($A178,'[1]Raw Data'!$A$3:$FB$285,24,FALSE)</f>
        <v>0</v>
      </c>
      <c r="U178" s="27">
        <f>VLOOKUP($A178,'[1]Raw Data'!$A$3:$FB$285,26,FALSE)</f>
        <v>0.59</v>
      </c>
      <c r="V178" s="27">
        <f>VLOOKUP($A178,'[1]Raw Data'!$A$3:$FB$285,27,FALSE)</f>
        <v>0.88</v>
      </c>
      <c r="W178" s="27">
        <f>VLOOKUP($A178,'[1]Raw Data'!$A$3:$FB$285,29,FALSE)</f>
        <v>0</v>
      </c>
      <c r="X178" s="27">
        <f>VLOOKUP($A178,'[1]Raw Data'!$A$3:$FB$285,30,FALSE)</f>
        <v>0</v>
      </c>
      <c r="Y178" s="27">
        <f>VLOOKUP($A178,'[1]Raw Data'!$A$3:$FB$285,32,FALSE)</f>
        <v>7.0000000000000007E-2</v>
      </c>
      <c r="Z178" s="27">
        <f>VLOOKUP($A178,'[1]Raw Data'!$A$3:$FB$285,33,FALSE)</f>
        <v>4.17</v>
      </c>
      <c r="AA178" s="27">
        <f>VLOOKUP($A178,'[1]Raw Data'!$A$3:$FB$285,35,FALSE)</f>
        <v>0.16</v>
      </c>
      <c r="AB178" s="27">
        <f>VLOOKUP($A178,'[1]Raw Data'!$A$3:$FB$285,36,FALSE)</f>
        <v>1.79</v>
      </c>
      <c r="AC178" s="27">
        <f>VLOOKUP($A178,'[1]Raw Data'!$A$3:$FB$285,38,FALSE)</f>
        <v>0.36</v>
      </c>
      <c r="AD178" s="27">
        <f>VLOOKUP($A178,'[1]Raw Data'!$A$3:$FB$285,39,FALSE)</f>
        <v>0.34</v>
      </c>
      <c r="AE178" s="27">
        <f>VLOOKUP($A178,'[1]Raw Data'!$A$3:$FB$285,41,FALSE)</f>
        <v>0</v>
      </c>
      <c r="AF178" s="27">
        <f>VLOOKUP($A178,'[1]Raw Data'!$A$3:$FB$285,42,FALSE)</f>
        <v>0</v>
      </c>
      <c r="AG178" s="27">
        <f>VLOOKUP($A178,'[1]Raw Data'!$A$3:$FB$285,44,FALSE)</f>
        <v>0</v>
      </c>
      <c r="AH178" s="27">
        <f>VLOOKUP($A178,'[1]Raw Data'!$A$3:$FB$285,45,FALSE)</f>
        <v>0</v>
      </c>
      <c r="AI178" s="27">
        <f>VLOOKUP($A178,'[1]Raw Data'!$A$3:$FB$285,46,FALSE)</f>
        <v>6835</v>
      </c>
      <c r="AJ178" s="27">
        <f>VLOOKUP($A178,'[1]Raw Data'!$A$3:$FB$285,47,FALSE)</f>
        <v>6612</v>
      </c>
      <c r="AK178" s="27">
        <f>VLOOKUP($A178,'[1]Raw Data'!$A$3:$FB$285,48,FALSE)</f>
        <v>6612</v>
      </c>
      <c r="AL178" s="27">
        <f>VLOOKUP($A178,'[1]Raw Data'!$A$3:$FB$285,49,FALSE)</f>
        <v>6142</v>
      </c>
      <c r="AM178" s="27">
        <f>VLOOKUP($A178,'[1]Raw Data'!$A$3:$FB$285,50,FALSE)</f>
        <v>4860</v>
      </c>
      <c r="AN178" s="27">
        <f>VLOOKUP($A178,'[1]Raw Data'!$A$3:$FB$285,51,FALSE)</f>
        <v>1282</v>
      </c>
      <c r="AO178" s="27">
        <f>VLOOKUP($A178,'[1]Raw Data'!$A$3:$FB$285,52,FALSE)</f>
        <v>4860</v>
      </c>
      <c r="AP178" s="27">
        <f>VLOOKUP($A178,'[1]Raw Data'!$A$3:$FB$285,53,FALSE)</f>
        <v>168</v>
      </c>
      <c r="AQ178" s="27">
        <f>VLOOKUP($A178,'[1]Raw Data'!$A$3:$FB$285,54,FALSE)</f>
        <v>32</v>
      </c>
      <c r="AR178" s="27">
        <f>VLOOKUP($A178,'[1]Raw Data'!$A$3:$FB$285,55,FALSE)</f>
        <v>32</v>
      </c>
      <c r="AS178" s="27" t="str">
        <f>VLOOKUP($A178,'[1]Raw Data'!$A$3:$FB$285,56,FALSE)</f>
        <v/>
      </c>
      <c r="AT178" s="27">
        <f>VLOOKUP($A178,'[1]Raw Data'!$A$3:$FB$285,57,FALSE)</f>
        <v>941</v>
      </c>
      <c r="AU178" s="27">
        <f>VLOOKUP($A178,'[1]Raw Data'!$A$3:$FB$285,58,FALSE)</f>
        <v>604</v>
      </c>
      <c r="AV178" s="27">
        <f>VLOOKUP($A178,'[1]Raw Data'!$A$3:$FB$285,59,FALSE)</f>
        <v>100</v>
      </c>
      <c r="AW178" s="27">
        <f>VLOOKUP($A178,'[1]Raw Data'!$A$3:$FB$285,60,FALSE)</f>
        <v>70</v>
      </c>
      <c r="AX178" s="27" t="str">
        <f>VLOOKUP(A178,'[1]PO''s List'!A176:E458,4,FALSE)</f>
        <v/>
      </c>
      <c r="AZ178" s="27" t="str">
        <f>VLOOKUP(A178,'[1]PO''s List'!$A$3:$E$285,5,FALSE)</f>
        <v>CA(Shelter,Health),CRS(Livelihood,Employment ,Shelter,Health),DCA(Shelter,Health),FCA(Education),JICA(Shelter),NDS(Shelter),NYF(Education,Shelter),SCI(Education,Employment ,Health,Shelter,Social Protection,Health)</v>
      </c>
      <c r="BB178" s="27">
        <f>VLOOKUP($A178,'[1]Raw Data'!$A$3:$FB$285,63,FALSE)</f>
        <v>144862</v>
      </c>
      <c r="BC178" s="27" t="str">
        <f>VLOOKUP($A178,'[1]Raw Data'!$A$3:$FB$285,64,FALSE)</f>
        <v>Y</v>
      </c>
      <c r="BD178" s="27" t="str">
        <f t="shared" si="18"/>
        <v>छ</v>
      </c>
      <c r="BE178" s="27">
        <f>VLOOKUP($A178,'[1]Raw Data'!$A$3:$FB$285,65,FALSE)</f>
        <v>5000</v>
      </c>
      <c r="BF178" s="27">
        <f>VLOOKUP($A178,'[1]Raw Data'!$A$3:$FB$285,66,FALSE)</f>
        <v>146290</v>
      </c>
      <c r="BG178" s="27" t="str">
        <f>VLOOKUP($A178,'[1]Raw Data'!$A$3:$FB$285,67,FALSE)</f>
        <v>Y</v>
      </c>
      <c r="BH178" s="27" t="str">
        <f t="shared" si="19"/>
        <v>छ</v>
      </c>
      <c r="BI178" s="27">
        <f>VLOOKUP($A178,'[1]Raw Data'!$A$3:$FB$285,68,FALSE)</f>
        <v>14000</v>
      </c>
      <c r="BJ178" s="27">
        <f>VLOOKUP($A178,'[1]Raw Data'!$A$3:$FB$285,69,FALSE)</f>
        <v>15446</v>
      </c>
      <c r="BK178" s="27" t="str">
        <f>VLOOKUP($A178,'[1]Raw Data'!$A$3:$FB$285,70,FALSE)</f>
        <v>Y</v>
      </c>
      <c r="BL178" s="27" t="str">
        <f t="shared" si="20"/>
        <v>छ</v>
      </c>
      <c r="BM178" s="27">
        <f>VLOOKUP($A178,'[1]Raw Data'!$A$3:$FB$285,71,FALSE)</f>
        <v>10000</v>
      </c>
      <c r="BN178" s="27">
        <f>VLOOKUP($A178,'[1]Raw Data'!$A$3:$FB$285,72,FALSE)</f>
        <v>17745</v>
      </c>
      <c r="BO178" s="27" t="str">
        <f>VLOOKUP($A178,'[1]Raw Data'!$A$3:$FB$285,73,FALSE)</f>
        <v/>
      </c>
      <c r="BP178" s="27" t="str">
        <f t="shared" si="21"/>
        <v/>
      </c>
      <c r="BQ178" s="27" t="str">
        <f>VLOOKUP($A178,'[1]Raw Data'!$A$3:$FB$285,74,FALSE)</f>
        <v/>
      </c>
      <c r="BR178" s="27" t="str">
        <f>VLOOKUP($A178,'[1]Raw Data'!$A$3:$FB$285,75,FALSE)</f>
        <v/>
      </c>
      <c r="BS178" s="27" t="str">
        <f>VLOOKUP($A178,'[1]Raw Data'!$A$3:$FB$285,76,FALSE)</f>
        <v>Y</v>
      </c>
      <c r="BT178" s="27" t="str">
        <f t="shared" si="22"/>
        <v>छ</v>
      </c>
      <c r="BU178" s="27">
        <f>VLOOKUP($A178,'[1]Raw Data'!$A$3:$FB$285,77,FALSE)</f>
        <v>900</v>
      </c>
      <c r="BV178" s="27">
        <f>VLOOKUP($A178,'[1]Raw Data'!$A$3:$FB$285,78,FALSE)</f>
        <v>484993</v>
      </c>
      <c r="BW178" s="27" t="str">
        <f>VLOOKUP($A178,'[1]Raw Data'!$A$3:$FB$285,79,FALSE)</f>
        <v>Y</v>
      </c>
      <c r="BX178" s="27" t="str">
        <f t="shared" si="23"/>
        <v>छ</v>
      </c>
      <c r="BY178" s="27">
        <f>VLOOKUP($A178,'[1]Raw Data'!$A$3:$FB$285,80,FALSE)</f>
        <v>1000</v>
      </c>
      <c r="BZ178" s="27">
        <f>VLOOKUP($A178,'[1]Raw Data'!$A$3:$FB$285,81,FALSE)</f>
        <v>1573658</v>
      </c>
      <c r="CA178" s="27" t="str">
        <f>VLOOKUP($A178,'[1]Raw Data'!$A$3:$FB$285,82,FALSE)</f>
        <v>Y</v>
      </c>
      <c r="CB178" s="27" t="str">
        <f t="shared" si="24"/>
        <v>छ</v>
      </c>
      <c r="CC178" s="27">
        <f>VLOOKUP($A178,'[1]Raw Data'!$A$3:$FB$285,83,FALSE)</f>
        <v>98</v>
      </c>
      <c r="CD178" s="27">
        <f>VLOOKUP($A178,'[1]Raw Data'!$A$3:$FB$285,84,FALSE)</f>
        <v>19817</v>
      </c>
      <c r="CE178" s="27" t="str">
        <f>VLOOKUP($A178,'[1]Raw Data'!$A$3:$FB$285,85,FALSE)</f>
        <v/>
      </c>
      <c r="CF178" s="27" t="str">
        <f t="shared" si="25"/>
        <v/>
      </c>
      <c r="CG178" s="27" t="str">
        <f>VLOOKUP($A178,'[1]Raw Data'!$A$3:$FB$285,86,FALSE)</f>
        <v/>
      </c>
      <c r="CH178" s="27">
        <f>VLOOKUP($A178,'[1]Raw Data'!$A$3:$FB$285,87,FALSE)</f>
        <v>1584962</v>
      </c>
      <c r="CI178" s="27" t="str">
        <f>VLOOKUP($A178,'[1]Raw Data'!$A$3:$FB$285,88,FALSE)</f>
        <v>Y</v>
      </c>
      <c r="CJ178" s="27" t="str">
        <f t="shared" si="26"/>
        <v>छ</v>
      </c>
      <c r="CK178" s="27">
        <f>VLOOKUP($A178,'[1]Raw Data'!$A$3:$FB$285,89,FALSE)</f>
        <v>20</v>
      </c>
      <c r="CL178" s="27">
        <f>VLOOKUP($A178,'[1]Raw Data'!$A$3:$FB$285,91,FALSE)</f>
        <v>1000</v>
      </c>
      <c r="CM178" s="27">
        <f>VLOOKUP($A178,'[1]Raw Data'!$A$3:$FB$285,93,FALSE)</f>
        <v>700</v>
      </c>
      <c r="CN178" s="27" t="str">
        <f>VLOOKUP($A178,'[1]Raw Data'!$A$3:$FB$285,94,FALSE)</f>
        <v>330</v>
      </c>
      <c r="CO178" s="27" t="str">
        <f>VLOOKUP($A178,'[1]Raw Data'!$A$3:$FB$285,95,FALSE)</f>
        <v/>
      </c>
      <c r="CP178" s="27" t="str">
        <f>VLOOKUP($A178,'[1]Raw Data'!$A$3:$FB$285,96,FALSE)</f>
        <v/>
      </c>
      <c r="CQ178" s="27" t="str">
        <f>VLOOKUP($A178,'[1]Raw Data'!$A$3:$FB$285,97,FALSE)</f>
        <v/>
      </c>
      <c r="CR178" s="27" t="str">
        <f>VLOOKUP($A178,'[1]Raw Data'!$A$3:$FB$285,98,FALSE)</f>
        <v/>
      </c>
      <c r="CS178" s="27" t="str">
        <f>VLOOKUP($A178,'[1]Raw Data'!$A$3:$FB$285,99,FALSE)</f>
        <v/>
      </c>
      <c r="CT178" s="27" t="str">
        <f>VLOOKUP($A178,'[1]Raw Data'!$A$3:$FB$285,101,FALSE)</f>
        <v>Ishwor Pandey</v>
      </c>
      <c r="CU178" s="27" t="s">
        <v>1388</v>
      </c>
      <c r="CV178" s="27" t="str">
        <f>VLOOKUP($A178,'[1]Raw Data'!$A$3:$FB$285,102,FALSE)</f>
        <v xml:space="preserve">Chairman </v>
      </c>
      <c r="CW178" s="27" t="s">
        <v>878</v>
      </c>
      <c r="CX178" s="27">
        <f>VLOOKUP($A178,'[1]Raw Data'!$A$3:$FB$285,103,FALSE)</f>
        <v>9851099699</v>
      </c>
      <c r="CY178" s="27" t="str">
        <f>VLOOKUP($A178,'[1]Raw Data'!$A$3:$FB$285,105,FALSE)</f>
        <v>Binu Wagle</v>
      </c>
      <c r="CZ178" s="27" t="s">
        <v>1389</v>
      </c>
      <c r="DA178" s="27" t="str">
        <f>VLOOKUP($A178,'[1]Raw Data'!$A$3:$FB$285,106,FALSE)</f>
        <v>Deputy Chairman</v>
      </c>
      <c r="DB178" s="27" t="s">
        <v>879</v>
      </c>
      <c r="DC178" s="27">
        <f>VLOOKUP($A178,'[1]Raw Data'!$A$3:$FB$285,107,FALSE)</f>
        <v>9846088345</v>
      </c>
      <c r="DD178" s="27" t="str">
        <f>VLOOKUP($A178,'[1]Raw Data'!$A$3:$FB$285,109,FALSE)</f>
        <v>Dhaneswor Paudel</v>
      </c>
      <c r="DE178" s="27" t="s">
        <v>1390</v>
      </c>
      <c r="DF178" s="27" t="str">
        <f>VLOOKUP($A178,'[1]Raw Data'!$A$3:$FB$285,110,FALSE)</f>
        <v>Chief Adminstration Officer</v>
      </c>
      <c r="DG178" s="27" t="s">
        <v>880</v>
      </c>
      <c r="DH178" s="27">
        <f>VLOOKUP($A178,'[1]Raw Data'!$A$3:$FB$285,111,FALSE)</f>
        <v>9856010045</v>
      </c>
      <c r="DI178" s="27" t="str">
        <f>VLOOKUP($A178,'[1]Raw Data'!$A$3:$FB$285,121,FALSE)</f>
        <v>Binod Luitel</v>
      </c>
      <c r="DJ178" s="27" t="s">
        <v>1391</v>
      </c>
      <c r="DK178" s="27" t="str">
        <f>VLOOKUP($A178,'[1]Raw Data'!$A$3:$FB$285,122,FALSE)</f>
        <v>Focal Person</v>
      </c>
      <c r="DL178" s="27" t="s">
        <v>881</v>
      </c>
      <c r="DM178" s="27">
        <f>VLOOKUP($A178,'[1]Raw Data'!$A$3:$FB$285,123,FALSE)</f>
        <v>9841078175</v>
      </c>
      <c r="DN178" s="27" t="str">
        <f>VLOOKUP($A178,'[1]Raw Data'!$A$3:$FB$285,113,FALSE)</f>
        <v>Ram Sharan Acharya</v>
      </c>
      <c r="DO178" s="27" t="s">
        <v>1379</v>
      </c>
      <c r="DP178" s="27" t="str">
        <f>VLOOKUP($A178,'[1]Raw Data'!$A$3:$FB$285,114,FALSE)</f>
        <v>NRA Chief-District</v>
      </c>
      <c r="DQ178" s="27" t="s">
        <v>882</v>
      </c>
      <c r="DR178" s="27">
        <f>VLOOKUP($A178,'[1]Raw Data'!$A$3:$FB$285,115,FALSE)</f>
        <v>9856042637</v>
      </c>
      <c r="DS178" s="27" t="str">
        <f>VLOOKUP($A178,'[1]Raw Data'!$A$3:$FB$285,117,FALSE)</f>
        <v>Sunita Shrestha</v>
      </c>
      <c r="DT178" s="27" t="s">
        <v>1380</v>
      </c>
      <c r="DU178" s="27" t="str">
        <f>VLOOKUP($A178,'[1]Raw Data'!$A$3:$FB$285,118,FALSE)</f>
        <v>DUDBC.DLPIU Chief</v>
      </c>
      <c r="DV178" s="27" t="s">
        <v>883</v>
      </c>
      <c r="DW178" s="27">
        <f>VLOOKUP($A178,'[1]Raw Data'!$A$3:$FB$285,119,FALSE)</f>
        <v>9841632087</v>
      </c>
      <c r="DX178" s="27" t="s">
        <v>339</v>
      </c>
      <c r="DY178" s="27" t="str">
        <f>VLOOKUP($A178,'[1]Raw Data'!$A$3:$FB$285,124,FALSE)</f>
        <v/>
      </c>
      <c r="DZ178" s="27" t="s">
        <v>884</v>
      </c>
      <c r="EA178" s="27" t="str">
        <f>VLOOKUP($A178,'[1]Raw Data'!$A$3:$FB$285,125,FALSE)</f>
        <v/>
      </c>
      <c r="EB178" s="27" t="s">
        <v>341</v>
      </c>
      <c r="EC178" s="27" t="str">
        <f>VLOOKUP($A178,'[1]Raw Data'!$A$3:$FB$285,126,FALSE)</f>
        <v/>
      </c>
      <c r="ED178" t="s">
        <v>478</v>
      </c>
      <c r="EE178" s="27" t="str">
        <f>VLOOKUP($A178,'[1]Raw Data'!$A$3:$FB$285,127,FALSE)</f>
        <v/>
      </c>
      <c r="EF178" s="27" t="s">
        <v>343</v>
      </c>
      <c r="EG178" s="27" t="str">
        <f>VLOOKUP($A178,'[1]Raw Data'!$A$3:$FB$285,128,FALSE)</f>
        <v/>
      </c>
      <c r="EH178" t="s">
        <v>344</v>
      </c>
      <c r="EI178" s="27" t="str">
        <f>VLOOKUP($A178,'[1]Raw Data'!$A$3:$FB$285,129,FALSE)</f>
        <v/>
      </c>
      <c r="EM178" s="27">
        <f>VLOOKUP($A178,'[1]Raw Data'!$A$3:$FB$285,130,FALSE)</f>
        <v>8</v>
      </c>
      <c r="EN178" s="27" t="str">
        <f>VLOOKUP($A178,'[1]Raw Data'!$A$3:$FB$285,131,FALSE)</f>
        <v/>
      </c>
      <c r="EO178" s="27">
        <f>VLOOKUP($A178,'[1]Raw Data'!$A$3:$FB$285,132,FALSE)</f>
        <v>6</v>
      </c>
      <c r="EP178" s="27" t="str">
        <f>VLOOKUP($A178,'[1]Raw Data'!$A$3:$FB$285,133,FALSE)</f>
        <v>2</v>
      </c>
      <c r="EQ178" s="27">
        <f>VLOOKUP($A178,'[1]Raw Data'!$A$3:$FB$285,134,FALSE)</f>
        <v>4</v>
      </c>
      <c r="ER178" s="27" t="str">
        <f>VLOOKUP($A178,'[1]Raw Data'!$A$3:$FB$285,135,FALSE)</f>
        <v>4</v>
      </c>
      <c r="ES178" s="27" t="str">
        <f>VLOOKUP($A178,'[1]Raw Data'!$A$3:$FB$285,136,FALSE)</f>
        <v>200</v>
      </c>
      <c r="ET178" s="27" t="str">
        <f>VLOOKUP($A178,'[1]Raw Data'!$A$3:$FB$285,137,FALSE)</f>
        <v>300</v>
      </c>
      <c r="EU178" s="27" t="str">
        <f>VLOOKUP($A178,'[1]Raw Data'!$A$3:$FB$285,138,FALSE)</f>
        <v>200</v>
      </c>
      <c r="EV178" s="27" t="str">
        <f>VLOOKUP($A178,'[1]Raw Data'!$A$3:$FB$285,139,FALSE)</f>
        <v>500</v>
      </c>
      <c r="EW178" s="38">
        <f>VLOOKUP($A178,[1]Training!$A$2:$I$284,5,FALSE)</f>
        <v>525.69230769230774</v>
      </c>
      <c r="EX178" s="31">
        <f>VLOOKUP($A178,[1]Training!$A$2:$I$284,6,FALSE)</f>
        <v>647</v>
      </c>
      <c r="EY178" s="38">
        <f>VLOOKUP($A178,[1]Training!$A$2:$I$284,8,FALSE)</f>
        <v>675.98349536513672</v>
      </c>
      <c r="EZ178" s="31">
        <f>VLOOKUP($A178,[1]Training!$A$2:$I$284,9,FALSE)</f>
        <v>0</v>
      </c>
      <c r="FA178" s="27">
        <v>1</v>
      </c>
      <c r="FB178" s="27">
        <v>2</v>
      </c>
      <c r="FC178" s="27" t="str">
        <f>VLOOKUP($A178,'[1]Raw Data'!$A$3:$FB$285,148,FALSE)</f>
        <v>Chandra Gurung</v>
      </c>
      <c r="FD178" s="27" t="s">
        <v>1381</v>
      </c>
      <c r="FE178" s="27" t="str">
        <f>VLOOKUP($A178,'[1]Raw Data'!$A$3:$FB$285,149,FALSE)</f>
        <v>District Coordinator</v>
      </c>
      <c r="FF178" s="27" t="s">
        <v>885</v>
      </c>
      <c r="FG178" s="27">
        <f>VLOOKUP($A178,'[1]Raw Data'!$A$3:$FB$285,150,FALSE)</f>
        <v>9841478742</v>
      </c>
      <c r="FH178" s="27" t="str">
        <f>VLOOKUP($A178,'[1]Raw Data'!$A$3:$FB$285,156,FALSE)</f>
        <v>Atit Shrestha</v>
      </c>
      <c r="FI178" s="27" t="s">
        <v>1382</v>
      </c>
      <c r="FJ178" s="27" t="str">
        <f>VLOOKUP($A178,'[1]Raw Data'!$A$3:$FB$285,157,FALSE)</f>
        <v>District Technical Officer</v>
      </c>
      <c r="FK178" s="27" t="s">
        <v>886</v>
      </c>
      <c r="FL178" s="27">
        <f>VLOOKUP($A178,'[1]Raw Data'!$A$3:$FB$285,158,FALSE)</f>
        <v>9801328282</v>
      </c>
      <c r="FM178" s="27" t="str">
        <f>VLOOKUP($A178,'[1]Raw Data'!$A$3:$FB$285,152,FALSE)</f>
        <v>Birodh Kattel</v>
      </c>
      <c r="FN178" s="27" t="s">
        <v>1383</v>
      </c>
      <c r="FO178" s="27" t="str">
        <f>VLOOKUP($A178,'[1]Raw Data'!$A$3:$FB$285,153,FALSE)</f>
        <v>DIstrict Information Management Officer</v>
      </c>
      <c r="FP178" s="27" t="s">
        <v>887</v>
      </c>
      <c r="FQ178" s="27">
        <f>VLOOKUP($A178,'[1]Raw Data'!$A$3:$FB$285,154,FALSE)</f>
        <v>9841419970</v>
      </c>
    </row>
    <row r="179" spans="1:173" ht="24" x14ac:dyDescent="0.45">
      <c r="A179" s="27">
        <v>36004</v>
      </c>
      <c r="B179" s="36" t="str">
        <f ca="1">IFERROR(__xludf.DUMMYFUNCTION("""COMPUTED_VALUE"""),"Chum Nubri Gaunpalika")</f>
        <v>Chum Nubri Gaunpalika</v>
      </c>
      <c r="C179" s="37" t="str">
        <f>VLOOKUP(A179,'[1]Palika and District in Nepali '!$D$1:$F$283,3,FALSE)</f>
        <v>चुमनुब्रि गाउँपालिका</v>
      </c>
      <c r="D179" s="36" t="str">
        <f ca="1">IFERROR(__xludf.DUMMYFUNCTION("""COMPUTED_VALUE"""),"Gorkha")</f>
        <v>Gorkha</v>
      </c>
      <c r="E179" s="36"/>
      <c r="F179" s="27">
        <f>VLOOKUP(A179,'[1]Raw Data'!$A$3:$FB$285,4,FALSE)</f>
        <v>111</v>
      </c>
      <c r="G179" s="27">
        <f>VLOOKUP(A179,'[1]Raw Data'!$A$3:$FB$285,5,FALSE)</f>
        <v>2639</v>
      </c>
      <c r="H179" s="27">
        <f>VLOOKUP(A179,'[1]Raw Data'!$A$3:$FB$285,6,FALSE)</f>
        <v>2750</v>
      </c>
      <c r="I179" s="27">
        <f>VLOOKUP($A179,'[1]Raw Data'!$A$3:$FB$285,8,FALSE)</f>
        <v>0.69</v>
      </c>
      <c r="J179" s="27">
        <f>VLOOKUP($A179,'[1]Raw Data'!$A$3:$FB$285,9,FALSE)</f>
        <v>1.27</v>
      </c>
      <c r="K179" s="27">
        <f>VLOOKUP($A179,'[1]Raw Data'!$A$3:$FB$285,11,FALSE)</f>
        <v>39.54</v>
      </c>
      <c r="L179" s="27">
        <f>VLOOKUP($A179,'[1]Raw Data'!$A$3:$FB$285,12,FALSE)</f>
        <v>82.76</v>
      </c>
      <c r="M179" s="27">
        <f>VLOOKUP($A179,'[1]Raw Data'!$A$3:$FB$285,14,FALSE)</f>
        <v>0.33</v>
      </c>
      <c r="N179" s="27">
        <f>VLOOKUP($A179,'[1]Raw Data'!$A$3:$FB$285,15,FALSE)</f>
        <v>2.57</v>
      </c>
      <c r="O179" s="27">
        <f>VLOOKUP($A179,'[1]Raw Data'!$A$3:$FB$285,17,FALSE)</f>
        <v>0.04</v>
      </c>
      <c r="P179" s="27">
        <f>VLOOKUP($A179,'[1]Raw Data'!$A$3:$FB$285,18,FALSE)</f>
        <v>3</v>
      </c>
      <c r="Q179" s="27">
        <f>VLOOKUP($A179,'[1]Raw Data'!$A$3:$FB$285,20,FALSE)</f>
        <v>0.22</v>
      </c>
      <c r="R179" s="27">
        <f>VLOOKUP($A179,'[1]Raw Data'!$A$3:$FB$285,21,FALSE)</f>
        <v>3.23</v>
      </c>
      <c r="S179" s="27">
        <f>VLOOKUP($A179,'[1]Raw Data'!$A$3:$FB$285,23,FALSE)</f>
        <v>0</v>
      </c>
      <c r="T179" s="27">
        <f>VLOOKUP($A179,'[1]Raw Data'!$A$3:$FB$285,24,FALSE)</f>
        <v>0</v>
      </c>
      <c r="U179" s="27">
        <f>VLOOKUP($A179,'[1]Raw Data'!$A$3:$FB$285,26,FALSE)</f>
        <v>1.2</v>
      </c>
      <c r="V179" s="27">
        <f>VLOOKUP($A179,'[1]Raw Data'!$A$3:$FB$285,27,FALSE)</f>
        <v>0.88</v>
      </c>
      <c r="W179" s="27">
        <f>VLOOKUP($A179,'[1]Raw Data'!$A$3:$FB$285,29,FALSE)</f>
        <v>0</v>
      </c>
      <c r="X179" s="27">
        <f>VLOOKUP($A179,'[1]Raw Data'!$A$3:$FB$285,30,FALSE)</f>
        <v>0</v>
      </c>
      <c r="Y179" s="27">
        <f>VLOOKUP($A179,'[1]Raw Data'!$A$3:$FB$285,32,FALSE)</f>
        <v>57.95</v>
      </c>
      <c r="Z179" s="27">
        <f>VLOOKUP($A179,'[1]Raw Data'!$A$3:$FB$285,33,FALSE)</f>
        <v>4.17</v>
      </c>
      <c r="AA179" s="27">
        <f>VLOOKUP($A179,'[1]Raw Data'!$A$3:$FB$285,35,FALSE)</f>
        <v>0</v>
      </c>
      <c r="AB179" s="27">
        <f>VLOOKUP($A179,'[1]Raw Data'!$A$3:$FB$285,36,FALSE)</f>
        <v>1.79</v>
      </c>
      <c r="AC179" s="27">
        <f>VLOOKUP($A179,'[1]Raw Data'!$A$3:$FB$285,38,FALSE)</f>
        <v>0.04</v>
      </c>
      <c r="AD179" s="27">
        <f>VLOOKUP($A179,'[1]Raw Data'!$A$3:$FB$285,39,FALSE)</f>
        <v>0.34</v>
      </c>
      <c r="AE179" s="27">
        <f>VLOOKUP($A179,'[1]Raw Data'!$A$3:$FB$285,41,FALSE)</f>
        <v>0</v>
      </c>
      <c r="AF179" s="27">
        <f>VLOOKUP($A179,'[1]Raw Data'!$A$3:$FB$285,42,FALSE)</f>
        <v>0</v>
      </c>
      <c r="AG179" s="27">
        <f>VLOOKUP($A179,'[1]Raw Data'!$A$3:$FB$285,44,FALSE)</f>
        <v>0</v>
      </c>
      <c r="AH179" s="27">
        <f>VLOOKUP($A179,'[1]Raw Data'!$A$3:$FB$285,45,FALSE)</f>
        <v>0</v>
      </c>
      <c r="AI179" s="27">
        <f>VLOOKUP($A179,'[1]Raw Data'!$A$3:$FB$285,46,FALSE)</f>
        <v>2275</v>
      </c>
      <c r="AJ179" s="27">
        <f>VLOOKUP($A179,'[1]Raw Data'!$A$3:$FB$285,47,FALSE)</f>
        <v>1853</v>
      </c>
      <c r="AK179" s="27">
        <f>VLOOKUP($A179,'[1]Raw Data'!$A$3:$FB$285,48,FALSE)</f>
        <v>1853</v>
      </c>
      <c r="AL179" s="27">
        <f>VLOOKUP($A179,'[1]Raw Data'!$A$3:$FB$285,49,FALSE)</f>
        <v>1549</v>
      </c>
      <c r="AM179" s="27">
        <f>VLOOKUP($A179,'[1]Raw Data'!$A$3:$FB$285,50,FALSE)</f>
        <v>1216</v>
      </c>
      <c r="AN179" s="27">
        <f>VLOOKUP($A179,'[1]Raw Data'!$A$3:$FB$285,51,FALSE)</f>
        <v>333</v>
      </c>
      <c r="AO179" s="27">
        <f>VLOOKUP($A179,'[1]Raw Data'!$A$3:$FB$285,52,FALSE)</f>
        <v>1216</v>
      </c>
      <c r="AP179" s="27">
        <f>VLOOKUP($A179,'[1]Raw Data'!$A$3:$FB$285,53,FALSE)</f>
        <v>49</v>
      </c>
      <c r="AQ179" s="27" t="str">
        <f>VLOOKUP($A179,'[1]Raw Data'!$A$3:$FB$285,54,FALSE)</f>
        <v/>
      </c>
      <c r="AR179" s="27" t="str">
        <f>VLOOKUP($A179,'[1]Raw Data'!$A$3:$FB$285,55,FALSE)</f>
        <v/>
      </c>
      <c r="AS179" s="27" t="str">
        <f>VLOOKUP($A179,'[1]Raw Data'!$A$3:$FB$285,56,FALSE)</f>
        <v/>
      </c>
      <c r="AT179" s="27">
        <f>VLOOKUP($A179,'[1]Raw Data'!$A$3:$FB$285,57,FALSE)</f>
        <v>279</v>
      </c>
      <c r="AU179" s="27">
        <f>VLOOKUP($A179,'[1]Raw Data'!$A$3:$FB$285,58,FALSE)</f>
        <v>203</v>
      </c>
      <c r="AV179" s="27">
        <f>VLOOKUP($A179,'[1]Raw Data'!$A$3:$FB$285,59,FALSE)</f>
        <v>10</v>
      </c>
      <c r="AW179" s="27">
        <f>VLOOKUP($A179,'[1]Raw Data'!$A$3:$FB$285,60,FALSE)</f>
        <v>10</v>
      </c>
      <c r="AX179" s="27" t="str">
        <f>VLOOKUP(A179,'[1]PO''s List'!A177:E459,4,FALSE)</f>
        <v/>
      </c>
      <c r="AZ179" s="27" t="str">
        <f>VLOOKUP(A179,'[1]PO''s List'!$A$3:$E$285,5,FALSE)</f>
        <v>CRS(Shelter)</v>
      </c>
      <c r="BB179" s="27">
        <f>VLOOKUP($A179,'[1]Raw Data'!$A$3:$FB$285,63,FALSE)</f>
        <v>17453</v>
      </c>
      <c r="BC179" s="27" t="str">
        <f>VLOOKUP($A179,'[1]Raw Data'!$A$3:$FB$285,64,FALSE)</f>
        <v/>
      </c>
      <c r="BD179" s="27" t="str">
        <f t="shared" si="18"/>
        <v/>
      </c>
      <c r="BE179" s="27" t="str">
        <f>VLOOKUP($A179,'[1]Raw Data'!$A$3:$FB$285,65,FALSE)</f>
        <v/>
      </c>
      <c r="BF179" s="27">
        <f>VLOOKUP($A179,'[1]Raw Data'!$A$3:$FB$285,66,FALSE)</f>
        <v>18163</v>
      </c>
      <c r="BG179" s="27" t="str">
        <f>VLOOKUP($A179,'[1]Raw Data'!$A$3:$FB$285,67,FALSE)</f>
        <v/>
      </c>
      <c r="BH179" s="27" t="str">
        <f t="shared" si="19"/>
        <v/>
      </c>
      <c r="BI179" s="27" t="str">
        <f>VLOOKUP($A179,'[1]Raw Data'!$A$3:$FB$285,68,FALSE)</f>
        <v/>
      </c>
      <c r="BJ179" s="27">
        <f>VLOOKUP($A179,'[1]Raw Data'!$A$3:$FB$285,69,FALSE)</f>
        <v>1866</v>
      </c>
      <c r="BK179" s="27" t="str">
        <f>VLOOKUP($A179,'[1]Raw Data'!$A$3:$FB$285,70,FALSE)</f>
        <v/>
      </c>
      <c r="BL179" s="27" t="str">
        <f t="shared" si="20"/>
        <v/>
      </c>
      <c r="BM179" s="27" t="str">
        <f>VLOOKUP($A179,'[1]Raw Data'!$A$3:$FB$285,71,FALSE)</f>
        <v/>
      </c>
      <c r="BN179" s="27">
        <f>VLOOKUP($A179,'[1]Raw Data'!$A$3:$FB$285,72,FALSE)</f>
        <v>2160</v>
      </c>
      <c r="BO179" s="27" t="str">
        <f>VLOOKUP($A179,'[1]Raw Data'!$A$3:$FB$285,73,FALSE)</f>
        <v/>
      </c>
      <c r="BP179" s="27" t="str">
        <f t="shared" si="21"/>
        <v/>
      </c>
      <c r="BQ179" s="27" t="str">
        <f>VLOOKUP($A179,'[1]Raw Data'!$A$3:$FB$285,74,FALSE)</f>
        <v/>
      </c>
      <c r="BR179" s="27" t="str">
        <f>VLOOKUP($A179,'[1]Raw Data'!$A$3:$FB$285,75,FALSE)</f>
        <v/>
      </c>
      <c r="BS179" s="27" t="str">
        <f>VLOOKUP($A179,'[1]Raw Data'!$A$3:$FB$285,76,FALSE)</f>
        <v>Y</v>
      </c>
      <c r="BT179" s="27" t="str">
        <f t="shared" si="22"/>
        <v>छ</v>
      </c>
      <c r="BU179" s="27">
        <f>VLOOKUP($A179,'[1]Raw Data'!$A$3:$FB$285,77,FALSE)</f>
        <v>900</v>
      </c>
      <c r="BV179" s="27">
        <f>VLOOKUP($A179,'[1]Raw Data'!$A$3:$FB$285,78,FALSE)</f>
        <v>59769</v>
      </c>
      <c r="BW179" s="27" t="str">
        <f>VLOOKUP($A179,'[1]Raw Data'!$A$3:$FB$285,79,FALSE)</f>
        <v>Y</v>
      </c>
      <c r="BX179" s="27" t="str">
        <f t="shared" si="23"/>
        <v>छ</v>
      </c>
      <c r="BY179" s="27">
        <f>VLOOKUP($A179,'[1]Raw Data'!$A$3:$FB$285,80,FALSE)</f>
        <v>900</v>
      </c>
      <c r="BZ179" s="27">
        <f>VLOOKUP($A179,'[1]Raw Data'!$A$3:$FB$285,81,FALSE)</f>
        <v>188308</v>
      </c>
      <c r="CA179" s="27" t="str">
        <f>VLOOKUP($A179,'[1]Raw Data'!$A$3:$FB$285,82,FALSE)</f>
        <v/>
      </c>
      <c r="CB179" s="27" t="str">
        <f t="shared" si="24"/>
        <v/>
      </c>
      <c r="CC179" s="27" t="str">
        <f>VLOOKUP($A179,'[1]Raw Data'!$A$3:$FB$285,83,FALSE)</f>
        <v/>
      </c>
      <c r="CD179" s="27">
        <f>VLOOKUP($A179,'[1]Raw Data'!$A$3:$FB$285,84,FALSE)</f>
        <v>2441</v>
      </c>
      <c r="CE179" s="27" t="str">
        <f>VLOOKUP($A179,'[1]Raw Data'!$A$3:$FB$285,85,FALSE)</f>
        <v/>
      </c>
      <c r="CF179" s="27" t="str">
        <f t="shared" si="25"/>
        <v/>
      </c>
      <c r="CG179" s="27" t="str">
        <f>VLOOKUP($A179,'[1]Raw Data'!$A$3:$FB$285,86,FALSE)</f>
        <v/>
      </c>
      <c r="CH179" s="27">
        <f>VLOOKUP($A179,'[1]Raw Data'!$A$3:$FB$285,87,FALSE)</f>
        <v>96746</v>
      </c>
      <c r="CI179" s="27" t="str">
        <f>VLOOKUP($A179,'[1]Raw Data'!$A$3:$FB$285,88,FALSE)</f>
        <v>N</v>
      </c>
      <c r="CJ179" s="27" t="str">
        <f t="shared" si="26"/>
        <v>छैन</v>
      </c>
      <c r="CK179" s="27" t="str">
        <f>VLOOKUP($A179,'[1]Raw Data'!$A$3:$FB$285,89,FALSE)</f>
        <v/>
      </c>
      <c r="CL179" s="27">
        <f>VLOOKUP($A179,'[1]Raw Data'!$A$3:$FB$285,91,FALSE)</f>
        <v>2500</v>
      </c>
      <c r="CM179" s="27">
        <f>VLOOKUP($A179,'[1]Raw Data'!$A$3:$FB$285,93,FALSE)</f>
        <v>1200</v>
      </c>
      <c r="CN179" s="27" t="str">
        <f>VLOOKUP($A179,'[1]Raw Data'!$A$3:$FB$285,94,FALSE)</f>
        <v>58</v>
      </c>
      <c r="CO179" s="27" t="str">
        <f>VLOOKUP($A179,'[1]Raw Data'!$A$3:$FB$285,95,FALSE)</f>
        <v/>
      </c>
      <c r="CP179" s="27" t="str">
        <f>VLOOKUP($A179,'[1]Raw Data'!$A$3:$FB$285,96,FALSE)</f>
        <v/>
      </c>
      <c r="CQ179" s="27" t="str">
        <f>VLOOKUP($A179,'[1]Raw Data'!$A$3:$FB$285,97,FALSE)</f>
        <v/>
      </c>
      <c r="CR179" s="27" t="str">
        <f>VLOOKUP($A179,'[1]Raw Data'!$A$3:$FB$285,98,FALSE)</f>
        <v/>
      </c>
      <c r="CS179" s="27" t="str">
        <f>VLOOKUP($A179,'[1]Raw Data'!$A$3:$FB$285,99,FALSE)</f>
        <v/>
      </c>
      <c r="CT179" s="27" t="str">
        <f>VLOOKUP($A179,'[1]Raw Data'!$A$3:$FB$285,101,FALSE)</f>
        <v>Dhan Bahadur Gurung</v>
      </c>
      <c r="CU179" s="27" t="s">
        <v>1392</v>
      </c>
      <c r="CV179" s="27" t="str">
        <f>VLOOKUP($A179,'[1]Raw Data'!$A$3:$FB$285,102,FALSE)</f>
        <v xml:space="preserve">Chairman </v>
      </c>
      <c r="CW179" s="27" t="s">
        <v>878</v>
      </c>
      <c r="CX179" s="27">
        <f>VLOOKUP($A179,'[1]Raw Data'!$A$3:$FB$285,103,FALSE)</f>
        <v>9851015492</v>
      </c>
      <c r="CY179" s="27" t="str">
        <f>VLOOKUP($A179,'[1]Raw Data'!$A$3:$FB$285,105,FALSE)</f>
        <v>Kumari Gurung</v>
      </c>
      <c r="CZ179" s="27" t="s">
        <v>1393</v>
      </c>
      <c r="DA179" s="27" t="str">
        <f>VLOOKUP($A179,'[1]Raw Data'!$A$3:$FB$285,106,FALSE)</f>
        <v>Deputy Chairman</v>
      </c>
      <c r="DB179" s="27" t="s">
        <v>879</v>
      </c>
      <c r="DC179" s="27">
        <f>VLOOKUP($A179,'[1]Raw Data'!$A$3:$FB$285,107,FALSE)</f>
        <v>9756004044</v>
      </c>
      <c r="DD179" s="27" t="str">
        <f>VLOOKUP($A179,'[1]Raw Data'!$A$3:$FB$285,109,FALSE)</f>
        <v>Pradip Giri</v>
      </c>
      <c r="DE179" s="27" t="s">
        <v>1394</v>
      </c>
      <c r="DF179" s="27" t="str">
        <f>VLOOKUP($A179,'[1]Raw Data'!$A$3:$FB$285,110,FALSE)</f>
        <v>Chief Adminstration Officer</v>
      </c>
      <c r="DG179" s="27" t="s">
        <v>880</v>
      </c>
      <c r="DH179" s="27">
        <f>VLOOKUP($A179,'[1]Raw Data'!$A$3:$FB$285,111,FALSE)</f>
        <v>9841502456</v>
      </c>
      <c r="DI179" s="27" t="str">
        <f>VLOOKUP($A179,'[1]Raw Data'!$A$3:$FB$285,121,FALSE)</f>
        <v>Ajeet Tiwari</v>
      </c>
      <c r="DJ179" s="27" t="s">
        <v>1395</v>
      </c>
      <c r="DK179" s="27" t="str">
        <f>VLOOKUP($A179,'[1]Raw Data'!$A$3:$FB$285,122,FALSE)</f>
        <v>Focal Person</v>
      </c>
      <c r="DL179" s="27" t="s">
        <v>881</v>
      </c>
      <c r="DM179" s="27">
        <f>VLOOKUP($A179,'[1]Raw Data'!$A$3:$FB$285,123,FALSE)</f>
        <v>9849032790</v>
      </c>
      <c r="DN179" s="27" t="str">
        <f>VLOOKUP($A179,'[1]Raw Data'!$A$3:$FB$285,113,FALSE)</f>
        <v>Ram Sharan Acharya</v>
      </c>
      <c r="DO179" s="27" t="s">
        <v>1379</v>
      </c>
      <c r="DP179" s="27" t="str">
        <f>VLOOKUP($A179,'[1]Raw Data'!$A$3:$FB$285,114,FALSE)</f>
        <v>NRA Chief-District</v>
      </c>
      <c r="DQ179" s="27" t="s">
        <v>882</v>
      </c>
      <c r="DR179" s="27">
        <f>VLOOKUP($A179,'[1]Raw Data'!$A$3:$FB$285,115,FALSE)</f>
        <v>9856042637</v>
      </c>
      <c r="DS179" s="27" t="str">
        <f>VLOOKUP($A179,'[1]Raw Data'!$A$3:$FB$285,117,FALSE)</f>
        <v>Sunita Shrestha</v>
      </c>
      <c r="DT179" s="27" t="s">
        <v>1380</v>
      </c>
      <c r="DU179" s="27" t="str">
        <f>VLOOKUP($A179,'[1]Raw Data'!$A$3:$FB$285,118,FALSE)</f>
        <v>DUDBC.DLPIU Chief</v>
      </c>
      <c r="DV179" s="27" t="s">
        <v>883</v>
      </c>
      <c r="DW179" s="27">
        <f>VLOOKUP($A179,'[1]Raw Data'!$A$3:$FB$285,119,FALSE)</f>
        <v>9841632087</v>
      </c>
      <c r="DX179" s="27" t="s">
        <v>339</v>
      </c>
      <c r="DY179" s="27" t="str">
        <f>VLOOKUP($A179,'[1]Raw Data'!$A$3:$FB$285,124,FALSE)</f>
        <v/>
      </c>
      <c r="DZ179" s="27" t="s">
        <v>884</v>
      </c>
      <c r="EA179" s="27" t="str">
        <f>VLOOKUP($A179,'[1]Raw Data'!$A$3:$FB$285,125,FALSE)</f>
        <v/>
      </c>
      <c r="EB179" s="27" t="s">
        <v>341</v>
      </c>
      <c r="EC179" s="27" t="str">
        <f>VLOOKUP($A179,'[1]Raw Data'!$A$3:$FB$285,126,FALSE)</f>
        <v/>
      </c>
      <c r="ED179" t="s">
        <v>478</v>
      </c>
      <c r="EE179" s="27" t="str">
        <f>VLOOKUP($A179,'[1]Raw Data'!$A$3:$FB$285,127,FALSE)</f>
        <v/>
      </c>
      <c r="EF179" s="27" t="s">
        <v>343</v>
      </c>
      <c r="EG179" s="27" t="str">
        <f>VLOOKUP($A179,'[1]Raw Data'!$A$3:$FB$285,128,FALSE)</f>
        <v/>
      </c>
      <c r="EH179" t="s">
        <v>344</v>
      </c>
      <c r="EI179" s="27" t="str">
        <f>VLOOKUP($A179,'[1]Raw Data'!$A$3:$FB$285,129,FALSE)</f>
        <v/>
      </c>
      <c r="EM179" s="27">
        <f>VLOOKUP($A179,'[1]Raw Data'!$A$3:$FB$285,130,FALSE)</f>
        <v>3</v>
      </c>
      <c r="EN179" s="27" t="str">
        <f>VLOOKUP($A179,'[1]Raw Data'!$A$3:$FB$285,131,FALSE)</f>
        <v>0</v>
      </c>
      <c r="EO179" s="27">
        <f>VLOOKUP($A179,'[1]Raw Data'!$A$3:$FB$285,132,FALSE)</f>
        <v>1</v>
      </c>
      <c r="EP179" s="27" t="str">
        <f>VLOOKUP($A179,'[1]Raw Data'!$A$3:$FB$285,133,FALSE)</f>
        <v>3</v>
      </c>
      <c r="EQ179" s="27">
        <f>VLOOKUP($A179,'[1]Raw Data'!$A$3:$FB$285,134,FALSE)</f>
        <v>3</v>
      </c>
      <c r="ER179" s="27" t="str">
        <f>VLOOKUP($A179,'[1]Raw Data'!$A$3:$FB$285,135,FALSE)</f>
        <v>2</v>
      </c>
      <c r="ES179" s="27" t="str">
        <f>VLOOKUP($A179,'[1]Raw Data'!$A$3:$FB$285,136,FALSE)</f>
        <v/>
      </c>
      <c r="ET179" s="27" t="str">
        <f>VLOOKUP($A179,'[1]Raw Data'!$A$3:$FB$285,137,FALSE)</f>
        <v/>
      </c>
      <c r="EU179" s="27" t="str">
        <f>VLOOKUP($A179,'[1]Raw Data'!$A$3:$FB$285,138,FALSE)</f>
        <v/>
      </c>
      <c r="EV179" s="27" t="str">
        <f>VLOOKUP($A179,'[1]Raw Data'!$A$3:$FB$285,139,FALSE)</f>
        <v/>
      </c>
      <c r="EW179" s="38">
        <f>VLOOKUP($A179,[1]Training!$A$2:$I$284,5,FALSE)</f>
        <v>175</v>
      </c>
      <c r="EX179" s="31">
        <f>VLOOKUP($A179,[1]Training!$A$2:$I$284,6,FALSE)</f>
        <v>400</v>
      </c>
      <c r="EY179" s="38">
        <f>VLOOKUP($A179,[1]Training!$A$2:$I$284,8,FALSE)</f>
        <v>225.03108749717384</v>
      </c>
      <c r="EZ179" s="31">
        <f>VLOOKUP($A179,[1]Training!$A$2:$I$284,9,FALSE)</f>
        <v>0</v>
      </c>
      <c r="FA179" s="27">
        <v>1</v>
      </c>
      <c r="FB179" s="27">
        <v>2</v>
      </c>
      <c r="FC179" s="27" t="str">
        <f>VLOOKUP($A179,'[1]Raw Data'!$A$3:$FB$285,148,FALSE)</f>
        <v>Chandra Gurung</v>
      </c>
      <c r="FD179" s="27" t="s">
        <v>1381</v>
      </c>
      <c r="FE179" s="27" t="str">
        <f>VLOOKUP($A179,'[1]Raw Data'!$A$3:$FB$285,149,FALSE)</f>
        <v>District Coordinator</v>
      </c>
      <c r="FF179" s="27" t="s">
        <v>885</v>
      </c>
      <c r="FG179" s="27">
        <f>VLOOKUP($A179,'[1]Raw Data'!$A$3:$FB$285,150,FALSE)</f>
        <v>9841478742</v>
      </c>
      <c r="FH179" s="27" t="str">
        <f>VLOOKUP($A179,'[1]Raw Data'!$A$3:$FB$285,156,FALSE)</f>
        <v>Atit Shrestha</v>
      </c>
      <c r="FI179" s="27" t="s">
        <v>1382</v>
      </c>
      <c r="FJ179" s="27" t="str">
        <f>VLOOKUP($A179,'[1]Raw Data'!$A$3:$FB$285,157,FALSE)</f>
        <v>District Technical Officer</v>
      </c>
      <c r="FK179" s="27" t="s">
        <v>886</v>
      </c>
      <c r="FL179" s="27">
        <f>VLOOKUP($A179,'[1]Raw Data'!$A$3:$FB$285,158,FALSE)</f>
        <v>9801328282</v>
      </c>
      <c r="FM179" s="27" t="str">
        <f>VLOOKUP($A179,'[1]Raw Data'!$A$3:$FB$285,152,FALSE)</f>
        <v>Birodh Kattel</v>
      </c>
      <c r="FN179" s="27" t="s">
        <v>1383</v>
      </c>
      <c r="FO179" s="27" t="str">
        <f>VLOOKUP($A179,'[1]Raw Data'!$A$3:$FB$285,153,FALSE)</f>
        <v>DIstrict Information Management Officer</v>
      </c>
      <c r="FP179" s="27" t="s">
        <v>887</v>
      </c>
      <c r="FQ179" s="27">
        <f>VLOOKUP($A179,'[1]Raw Data'!$A$3:$FB$285,154,FALSE)</f>
        <v>9841419970</v>
      </c>
    </row>
    <row r="180" spans="1:173" ht="24" x14ac:dyDescent="0.45">
      <c r="A180" s="27">
        <v>36005</v>
      </c>
      <c r="B180" s="36" t="str">
        <f ca="1">IFERROR(__xludf.DUMMYFUNCTION("""COMPUTED_VALUE"""),"Dharche Gaunpalika")</f>
        <v>Dharche Gaunpalika</v>
      </c>
      <c r="C180" s="37" t="str">
        <f>VLOOKUP(A180,'[1]Palika and District in Nepali '!$D$1:$F$283,3,FALSE)</f>
        <v>धार्चे गाउँपालिका</v>
      </c>
      <c r="D180" s="36" t="str">
        <f ca="1">IFERROR(__xludf.DUMMYFUNCTION("""COMPUTED_VALUE"""),"Gorkha")</f>
        <v>Gorkha</v>
      </c>
      <c r="E180" s="36"/>
      <c r="F180" s="27">
        <f>VLOOKUP(A180,'[1]Raw Data'!$A$3:$FB$285,4,FALSE)</f>
        <v>389</v>
      </c>
      <c r="G180" s="27">
        <f>VLOOKUP(A180,'[1]Raw Data'!$A$3:$FB$285,5,FALSE)</f>
        <v>3294</v>
      </c>
      <c r="H180" s="27">
        <f>VLOOKUP(A180,'[1]Raw Data'!$A$3:$FB$285,6,FALSE)</f>
        <v>3683</v>
      </c>
      <c r="I180" s="27">
        <f>VLOOKUP($A180,'[1]Raw Data'!$A$3:$FB$285,8,FALSE)</f>
        <v>0.52</v>
      </c>
      <c r="J180" s="27">
        <f>VLOOKUP($A180,'[1]Raw Data'!$A$3:$FB$285,9,FALSE)</f>
        <v>1.27</v>
      </c>
      <c r="K180" s="27">
        <f>VLOOKUP($A180,'[1]Raw Data'!$A$3:$FB$285,11,FALSE)</f>
        <v>63</v>
      </c>
      <c r="L180" s="27">
        <f>VLOOKUP($A180,'[1]Raw Data'!$A$3:$FB$285,12,FALSE)</f>
        <v>82.76</v>
      </c>
      <c r="M180" s="27">
        <f>VLOOKUP($A180,'[1]Raw Data'!$A$3:$FB$285,14,FALSE)</f>
        <v>0.65</v>
      </c>
      <c r="N180" s="27">
        <f>VLOOKUP($A180,'[1]Raw Data'!$A$3:$FB$285,15,FALSE)</f>
        <v>2.57</v>
      </c>
      <c r="O180" s="27">
        <f>VLOOKUP($A180,'[1]Raw Data'!$A$3:$FB$285,17,FALSE)</f>
        <v>0.03</v>
      </c>
      <c r="P180" s="27">
        <f>VLOOKUP($A180,'[1]Raw Data'!$A$3:$FB$285,18,FALSE)</f>
        <v>3</v>
      </c>
      <c r="Q180" s="27">
        <f>VLOOKUP($A180,'[1]Raw Data'!$A$3:$FB$285,20,FALSE)</f>
        <v>0.44</v>
      </c>
      <c r="R180" s="27">
        <f>VLOOKUP($A180,'[1]Raw Data'!$A$3:$FB$285,21,FALSE)</f>
        <v>3.23</v>
      </c>
      <c r="S180" s="27">
        <f>VLOOKUP($A180,'[1]Raw Data'!$A$3:$FB$285,23,FALSE)</f>
        <v>0</v>
      </c>
      <c r="T180" s="27">
        <f>VLOOKUP($A180,'[1]Raw Data'!$A$3:$FB$285,24,FALSE)</f>
        <v>0</v>
      </c>
      <c r="U180" s="27">
        <f>VLOOKUP($A180,'[1]Raw Data'!$A$3:$FB$285,26,FALSE)</f>
        <v>1.71</v>
      </c>
      <c r="V180" s="27">
        <f>VLOOKUP($A180,'[1]Raw Data'!$A$3:$FB$285,27,FALSE)</f>
        <v>0.88</v>
      </c>
      <c r="W180" s="27">
        <f>VLOOKUP($A180,'[1]Raw Data'!$A$3:$FB$285,29,FALSE)</f>
        <v>0</v>
      </c>
      <c r="X180" s="27">
        <f>VLOOKUP($A180,'[1]Raw Data'!$A$3:$FB$285,30,FALSE)</f>
        <v>0</v>
      </c>
      <c r="Y180" s="27">
        <f>VLOOKUP($A180,'[1]Raw Data'!$A$3:$FB$285,32,FALSE)</f>
        <v>33.39</v>
      </c>
      <c r="Z180" s="27">
        <f>VLOOKUP($A180,'[1]Raw Data'!$A$3:$FB$285,33,FALSE)</f>
        <v>4.17</v>
      </c>
      <c r="AA180" s="27">
        <f>VLOOKUP($A180,'[1]Raw Data'!$A$3:$FB$285,35,FALSE)</f>
        <v>0.11</v>
      </c>
      <c r="AB180" s="27">
        <f>VLOOKUP($A180,'[1]Raw Data'!$A$3:$FB$285,36,FALSE)</f>
        <v>1.79</v>
      </c>
      <c r="AC180" s="27">
        <f>VLOOKUP($A180,'[1]Raw Data'!$A$3:$FB$285,38,FALSE)</f>
        <v>0.16</v>
      </c>
      <c r="AD180" s="27">
        <f>VLOOKUP($A180,'[1]Raw Data'!$A$3:$FB$285,39,FALSE)</f>
        <v>0.34</v>
      </c>
      <c r="AE180" s="27">
        <f>VLOOKUP($A180,'[1]Raw Data'!$A$3:$FB$285,41,FALSE)</f>
        <v>0</v>
      </c>
      <c r="AF180" s="27">
        <f>VLOOKUP($A180,'[1]Raw Data'!$A$3:$FB$285,42,FALSE)</f>
        <v>0</v>
      </c>
      <c r="AG180" s="27">
        <f>VLOOKUP($A180,'[1]Raw Data'!$A$3:$FB$285,44,FALSE)</f>
        <v>0</v>
      </c>
      <c r="AH180" s="27">
        <f>VLOOKUP($A180,'[1]Raw Data'!$A$3:$FB$285,45,FALSE)</f>
        <v>0</v>
      </c>
      <c r="AI180" s="27">
        <f>VLOOKUP($A180,'[1]Raw Data'!$A$3:$FB$285,46,FALSE)</f>
        <v>4169</v>
      </c>
      <c r="AJ180" s="27">
        <f>VLOOKUP($A180,'[1]Raw Data'!$A$3:$FB$285,47,FALSE)</f>
        <v>3217</v>
      </c>
      <c r="AK180" s="27">
        <f>VLOOKUP($A180,'[1]Raw Data'!$A$3:$FB$285,48,FALSE)</f>
        <v>3220</v>
      </c>
      <c r="AL180" s="27">
        <f>VLOOKUP($A180,'[1]Raw Data'!$A$3:$FB$285,49,FALSE)</f>
        <v>2597</v>
      </c>
      <c r="AM180" s="27">
        <f>VLOOKUP($A180,'[1]Raw Data'!$A$3:$FB$285,50,FALSE)</f>
        <v>2099</v>
      </c>
      <c r="AN180" s="27">
        <f>VLOOKUP($A180,'[1]Raw Data'!$A$3:$FB$285,51,FALSE)</f>
        <v>498</v>
      </c>
      <c r="AO180" s="27">
        <f>VLOOKUP($A180,'[1]Raw Data'!$A$3:$FB$285,52,FALSE)</f>
        <v>2099</v>
      </c>
      <c r="AP180" s="27">
        <f>VLOOKUP($A180,'[1]Raw Data'!$A$3:$FB$285,53,FALSE)</f>
        <v>280</v>
      </c>
      <c r="AQ180" s="27">
        <f>VLOOKUP($A180,'[1]Raw Data'!$A$3:$FB$285,54,FALSE)</f>
        <v>29</v>
      </c>
      <c r="AR180" s="27">
        <f>VLOOKUP($A180,'[1]Raw Data'!$A$3:$FB$285,55,FALSE)</f>
        <v>29</v>
      </c>
      <c r="AS180" s="27" t="str">
        <f>VLOOKUP($A180,'[1]Raw Data'!$A$3:$FB$285,56,FALSE)</f>
        <v/>
      </c>
      <c r="AT180" s="27">
        <f>VLOOKUP($A180,'[1]Raw Data'!$A$3:$FB$285,57,FALSE)</f>
        <v>1121</v>
      </c>
      <c r="AU180" s="27">
        <f>VLOOKUP($A180,'[1]Raw Data'!$A$3:$FB$285,58,FALSE)</f>
        <v>1108</v>
      </c>
      <c r="AV180" s="27" t="str">
        <f>VLOOKUP($A180,'[1]Raw Data'!$A$3:$FB$285,59,FALSE)</f>
        <v/>
      </c>
      <c r="AW180" s="27" t="str">
        <f>VLOOKUP($A180,'[1]Raw Data'!$A$3:$FB$285,60,FALSE)</f>
        <v/>
      </c>
      <c r="AX180" s="27" t="str">
        <f>VLOOKUP(A180,'[1]PO''s List'!A178:E460,4,FALSE)</f>
        <v>CARE-N(Livelihood,DRR,Employment ,GESI,Health,Shelter,Health),INF(Employment )</v>
      </c>
      <c r="AZ180" s="27" t="str">
        <f>VLOOKUP(A180,'[1]PO''s List'!$A$3:$E$285,5,FALSE)</f>
        <v>CRS(Livelihood,Employment ,Shelter,Health),FCA(Education),GHA(Education),MECS(Education),NRNA(Shelter),OXFAM-GB(Shelter),SCI(Shelter),WFP(Employment )</v>
      </c>
      <c r="BB180" s="27">
        <f>VLOOKUP($A180,'[1]Raw Data'!$A$3:$FB$285,63,FALSE)</f>
        <v>54090</v>
      </c>
      <c r="BC180" s="27" t="str">
        <f>VLOOKUP($A180,'[1]Raw Data'!$A$3:$FB$285,64,FALSE)</f>
        <v/>
      </c>
      <c r="BD180" s="27" t="str">
        <f t="shared" si="18"/>
        <v/>
      </c>
      <c r="BE180" s="27" t="str">
        <f>VLOOKUP($A180,'[1]Raw Data'!$A$3:$FB$285,65,FALSE)</f>
        <v/>
      </c>
      <c r="BF180" s="27">
        <f>VLOOKUP($A180,'[1]Raw Data'!$A$3:$FB$285,66,FALSE)</f>
        <v>55574</v>
      </c>
      <c r="BG180" s="27" t="str">
        <f>VLOOKUP($A180,'[1]Raw Data'!$A$3:$FB$285,67,FALSE)</f>
        <v/>
      </c>
      <c r="BH180" s="27" t="str">
        <f t="shared" si="19"/>
        <v/>
      </c>
      <c r="BI180" s="27" t="str">
        <f>VLOOKUP($A180,'[1]Raw Data'!$A$3:$FB$285,68,FALSE)</f>
        <v/>
      </c>
      <c r="BJ180" s="27">
        <f>VLOOKUP($A180,'[1]Raw Data'!$A$3:$FB$285,69,FALSE)</f>
        <v>5774</v>
      </c>
      <c r="BK180" s="27" t="str">
        <f>VLOOKUP($A180,'[1]Raw Data'!$A$3:$FB$285,70,FALSE)</f>
        <v/>
      </c>
      <c r="BL180" s="27" t="str">
        <f t="shared" si="20"/>
        <v/>
      </c>
      <c r="BM180" s="27" t="str">
        <f>VLOOKUP($A180,'[1]Raw Data'!$A$3:$FB$285,71,FALSE)</f>
        <v/>
      </c>
      <c r="BN180" s="27">
        <f>VLOOKUP($A180,'[1]Raw Data'!$A$3:$FB$285,72,FALSE)</f>
        <v>6658</v>
      </c>
      <c r="BO180" s="27" t="str">
        <f>VLOOKUP($A180,'[1]Raw Data'!$A$3:$FB$285,73,FALSE)</f>
        <v/>
      </c>
      <c r="BP180" s="27" t="str">
        <f t="shared" si="21"/>
        <v/>
      </c>
      <c r="BQ180" s="27" t="str">
        <f>VLOOKUP($A180,'[1]Raw Data'!$A$3:$FB$285,74,FALSE)</f>
        <v/>
      </c>
      <c r="BR180" s="27" t="str">
        <f>VLOOKUP($A180,'[1]Raw Data'!$A$3:$FB$285,75,FALSE)</f>
        <v/>
      </c>
      <c r="BS180" s="27" t="str">
        <f>VLOOKUP($A180,'[1]Raw Data'!$A$3:$FB$285,76,FALSE)</f>
        <v>Y</v>
      </c>
      <c r="BT180" s="27" t="str">
        <f t="shared" si="22"/>
        <v>छ</v>
      </c>
      <c r="BU180" s="27">
        <f>VLOOKUP($A180,'[1]Raw Data'!$A$3:$FB$285,77,FALSE)</f>
        <v>2200</v>
      </c>
      <c r="BV180" s="27">
        <f>VLOOKUP($A180,'[1]Raw Data'!$A$3:$FB$285,78,FALSE)</f>
        <v>182394</v>
      </c>
      <c r="BW180" s="27" t="str">
        <f>VLOOKUP($A180,'[1]Raw Data'!$A$3:$FB$285,79,FALSE)</f>
        <v>Y</v>
      </c>
      <c r="BX180" s="27" t="str">
        <f t="shared" si="23"/>
        <v>छ</v>
      </c>
      <c r="BY180" s="27">
        <f>VLOOKUP($A180,'[1]Raw Data'!$A$3:$FB$285,80,FALSE)</f>
        <v>2400</v>
      </c>
      <c r="BZ180" s="27">
        <f>VLOOKUP($A180,'[1]Raw Data'!$A$3:$FB$285,81,FALSE)</f>
        <v>583888</v>
      </c>
      <c r="CA180" s="27" t="str">
        <f>VLOOKUP($A180,'[1]Raw Data'!$A$3:$FB$285,82,FALSE)</f>
        <v>N</v>
      </c>
      <c r="CB180" s="27" t="str">
        <f t="shared" si="24"/>
        <v>छैन</v>
      </c>
      <c r="CC180" s="27" t="str">
        <f>VLOOKUP($A180,'[1]Raw Data'!$A$3:$FB$285,83,FALSE)</f>
        <v/>
      </c>
      <c r="CD180" s="27">
        <f>VLOOKUP($A180,'[1]Raw Data'!$A$3:$FB$285,84,FALSE)</f>
        <v>7444</v>
      </c>
      <c r="CE180" s="27" t="str">
        <f>VLOOKUP($A180,'[1]Raw Data'!$A$3:$FB$285,85,FALSE)</f>
        <v/>
      </c>
      <c r="CF180" s="27" t="str">
        <f t="shared" si="25"/>
        <v/>
      </c>
      <c r="CG180" s="27" t="str">
        <f>VLOOKUP($A180,'[1]Raw Data'!$A$3:$FB$285,86,FALSE)</f>
        <v/>
      </c>
      <c r="CH180" s="27">
        <f>VLOOKUP($A180,'[1]Raw Data'!$A$3:$FB$285,87,FALSE)</f>
        <v>262940</v>
      </c>
      <c r="CI180" s="27" t="str">
        <f>VLOOKUP($A180,'[1]Raw Data'!$A$3:$FB$285,88,FALSE)</f>
        <v>N</v>
      </c>
      <c r="CJ180" s="27" t="str">
        <f t="shared" si="26"/>
        <v>छैन</v>
      </c>
      <c r="CK180" s="27" t="str">
        <f>VLOOKUP($A180,'[1]Raw Data'!$A$3:$FB$285,89,FALSE)</f>
        <v/>
      </c>
      <c r="CL180" s="27">
        <f>VLOOKUP($A180,'[1]Raw Data'!$A$3:$FB$285,91,FALSE)</f>
        <v>1500</v>
      </c>
      <c r="CM180" s="27">
        <f>VLOOKUP($A180,'[1]Raw Data'!$A$3:$FB$285,93,FALSE)</f>
        <v>1000</v>
      </c>
      <c r="CN180" s="27" t="str">
        <f>VLOOKUP($A180,'[1]Raw Data'!$A$3:$FB$285,94,FALSE)</f>
        <v>209</v>
      </c>
      <c r="CO180" s="27" t="str">
        <f>VLOOKUP($A180,'[1]Raw Data'!$A$3:$FB$285,95,FALSE)</f>
        <v/>
      </c>
      <c r="CP180" s="27" t="str">
        <f>VLOOKUP($A180,'[1]Raw Data'!$A$3:$FB$285,96,FALSE)</f>
        <v/>
      </c>
      <c r="CQ180" s="27" t="str">
        <f>VLOOKUP($A180,'[1]Raw Data'!$A$3:$FB$285,97,FALSE)</f>
        <v/>
      </c>
      <c r="CR180" s="27" t="str">
        <f>VLOOKUP($A180,'[1]Raw Data'!$A$3:$FB$285,98,FALSE)</f>
        <v/>
      </c>
      <c r="CS180" s="27" t="str">
        <f>VLOOKUP($A180,'[1]Raw Data'!$A$3:$FB$285,99,FALSE)</f>
        <v/>
      </c>
      <c r="CT180" s="27" t="str">
        <f>VLOOKUP($A180,'[1]Raw Data'!$A$3:$FB$285,101,FALSE)</f>
        <v>Santa Bahadur Gurung</v>
      </c>
      <c r="CU180" s="27" t="s">
        <v>1396</v>
      </c>
      <c r="CV180" s="27" t="str">
        <f>VLOOKUP($A180,'[1]Raw Data'!$A$3:$FB$285,102,FALSE)</f>
        <v xml:space="preserve">Chairman </v>
      </c>
      <c r="CW180" s="27" t="s">
        <v>878</v>
      </c>
      <c r="CX180" s="27">
        <f>VLOOKUP($A180,'[1]Raw Data'!$A$3:$FB$285,103,FALSE)</f>
        <v>9551019353</v>
      </c>
      <c r="CY180" s="27" t="str">
        <f>VLOOKUP($A180,'[1]Raw Data'!$A$3:$FB$285,105,FALSE)</f>
        <v>Ful Maya Gurung</v>
      </c>
      <c r="CZ180" s="27" t="s">
        <v>1397</v>
      </c>
      <c r="DA180" s="27" t="str">
        <f>VLOOKUP($A180,'[1]Raw Data'!$A$3:$FB$285,106,FALSE)</f>
        <v>Deputy Chairman</v>
      </c>
      <c r="DB180" s="27" t="s">
        <v>879</v>
      </c>
      <c r="DC180" s="27">
        <f>VLOOKUP($A180,'[1]Raw Data'!$A$3:$FB$285,107,FALSE)</f>
        <v>9846722405</v>
      </c>
      <c r="DD180" s="27" t="str">
        <f>VLOOKUP($A180,'[1]Raw Data'!$A$3:$FB$285,109,FALSE)</f>
        <v>Babu Ram Pandey</v>
      </c>
      <c r="DE180" s="27" t="s">
        <v>1398</v>
      </c>
      <c r="DF180" s="27" t="str">
        <f>VLOOKUP($A180,'[1]Raw Data'!$A$3:$FB$285,110,FALSE)</f>
        <v>Chief Adminstration Officer</v>
      </c>
      <c r="DG180" s="27" t="s">
        <v>880</v>
      </c>
      <c r="DH180" s="27">
        <f>VLOOKUP($A180,'[1]Raw Data'!$A$3:$FB$285,111,FALSE)</f>
        <v>9851164646</v>
      </c>
      <c r="DI180" s="27" t="str">
        <f>VLOOKUP($A180,'[1]Raw Data'!$A$3:$FB$285,121,FALSE)</f>
        <v>Baburam Pandey</v>
      </c>
      <c r="DJ180" s="27" t="s">
        <v>1399</v>
      </c>
      <c r="DK180" s="27" t="str">
        <f>VLOOKUP($A180,'[1]Raw Data'!$A$3:$FB$285,122,FALSE)</f>
        <v>Focal Person</v>
      </c>
      <c r="DL180" s="27" t="s">
        <v>881</v>
      </c>
      <c r="DM180" s="27">
        <f>VLOOKUP($A180,'[1]Raw Data'!$A$3:$FB$285,123,FALSE)</f>
        <v>9851164646</v>
      </c>
      <c r="DN180" s="27" t="str">
        <f>VLOOKUP($A180,'[1]Raw Data'!$A$3:$FB$285,113,FALSE)</f>
        <v>Ram Sharan Acharya</v>
      </c>
      <c r="DO180" s="27" t="s">
        <v>1379</v>
      </c>
      <c r="DP180" s="27" t="str">
        <f>VLOOKUP($A180,'[1]Raw Data'!$A$3:$FB$285,114,FALSE)</f>
        <v>NRA Chief-District</v>
      </c>
      <c r="DQ180" s="27" t="s">
        <v>882</v>
      </c>
      <c r="DR180" s="27">
        <f>VLOOKUP($A180,'[1]Raw Data'!$A$3:$FB$285,115,FALSE)</f>
        <v>9856042637</v>
      </c>
      <c r="DS180" s="27" t="str">
        <f>VLOOKUP($A180,'[1]Raw Data'!$A$3:$FB$285,117,FALSE)</f>
        <v>Sunita Shrestha</v>
      </c>
      <c r="DT180" s="27" t="s">
        <v>1380</v>
      </c>
      <c r="DU180" s="27" t="str">
        <f>VLOOKUP($A180,'[1]Raw Data'!$A$3:$FB$285,118,FALSE)</f>
        <v>DUDBC.DLPIU Chief</v>
      </c>
      <c r="DV180" s="27" t="s">
        <v>883</v>
      </c>
      <c r="DW180" s="27">
        <f>VLOOKUP($A180,'[1]Raw Data'!$A$3:$FB$285,119,FALSE)</f>
        <v>9841632087</v>
      </c>
      <c r="DX180" s="27" t="s">
        <v>339</v>
      </c>
      <c r="DY180" s="27" t="str">
        <f>VLOOKUP($A180,'[1]Raw Data'!$A$3:$FB$285,124,FALSE)</f>
        <v/>
      </c>
      <c r="DZ180" s="27" t="s">
        <v>884</v>
      </c>
      <c r="EA180" s="27" t="str">
        <f>VLOOKUP($A180,'[1]Raw Data'!$A$3:$FB$285,125,FALSE)</f>
        <v/>
      </c>
      <c r="EB180" s="27" t="s">
        <v>341</v>
      </c>
      <c r="EC180" s="27" t="str">
        <f>VLOOKUP($A180,'[1]Raw Data'!$A$3:$FB$285,126,FALSE)</f>
        <v/>
      </c>
      <c r="ED180" t="s">
        <v>478</v>
      </c>
      <c r="EE180" s="27" t="str">
        <f>VLOOKUP($A180,'[1]Raw Data'!$A$3:$FB$285,127,FALSE)</f>
        <v/>
      </c>
      <c r="EF180" s="27" t="s">
        <v>343</v>
      </c>
      <c r="EG180" s="27" t="str">
        <f>VLOOKUP($A180,'[1]Raw Data'!$A$3:$FB$285,128,FALSE)</f>
        <v/>
      </c>
      <c r="EH180" t="s">
        <v>344</v>
      </c>
      <c r="EI180" s="27" t="str">
        <f>VLOOKUP($A180,'[1]Raw Data'!$A$3:$FB$285,129,FALSE)</f>
        <v/>
      </c>
      <c r="EM180" s="27" t="str">
        <f>VLOOKUP($A180,'[1]Raw Data'!$A$3:$FB$285,130,FALSE)</f>
        <v/>
      </c>
      <c r="EN180" s="27" t="str">
        <f>VLOOKUP($A180,'[1]Raw Data'!$A$3:$FB$285,131,FALSE)</f>
        <v/>
      </c>
      <c r="EO180" s="27" t="str">
        <f>VLOOKUP($A180,'[1]Raw Data'!$A$3:$FB$285,132,FALSE)</f>
        <v/>
      </c>
      <c r="EP180" s="27" t="str">
        <f>VLOOKUP($A180,'[1]Raw Data'!$A$3:$FB$285,133,FALSE)</f>
        <v/>
      </c>
      <c r="EQ180" s="27" t="str">
        <f>VLOOKUP($A180,'[1]Raw Data'!$A$3:$FB$285,134,FALSE)</f>
        <v/>
      </c>
      <c r="ER180" s="27" t="str">
        <f>VLOOKUP($A180,'[1]Raw Data'!$A$3:$FB$285,135,FALSE)</f>
        <v/>
      </c>
      <c r="ES180" s="27" t="str">
        <f>VLOOKUP($A180,'[1]Raw Data'!$A$3:$FB$285,136,FALSE)</f>
        <v>1016</v>
      </c>
      <c r="ET180" s="27" t="str">
        <f>VLOOKUP($A180,'[1]Raw Data'!$A$3:$FB$285,137,FALSE)</f>
        <v>1500</v>
      </c>
      <c r="EU180" s="27" t="str">
        <f>VLOOKUP($A180,'[1]Raw Data'!$A$3:$FB$285,138,FALSE)</f>
        <v>574</v>
      </c>
      <c r="EV180" s="27" t="str">
        <f>VLOOKUP($A180,'[1]Raw Data'!$A$3:$FB$285,139,FALSE)</f>
        <v>1000</v>
      </c>
      <c r="EW180" s="38">
        <f>VLOOKUP($A180,[1]Training!$A$2:$I$284,5,FALSE)</f>
        <v>320.69230769230768</v>
      </c>
      <c r="EX180" s="31">
        <f>VLOOKUP($A180,[1]Training!$A$2:$I$284,6,FALSE)</f>
        <v>367</v>
      </c>
      <c r="EY180" s="38">
        <f>VLOOKUP($A180,[1]Training!$A$2:$I$284,8,FALSE)</f>
        <v>412.37565001130451</v>
      </c>
      <c r="EZ180" s="31">
        <f>VLOOKUP($A180,[1]Training!$A$2:$I$284,9,FALSE)</f>
        <v>0</v>
      </c>
      <c r="FA180" s="27">
        <v>1</v>
      </c>
      <c r="FB180" s="27">
        <v>2</v>
      </c>
      <c r="FC180" s="27" t="str">
        <f>VLOOKUP($A180,'[1]Raw Data'!$A$3:$FB$285,148,FALSE)</f>
        <v>Chandra Gurung</v>
      </c>
      <c r="FD180" s="27" t="s">
        <v>1381</v>
      </c>
      <c r="FE180" s="27" t="str">
        <f>VLOOKUP($A180,'[1]Raw Data'!$A$3:$FB$285,149,FALSE)</f>
        <v>District Coordinator</v>
      </c>
      <c r="FF180" s="27" t="s">
        <v>885</v>
      </c>
      <c r="FG180" s="27">
        <f>VLOOKUP($A180,'[1]Raw Data'!$A$3:$FB$285,150,FALSE)</f>
        <v>9841478742</v>
      </c>
      <c r="FH180" s="27" t="str">
        <f>VLOOKUP($A180,'[1]Raw Data'!$A$3:$FB$285,156,FALSE)</f>
        <v>Atit Shrestha</v>
      </c>
      <c r="FI180" s="27" t="s">
        <v>1382</v>
      </c>
      <c r="FJ180" s="27" t="str">
        <f>VLOOKUP($A180,'[1]Raw Data'!$A$3:$FB$285,157,FALSE)</f>
        <v>District Technical Officer</v>
      </c>
      <c r="FK180" s="27" t="s">
        <v>886</v>
      </c>
      <c r="FL180" s="27">
        <f>VLOOKUP($A180,'[1]Raw Data'!$A$3:$FB$285,158,FALSE)</f>
        <v>9801328282</v>
      </c>
      <c r="FM180" s="27" t="str">
        <f>VLOOKUP($A180,'[1]Raw Data'!$A$3:$FB$285,152,FALSE)</f>
        <v>Birodh Kattel</v>
      </c>
      <c r="FN180" s="27" t="s">
        <v>1383</v>
      </c>
      <c r="FO180" s="27" t="str">
        <f>VLOOKUP($A180,'[1]Raw Data'!$A$3:$FB$285,153,FALSE)</f>
        <v>DIstrict Information Management Officer</v>
      </c>
      <c r="FP180" s="27" t="s">
        <v>887</v>
      </c>
      <c r="FQ180" s="27">
        <f>VLOOKUP($A180,'[1]Raw Data'!$A$3:$FB$285,154,FALSE)</f>
        <v>9841419970</v>
      </c>
    </row>
    <row r="181" spans="1:173" ht="24" x14ac:dyDescent="0.45">
      <c r="A181" s="27">
        <v>36006</v>
      </c>
      <c r="B181" s="36" t="str">
        <f ca="1">IFERROR(__xludf.DUMMYFUNCTION("""COMPUTED_VALUE"""),"Gandaki Gaunpalika")</f>
        <v>Gandaki Gaunpalika</v>
      </c>
      <c r="C181" s="37" t="str">
        <f>VLOOKUP(A181,'[1]Palika and District in Nepali '!$D$1:$F$283,3,FALSE)</f>
        <v>गण्डकी गाउँपालिका</v>
      </c>
      <c r="D181" s="36" t="str">
        <f ca="1">IFERROR(__xludf.DUMMYFUNCTION("""COMPUTED_VALUE"""),"Gorkha")</f>
        <v>Gorkha</v>
      </c>
      <c r="E181" s="36"/>
      <c r="F181" s="27">
        <f>VLOOKUP(A181,'[1]Raw Data'!$A$3:$FB$285,4,FALSE)</f>
        <v>1079</v>
      </c>
      <c r="G181" s="27">
        <f>VLOOKUP(A181,'[1]Raw Data'!$A$3:$FB$285,5,FALSE)</f>
        <v>5202</v>
      </c>
      <c r="H181" s="27">
        <f>VLOOKUP(A181,'[1]Raw Data'!$A$3:$FB$285,6,FALSE)</f>
        <v>6281</v>
      </c>
      <c r="I181" s="27">
        <f>VLOOKUP($A181,'[1]Raw Data'!$A$3:$FB$285,8,FALSE)</f>
        <v>0.37</v>
      </c>
      <c r="J181" s="27">
        <f>VLOOKUP($A181,'[1]Raw Data'!$A$3:$FB$285,9,FALSE)</f>
        <v>1.27</v>
      </c>
      <c r="K181" s="27">
        <f>VLOOKUP($A181,'[1]Raw Data'!$A$3:$FB$285,11,FALSE)</f>
        <v>94.7</v>
      </c>
      <c r="L181" s="27">
        <f>VLOOKUP($A181,'[1]Raw Data'!$A$3:$FB$285,12,FALSE)</f>
        <v>82.76</v>
      </c>
      <c r="M181" s="27">
        <f>VLOOKUP($A181,'[1]Raw Data'!$A$3:$FB$285,14,FALSE)</f>
        <v>3.17</v>
      </c>
      <c r="N181" s="27">
        <f>VLOOKUP($A181,'[1]Raw Data'!$A$3:$FB$285,15,FALSE)</f>
        <v>2.57</v>
      </c>
      <c r="O181" s="27">
        <f>VLOOKUP($A181,'[1]Raw Data'!$A$3:$FB$285,17,FALSE)</f>
        <v>0.06</v>
      </c>
      <c r="P181" s="27">
        <f>VLOOKUP($A181,'[1]Raw Data'!$A$3:$FB$285,18,FALSE)</f>
        <v>3</v>
      </c>
      <c r="Q181" s="27">
        <f>VLOOKUP($A181,'[1]Raw Data'!$A$3:$FB$285,20,FALSE)</f>
        <v>0.24</v>
      </c>
      <c r="R181" s="27">
        <f>VLOOKUP($A181,'[1]Raw Data'!$A$3:$FB$285,21,FALSE)</f>
        <v>3.23</v>
      </c>
      <c r="S181" s="27">
        <f>VLOOKUP($A181,'[1]Raw Data'!$A$3:$FB$285,23,FALSE)</f>
        <v>0</v>
      </c>
      <c r="T181" s="27">
        <f>VLOOKUP($A181,'[1]Raw Data'!$A$3:$FB$285,24,FALSE)</f>
        <v>0</v>
      </c>
      <c r="U181" s="27">
        <f>VLOOKUP($A181,'[1]Raw Data'!$A$3:$FB$285,26,FALSE)</f>
        <v>0.61</v>
      </c>
      <c r="V181" s="27">
        <f>VLOOKUP($A181,'[1]Raw Data'!$A$3:$FB$285,27,FALSE)</f>
        <v>0.88</v>
      </c>
      <c r="W181" s="27">
        <f>VLOOKUP($A181,'[1]Raw Data'!$A$3:$FB$285,29,FALSE)</f>
        <v>0</v>
      </c>
      <c r="X181" s="27">
        <f>VLOOKUP($A181,'[1]Raw Data'!$A$3:$FB$285,30,FALSE)</f>
        <v>0</v>
      </c>
      <c r="Y181" s="27">
        <f>VLOOKUP($A181,'[1]Raw Data'!$A$3:$FB$285,32,FALSE)</f>
        <v>0.02</v>
      </c>
      <c r="Z181" s="27">
        <f>VLOOKUP($A181,'[1]Raw Data'!$A$3:$FB$285,33,FALSE)</f>
        <v>4.17</v>
      </c>
      <c r="AA181" s="27">
        <f>VLOOKUP($A181,'[1]Raw Data'!$A$3:$FB$285,35,FALSE)</f>
        <v>0.46</v>
      </c>
      <c r="AB181" s="27">
        <f>VLOOKUP($A181,'[1]Raw Data'!$A$3:$FB$285,36,FALSE)</f>
        <v>1.79</v>
      </c>
      <c r="AC181" s="27">
        <f>VLOOKUP($A181,'[1]Raw Data'!$A$3:$FB$285,38,FALSE)</f>
        <v>0.37</v>
      </c>
      <c r="AD181" s="27">
        <f>VLOOKUP($A181,'[1]Raw Data'!$A$3:$FB$285,39,FALSE)</f>
        <v>0.34</v>
      </c>
      <c r="AE181" s="27">
        <f>VLOOKUP($A181,'[1]Raw Data'!$A$3:$FB$285,41,FALSE)</f>
        <v>0</v>
      </c>
      <c r="AF181" s="27">
        <f>VLOOKUP($A181,'[1]Raw Data'!$A$3:$FB$285,42,FALSE)</f>
        <v>0</v>
      </c>
      <c r="AG181" s="27">
        <f>VLOOKUP($A181,'[1]Raw Data'!$A$3:$FB$285,44,FALSE)</f>
        <v>0</v>
      </c>
      <c r="AH181" s="27">
        <f>VLOOKUP($A181,'[1]Raw Data'!$A$3:$FB$285,45,FALSE)</f>
        <v>0</v>
      </c>
      <c r="AI181" s="27">
        <f>VLOOKUP($A181,'[1]Raw Data'!$A$3:$FB$285,46,FALSE)</f>
        <v>5616</v>
      </c>
      <c r="AJ181" s="27">
        <f>VLOOKUP($A181,'[1]Raw Data'!$A$3:$FB$285,47,FALSE)</f>
        <v>4816</v>
      </c>
      <c r="AK181" s="27">
        <f>VLOOKUP($A181,'[1]Raw Data'!$A$3:$FB$285,48,FALSE)</f>
        <v>4817</v>
      </c>
      <c r="AL181" s="27">
        <f>VLOOKUP($A181,'[1]Raw Data'!$A$3:$FB$285,49,FALSE)</f>
        <v>3975</v>
      </c>
      <c r="AM181" s="27">
        <f>VLOOKUP($A181,'[1]Raw Data'!$A$3:$FB$285,50,FALSE)</f>
        <v>2716</v>
      </c>
      <c r="AN181" s="27">
        <f>VLOOKUP($A181,'[1]Raw Data'!$A$3:$FB$285,51,FALSE)</f>
        <v>1259</v>
      </c>
      <c r="AO181" s="27">
        <f>VLOOKUP($A181,'[1]Raw Data'!$A$3:$FB$285,52,FALSE)</f>
        <v>2716</v>
      </c>
      <c r="AP181" s="27">
        <f>VLOOKUP($A181,'[1]Raw Data'!$A$3:$FB$285,53,FALSE)</f>
        <v>441</v>
      </c>
      <c r="AQ181" s="27">
        <f>VLOOKUP($A181,'[1]Raw Data'!$A$3:$FB$285,54,FALSE)</f>
        <v>29</v>
      </c>
      <c r="AR181" s="27">
        <f>VLOOKUP($A181,'[1]Raw Data'!$A$3:$FB$285,55,FALSE)</f>
        <v>29</v>
      </c>
      <c r="AS181" s="27" t="str">
        <f>VLOOKUP($A181,'[1]Raw Data'!$A$3:$FB$285,56,FALSE)</f>
        <v/>
      </c>
      <c r="AT181" s="27">
        <f>VLOOKUP($A181,'[1]Raw Data'!$A$3:$FB$285,57,FALSE)</f>
        <v>1390</v>
      </c>
      <c r="AU181" s="27">
        <f>VLOOKUP($A181,'[1]Raw Data'!$A$3:$FB$285,58,FALSE)</f>
        <v>1269</v>
      </c>
      <c r="AV181" s="27" t="str">
        <f>VLOOKUP($A181,'[1]Raw Data'!$A$3:$FB$285,59,FALSE)</f>
        <v/>
      </c>
      <c r="AW181" s="27" t="str">
        <f>VLOOKUP($A181,'[1]Raw Data'!$A$3:$FB$285,60,FALSE)</f>
        <v/>
      </c>
      <c r="AX181" s="27" t="str">
        <f>VLOOKUP(A181,'[1]PO''s List'!A179:E461,4,FALSE)</f>
        <v/>
      </c>
      <c r="AZ181" s="27" t="str">
        <f>VLOOKUP(A181,'[1]PO''s List'!$A$3:$E$285,5,FALSE)</f>
        <v>ACN(Shelter),DCA(Livelihood,DRR,Education,Employment ,Health,Shelter,Health),GON-PAF(Shelter),HELVETAS(Shelter),IOM(Shelter),NRA(Shelter),Sailung(Education),UNWOMEN(Shelter)</v>
      </c>
      <c r="BB181" s="27">
        <f>VLOOKUP($A181,'[1]Raw Data'!$A$3:$FB$285,63,FALSE)</f>
        <v>79409</v>
      </c>
      <c r="BC181" s="27" t="str">
        <f>VLOOKUP($A181,'[1]Raw Data'!$A$3:$FB$285,64,FALSE)</f>
        <v/>
      </c>
      <c r="BD181" s="27" t="str">
        <f t="shared" si="18"/>
        <v/>
      </c>
      <c r="BE181" s="27" t="str">
        <f>VLOOKUP($A181,'[1]Raw Data'!$A$3:$FB$285,65,FALSE)</f>
        <v/>
      </c>
      <c r="BF181" s="27">
        <f>VLOOKUP($A181,'[1]Raw Data'!$A$3:$FB$285,66,FALSE)</f>
        <v>81037</v>
      </c>
      <c r="BG181" s="27" t="str">
        <f>VLOOKUP($A181,'[1]Raw Data'!$A$3:$FB$285,67,FALSE)</f>
        <v/>
      </c>
      <c r="BH181" s="27" t="str">
        <f t="shared" si="19"/>
        <v/>
      </c>
      <c r="BI181" s="27" t="str">
        <f>VLOOKUP($A181,'[1]Raw Data'!$A$3:$FB$285,68,FALSE)</f>
        <v/>
      </c>
      <c r="BJ181" s="27">
        <f>VLOOKUP($A181,'[1]Raw Data'!$A$3:$FB$285,69,FALSE)</f>
        <v>8476</v>
      </c>
      <c r="BK181" s="27" t="str">
        <f>VLOOKUP($A181,'[1]Raw Data'!$A$3:$FB$285,70,FALSE)</f>
        <v/>
      </c>
      <c r="BL181" s="27" t="str">
        <f t="shared" si="20"/>
        <v/>
      </c>
      <c r="BM181" s="27" t="str">
        <f>VLOOKUP($A181,'[1]Raw Data'!$A$3:$FB$285,71,FALSE)</f>
        <v/>
      </c>
      <c r="BN181" s="27">
        <f>VLOOKUP($A181,'[1]Raw Data'!$A$3:$FB$285,72,FALSE)</f>
        <v>9769</v>
      </c>
      <c r="BO181" s="27" t="str">
        <f>VLOOKUP($A181,'[1]Raw Data'!$A$3:$FB$285,73,FALSE)</f>
        <v/>
      </c>
      <c r="BP181" s="27" t="str">
        <f t="shared" si="21"/>
        <v/>
      </c>
      <c r="BQ181" s="27" t="str">
        <f>VLOOKUP($A181,'[1]Raw Data'!$A$3:$FB$285,74,FALSE)</f>
        <v/>
      </c>
      <c r="BR181" s="27" t="str">
        <f>VLOOKUP($A181,'[1]Raw Data'!$A$3:$FB$285,75,FALSE)</f>
        <v/>
      </c>
      <c r="BS181" s="27" t="str">
        <f>VLOOKUP($A181,'[1]Raw Data'!$A$3:$FB$285,76,FALSE)</f>
        <v/>
      </c>
      <c r="BT181" s="27" t="str">
        <f t="shared" si="22"/>
        <v/>
      </c>
      <c r="BU181" s="27" t="str">
        <f>VLOOKUP($A181,'[1]Raw Data'!$A$3:$FB$285,77,FALSE)</f>
        <v/>
      </c>
      <c r="BV181" s="27">
        <f>VLOOKUP($A181,'[1]Raw Data'!$A$3:$FB$285,78,FALSE)</f>
        <v>269081</v>
      </c>
      <c r="BW181" s="27" t="str">
        <f>VLOOKUP($A181,'[1]Raw Data'!$A$3:$FB$285,79,FALSE)</f>
        <v/>
      </c>
      <c r="BX181" s="27" t="str">
        <f t="shared" si="23"/>
        <v/>
      </c>
      <c r="BY181" s="27" t="str">
        <f>VLOOKUP($A181,'[1]Raw Data'!$A$3:$FB$285,80,FALSE)</f>
        <v/>
      </c>
      <c r="BZ181" s="27">
        <f>VLOOKUP($A181,'[1]Raw Data'!$A$3:$FB$285,81,FALSE)</f>
        <v>862113</v>
      </c>
      <c r="CA181" s="27" t="str">
        <f>VLOOKUP($A181,'[1]Raw Data'!$A$3:$FB$285,82,FALSE)</f>
        <v/>
      </c>
      <c r="CB181" s="27" t="str">
        <f t="shared" si="24"/>
        <v/>
      </c>
      <c r="CC181" s="27" t="str">
        <f>VLOOKUP($A181,'[1]Raw Data'!$A$3:$FB$285,83,FALSE)</f>
        <v/>
      </c>
      <c r="CD181" s="27">
        <f>VLOOKUP($A181,'[1]Raw Data'!$A$3:$FB$285,84,FALSE)</f>
        <v>10999</v>
      </c>
      <c r="CE181" s="27" t="str">
        <f>VLOOKUP($A181,'[1]Raw Data'!$A$3:$FB$285,85,FALSE)</f>
        <v/>
      </c>
      <c r="CF181" s="27" t="str">
        <f t="shared" si="25"/>
        <v/>
      </c>
      <c r="CG181" s="27" t="str">
        <f>VLOOKUP($A181,'[1]Raw Data'!$A$3:$FB$285,86,FALSE)</f>
        <v/>
      </c>
      <c r="CH181" s="27">
        <f>VLOOKUP($A181,'[1]Raw Data'!$A$3:$FB$285,87,FALSE)</f>
        <v>892200</v>
      </c>
      <c r="CI181" s="27" t="str">
        <f>VLOOKUP($A181,'[1]Raw Data'!$A$3:$FB$285,88,FALSE)</f>
        <v/>
      </c>
      <c r="CJ181" s="27" t="str">
        <f t="shared" si="26"/>
        <v/>
      </c>
      <c r="CK181" s="27" t="str">
        <f>VLOOKUP($A181,'[1]Raw Data'!$A$3:$FB$285,89,FALSE)</f>
        <v/>
      </c>
      <c r="CL181" s="27" t="str">
        <f>VLOOKUP($A181,'[1]Raw Data'!$A$3:$FB$285,91,FALSE)</f>
        <v/>
      </c>
      <c r="CM181" s="27" t="str">
        <f>VLOOKUP($A181,'[1]Raw Data'!$A$3:$FB$285,93,FALSE)</f>
        <v/>
      </c>
      <c r="CN181" s="27" t="str">
        <f>VLOOKUP($A181,'[1]Raw Data'!$A$3:$FB$285,94,FALSE)</f>
        <v>253</v>
      </c>
      <c r="CO181" s="27" t="str">
        <f>VLOOKUP($A181,'[1]Raw Data'!$A$3:$FB$285,95,FALSE)</f>
        <v/>
      </c>
      <c r="CP181" s="27" t="str">
        <f>VLOOKUP($A181,'[1]Raw Data'!$A$3:$FB$285,96,FALSE)</f>
        <v/>
      </c>
      <c r="CQ181" s="27" t="str">
        <f>VLOOKUP($A181,'[1]Raw Data'!$A$3:$FB$285,97,FALSE)</f>
        <v/>
      </c>
      <c r="CR181" s="27" t="str">
        <f>VLOOKUP($A181,'[1]Raw Data'!$A$3:$FB$285,98,FALSE)</f>
        <v/>
      </c>
      <c r="CS181" s="27" t="str">
        <f>VLOOKUP($A181,'[1]Raw Data'!$A$3:$FB$285,99,FALSE)</f>
        <v/>
      </c>
      <c r="CT181" s="27" t="str">
        <f>VLOOKUP($A181,'[1]Raw Data'!$A$3:$FB$285,101,FALSE)</f>
        <v>Hom Bahadur Rana Magar</v>
      </c>
      <c r="CU181" s="27" t="s">
        <v>1400</v>
      </c>
      <c r="CV181" s="27" t="str">
        <f>VLOOKUP($A181,'[1]Raw Data'!$A$3:$FB$285,102,FALSE)</f>
        <v xml:space="preserve">Chairman </v>
      </c>
      <c r="CW181" s="27" t="s">
        <v>878</v>
      </c>
      <c r="CX181" s="27">
        <f>VLOOKUP($A181,'[1]Raw Data'!$A$3:$FB$285,103,FALSE)</f>
        <v>9856040100</v>
      </c>
      <c r="CY181" s="27" t="str">
        <f>VLOOKUP($A181,'[1]Raw Data'!$A$3:$FB$285,105,FALSE)</f>
        <v>Lalita Adhikari</v>
      </c>
      <c r="CZ181" s="27" t="s">
        <v>1401</v>
      </c>
      <c r="DA181" s="27" t="str">
        <f>VLOOKUP($A181,'[1]Raw Data'!$A$3:$FB$285,106,FALSE)</f>
        <v>Deputy Chairman</v>
      </c>
      <c r="DB181" s="27" t="s">
        <v>879</v>
      </c>
      <c r="DC181" s="27">
        <f>VLOOKUP($A181,'[1]Raw Data'!$A$3:$FB$285,107,FALSE)</f>
        <v>9846070449</v>
      </c>
      <c r="DD181" s="27" t="str">
        <f>VLOOKUP($A181,'[1]Raw Data'!$A$3:$FB$285,109,FALSE)</f>
        <v>Debraj Adhikari</v>
      </c>
      <c r="DE181" s="27" t="s">
        <v>1402</v>
      </c>
      <c r="DF181" s="27" t="str">
        <f>VLOOKUP($A181,'[1]Raw Data'!$A$3:$FB$285,110,FALSE)</f>
        <v>Chief Adminstration Officer</v>
      </c>
      <c r="DG181" s="27" t="s">
        <v>880</v>
      </c>
      <c r="DH181" s="27">
        <f>VLOOKUP($A181,'[1]Raw Data'!$A$3:$FB$285,111,FALSE)</f>
        <v>9855068464</v>
      </c>
      <c r="DI181" s="27" t="str">
        <f>VLOOKUP($A181,'[1]Raw Data'!$A$3:$FB$285,121,FALSE)</f>
        <v>Manisha Gurung</v>
      </c>
      <c r="DJ181" s="27" t="s">
        <v>1403</v>
      </c>
      <c r="DK181" s="27" t="str">
        <f>VLOOKUP($A181,'[1]Raw Data'!$A$3:$FB$285,122,FALSE)</f>
        <v>Focal Person</v>
      </c>
      <c r="DL181" s="27" t="s">
        <v>881</v>
      </c>
      <c r="DM181" s="27">
        <f>VLOOKUP($A181,'[1]Raw Data'!$A$3:$FB$285,123,FALSE)</f>
        <v>9813212372</v>
      </c>
      <c r="DN181" s="27" t="str">
        <f>VLOOKUP($A181,'[1]Raw Data'!$A$3:$FB$285,113,FALSE)</f>
        <v>Ram Sharan Acharya</v>
      </c>
      <c r="DO181" s="27" t="s">
        <v>1379</v>
      </c>
      <c r="DP181" s="27" t="str">
        <f>VLOOKUP($A181,'[1]Raw Data'!$A$3:$FB$285,114,FALSE)</f>
        <v>NRA Chief-District</v>
      </c>
      <c r="DQ181" s="27" t="s">
        <v>882</v>
      </c>
      <c r="DR181" s="27">
        <f>VLOOKUP($A181,'[1]Raw Data'!$A$3:$FB$285,115,FALSE)</f>
        <v>9856042637</v>
      </c>
      <c r="DS181" s="27" t="str">
        <f>VLOOKUP($A181,'[1]Raw Data'!$A$3:$FB$285,117,FALSE)</f>
        <v>Sunita Shrestha</v>
      </c>
      <c r="DT181" s="27" t="s">
        <v>1380</v>
      </c>
      <c r="DU181" s="27" t="str">
        <f>VLOOKUP($A181,'[1]Raw Data'!$A$3:$FB$285,118,FALSE)</f>
        <v>DUDBC.DLPIU Chief</v>
      </c>
      <c r="DV181" s="27" t="s">
        <v>883</v>
      </c>
      <c r="DW181" s="27">
        <f>VLOOKUP($A181,'[1]Raw Data'!$A$3:$FB$285,119,FALSE)</f>
        <v>9841632087</v>
      </c>
      <c r="DX181" s="27" t="s">
        <v>339</v>
      </c>
      <c r="DY181" s="27" t="str">
        <f>VLOOKUP($A181,'[1]Raw Data'!$A$3:$FB$285,124,FALSE)</f>
        <v/>
      </c>
      <c r="DZ181" s="27" t="s">
        <v>884</v>
      </c>
      <c r="EA181" s="27" t="str">
        <f>VLOOKUP($A181,'[1]Raw Data'!$A$3:$FB$285,125,FALSE)</f>
        <v/>
      </c>
      <c r="EB181" s="27" t="s">
        <v>341</v>
      </c>
      <c r="EC181" s="27" t="str">
        <f>VLOOKUP($A181,'[1]Raw Data'!$A$3:$FB$285,126,FALSE)</f>
        <v/>
      </c>
      <c r="ED181" t="s">
        <v>478</v>
      </c>
      <c r="EE181" s="27" t="str">
        <f>VLOOKUP($A181,'[1]Raw Data'!$A$3:$FB$285,127,FALSE)</f>
        <v/>
      </c>
      <c r="EF181" s="27" t="s">
        <v>343</v>
      </c>
      <c r="EG181" s="27" t="str">
        <f>VLOOKUP($A181,'[1]Raw Data'!$A$3:$FB$285,128,FALSE)</f>
        <v/>
      </c>
      <c r="EH181" t="s">
        <v>344</v>
      </c>
      <c r="EI181" s="27" t="str">
        <f>VLOOKUP($A181,'[1]Raw Data'!$A$3:$FB$285,129,FALSE)</f>
        <v/>
      </c>
      <c r="EM181" s="27" t="str">
        <f>VLOOKUP($A181,'[1]Raw Data'!$A$3:$FB$285,130,FALSE)</f>
        <v/>
      </c>
      <c r="EN181" s="27" t="str">
        <f>VLOOKUP($A181,'[1]Raw Data'!$A$3:$FB$285,131,FALSE)</f>
        <v/>
      </c>
      <c r="EO181" s="27" t="str">
        <f>VLOOKUP($A181,'[1]Raw Data'!$A$3:$FB$285,132,FALSE)</f>
        <v/>
      </c>
      <c r="EP181" s="27" t="str">
        <f>VLOOKUP($A181,'[1]Raw Data'!$A$3:$FB$285,133,FALSE)</f>
        <v/>
      </c>
      <c r="EQ181" s="27" t="str">
        <f>VLOOKUP($A181,'[1]Raw Data'!$A$3:$FB$285,134,FALSE)</f>
        <v/>
      </c>
      <c r="ER181" s="27" t="str">
        <f>VLOOKUP($A181,'[1]Raw Data'!$A$3:$FB$285,135,FALSE)</f>
        <v/>
      </c>
      <c r="ES181" s="27" t="str">
        <f>VLOOKUP($A181,'[1]Raw Data'!$A$3:$FB$285,136,FALSE)</f>
        <v/>
      </c>
      <c r="ET181" s="27" t="str">
        <f>VLOOKUP($A181,'[1]Raw Data'!$A$3:$FB$285,137,FALSE)</f>
        <v/>
      </c>
      <c r="EU181" s="27" t="str">
        <f>VLOOKUP($A181,'[1]Raw Data'!$A$3:$FB$285,138,FALSE)</f>
        <v/>
      </c>
      <c r="EV181" s="27" t="str">
        <f>VLOOKUP($A181,'[1]Raw Data'!$A$3:$FB$285,139,FALSE)</f>
        <v/>
      </c>
      <c r="EW181" s="38">
        <f>VLOOKUP($A181,[1]Training!$A$2:$I$284,5,FALSE)</f>
        <v>431</v>
      </c>
      <c r="EX181" s="31">
        <f>VLOOKUP($A181,[1]Training!$A$2:$I$284,6,FALSE)</f>
        <v>310</v>
      </c>
      <c r="EY181" s="38">
        <f>VLOOKUP($A181,[1]Training!$A$2:$I$284,8,FALSE)</f>
        <v>554.21942120732535</v>
      </c>
      <c r="EZ181" s="31">
        <f>VLOOKUP($A181,[1]Training!$A$2:$I$284,9,FALSE)</f>
        <v>0</v>
      </c>
      <c r="FA181" s="27">
        <v>1</v>
      </c>
      <c r="FB181" s="27">
        <v>2</v>
      </c>
      <c r="FC181" s="27" t="str">
        <f>VLOOKUP($A181,'[1]Raw Data'!$A$3:$FB$285,148,FALSE)</f>
        <v>Chandra Gurung</v>
      </c>
      <c r="FD181" s="27" t="s">
        <v>1381</v>
      </c>
      <c r="FE181" s="27" t="str">
        <f>VLOOKUP($A181,'[1]Raw Data'!$A$3:$FB$285,149,FALSE)</f>
        <v>District Coordinator</v>
      </c>
      <c r="FF181" s="27" t="s">
        <v>885</v>
      </c>
      <c r="FG181" s="27">
        <f>VLOOKUP($A181,'[1]Raw Data'!$A$3:$FB$285,150,FALSE)</f>
        <v>9841478742</v>
      </c>
      <c r="FH181" s="27" t="str">
        <f>VLOOKUP($A181,'[1]Raw Data'!$A$3:$FB$285,156,FALSE)</f>
        <v>Atit Shrestha</v>
      </c>
      <c r="FI181" s="27" t="s">
        <v>1382</v>
      </c>
      <c r="FJ181" s="27" t="str">
        <f>VLOOKUP($A181,'[1]Raw Data'!$A$3:$FB$285,157,FALSE)</f>
        <v>District Technical Officer</v>
      </c>
      <c r="FK181" s="27" t="s">
        <v>886</v>
      </c>
      <c r="FL181" s="27">
        <f>VLOOKUP($A181,'[1]Raw Data'!$A$3:$FB$285,158,FALSE)</f>
        <v>9801328282</v>
      </c>
      <c r="FM181" s="27" t="str">
        <f>VLOOKUP($A181,'[1]Raw Data'!$A$3:$FB$285,152,FALSE)</f>
        <v>Birodh Kattel</v>
      </c>
      <c r="FN181" s="27" t="s">
        <v>1383</v>
      </c>
      <c r="FO181" s="27" t="str">
        <f>VLOOKUP($A181,'[1]Raw Data'!$A$3:$FB$285,153,FALSE)</f>
        <v>DIstrict Information Management Officer</v>
      </c>
      <c r="FP181" s="27" t="s">
        <v>887</v>
      </c>
      <c r="FQ181" s="27">
        <f>VLOOKUP($A181,'[1]Raw Data'!$A$3:$FB$285,154,FALSE)</f>
        <v>9841419970</v>
      </c>
    </row>
    <row r="182" spans="1:173" ht="24" x14ac:dyDescent="0.45">
      <c r="A182" s="27">
        <v>36007</v>
      </c>
      <c r="B182" s="36" t="str">
        <f ca="1">IFERROR(__xludf.DUMMYFUNCTION("""COMPUTED_VALUE"""),"Gorkha Nagarpalika")</f>
        <v>Gorkha Nagarpalika</v>
      </c>
      <c r="C182" s="37" t="str">
        <f>VLOOKUP(A182,'[1]Palika and District in Nepali '!$D$1:$F$283,3,FALSE)</f>
        <v>गोर्खा नगरपालिका</v>
      </c>
      <c r="D182" s="36" t="str">
        <f ca="1">IFERROR(__xludf.DUMMYFUNCTION("""COMPUTED_VALUE"""),"Gorkha")</f>
        <v>Gorkha</v>
      </c>
      <c r="E182" s="36"/>
      <c r="F182" s="27">
        <f>VLOOKUP(A182,'[1]Raw Data'!$A$3:$FB$285,4,FALSE)</f>
        <v>3966</v>
      </c>
      <c r="G182" s="27">
        <f>VLOOKUP(A182,'[1]Raw Data'!$A$3:$FB$285,5,FALSE)</f>
        <v>9141</v>
      </c>
      <c r="H182" s="27">
        <f>VLOOKUP(A182,'[1]Raw Data'!$A$3:$FB$285,6,FALSE)</f>
        <v>13107</v>
      </c>
      <c r="I182" s="27">
        <f>VLOOKUP($A182,'[1]Raw Data'!$A$3:$FB$285,8,FALSE)</f>
        <v>4.87</v>
      </c>
      <c r="J182" s="27">
        <f>VLOOKUP($A182,'[1]Raw Data'!$A$3:$FB$285,9,FALSE)</f>
        <v>1.27</v>
      </c>
      <c r="K182" s="27">
        <f>VLOOKUP($A182,'[1]Raw Data'!$A$3:$FB$285,11,FALSE)</f>
        <v>71.37</v>
      </c>
      <c r="L182" s="27">
        <f>VLOOKUP($A182,'[1]Raw Data'!$A$3:$FB$285,12,FALSE)</f>
        <v>82.76</v>
      </c>
      <c r="M182" s="27">
        <f>VLOOKUP($A182,'[1]Raw Data'!$A$3:$FB$285,14,FALSE)</f>
        <v>7.47</v>
      </c>
      <c r="N182" s="27">
        <f>VLOOKUP($A182,'[1]Raw Data'!$A$3:$FB$285,15,FALSE)</f>
        <v>2.57</v>
      </c>
      <c r="O182" s="27">
        <f>VLOOKUP($A182,'[1]Raw Data'!$A$3:$FB$285,17,FALSE)</f>
        <v>3.49</v>
      </c>
      <c r="P182" s="27">
        <f>VLOOKUP($A182,'[1]Raw Data'!$A$3:$FB$285,18,FALSE)</f>
        <v>3</v>
      </c>
      <c r="Q182" s="27">
        <f>VLOOKUP($A182,'[1]Raw Data'!$A$3:$FB$285,20,FALSE)</f>
        <v>10.43</v>
      </c>
      <c r="R182" s="27">
        <f>VLOOKUP($A182,'[1]Raw Data'!$A$3:$FB$285,21,FALSE)</f>
        <v>3.23</v>
      </c>
      <c r="S182" s="27">
        <f>VLOOKUP($A182,'[1]Raw Data'!$A$3:$FB$285,23,FALSE)</f>
        <v>0</v>
      </c>
      <c r="T182" s="27">
        <f>VLOOKUP($A182,'[1]Raw Data'!$A$3:$FB$285,24,FALSE)</f>
        <v>0</v>
      </c>
      <c r="U182" s="27">
        <f>VLOOKUP($A182,'[1]Raw Data'!$A$3:$FB$285,26,FALSE)</f>
        <v>0.5</v>
      </c>
      <c r="V182" s="27">
        <f>VLOOKUP($A182,'[1]Raw Data'!$A$3:$FB$285,27,FALSE)</f>
        <v>0.88</v>
      </c>
      <c r="W182" s="27">
        <f>VLOOKUP($A182,'[1]Raw Data'!$A$3:$FB$285,29,FALSE)</f>
        <v>0</v>
      </c>
      <c r="X182" s="27">
        <f>VLOOKUP($A182,'[1]Raw Data'!$A$3:$FB$285,30,FALSE)</f>
        <v>0</v>
      </c>
      <c r="Y182" s="27">
        <f>VLOOKUP($A182,'[1]Raw Data'!$A$3:$FB$285,32,FALSE)</f>
        <v>0.13</v>
      </c>
      <c r="Z182" s="27">
        <f>VLOOKUP($A182,'[1]Raw Data'!$A$3:$FB$285,33,FALSE)</f>
        <v>4.17</v>
      </c>
      <c r="AA182" s="27">
        <f>VLOOKUP($A182,'[1]Raw Data'!$A$3:$FB$285,35,FALSE)</f>
        <v>1.47</v>
      </c>
      <c r="AB182" s="27">
        <f>VLOOKUP($A182,'[1]Raw Data'!$A$3:$FB$285,36,FALSE)</f>
        <v>1.79</v>
      </c>
      <c r="AC182" s="27">
        <f>VLOOKUP($A182,'[1]Raw Data'!$A$3:$FB$285,38,FALSE)</f>
        <v>0.27</v>
      </c>
      <c r="AD182" s="27">
        <f>VLOOKUP($A182,'[1]Raw Data'!$A$3:$FB$285,39,FALSE)</f>
        <v>0.34</v>
      </c>
      <c r="AE182" s="27">
        <f>VLOOKUP($A182,'[1]Raw Data'!$A$3:$FB$285,41,FALSE)</f>
        <v>0</v>
      </c>
      <c r="AF182" s="27">
        <f>VLOOKUP($A182,'[1]Raw Data'!$A$3:$FB$285,42,FALSE)</f>
        <v>0</v>
      </c>
      <c r="AG182" s="27">
        <f>VLOOKUP($A182,'[1]Raw Data'!$A$3:$FB$285,44,FALSE)</f>
        <v>0</v>
      </c>
      <c r="AH182" s="27">
        <f>VLOOKUP($A182,'[1]Raw Data'!$A$3:$FB$285,45,FALSE)</f>
        <v>0</v>
      </c>
      <c r="AI182" s="27">
        <f>VLOOKUP($A182,'[1]Raw Data'!$A$3:$FB$285,46,FALSE)</f>
        <v>10156</v>
      </c>
      <c r="AJ182" s="27">
        <f>VLOOKUP($A182,'[1]Raw Data'!$A$3:$FB$285,47,FALSE)</f>
        <v>9191</v>
      </c>
      <c r="AK182" s="27">
        <f>VLOOKUP($A182,'[1]Raw Data'!$A$3:$FB$285,48,FALSE)</f>
        <v>9198</v>
      </c>
      <c r="AL182" s="27">
        <f>VLOOKUP($A182,'[1]Raw Data'!$A$3:$FB$285,49,FALSE)</f>
        <v>7951</v>
      </c>
      <c r="AM182" s="27">
        <f>VLOOKUP($A182,'[1]Raw Data'!$A$3:$FB$285,50,FALSE)</f>
        <v>7126</v>
      </c>
      <c r="AN182" s="27">
        <f>VLOOKUP($A182,'[1]Raw Data'!$A$3:$FB$285,51,FALSE)</f>
        <v>825</v>
      </c>
      <c r="AO182" s="27">
        <f>VLOOKUP($A182,'[1]Raw Data'!$A$3:$FB$285,52,FALSE)</f>
        <v>7126</v>
      </c>
      <c r="AP182" s="27">
        <f>VLOOKUP($A182,'[1]Raw Data'!$A$3:$FB$285,53,FALSE)</f>
        <v>1079</v>
      </c>
      <c r="AQ182" s="27">
        <f>VLOOKUP($A182,'[1]Raw Data'!$A$3:$FB$285,54,FALSE)</f>
        <v>518</v>
      </c>
      <c r="AR182" s="27">
        <f>VLOOKUP($A182,'[1]Raw Data'!$A$3:$FB$285,55,FALSE)</f>
        <v>518</v>
      </c>
      <c r="AS182" s="27">
        <f>VLOOKUP($A182,'[1]Raw Data'!$A$3:$FB$285,56,FALSE)</f>
        <v>6</v>
      </c>
      <c r="AT182" s="27">
        <f>VLOOKUP($A182,'[1]Raw Data'!$A$3:$FB$285,57,FALSE)</f>
        <v>2496</v>
      </c>
      <c r="AU182" s="27">
        <f>VLOOKUP($A182,'[1]Raw Data'!$A$3:$FB$285,58,FALSE)</f>
        <v>2887</v>
      </c>
      <c r="AV182" s="27" t="str">
        <f>VLOOKUP($A182,'[1]Raw Data'!$A$3:$FB$285,59,FALSE)</f>
        <v/>
      </c>
      <c r="AW182" s="27" t="str">
        <f>VLOOKUP($A182,'[1]Raw Data'!$A$3:$FB$285,60,FALSE)</f>
        <v/>
      </c>
      <c r="AX182" s="27" t="str">
        <f>VLOOKUP(A182,'[1]PO''s List'!A180:E462,4,FALSE)</f>
        <v>BC(Shelter),INF(Education,Health),NRCS(Health)</v>
      </c>
      <c r="AZ182" s="27" t="str">
        <f>VLOOKUP(A182,'[1]PO''s List'!$A$3:$E$285,5,FALSE)</f>
        <v>ACN(Shelter),CARE-N(Shelter),CRS(Livelihood,Employment ,Shelter,Health),EAH-N(Education),FCA(Education),GON - DLPIU(Shelter),IOM(Shelter),JICA(Shelter),LIONS(Education),NYF(Education),SCI(Health,Shelter),UNDP(Shelter)</v>
      </c>
      <c r="BB182" s="27">
        <f>VLOOKUP($A182,'[1]Raw Data'!$A$3:$FB$285,63,FALSE)</f>
        <v>220129</v>
      </c>
      <c r="BC182" s="27" t="str">
        <f>VLOOKUP($A182,'[1]Raw Data'!$A$3:$FB$285,64,FALSE)</f>
        <v>Y</v>
      </c>
      <c r="BD182" s="27" t="str">
        <f t="shared" si="18"/>
        <v>छ</v>
      </c>
      <c r="BE182" s="27" t="str">
        <f>VLOOKUP($A182,'[1]Raw Data'!$A$3:$FB$285,65,FALSE)</f>
        <v/>
      </c>
      <c r="BF182" s="27">
        <f>VLOOKUP($A182,'[1]Raw Data'!$A$3:$FB$285,66,FALSE)</f>
        <v>183023</v>
      </c>
      <c r="BG182" s="27" t="str">
        <f>VLOOKUP($A182,'[1]Raw Data'!$A$3:$FB$285,67,FALSE)</f>
        <v>Y</v>
      </c>
      <c r="BH182" s="27" t="str">
        <f t="shared" si="19"/>
        <v>छ</v>
      </c>
      <c r="BI182" s="27" t="str">
        <f>VLOOKUP($A182,'[1]Raw Data'!$A$3:$FB$285,68,FALSE)</f>
        <v/>
      </c>
      <c r="BJ182" s="27">
        <f>VLOOKUP($A182,'[1]Raw Data'!$A$3:$FB$285,69,FALSE)</f>
        <v>23104</v>
      </c>
      <c r="BK182" s="27" t="str">
        <f>VLOOKUP($A182,'[1]Raw Data'!$A$3:$FB$285,70,FALSE)</f>
        <v/>
      </c>
      <c r="BL182" s="27" t="str">
        <f t="shared" si="20"/>
        <v/>
      </c>
      <c r="BM182" s="27" t="str">
        <f>VLOOKUP($A182,'[1]Raw Data'!$A$3:$FB$285,71,FALSE)</f>
        <v/>
      </c>
      <c r="BN182" s="27">
        <f>VLOOKUP($A182,'[1]Raw Data'!$A$3:$FB$285,72,FALSE)</f>
        <v>25193</v>
      </c>
      <c r="BO182" s="27" t="str">
        <f>VLOOKUP($A182,'[1]Raw Data'!$A$3:$FB$285,73,FALSE)</f>
        <v/>
      </c>
      <c r="BP182" s="27" t="str">
        <f t="shared" si="21"/>
        <v/>
      </c>
      <c r="BQ182" s="27" t="str">
        <f>VLOOKUP($A182,'[1]Raw Data'!$A$3:$FB$285,74,FALSE)</f>
        <v/>
      </c>
      <c r="BR182" s="27" t="str">
        <f>VLOOKUP($A182,'[1]Raw Data'!$A$3:$FB$285,75,FALSE)</f>
        <v/>
      </c>
      <c r="BS182" s="27" t="str">
        <f>VLOOKUP($A182,'[1]Raw Data'!$A$3:$FB$285,76,FALSE)</f>
        <v/>
      </c>
      <c r="BT182" s="27" t="str">
        <f t="shared" si="22"/>
        <v/>
      </c>
      <c r="BU182" s="27" t="str">
        <f>VLOOKUP($A182,'[1]Raw Data'!$A$3:$FB$285,77,FALSE)</f>
        <v/>
      </c>
      <c r="BV182" s="27">
        <f>VLOOKUP($A182,'[1]Raw Data'!$A$3:$FB$285,78,FALSE)</f>
        <v>612398</v>
      </c>
      <c r="BW182" s="27" t="str">
        <f>VLOOKUP($A182,'[1]Raw Data'!$A$3:$FB$285,79,FALSE)</f>
        <v/>
      </c>
      <c r="BX182" s="27" t="str">
        <f t="shared" si="23"/>
        <v/>
      </c>
      <c r="BY182" s="27" t="str">
        <f>VLOOKUP($A182,'[1]Raw Data'!$A$3:$FB$285,80,FALSE)</f>
        <v/>
      </c>
      <c r="BZ182" s="27">
        <f>VLOOKUP($A182,'[1]Raw Data'!$A$3:$FB$285,81,FALSE)</f>
        <v>2449271</v>
      </c>
      <c r="CA182" s="27" t="str">
        <f>VLOOKUP($A182,'[1]Raw Data'!$A$3:$FB$285,82,FALSE)</f>
        <v/>
      </c>
      <c r="CB182" s="27" t="str">
        <f t="shared" si="24"/>
        <v/>
      </c>
      <c r="CC182" s="27" t="str">
        <f>VLOOKUP($A182,'[1]Raw Data'!$A$3:$FB$285,83,FALSE)</f>
        <v/>
      </c>
      <c r="CD182" s="27">
        <f>VLOOKUP($A182,'[1]Raw Data'!$A$3:$FB$285,84,FALSE)</f>
        <v>24958</v>
      </c>
      <c r="CE182" s="27" t="str">
        <f>VLOOKUP($A182,'[1]Raw Data'!$A$3:$FB$285,85,FALSE)</f>
        <v/>
      </c>
      <c r="CF182" s="27" t="str">
        <f t="shared" si="25"/>
        <v/>
      </c>
      <c r="CG182" s="27" t="str">
        <f>VLOOKUP($A182,'[1]Raw Data'!$A$3:$FB$285,86,FALSE)</f>
        <v/>
      </c>
      <c r="CH182" s="27">
        <f>VLOOKUP($A182,'[1]Raw Data'!$A$3:$FB$285,87,FALSE)</f>
        <v>5159364</v>
      </c>
      <c r="CI182" s="27" t="str">
        <f>VLOOKUP($A182,'[1]Raw Data'!$A$3:$FB$285,88,FALSE)</f>
        <v/>
      </c>
      <c r="CJ182" s="27" t="str">
        <f t="shared" si="26"/>
        <v/>
      </c>
      <c r="CK182" s="27" t="str">
        <f>VLOOKUP($A182,'[1]Raw Data'!$A$3:$FB$285,89,FALSE)</f>
        <v/>
      </c>
      <c r="CL182" s="27">
        <f>VLOOKUP($A182,'[1]Raw Data'!$A$3:$FB$285,91,FALSE)</f>
        <v>1200</v>
      </c>
      <c r="CM182" s="27">
        <f>VLOOKUP($A182,'[1]Raw Data'!$A$3:$FB$285,93,FALSE)</f>
        <v>700</v>
      </c>
      <c r="CN182" s="27" t="str">
        <f>VLOOKUP($A182,'[1]Raw Data'!$A$3:$FB$285,94,FALSE)</f>
        <v>256</v>
      </c>
      <c r="CO182" s="27" t="str">
        <f>VLOOKUP($A182,'[1]Raw Data'!$A$3:$FB$285,95,FALSE)</f>
        <v/>
      </c>
      <c r="CP182" s="27" t="str">
        <f>VLOOKUP($A182,'[1]Raw Data'!$A$3:$FB$285,96,FALSE)</f>
        <v/>
      </c>
      <c r="CQ182" s="27" t="str">
        <f>VLOOKUP($A182,'[1]Raw Data'!$A$3:$FB$285,97,FALSE)</f>
        <v/>
      </c>
      <c r="CR182" s="27" t="str">
        <f>VLOOKUP($A182,'[1]Raw Data'!$A$3:$FB$285,98,FALSE)</f>
        <v/>
      </c>
      <c r="CS182" s="27" t="str">
        <f>VLOOKUP($A182,'[1]Raw Data'!$A$3:$FB$285,99,FALSE)</f>
        <v/>
      </c>
      <c r="CT182" s="27" t="str">
        <f>VLOOKUP($A182,'[1]Raw Data'!$A$3:$FB$285,101,FALSE)</f>
        <v>Rajan Raj Panta</v>
      </c>
      <c r="CU182" s="27" t="s">
        <v>1404</v>
      </c>
      <c r="CV182" s="27" t="str">
        <f>VLOOKUP($A182,'[1]Raw Data'!$A$3:$FB$285,102,FALSE)</f>
        <v>Mayor</v>
      </c>
      <c r="CW182" s="27" t="s">
        <v>834</v>
      </c>
      <c r="CX182" s="27">
        <f>VLOOKUP($A182,'[1]Raw Data'!$A$3:$FB$285,103,FALSE)</f>
        <v>9856040338</v>
      </c>
      <c r="CY182" s="27" t="str">
        <f>VLOOKUP($A182,'[1]Raw Data'!$A$3:$FB$285,105,FALSE)</f>
        <v>Bina Kumari Shrestha</v>
      </c>
      <c r="CZ182" s="27" t="s">
        <v>1405</v>
      </c>
      <c r="DA182" s="27" t="str">
        <f>VLOOKUP($A182,'[1]Raw Data'!$A$3:$FB$285,106,FALSE)</f>
        <v>Deputy Mayor</v>
      </c>
      <c r="DB182" s="27" t="s">
        <v>888</v>
      </c>
      <c r="DC182" s="27">
        <f>VLOOKUP($A182,'[1]Raw Data'!$A$3:$FB$285,107,FALSE)</f>
        <v>9856075067</v>
      </c>
      <c r="DD182" s="27" t="str">
        <f>VLOOKUP($A182,'[1]Raw Data'!$A$3:$FB$285,109,FALSE)</f>
        <v>Krishna Kumari Shrestha</v>
      </c>
      <c r="DE182" s="27" t="s">
        <v>1406</v>
      </c>
      <c r="DF182" s="27" t="str">
        <f>VLOOKUP($A182,'[1]Raw Data'!$A$3:$FB$285,110,FALSE)</f>
        <v>Chief Adminstration Officer</v>
      </c>
      <c r="DG182" s="27" t="s">
        <v>880</v>
      </c>
      <c r="DH182" s="27">
        <f>VLOOKUP($A182,'[1]Raw Data'!$A$3:$FB$285,111,FALSE)</f>
        <v>9856018111</v>
      </c>
      <c r="DI182" s="27" t="str">
        <f>VLOOKUP($A182,'[1]Raw Data'!$A$3:$FB$285,121,FALSE)</f>
        <v>Shyam Kumar Yadav</v>
      </c>
      <c r="DJ182" s="27" t="s">
        <v>1407</v>
      </c>
      <c r="DK182" s="27" t="str">
        <f>VLOOKUP($A182,'[1]Raw Data'!$A$3:$FB$285,122,FALSE)</f>
        <v>Focal Person</v>
      </c>
      <c r="DL182" s="27" t="s">
        <v>881</v>
      </c>
      <c r="DM182" s="27">
        <f>VLOOKUP($A182,'[1]Raw Data'!$A$3:$FB$285,123,FALSE)</f>
        <v>9849663047</v>
      </c>
      <c r="DN182" s="27" t="str">
        <f>VLOOKUP($A182,'[1]Raw Data'!$A$3:$FB$285,113,FALSE)</f>
        <v>Ram Sharan Acharya</v>
      </c>
      <c r="DO182" s="27" t="s">
        <v>1379</v>
      </c>
      <c r="DP182" s="27" t="str">
        <f>VLOOKUP($A182,'[1]Raw Data'!$A$3:$FB$285,114,FALSE)</f>
        <v>NRA Chief-District</v>
      </c>
      <c r="DQ182" s="27" t="s">
        <v>882</v>
      </c>
      <c r="DR182" s="27">
        <f>VLOOKUP($A182,'[1]Raw Data'!$A$3:$FB$285,115,FALSE)</f>
        <v>9856042637</v>
      </c>
      <c r="DS182" s="27" t="str">
        <f>VLOOKUP($A182,'[1]Raw Data'!$A$3:$FB$285,117,FALSE)</f>
        <v>Sunita Shrestha</v>
      </c>
      <c r="DT182" s="27" t="s">
        <v>1380</v>
      </c>
      <c r="DU182" s="27" t="str">
        <f>VLOOKUP($A182,'[1]Raw Data'!$A$3:$FB$285,118,FALSE)</f>
        <v>DUDBC.DLPIU Chief</v>
      </c>
      <c r="DV182" s="27" t="s">
        <v>883</v>
      </c>
      <c r="DW182" s="27">
        <f>VLOOKUP($A182,'[1]Raw Data'!$A$3:$FB$285,119,FALSE)</f>
        <v>9841632087</v>
      </c>
      <c r="DX182" s="27" t="s">
        <v>339</v>
      </c>
      <c r="DY182" s="27" t="str">
        <f>VLOOKUP($A182,'[1]Raw Data'!$A$3:$FB$285,124,FALSE)</f>
        <v>0</v>
      </c>
      <c r="DZ182" s="27" t="s">
        <v>884</v>
      </c>
      <c r="EA182" s="27" t="str">
        <f>VLOOKUP($A182,'[1]Raw Data'!$A$3:$FB$285,125,FALSE)</f>
        <v>0</v>
      </c>
      <c r="EB182" s="27" t="s">
        <v>341</v>
      </c>
      <c r="EC182" s="27" t="str">
        <f>VLOOKUP($A182,'[1]Raw Data'!$A$3:$FB$285,126,FALSE)</f>
        <v/>
      </c>
      <c r="ED182" t="s">
        <v>478</v>
      </c>
      <c r="EE182" s="27" t="str">
        <f>VLOOKUP($A182,'[1]Raw Data'!$A$3:$FB$285,127,FALSE)</f>
        <v/>
      </c>
      <c r="EF182" s="27" t="s">
        <v>343</v>
      </c>
      <c r="EG182" s="27" t="str">
        <f>VLOOKUP($A182,'[1]Raw Data'!$A$3:$FB$285,128,FALSE)</f>
        <v/>
      </c>
      <c r="EH182" t="s">
        <v>344</v>
      </c>
      <c r="EI182" s="27" t="str">
        <f>VLOOKUP($A182,'[1]Raw Data'!$A$3:$FB$285,129,FALSE)</f>
        <v/>
      </c>
      <c r="EM182" s="27">
        <f>VLOOKUP($A182,'[1]Raw Data'!$A$3:$FB$285,130,FALSE)</f>
        <v>12</v>
      </c>
      <c r="EN182" s="27" t="str">
        <f>VLOOKUP($A182,'[1]Raw Data'!$A$3:$FB$285,131,FALSE)</f>
        <v>2</v>
      </c>
      <c r="EO182" s="27">
        <f>VLOOKUP($A182,'[1]Raw Data'!$A$3:$FB$285,132,FALSE)</f>
        <v>9</v>
      </c>
      <c r="EP182" s="27" t="str">
        <f>VLOOKUP($A182,'[1]Raw Data'!$A$3:$FB$285,133,FALSE)</f>
        <v>5</v>
      </c>
      <c r="EQ182" s="27">
        <f>VLOOKUP($A182,'[1]Raw Data'!$A$3:$FB$285,134,FALSE)</f>
        <v>9</v>
      </c>
      <c r="ER182" s="27" t="str">
        <f>VLOOKUP($A182,'[1]Raw Data'!$A$3:$FB$285,135,FALSE)</f>
        <v>5</v>
      </c>
      <c r="ES182" s="27" t="str">
        <f>VLOOKUP($A182,'[1]Raw Data'!$A$3:$FB$285,136,FALSE)</f>
        <v/>
      </c>
      <c r="ET182" s="27" t="str">
        <f>VLOOKUP($A182,'[1]Raw Data'!$A$3:$FB$285,137,FALSE)</f>
        <v/>
      </c>
      <c r="EU182" s="27" t="str">
        <f>VLOOKUP($A182,'[1]Raw Data'!$A$3:$FB$285,138,FALSE)</f>
        <v/>
      </c>
      <c r="EV182" s="27" t="str">
        <f>VLOOKUP($A182,'[1]Raw Data'!$A$3:$FB$285,139,FALSE)</f>
        <v/>
      </c>
      <c r="EW182" s="38">
        <f>VLOOKUP($A182,[1]Training!$A$2:$I$284,5,FALSE)</f>
        <v>776.46153846153845</v>
      </c>
      <c r="EX182" s="31">
        <f>VLOOKUP($A182,[1]Training!$A$2:$I$284,6,FALSE)</f>
        <v>958</v>
      </c>
      <c r="EY182" s="38">
        <f>VLOOKUP($A182,[1]Training!$A$2:$I$284,8,FALSE)</f>
        <v>998.44562514130678</v>
      </c>
      <c r="EZ182" s="31">
        <f>VLOOKUP($A182,[1]Training!$A$2:$I$284,9,FALSE)</f>
        <v>0</v>
      </c>
      <c r="FA182" s="27">
        <v>1</v>
      </c>
      <c r="FB182" s="27">
        <v>2</v>
      </c>
      <c r="FC182" s="27" t="str">
        <f>VLOOKUP($A182,'[1]Raw Data'!$A$3:$FB$285,148,FALSE)</f>
        <v>Chandra Gurung</v>
      </c>
      <c r="FD182" s="27" t="s">
        <v>1381</v>
      </c>
      <c r="FE182" s="27" t="str">
        <f>VLOOKUP($A182,'[1]Raw Data'!$A$3:$FB$285,149,FALSE)</f>
        <v>District Coordinator</v>
      </c>
      <c r="FF182" s="27" t="s">
        <v>885</v>
      </c>
      <c r="FG182" s="27">
        <f>VLOOKUP($A182,'[1]Raw Data'!$A$3:$FB$285,150,FALSE)</f>
        <v>9841478742</v>
      </c>
      <c r="FH182" s="27" t="str">
        <f>VLOOKUP($A182,'[1]Raw Data'!$A$3:$FB$285,156,FALSE)</f>
        <v>Atit Shrestha</v>
      </c>
      <c r="FI182" s="27" t="s">
        <v>1382</v>
      </c>
      <c r="FJ182" s="27" t="str">
        <f>VLOOKUP($A182,'[1]Raw Data'!$A$3:$FB$285,157,FALSE)</f>
        <v>District Technical Officer</v>
      </c>
      <c r="FK182" s="27" t="s">
        <v>886</v>
      </c>
      <c r="FL182" s="27">
        <f>VLOOKUP($A182,'[1]Raw Data'!$A$3:$FB$285,158,FALSE)</f>
        <v>9801328282</v>
      </c>
      <c r="FM182" s="27" t="str">
        <f>VLOOKUP($A182,'[1]Raw Data'!$A$3:$FB$285,152,FALSE)</f>
        <v>Birodh Kattel</v>
      </c>
      <c r="FN182" s="27" t="s">
        <v>1383</v>
      </c>
      <c r="FO182" s="27" t="str">
        <f>VLOOKUP($A182,'[1]Raw Data'!$A$3:$FB$285,153,FALSE)</f>
        <v>DIstrict Information Management Officer</v>
      </c>
      <c r="FP182" s="27" t="s">
        <v>887</v>
      </c>
      <c r="FQ182" s="27">
        <f>VLOOKUP($A182,'[1]Raw Data'!$A$3:$FB$285,154,FALSE)</f>
        <v>9841419970</v>
      </c>
    </row>
    <row r="183" spans="1:173" ht="24" x14ac:dyDescent="0.45">
      <c r="A183" s="27">
        <v>36008</v>
      </c>
      <c r="B183" s="36" t="str">
        <f ca="1">IFERROR(__xludf.DUMMYFUNCTION("""COMPUTED_VALUE"""),"Palungtar Nagarpalika")</f>
        <v>Palungtar Nagarpalika</v>
      </c>
      <c r="C183" s="37" t="str">
        <f>VLOOKUP(A183,'[1]Palika and District in Nepali '!$D$1:$F$283,3,FALSE)</f>
        <v>पालुंगटार नगरपालिका</v>
      </c>
      <c r="D183" s="36" t="str">
        <f ca="1">IFERROR(__xludf.DUMMYFUNCTION("""COMPUTED_VALUE"""),"Gorkha")</f>
        <v>Gorkha</v>
      </c>
      <c r="E183" s="36"/>
      <c r="F183" s="27">
        <f>VLOOKUP(A183,'[1]Raw Data'!$A$3:$FB$285,4,FALSE)</f>
        <v>2827</v>
      </c>
      <c r="G183" s="27">
        <f>VLOOKUP(A183,'[1]Raw Data'!$A$3:$FB$285,5,FALSE)</f>
        <v>8899</v>
      </c>
      <c r="H183" s="27">
        <f>VLOOKUP(A183,'[1]Raw Data'!$A$3:$FB$285,6,FALSE)</f>
        <v>11726</v>
      </c>
      <c r="I183" s="27">
        <f>VLOOKUP($A183,'[1]Raw Data'!$A$3:$FB$285,8,FALSE)</f>
        <v>0.57999999999999996</v>
      </c>
      <c r="J183" s="27">
        <f>VLOOKUP($A183,'[1]Raw Data'!$A$3:$FB$285,9,FALSE)</f>
        <v>1.27</v>
      </c>
      <c r="K183" s="27">
        <f>VLOOKUP($A183,'[1]Raw Data'!$A$3:$FB$285,11,FALSE)</f>
        <v>70.72</v>
      </c>
      <c r="L183" s="27">
        <f>VLOOKUP($A183,'[1]Raw Data'!$A$3:$FB$285,12,FALSE)</f>
        <v>82.76</v>
      </c>
      <c r="M183" s="27">
        <f>VLOOKUP($A183,'[1]Raw Data'!$A$3:$FB$285,14,FALSE)</f>
        <v>3.75</v>
      </c>
      <c r="N183" s="27">
        <f>VLOOKUP($A183,'[1]Raw Data'!$A$3:$FB$285,15,FALSE)</f>
        <v>2.57</v>
      </c>
      <c r="O183" s="27">
        <f>VLOOKUP($A183,'[1]Raw Data'!$A$3:$FB$285,17,FALSE)</f>
        <v>14.85</v>
      </c>
      <c r="P183" s="27">
        <f>VLOOKUP($A183,'[1]Raw Data'!$A$3:$FB$285,18,FALSE)</f>
        <v>3</v>
      </c>
      <c r="Q183" s="27">
        <f>VLOOKUP($A183,'[1]Raw Data'!$A$3:$FB$285,20,FALSE)</f>
        <v>3.46</v>
      </c>
      <c r="R183" s="27">
        <f>VLOOKUP($A183,'[1]Raw Data'!$A$3:$FB$285,21,FALSE)</f>
        <v>3.23</v>
      </c>
      <c r="S183" s="27">
        <f>VLOOKUP($A183,'[1]Raw Data'!$A$3:$FB$285,23,FALSE)</f>
        <v>0</v>
      </c>
      <c r="T183" s="27">
        <f>VLOOKUP($A183,'[1]Raw Data'!$A$3:$FB$285,24,FALSE)</f>
        <v>0</v>
      </c>
      <c r="U183" s="27">
        <f>VLOOKUP($A183,'[1]Raw Data'!$A$3:$FB$285,26,FALSE)</f>
        <v>1.1399999999999999</v>
      </c>
      <c r="V183" s="27">
        <f>VLOOKUP($A183,'[1]Raw Data'!$A$3:$FB$285,27,FALSE)</f>
        <v>0.88</v>
      </c>
      <c r="W183" s="27">
        <f>VLOOKUP($A183,'[1]Raw Data'!$A$3:$FB$285,29,FALSE)</f>
        <v>0</v>
      </c>
      <c r="X183" s="27">
        <f>VLOOKUP($A183,'[1]Raw Data'!$A$3:$FB$285,30,FALSE)</f>
        <v>0</v>
      </c>
      <c r="Y183" s="27">
        <f>VLOOKUP($A183,'[1]Raw Data'!$A$3:$FB$285,32,FALSE)</f>
        <v>7.0000000000000007E-2</v>
      </c>
      <c r="Z183" s="27">
        <f>VLOOKUP($A183,'[1]Raw Data'!$A$3:$FB$285,33,FALSE)</f>
        <v>4.17</v>
      </c>
      <c r="AA183" s="27">
        <f>VLOOKUP($A183,'[1]Raw Data'!$A$3:$FB$285,35,FALSE)</f>
        <v>4.75</v>
      </c>
      <c r="AB183" s="27">
        <f>VLOOKUP($A183,'[1]Raw Data'!$A$3:$FB$285,36,FALSE)</f>
        <v>1.79</v>
      </c>
      <c r="AC183" s="27">
        <f>VLOOKUP($A183,'[1]Raw Data'!$A$3:$FB$285,38,FALSE)</f>
        <v>0.68</v>
      </c>
      <c r="AD183" s="27">
        <f>VLOOKUP($A183,'[1]Raw Data'!$A$3:$FB$285,39,FALSE)</f>
        <v>0.34</v>
      </c>
      <c r="AE183" s="27">
        <f>VLOOKUP($A183,'[1]Raw Data'!$A$3:$FB$285,41,FALSE)</f>
        <v>0</v>
      </c>
      <c r="AF183" s="27">
        <f>VLOOKUP($A183,'[1]Raw Data'!$A$3:$FB$285,42,FALSE)</f>
        <v>0</v>
      </c>
      <c r="AG183" s="27">
        <f>VLOOKUP($A183,'[1]Raw Data'!$A$3:$FB$285,44,FALSE)</f>
        <v>0</v>
      </c>
      <c r="AH183" s="27">
        <f>VLOOKUP($A183,'[1]Raw Data'!$A$3:$FB$285,45,FALSE)</f>
        <v>0</v>
      </c>
      <c r="AI183" s="27">
        <f>VLOOKUP($A183,'[1]Raw Data'!$A$3:$FB$285,46,FALSE)</f>
        <v>9794</v>
      </c>
      <c r="AJ183" s="27">
        <f>VLOOKUP($A183,'[1]Raw Data'!$A$3:$FB$285,47,FALSE)</f>
        <v>8425</v>
      </c>
      <c r="AK183" s="27">
        <f>VLOOKUP($A183,'[1]Raw Data'!$A$3:$FB$285,48,FALSE)</f>
        <v>8541</v>
      </c>
      <c r="AL183" s="27">
        <f>VLOOKUP($A183,'[1]Raw Data'!$A$3:$FB$285,49,FALSE)</f>
        <v>6829</v>
      </c>
      <c r="AM183" s="27">
        <f>VLOOKUP($A183,'[1]Raw Data'!$A$3:$FB$285,50,FALSE)</f>
        <v>5137</v>
      </c>
      <c r="AN183" s="27">
        <f>VLOOKUP($A183,'[1]Raw Data'!$A$3:$FB$285,51,FALSE)</f>
        <v>1692</v>
      </c>
      <c r="AO183" s="27">
        <f>VLOOKUP($A183,'[1]Raw Data'!$A$3:$FB$285,52,FALSE)</f>
        <v>5137</v>
      </c>
      <c r="AP183" s="27">
        <f>VLOOKUP($A183,'[1]Raw Data'!$A$3:$FB$285,53,FALSE)</f>
        <v>1038</v>
      </c>
      <c r="AQ183" s="27">
        <f>VLOOKUP($A183,'[1]Raw Data'!$A$3:$FB$285,54,FALSE)</f>
        <v>174</v>
      </c>
      <c r="AR183" s="27">
        <f>VLOOKUP($A183,'[1]Raw Data'!$A$3:$FB$285,55,FALSE)</f>
        <v>174</v>
      </c>
      <c r="AS183" s="27" t="str">
        <f>VLOOKUP($A183,'[1]Raw Data'!$A$3:$FB$285,56,FALSE)</f>
        <v/>
      </c>
      <c r="AT183" s="27">
        <f>VLOOKUP($A183,'[1]Raw Data'!$A$3:$FB$285,57,FALSE)</f>
        <v>3770</v>
      </c>
      <c r="AU183" s="27">
        <f>VLOOKUP($A183,'[1]Raw Data'!$A$3:$FB$285,58,FALSE)</f>
        <v>2088</v>
      </c>
      <c r="AV183" s="27">
        <f>VLOOKUP($A183,'[1]Raw Data'!$A$3:$FB$285,59,FALSE)</f>
        <v>500</v>
      </c>
      <c r="AW183" s="27">
        <f>VLOOKUP($A183,'[1]Raw Data'!$A$3:$FB$285,60,FALSE)</f>
        <v>500</v>
      </c>
      <c r="AX183" s="27" t="str">
        <f>VLOOKUP(A183,'[1]PO''s List'!A181:E463,4,FALSE)</f>
        <v>CARE-N(Livelihood,DRR,GESI,Shelter,Health),INF(Education,Shelter),NRCS(Livelihood,Education,Employment ,Health,Shelter,Health)</v>
      </c>
      <c r="AZ183" s="27" t="str">
        <f>VLOOKUP(A183,'[1]PO''s List'!$A$3:$E$285,5,FALSE)</f>
        <v>BUN(Education),FCA(Education),GON - DLPIU(Shelter),HT(Education),WVIN(Livelihood,DRR,Education,Employment ,Health)</v>
      </c>
      <c r="BB183" s="27">
        <f>VLOOKUP($A183,'[1]Raw Data'!$A$3:$FB$285,63,FALSE)</f>
        <v>153571</v>
      </c>
      <c r="BC183" s="27" t="str">
        <f>VLOOKUP($A183,'[1]Raw Data'!$A$3:$FB$285,64,FALSE)</f>
        <v>Y</v>
      </c>
      <c r="BD183" s="27" t="str">
        <f t="shared" si="18"/>
        <v>छ</v>
      </c>
      <c r="BE183" s="27">
        <f>VLOOKUP($A183,'[1]Raw Data'!$A$3:$FB$285,65,FALSE)</f>
        <v>4500</v>
      </c>
      <c r="BF183" s="27">
        <f>VLOOKUP($A183,'[1]Raw Data'!$A$3:$FB$285,66,FALSE)</f>
        <v>146776</v>
      </c>
      <c r="BG183" s="27" t="str">
        <f>VLOOKUP($A183,'[1]Raw Data'!$A$3:$FB$285,67,FALSE)</f>
        <v>Y</v>
      </c>
      <c r="BH183" s="27" t="str">
        <f t="shared" si="19"/>
        <v>छ</v>
      </c>
      <c r="BI183" s="27">
        <f>VLOOKUP($A183,'[1]Raw Data'!$A$3:$FB$285,68,FALSE)</f>
        <v>8000</v>
      </c>
      <c r="BJ183" s="27">
        <f>VLOOKUP($A183,'[1]Raw Data'!$A$3:$FB$285,69,FALSE)</f>
        <v>16299</v>
      </c>
      <c r="BK183" s="27" t="str">
        <f>VLOOKUP($A183,'[1]Raw Data'!$A$3:$FB$285,70,FALSE)</f>
        <v>Y</v>
      </c>
      <c r="BL183" s="27" t="str">
        <f t="shared" si="20"/>
        <v>छ</v>
      </c>
      <c r="BM183" s="27">
        <f>VLOOKUP($A183,'[1]Raw Data'!$A$3:$FB$285,71,FALSE)</f>
        <v>7000</v>
      </c>
      <c r="BN183" s="27">
        <f>VLOOKUP($A183,'[1]Raw Data'!$A$3:$FB$285,72,FALSE)</f>
        <v>18445</v>
      </c>
      <c r="BO183" s="27" t="str">
        <f>VLOOKUP($A183,'[1]Raw Data'!$A$3:$FB$285,73,FALSE)</f>
        <v/>
      </c>
      <c r="BP183" s="27" t="str">
        <f t="shared" si="21"/>
        <v/>
      </c>
      <c r="BQ183" s="27" t="str">
        <f>VLOOKUP($A183,'[1]Raw Data'!$A$3:$FB$285,74,FALSE)</f>
        <v/>
      </c>
      <c r="BR183" s="27" t="str">
        <f>VLOOKUP($A183,'[1]Raw Data'!$A$3:$FB$285,75,FALSE)</f>
        <v/>
      </c>
      <c r="BS183" s="27" t="str">
        <f>VLOOKUP($A183,'[1]Raw Data'!$A$3:$FB$285,76,FALSE)</f>
        <v>Y</v>
      </c>
      <c r="BT183" s="27" t="str">
        <f t="shared" si="22"/>
        <v>छ</v>
      </c>
      <c r="BU183" s="27">
        <f>VLOOKUP($A183,'[1]Raw Data'!$A$3:$FB$285,77,FALSE)</f>
        <v>820</v>
      </c>
      <c r="BV183" s="27">
        <f>VLOOKUP($A183,'[1]Raw Data'!$A$3:$FB$285,78,FALSE)</f>
        <v>489005</v>
      </c>
      <c r="BW183" s="27" t="str">
        <f>VLOOKUP($A183,'[1]Raw Data'!$A$3:$FB$285,79,FALSE)</f>
        <v>Y</v>
      </c>
      <c r="BX183" s="27" t="str">
        <f t="shared" si="23"/>
        <v>छ</v>
      </c>
      <c r="BY183" s="27">
        <f>VLOOKUP($A183,'[1]Raw Data'!$A$3:$FB$285,80,FALSE)</f>
        <v>920</v>
      </c>
      <c r="BZ183" s="27">
        <f>VLOOKUP($A183,'[1]Raw Data'!$A$3:$FB$285,81,FALSE)</f>
        <v>1682154</v>
      </c>
      <c r="CA183" s="27" t="str">
        <f>VLOOKUP($A183,'[1]Raw Data'!$A$3:$FB$285,82,FALSE)</f>
        <v>Y</v>
      </c>
      <c r="CB183" s="27" t="str">
        <f t="shared" si="24"/>
        <v>छ</v>
      </c>
      <c r="CC183" s="27">
        <f>VLOOKUP($A183,'[1]Raw Data'!$A$3:$FB$285,83,FALSE)</f>
        <v>85</v>
      </c>
      <c r="CD183" s="27">
        <f>VLOOKUP($A183,'[1]Raw Data'!$A$3:$FB$285,84,FALSE)</f>
        <v>19974</v>
      </c>
      <c r="CE183" s="27" t="str">
        <f>VLOOKUP($A183,'[1]Raw Data'!$A$3:$FB$285,85,FALSE)</f>
        <v/>
      </c>
      <c r="CF183" s="27" t="str">
        <f t="shared" si="25"/>
        <v/>
      </c>
      <c r="CG183" s="27" t="str">
        <f>VLOOKUP($A183,'[1]Raw Data'!$A$3:$FB$285,86,FALSE)</f>
        <v/>
      </c>
      <c r="CH183" s="27">
        <f>VLOOKUP($A183,'[1]Raw Data'!$A$3:$FB$285,87,FALSE)</f>
        <v>2447309</v>
      </c>
      <c r="CI183" s="27" t="str">
        <f>VLOOKUP($A183,'[1]Raw Data'!$A$3:$FB$285,88,FALSE)</f>
        <v>Y</v>
      </c>
      <c r="CJ183" s="27" t="str">
        <f t="shared" si="26"/>
        <v>छ</v>
      </c>
      <c r="CK183" s="27">
        <f>VLOOKUP($A183,'[1]Raw Data'!$A$3:$FB$285,89,FALSE)</f>
        <v>15</v>
      </c>
      <c r="CL183" s="27">
        <f>VLOOKUP($A183,'[1]Raw Data'!$A$3:$FB$285,91,FALSE)</f>
        <v>1000</v>
      </c>
      <c r="CM183" s="27">
        <f>VLOOKUP($A183,'[1]Raw Data'!$A$3:$FB$285,93,FALSE)</f>
        <v>800</v>
      </c>
      <c r="CN183" s="27" t="str">
        <f>VLOOKUP($A183,'[1]Raw Data'!$A$3:$FB$285,94,FALSE)</f>
        <v>175</v>
      </c>
      <c r="CO183" s="27" t="str">
        <f>VLOOKUP($A183,'[1]Raw Data'!$A$3:$FB$285,95,FALSE)</f>
        <v/>
      </c>
      <c r="CP183" s="27" t="str">
        <f>VLOOKUP($A183,'[1]Raw Data'!$A$3:$FB$285,96,FALSE)</f>
        <v/>
      </c>
      <c r="CQ183" s="27" t="str">
        <f>VLOOKUP($A183,'[1]Raw Data'!$A$3:$FB$285,97,FALSE)</f>
        <v/>
      </c>
      <c r="CR183" s="27" t="str">
        <f>VLOOKUP($A183,'[1]Raw Data'!$A$3:$FB$285,98,FALSE)</f>
        <v/>
      </c>
      <c r="CS183" s="27" t="str">
        <f>VLOOKUP($A183,'[1]Raw Data'!$A$3:$FB$285,99,FALSE)</f>
        <v/>
      </c>
      <c r="CT183" s="27" t="str">
        <f>VLOOKUP($A183,'[1]Raw Data'!$A$3:$FB$285,101,FALSE)</f>
        <v>Dipakbabu Kandel</v>
      </c>
      <c r="CU183" s="27" t="s">
        <v>1408</v>
      </c>
      <c r="CV183" s="27" t="str">
        <f>VLOOKUP($A183,'[1]Raw Data'!$A$3:$FB$285,102,FALSE)</f>
        <v>Mayor</v>
      </c>
      <c r="CW183" s="27" t="s">
        <v>834</v>
      </c>
      <c r="CX183" s="27">
        <f>VLOOKUP($A183,'[1]Raw Data'!$A$3:$FB$285,103,FALSE)</f>
        <v>9851174924</v>
      </c>
      <c r="CY183" s="27" t="str">
        <f>VLOOKUP($A183,'[1]Raw Data'!$A$3:$FB$285,105,FALSE)</f>
        <v>Pampha Basel</v>
      </c>
      <c r="CZ183" s="27" t="s">
        <v>1409</v>
      </c>
      <c r="DA183" s="27" t="str">
        <f>VLOOKUP($A183,'[1]Raw Data'!$A$3:$FB$285,106,FALSE)</f>
        <v>Deputy Mayor</v>
      </c>
      <c r="DB183" s="27" t="s">
        <v>888</v>
      </c>
      <c r="DC183" s="27">
        <f>VLOOKUP($A183,'[1]Raw Data'!$A$3:$FB$285,107,FALSE)</f>
        <v>9856074925</v>
      </c>
      <c r="DD183" s="27" t="str">
        <f>VLOOKUP($A183,'[1]Raw Data'!$A$3:$FB$285,109,FALSE)</f>
        <v>Birendra Dev Bharati</v>
      </c>
      <c r="DE183" s="27" t="s">
        <v>1410</v>
      </c>
      <c r="DF183" s="27" t="str">
        <f>VLOOKUP($A183,'[1]Raw Data'!$A$3:$FB$285,110,FALSE)</f>
        <v>Chief Adminstration Officer</v>
      </c>
      <c r="DG183" s="27" t="s">
        <v>880</v>
      </c>
      <c r="DH183" s="27">
        <f>VLOOKUP($A183,'[1]Raw Data'!$A$3:$FB$285,111,FALSE)</f>
        <v>9856061111</v>
      </c>
      <c r="DI183" s="27" t="str">
        <f>VLOOKUP($A183,'[1]Raw Data'!$A$3:$FB$285,121,FALSE)</f>
        <v>Jayendra Bhatta</v>
      </c>
      <c r="DJ183" s="27" t="s">
        <v>1411</v>
      </c>
      <c r="DK183" s="27" t="str">
        <f>VLOOKUP($A183,'[1]Raw Data'!$A$3:$FB$285,122,FALSE)</f>
        <v>Focal Person</v>
      </c>
      <c r="DL183" s="27" t="s">
        <v>881</v>
      </c>
      <c r="DM183" s="27">
        <f>VLOOKUP($A183,'[1]Raw Data'!$A$3:$FB$285,123,FALSE)</f>
        <v>9846251943</v>
      </c>
      <c r="DN183" s="27" t="str">
        <f>VLOOKUP($A183,'[1]Raw Data'!$A$3:$FB$285,113,FALSE)</f>
        <v>Ram Sharan Acharya</v>
      </c>
      <c r="DO183" s="27" t="s">
        <v>1379</v>
      </c>
      <c r="DP183" s="27" t="str">
        <f>VLOOKUP($A183,'[1]Raw Data'!$A$3:$FB$285,114,FALSE)</f>
        <v>NRA Chief-District</v>
      </c>
      <c r="DQ183" s="27" t="s">
        <v>882</v>
      </c>
      <c r="DR183" s="27">
        <f>VLOOKUP($A183,'[1]Raw Data'!$A$3:$FB$285,115,FALSE)</f>
        <v>9856042637</v>
      </c>
      <c r="DS183" s="27" t="str">
        <f>VLOOKUP($A183,'[1]Raw Data'!$A$3:$FB$285,117,FALSE)</f>
        <v>Sunita Shrestha</v>
      </c>
      <c r="DT183" s="27" t="s">
        <v>1380</v>
      </c>
      <c r="DU183" s="27" t="str">
        <f>VLOOKUP($A183,'[1]Raw Data'!$A$3:$FB$285,118,FALSE)</f>
        <v>DUDBC.DLPIU Chief</v>
      </c>
      <c r="DV183" s="27" t="s">
        <v>883</v>
      </c>
      <c r="DW183" s="27">
        <f>VLOOKUP($A183,'[1]Raw Data'!$A$3:$FB$285,119,FALSE)</f>
        <v>9841632087</v>
      </c>
      <c r="DX183" s="27" t="s">
        <v>339</v>
      </c>
      <c r="DY183" s="27" t="str">
        <f>VLOOKUP($A183,'[1]Raw Data'!$A$3:$FB$285,124,FALSE)</f>
        <v>16</v>
      </c>
      <c r="DZ183" s="27" t="s">
        <v>884</v>
      </c>
      <c r="EA183" s="27" t="str">
        <f>VLOOKUP($A183,'[1]Raw Data'!$A$3:$FB$285,125,FALSE)</f>
        <v/>
      </c>
      <c r="EB183" s="27" t="s">
        <v>341</v>
      </c>
      <c r="EC183" s="27" t="str">
        <f>VLOOKUP($A183,'[1]Raw Data'!$A$3:$FB$285,126,FALSE)</f>
        <v/>
      </c>
      <c r="ED183" t="s">
        <v>478</v>
      </c>
      <c r="EE183" s="27" t="str">
        <f>VLOOKUP($A183,'[1]Raw Data'!$A$3:$FB$285,127,FALSE)</f>
        <v/>
      </c>
      <c r="EF183" s="27" t="s">
        <v>343</v>
      </c>
      <c r="EG183" s="27" t="str">
        <f>VLOOKUP($A183,'[1]Raw Data'!$A$3:$FB$285,128,FALSE)</f>
        <v/>
      </c>
      <c r="EH183" t="s">
        <v>344</v>
      </c>
      <c r="EI183" s="27" t="str">
        <f>VLOOKUP($A183,'[1]Raw Data'!$A$3:$FB$285,129,FALSE)</f>
        <v/>
      </c>
      <c r="EM183" s="27">
        <f>VLOOKUP($A183,'[1]Raw Data'!$A$3:$FB$285,130,FALSE)</f>
        <v>12</v>
      </c>
      <c r="EN183" s="27" t="str">
        <f>VLOOKUP($A183,'[1]Raw Data'!$A$3:$FB$285,131,FALSE)</f>
        <v/>
      </c>
      <c r="EO183" s="27">
        <f>VLOOKUP($A183,'[1]Raw Data'!$A$3:$FB$285,132,FALSE)</f>
        <v>8</v>
      </c>
      <c r="EP183" s="27" t="str">
        <f>VLOOKUP($A183,'[1]Raw Data'!$A$3:$FB$285,133,FALSE)</f>
        <v/>
      </c>
      <c r="EQ183" s="27">
        <f>VLOOKUP($A183,'[1]Raw Data'!$A$3:$FB$285,134,FALSE)</f>
        <v>9</v>
      </c>
      <c r="ER183" s="27" t="str">
        <f>VLOOKUP($A183,'[1]Raw Data'!$A$3:$FB$285,135,FALSE)</f>
        <v/>
      </c>
      <c r="ES183" s="27" t="str">
        <f>VLOOKUP($A183,'[1]Raw Data'!$A$3:$FB$285,136,FALSE)</f>
        <v/>
      </c>
      <c r="ET183" s="27" t="str">
        <f>VLOOKUP($A183,'[1]Raw Data'!$A$3:$FB$285,137,FALSE)</f>
        <v/>
      </c>
      <c r="EU183" s="27" t="str">
        <f>VLOOKUP($A183,'[1]Raw Data'!$A$3:$FB$285,138,FALSE)</f>
        <v/>
      </c>
      <c r="EV183" s="27" t="str">
        <f>VLOOKUP($A183,'[1]Raw Data'!$A$3:$FB$285,139,FALSE)</f>
        <v/>
      </c>
      <c r="EW183" s="38">
        <f>VLOOKUP($A183,[1]Training!$A$2:$I$284,5,FALSE)</f>
        <v>746.15384615384619</v>
      </c>
      <c r="EX183" s="31">
        <f>VLOOKUP($A183,[1]Training!$A$2:$I$284,6,FALSE)</f>
        <v>350</v>
      </c>
      <c r="EY183" s="38">
        <f>VLOOKUP($A183,[1]Training!$A$2:$I$284,8,FALSE)</f>
        <v>959.47320822970823</v>
      </c>
      <c r="EZ183" s="31">
        <f>VLOOKUP($A183,[1]Training!$A$2:$I$284,9,FALSE)</f>
        <v>0</v>
      </c>
      <c r="FA183" s="27">
        <v>1</v>
      </c>
      <c r="FB183" s="27">
        <v>2</v>
      </c>
      <c r="FC183" s="27" t="str">
        <f>VLOOKUP($A183,'[1]Raw Data'!$A$3:$FB$285,148,FALSE)</f>
        <v>Chandra Gurung</v>
      </c>
      <c r="FD183" s="27" t="s">
        <v>1381</v>
      </c>
      <c r="FE183" s="27" t="str">
        <f>VLOOKUP($A183,'[1]Raw Data'!$A$3:$FB$285,149,FALSE)</f>
        <v>District Coordinator</v>
      </c>
      <c r="FF183" s="27" t="s">
        <v>885</v>
      </c>
      <c r="FG183" s="27">
        <f>VLOOKUP($A183,'[1]Raw Data'!$A$3:$FB$285,150,FALSE)</f>
        <v>9841478742</v>
      </c>
      <c r="FH183" s="27" t="str">
        <f>VLOOKUP($A183,'[1]Raw Data'!$A$3:$FB$285,156,FALSE)</f>
        <v>Atit Shrestha</v>
      </c>
      <c r="FI183" s="27" t="s">
        <v>1382</v>
      </c>
      <c r="FJ183" s="27" t="str">
        <f>VLOOKUP($A183,'[1]Raw Data'!$A$3:$FB$285,157,FALSE)</f>
        <v>District Technical Officer</v>
      </c>
      <c r="FK183" s="27" t="s">
        <v>886</v>
      </c>
      <c r="FL183" s="27">
        <f>VLOOKUP($A183,'[1]Raw Data'!$A$3:$FB$285,158,FALSE)</f>
        <v>9801328282</v>
      </c>
      <c r="FM183" s="27" t="str">
        <f>VLOOKUP($A183,'[1]Raw Data'!$A$3:$FB$285,152,FALSE)</f>
        <v>Birodh Kattel</v>
      </c>
      <c r="FN183" s="27" t="s">
        <v>1383</v>
      </c>
      <c r="FO183" s="27" t="str">
        <f>VLOOKUP($A183,'[1]Raw Data'!$A$3:$FB$285,153,FALSE)</f>
        <v>DIstrict Information Management Officer</v>
      </c>
      <c r="FP183" s="27" t="s">
        <v>887</v>
      </c>
      <c r="FQ183" s="27">
        <f>VLOOKUP($A183,'[1]Raw Data'!$A$3:$FB$285,154,FALSE)</f>
        <v>9841419970</v>
      </c>
    </row>
    <row r="184" spans="1:173" ht="24" x14ac:dyDescent="0.45">
      <c r="A184" s="27">
        <v>36009</v>
      </c>
      <c r="B184" s="36" t="str">
        <f ca="1">IFERROR(__xludf.DUMMYFUNCTION("""COMPUTED_VALUE"""),"Sahid Lakhan Gaunpalika")</f>
        <v>Sahid Lakhan Gaunpalika</v>
      </c>
      <c r="C184" s="37" t="str">
        <f>VLOOKUP(A184,'[1]Palika and District in Nepali '!$D$1:$F$283,3,FALSE)</f>
        <v>शहीद लखन गाऊँपालिका</v>
      </c>
      <c r="D184" s="36" t="str">
        <f ca="1">IFERROR(__xludf.DUMMYFUNCTION("""COMPUTED_VALUE"""),"Gorkha")</f>
        <v>Gorkha</v>
      </c>
      <c r="E184" s="36"/>
      <c r="F184" s="27">
        <f>VLOOKUP(A184,'[1]Raw Data'!$A$3:$FB$285,4,FALSE)</f>
        <v>1411</v>
      </c>
      <c r="G184" s="27">
        <f>VLOOKUP(A184,'[1]Raw Data'!$A$3:$FB$285,5,FALSE)</f>
        <v>6490</v>
      </c>
      <c r="H184" s="27">
        <f>VLOOKUP(A184,'[1]Raw Data'!$A$3:$FB$285,6,FALSE)</f>
        <v>7901</v>
      </c>
      <c r="I184" s="27">
        <f>VLOOKUP($A184,'[1]Raw Data'!$A$3:$FB$285,8,FALSE)</f>
        <v>1.08</v>
      </c>
      <c r="J184" s="27">
        <f>VLOOKUP($A184,'[1]Raw Data'!$A$3:$FB$285,9,FALSE)</f>
        <v>1.27</v>
      </c>
      <c r="K184" s="27">
        <f>VLOOKUP($A184,'[1]Raw Data'!$A$3:$FB$285,11,FALSE)</f>
        <v>92.11</v>
      </c>
      <c r="L184" s="27">
        <f>VLOOKUP($A184,'[1]Raw Data'!$A$3:$FB$285,12,FALSE)</f>
        <v>82.76</v>
      </c>
      <c r="M184" s="27">
        <f>VLOOKUP($A184,'[1]Raw Data'!$A$3:$FB$285,14,FALSE)</f>
        <v>2.19</v>
      </c>
      <c r="N184" s="27">
        <f>VLOOKUP($A184,'[1]Raw Data'!$A$3:$FB$285,15,FALSE)</f>
        <v>2.57</v>
      </c>
      <c r="O184" s="27">
        <f>VLOOKUP($A184,'[1]Raw Data'!$A$3:$FB$285,17,FALSE)</f>
        <v>0.28000000000000003</v>
      </c>
      <c r="P184" s="27">
        <f>VLOOKUP($A184,'[1]Raw Data'!$A$3:$FB$285,18,FALSE)</f>
        <v>3</v>
      </c>
      <c r="Q184" s="27">
        <f>VLOOKUP($A184,'[1]Raw Data'!$A$3:$FB$285,20,FALSE)</f>
        <v>1.76</v>
      </c>
      <c r="R184" s="27">
        <f>VLOOKUP($A184,'[1]Raw Data'!$A$3:$FB$285,21,FALSE)</f>
        <v>3.23</v>
      </c>
      <c r="S184" s="27">
        <f>VLOOKUP($A184,'[1]Raw Data'!$A$3:$FB$285,23,FALSE)</f>
        <v>0</v>
      </c>
      <c r="T184" s="27">
        <f>VLOOKUP($A184,'[1]Raw Data'!$A$3:$FB$285,24,FALSE)</f>
        <v>0</v>
      </c>
      <c r="U184" s="27">
        <f>VLOOKUP($A184,'[1]Raw Data'!$A$3:$FB$285,26,FALSE)</f>
        <v>0.8</v>
      </c>
      <c r="V184" s="27">
        <f>VLOOKUP($A184,'[1]Raw Data'!$A$3:$FB$285,27,FALSE)</f>
        <v>0.88</v>
      </c>
      <c r="W184" s="27">
        <f>VLOOKUP($A184,'[1]Raw Data'!$A$3:$FB$285,29,FALSE)</f>
        <v>0</v>
      </c>
      <c r="X184" s="27">
        <f>VLOOKUP($A184,'[1]Raw Data'!$A$3:$FB$285,30,FALSE)</f>
        <v>0</v>
      </c>
      <c r="Y184" s="27">
        <f>VLOOKUP($A184,'[1]Raw Data'!$A$3:$FB$285,32,FALSE)</f>
        <v>0.24</v>
      </c>
      <c r="Z184" s="27">
        <f>VLOOKUP($A184,'[1]Raw Data'!$A$3:$FB$285,33,FALSE)</f>
        <v>4.17</v>
      </c>
      <c r="AA184" s="27">
        <f>VLOOKUP($A184,'[1]Raw Data'!$A$3:$FB$285,35,FALSE)</f>
        <v>1.1299999999999999</v>
      </c>
      <c r="AB184" s="27">
        <f>VLOOKUP($A184,'[1]Raw Data'!$A$3:$FB$285,36,FALSE)</f>
        <v>1.79</v>
      </c>
      <c r="AC184" s="27">
        <f>VLOOKUP($A184,'[1]Raw Data'!$A$3:$FB$285,38,FALSE)</f>
        <v>0.41</v>
      </c>
      <c r="AD184" s="27">
        <f>VLOOKUP($A184,'[1]Raw Data'!$A$3:$FB$285,39,FALSE)</f>
        <v>0.34</v>
      </c>
      <c r="AE184" s="27">
        <f>VLOOKUP($A184,'[1]Raw Data'!$A$3:$FB$285,41,FALSE)</f>
        <v>0</v>
      </c>
      <c r="AF184" s="27">
        <f>VLOOKUP($A184,'[1]Raw Data'!$A$3:$FB$285,42,FALSE)</f>
        <v>0</v>
      </c>
      <c r="AG184" s="27">
        <f>VLOOKUP($A184,'[1]Raw Data'!$A$3:$FB$285,44,FALSE)</f>
        <v>0</v>
      </c>
      <c r="AH184" s="27">
        <f>VLOOKUP($A184,'[1]Raw Data'!$A$3:$FB$285,45,FALSE)</f>
        <v>0</v>
      </c>
      <c r="AI184" s="27">
        <f>VLOOKUP($A184,'[1]Raw Data'!$A$3:$FB$285,46,FALSE)</f>
        <v>7061</v>
      </c>
      <c r="AJ184" s="27">
        <f>VLOOKUP($A184,'[1]Raw Data'!$A$3:$FB$285,47,FALSE)</f>
        <v>6083</v>
      </c>
      <c r="AK184" s="27">
        <f>VLOOKUP($A184,'[1]Raw Data'!$A$3:$FB$285,48,FALSE)</f>
        <v>6087</v>
      </c>
      <c r="AL184" s="27">
        <f>VLOOKUP($A184,'[1]Raw Data'!$A$3:$FB$285,49,FALSE)</f>
        <v>5277</v>
      </c>
      <c r="AM184" s="27">
        <f>VLOOKUP($A184,'[1]Raw Data'!$A$3:$FB$285,50,FALSE)</f>
        <v>4390</v>
      </c>
      <c r="AN184" s="27">
        <f>VLOOKUP($A184,'[1]Raw Data'!$A$3:$FB$285,51,FALSE)</f>
        <v>887</v>
      </c>
      <c r="AO184" s="27">
        <f>VLOOKUP($A184,'[1]Raw Data'!$A$3:$FB$285,52,FALSE)</f>
        <v>4390</v>
      </c>
      <c r="AP184" s="27">
        <f>VLOOKUP($A184,'[1]Raw Data'!$A$3:$FB$285,53,FALSE)</f>
        <v>836</v>
      </c>
      <c r="AQ184" s="27">
        <f>VLOOKUP($A184,'[1]Raw Data'!$A$3:$FB$285,54,FALSE)</f>
        <v>28</v>
      </c>
      <c r="AR184" s="27">
        <f>VLOOKUP($A184,'[1]Raw Data'!$A$3:$FB$285,55,FALSE)</f>
        <v>28</v>
      </c>
      <c r="AS184" s="27" t="str">
        <f>VLOOKUP($A184,'[1]Raw Data'!$A$3:$FB$285,56,FALSE)</f>
        <v/>
      </c>
      <c r="AT184" s="27">
        <f>VLOOKUP($A184,'[1]Raw Data'!$A$3:$FB$285,57,FALSE)</f>
        <v>2283</v>
      </c>
      <c r="AU184" s="27">
        <f>VLOOKUP($A184,'[1]Raw Data'!$A$3:$FB$285,58,FALSE)</f>
        <v>2279</v>
      </c>
      <c r="AV184" s="27" t="str">
        <f>VLOOKUP($A184,'[1]Raw Data'!$A$3:$FB$285,59,FALSE)</f>
        <v/>
      </c>
      <c r="AW184" s="27" t="str">
        <f>VLOOKUP($A184,'[1]Raw Data'!$A$3:$FB$285,60,FALSE)</f>
        <v/>
      </c>
      <c r="AX184" s="27" t="str">
        <f>VLOOKUP(A184,'[1]PO''s List'!A182:E464,4,FALSE)</f>
        <v/>
      </c>
      <c r="AZ184" s="27" t="str">
        <f>VLOOKUP(A184,'[1]PO''s List'!$A$3:$E$285,5,FALSE)</f>
        <v>SCI(Education,Health,Shelter,Social Protection)</v>
      </c>
      <c r="BB184" s="27">
        <f>VLOOKUP($A184,'[1]Raw Data'!$A$3:$FB$285,63,FALSE)</f>
        <v>126056</v>
      </c>
      <c r="BC184" s="27" t="str">
        <f>VLOOKUP($A184,'[1]Raw Data'!$A$3:$FB$285,64,FALSE)</f>
        <v/>
      </c>
      <c r="BD184" s="27" t="str">
        <f t="shared" si="18"/>
        <v/>
      </c>
      <c r="BE184" s="27" t="str">
        <f>VLOOKUP($A184,'[1]Raw Data'!$A$3:$FB$285,65,FALSE)</f>
        <v/>
      </c>
      <c r="BF184" s="27">
        <f>VLOOKUP($A184,'[1]Raw Data'!$A$3:$FB$285,66,FALSE)</f>
        <v>118434</v>
      </c>
      <c r="BG184" s="27" t="str">
        <f>VLOOKUP($A184,'[1]Raw Data'!$A$3:$FB$285,67,FALSE)</f>
        <v/>
      </c>
      <c r="BH184" s="27" t="str">
        <f t="shared" si="19"/>
        <v/>
      </c>
      <c r="BI184" s="27" t="str">
        <f>VLOOKUP($A184,'[1]Raw Data'!$A$3:$FB$285,68,FALSE)</f>
        <v/>
      </c>
      <c r="BJ184" s="27">
        <f>VLOOKUP($A184,'[1]Raw Data'!$A$3:$FB$285,69,FALSE)</f>
        <v>13367</v>
      </c>
      <c r="BK184" s="27" t="str">
        <f>VLOOKUP($A184,'[1]Raw Data'!$A$3:$FB$285,70,FALSE)</f>
        <v/>
      </c>
      <c r="BL184" s="27" t="str">
        <f t="shared" si="20"/>
        <v/>
      </c>
      <c r="BM184" s="27" t="str">
        <f>VLOOKUP($A184,'[1]Raw Data'!$A$3:$FB$285,71,FALSE)</f>
        <v/>
      </c>
      <c r="BN184" s="27">
        <f>VLOOKUP($A184,'[1]Raw Data'!$A$3:$FB$285,72,FALSE)</f>
        <v>15084</v>
      </c>
      <c r="BO184" s="27" t="str">
        <f>VLOOKUP($A184,'[1]Raw Data'!$A$3:$FB$285,73,FALSE)</f>
        <v/>
      </c>
      <c r="BP184" s="27" t="str">
        <f t="shared" si="21"/>
        <v/>
      </c>
      <c r="BQ184" s="27" t="str">
        <f>VLOOKUP($A184,'[1]Raw Data'!$A$3:$FB$285,74,FALSE)</f>
        <v/>
      </c>
      <c r="BR184" s="27" t="str">
        <f>VLOOKUP($A184,'[1]Raw Data'!$A$3:$FB$285,75,FALSE)</f>
        <v/>
      </c>
      <c r="BS184" s="27" t="str">
        <f>VLOOKUP($A184,'[1]Raw Data'!$A$3:$FB$285,76,FALSE)</f>
        <v/>
      </c>
      <c r="BT184" s="27" t="str">
        <f t="shared" si="22"/>
        <v/>
      </c>
      <c r="BU184" s="27" t="str">
        <f>VLOOKUP($A184,'[1]Raw Data'!$A$3:$FB$285,77,FALSE)</f>
        <v/>
      </c>
      <c r="BV184" s="27">
        <f>VLOOKUP($A184,'[1]Raw Data'!$A$3:$FB$285,78,FALSE)</f>
        <v>400561</v>
      </c>
      <c r="BW184" s="27" t="str">
        <f>VLOOKUP($A184,'[1]Raw Data'!$A$3:$FB$285,79,FALSE)</f>
        <v/>
      </c>
      <c r="BX184" s="27" t="str">
        <f t="shared" si="23"/>
        <v/>
      </c>
      <c r="BY184" s="27" t="str">
        <f>VLOOKUP($A184,'[1]Raw Data'!$A$3:$FB$285,80,FALSE)</f>
        <v/>
      </c>
      <c r="BZ184" s="27">
        <f>VLOOKUP($A184,'[1]Raw Data'!$A$3:$FB$285,81,FALSE)</f>
        <v>1391367</v>
      </c>
      <c r="CA184" s="27" t="str">
        <f>VLOOKUP($A184,'[1]Raw Data'!$A$3:$FB$285,82,FALSE)</f>
        <v/>
      </c>
      <c r="CB184" s="27" t="str">
        <f t="shared" si="24"/>
        <v/>
      </c>
      <c r="CC184" s="27" t="str">
        <f>VLOOKUP($A184,'[1]Raw Data'!$A$3:$FB$285,83,FALSE)</f>
        <v/>
      </c>
      <c r="CD184" s="27">
        <f>VLOOKUP($A184,'[1]Raw Data'!$A$3:$FB$285,84,FALSE)</f>
        <v>16392</v>
      </c>
      <c r="CE184" s="27" t="str">
        <f>VLOOKUP($A184,'[1]Raw Data'!$A$3:$FB$285,85,FALSE)</f>
        <v/>
      </c>
      <c r="CF184" s="27" t="str">
        <f t="shared" si="25"/>
        <v/>
      </c>
      <c r="CG184" s="27" t="str">
        <f>VLOOKUP($A184,'[1]Raw Data'!$A$3:$FB$285,86,FALSE)</f>
        <v/>
      </c>
      <c r="CH184" s="27">
        <f>VLOOKUP($A184,'[1]Raw Data'!$A$3:$FB$285,87,FALSE)</f>
        <v>3018414</v>
      </c>
      <c r="CI184" s="27" t="str">
        <f>VLOOKUP($A184,'[1]Raw Data'!$A$3:$FB$285,88,FALSE)</f>
        <v/>
      </c>
      <c r="CJ184" s="27" t="str">
        <f t="shared" si="26"/>
        <v/>
      </c>
      <c r="CK184" s="27" t="str">
        <f>VLOOKUP($A184,'[1]Raw Data'!$A$3:$FB$285,89,FALSE)</f>
        <v/>
      </c>
      <c r="CL184" s="27" t="str">
        <f>VLOOKUP($A184,'[1]Raw Data'!$A$3:$FB$285,91,FALSE)</f>
        <v/>
      </c>
      <c r="CM184" s="27" t="str">
        <f>VLOOKUP($A184,'[1]Raw Data'!$A$3:$FB$285,93,FALSE)</f>
        <v/>
      </c>
      <c r="CN184" s="27" t="str">
        <f>VLOOKUP($A184,'[1]Raw Data'!$A$3:$FB$285,94,FALSE)</f>
        <v>357</v>
      </c>
      <c r="CO184" s="27" t="str">
        <f>VLOOKUP($A184,'[1]Raw Data'!$A$3:$FB$285,95,FALSE)</f>
        <v/>
      </c>
      <c r="CP184" s="27" t="str">
        <f>VLOOKUP($A184,'[1]Raw Data'!$A$3:$FB$285,96,FALSE)</f>
        <v/>
      </c>
      <c r="CQ184" s="27" t="str">
        <f>VLOOKUP($A184,'[1]Raw Data'!$A$3:$FB$285,97,FALSE)</f>
        <v/>
      </c>
      <c r="CR184" s="27" t="str">
        <f>VLOOKUP($A184,'[1]Raw Data'!$A$3:$FB$285,98,FALSE)</f>
        <v/>
      </c>
      <c r="CS184" s="27" t="str">
        <f>VLOOKUP($A184,'[1]Raw Data'!$A$3:$FB$285,99,FALSE)</f>
        <v/>
      </c>
      <c r="CT184" s="27" t="str">
        <f>VLOOKUP($A184,'[1]Raw Data'!$A$3:$FB$285,101,FALSE)</f>
        <v>Ramesh Thapa Magar</v>
      </c>
      <c r="CU184" s="27" t="s">
        <v>1412</v>
      </c>
      <c r="CV184" s="27" t="str">
        <f>VLOOKUP($A184,'[1]Raw Data'!$A$3:$FB$285,102,FALSE)</f>
        <v xml:space="preserve">Chairman </v>
      </c>
      <c r="CW184" s="27" t="s">
        <v>878</v>
      </c>
      <c r="CX184" s="27">
        <f>VLOOKUP($A184,'[1]Raw Data'!$A$3:$FB$285,103,FALSE)</f>
        <v>9856040375</v>
      </c>
      <c r="CY184" s="27" t="str">
        <f>VLOOKUP($A184,'[1]Raw Data'!$A$3:$FB$285,105,FALSE)</f>
        <v>Indira Tiwari</v>
      </c>
      <c r="CZ184" s="27" t="s">
        <v>1413</v>
      </c>
      <c r="DA184" s="27" t="str">
        <f>VLOOKUP($A184,'[1]Raw Data'!$A$3:$FB$285,106,FALSE)</f>
        <v>Deputy Chairman</v>
      </c>
      <c r="DB184" s="27" t="s">
        <v>879</v>
      </c>
      <c r="DC184" s="27">
        <f>VLOOKUP($A184,'[1]Raw Data'!$A$3:$FB$285,107,FALSE)</f>
        <v>9846433515</v>
      </c>
      <c r="DD184" s="27" t="str">
        <f>VLOOKUP($A184,'[1]Raw Data'!$A$3:$FB$285,109,FALSE)</f>
        <v>Jivan Ale Magar</v>
      </c>
      <c r="DE184" s="27" t="s">
        <v>1414</v>
      </c>
      <c r="DF184" s="27" t="str">
        <f>VLOOKUP($A184,'[1]Raw Data'!$A$3:$FB$285,110,FALSE)</f>
        <v>Chief Adminstration Officer</v>
      </c>
      <c r="DG184" s="27" t="s">
        <v>880</v>
      </c>
      <c r="DH184" s="27">
        <f>VLOOKUP($A184,'[1]Raw Data'!$A$3:$FB$285,111,FALSE)</f>
        <v>9856010533</v>
      </c>
      <c r="DI184" s="27" t="str">
        <f>VLOOKUP($A184,'[1]Raw Data'!$A$3:$FB$285,121,FALSE)</f>
        <v>Sanu Kaji Basnet</v>
      </c>
      <c r="DJ184" s="27" t="s">
        <v>1415</v>
      </c>
      <c r="DK184" s="27" t="str">
        <f>VLOOKUP($A184,'[1]Raw Data'!$A$3:$FB$285,122,FALSE)</f>
        <v>Focal Person</v>
      </c>
      <c r="DL184" s="27" t="s">
        <v>881</v>
      </c>
      <c r="DM184" s="27">
        <f>VLOOKUP($A184,'[1]Raw Data'!$A$3:$FB$285,123,FALSE)</f>
        <v>9846075365</v>
      </c>
      <c r="DN184" s="27" t="str">
        <f>VLOOKUP($A184,'[1]Raw Data'!$A$3:$FB$285,113,FALSE)</f>
        <v>Ram Sharan Acharya</v>
      </c>
      <c r="DO184" s="27" t="s">
        <v>1379</v>
      </c>
      <c r="DP184" s="27" t="str">
        <f>VLOOKUP($A184,'[1]Raw Data'!$A$3:$FB$285,114,FALSE)</f>
        <v>NRA Chief-District</v>
      </c>
      <c r="DQ184" s="27" t="s">
        <v>882</v>
      </c>
      <c r="DR184" s="27">
        <f>VLOOKUP($A184,'[1]Raw Data'!$A$3:$FB$285,115,FALSE)</f>
        <v>9856042637</v>
      </c>
      <c r="DS184" s="27" t="str">
        <f>VLOOKUP($A184,'[1]Raw Data'!$A$3:$FB$285,117,FALSE)</f>
        <v>Sunita Shrestha</v>
      </c>
      <c r="DT184" s="27" t="s">
        <v>1380</v>
      </c>
      <c r="DU184" s="27" t="str">
        <f>VLOOKUP($A184,'[1]Raw Data'!$A$3:$FB$285,118,FALSE)</f>
        <v>DUDBC.DLPIU Chief</v>
      </c>
      <c r="DV184" s="27" t="s">
        <v>883</v>
      </c>
      <c r="DW184" s="27">
        <f>VLOOKUP($A184,'[1]Raw Data'!$A$3:$FB$285,119,FALSE)</f>
        <v>9841632087</v>
      </c>
      <c r="DX184" s="27" t="s">
        <v>339</v>
      </c>
      <c r="DY184" s="27" t="str">
        <f>VLOOKUP($A184,'[1]Raw Data'!$A$3:$FB$285,124,FALSE)</f>
        <v/>
      </c>
      <c r="DZ184" s="27" t="s">
        <v>884</v>
      </c>
      <c r="EA184" s="27" t="str">
        <f>VLOOKUP($A184,'[1]Raw Data'!$A$3:$FB$285,125,FALSE)</f>
        <v/>
      </c>
      <c r="EB184" s="27" t="s">
        <v>341</v>
      </c>
      <c r="EC184" s="27" t="str">
        <f>VLOOKUP($A184,'[1]Raw Data'!$A$3:$FB$285,126,FALSE)</f>
        <v/>
      </c>
      <c r="ED184" t="s">
        <v>478</v>
      </c>
      <c r="EE184" s="27" t="str">
        <f>VLOOKUP($A184,'[1]Raw Data'!$A$3:$FB$285,127,FALSE)</f>
        <v/>
      </c>
      <c r="EF184" s="27" t="s">
        <v>343</v>
      </c>
      <c r="EG184" s="27" t="str">
        <f>VLOOKUP($A184,'[1]Raw Data'!$A$3:$FB$285,128,FALSE)</f>
        <v/>
      </c>
      <c r="EH184" t="s">
        <v>344</v>
      </c>
      <c r="EI184" s="27" t="str">
        <f>VLOOKUP($A184,'[1]Raw Data'!$A$3:$FB$285,129,FALSE)</f>
        <v/>
      </c>
      <c r="EM184" s="27" t="str">
        <f>VLOOKUP($A184,'[1]Raw Data'!$A$3:$FB$285,130,FALSE)</f>
        <v/>
      </c>
      <c r="EN184" s="27" t="str">
        <f>VLOOKUP($A184,'[1]Raw Data'!$A$3:$FB$285,131,FALSE)</f>
        <v/>
      </c>
      <c r="EO184" s="27" t="str">
        <f>VLOOKUP($A184,'[1]Raw Data'!$A$3:$FB$285,132,FALSE)</f>
        <v/>
      </c>
      <c r="EP184" s="27" t="str">
        <f>VLOOKUP($A184,'[1]Raw Data'!$A$3:$FB$285,133,FALSE)</f>
        <v/>
      </c>
      <c r="EQ184" s="27" t="str">
        <f>VLOOKUP($A184,'[1]Raw Data'!$A$3:$FB$285,134,FALSE)</f>
        <v/>
      </c>
      <c r="ER184" s="27" t="str">
        <f>VLOOKUP($A184,'[1]Raw Data'!$A$3:$FB$285,135,FALSE)</f>
        <v/>
      </c>
      <c r="ES184" s="27" t="str">
        <f>VLOOKUP($A184,'[1]Raw Data'!$A$3:$FB$285,136,FALSE)</f>
        <v/>
      </c>
      <c r="ET184" s="27" t="str">
        <f>VLOOKUP($A184,'[1]Raw Data'!$A$3:$FB$285,137,FALSE)</f>
        <v/>
      </c>
      <c r="EU184" s="27" t="str">
        <f>VLOOKUP($A184,'[1]Raw Data'!$A$3:$FB$285,138,FALSE)</f>
        <v/>
      </c>
      <c r="EV184" s="27" t="str">
        <f>VLOOKUP($A184,'[1]Raw Data'!$A$3:$FB$285,139,FALSE)</f>
        <v/>
      </c>
      <c r="EW184" s="38">
        <f>VLOOKUP($A184,[1]Training!$A$2:$I$284,5,FALSE)</f>
        <v>543</v>
      </c>
      <c r="EX184" s="31">
        <f>VLOOKUP($A184,[1]Training!$A$2:$I$284,6,FALSE)</f>
        <v>610</v>
      </c>
      <c r="EY184" s="38">
        <f>VLOOKUP($A184,[1]Training!$A$2:$I$284,8,FALSE)</f>
        <v>698.23931720551661</v>
      </c>
      <c r="EZ184" s="31">
        <f>VLOOKUP($A184,[1]Training!$A$2:$I$284,9,FALSE)</f>
        <v>0</v>
      </c>
      <c r="FA184" s="27">
        <v>1</v>
      </c>
      <c r="FB184" s="27">
        <v>2</v>
      </c>
      <c r="FC184" s="27" t="str">
        <f>VLOOKUP($A184,'[1]Raw Data'!$A$3:$FB$285,148,FALSE)</f>
        <v>Chandra Gurung</v>
      </c>
      <c r="FD184" s="27" t="s">
        <v>1381</v>
      </c>
      <c r="FE184" s="27" t="str">
        <f>VLOOKUP($A184,'[1]Raw Data'!$A$3:$FB$285,149,FALSE)</f>
        <v>District Coordinator</v>
      </c>
      <c r="FF184" s="27" t="s">
        <v>885</v>
      </c>
      <c r="FG184" s="27">
        <f>VLOOKUP($A184,'[1]Raw Data'!$A$3:$FB$285,150,FALSE)</f>
        <v>9841478742</v>
      </c>
      <c r="FH184" s="27" t="str">
        <f>VLOOKUP($A184,'[1]Raw Data'!$A$3:$FB$285,156,FALSE)</f>
        <v>Atit Shrestha</v>
      </c>
      <c r="FI184" s="27" t="s">
        <v>1382</v>
      </c>
      <c r="FJ184" s="27" t="str">
        <f>VLOOKUP($A184,'[1]Raw Data'!$A$3:$FB$285,157,FALSE)</f>
        <v>District Technical Officer</v>
      </c>
      <c r="FK184" s="27" t="s">
        <v>886</v>
      </c>
      <c r="FL184" s="27">
        <f>VLOOKUP($A184,'[1]Raw Data'!$A$3:$FB$285,158,FALSE)</f>
        <v>9801328282</v>
      </c>
      <c r="FM184" s="27" t="str">
        <f>VLOOKUP($A184,'[1]Raw Data'!$A$3:$FB$285,152,FALSE)</f>
        <v>Birodh Kattel</v>
      </c>
      <c r="FN184" s="27" t="s">
        <v>1383</v>
      </c>
      <c r="FO184" s="27" t="str">
        <f>VLOOKUP($A184,'[1]Raw Data'!$A$3:$FB$285,153,FALSE)</f>
        <v>DIstrict Information Management Officer</v>
      </c>
      <c r="FP184" s="27" t="s">
        <v>887</v>
      </c>
      <c r="FQ184" s="27">
        <f>VLOOKUP($A184,'[1]Raw Data'!$A$3:$FB$285,154,FALSE)</f>
        <v>9841419970</v>
      </c>
    </row>
    <row r="185" spans="1:173" ht="24" x14ac:dyDescent="0.45">
      <c r="A185" s="27">
        <v>36010</v>
      </c>
      <c r="B185" s="36" t="str">
        <f ca="1">IFERROR(__xludf.DUMMYFUNCTION("""COMPUTED_VALUE"""),"Siranchok Gaunpalika")</f>
        <v>Siranchok Gaunpalika</v>
      </c>
      <c r="C185" s="37" t="str">
        <f>VLOOKUP(A185,'[1]Palika and District in Nepali '!$D$1:$F$283,3,FALSE)</f>
        <v>सिरानचोक गाउँपालिका</v>
      </c>
      <c r="D185" s="36" t="str">
        <f ca="1">IFERROR(__xludf.DUMMYFUNCTION("""COMPUTED_VALUE"""),"Gorkha")</f>
        <v>Gorkha</v>
      </c>
      <c r="E185" s="36"/>
      <c r="F185" s="27">
        <f>VLOOKUP(A185,'[1]Raw Data'!$A$3:$FB$285,4,FALSE)</f>
        <v>1365</v>
      </c>
      <c r="G185" s="27">
        <f>VLOOKUP(A185,'[1]Raw Data'!$A$3:$FB$285,5,FALSE)</f>
        <v>5838</v>
      </c>
      <c r="H185" s="27">
        <f>VLOOKUP(A185,'[1]Raw Data'!$A$3:$FB$285,6,FALSE)</f>
        <v>7203</v>
      </c>
      <c r="I185" s="27">
        <f>VLOOKUP($A185,'[1]Raw Data'!$A$3:$FB$285,8,FALSE)</f>
        <v>0.28999999999999998</v>
      </c>
      <c r="J185" s="27">
        <f>VLOOKUP($A185,'[1]Raw Data'!$A$3:$FB$285,9,FALSE)</f>
        <v>1.27</v>
      </c>
      <c r="K185" s="27">
        <f>VLOOKUP($A185,'[1]Raw Data'!$A$3:$FB$285,11,FALSE)</f>
        <v>90.58</v>
      </c>
      <c r="L185" s="27">
        <f>VLOOKUP($A185,'[1]Raw Data'!$A$3:$FB$285,12,FALSE)</f>
        <v>82.76</v>
      </c>
      <c r="M185" s="27">
        <f>VLOOKUP($A185,'[1]Raw Data'!$A$3:$FB$285,14,FALSE)</f>
        <v>0.51</v>
      </c>
      <c r="N185" s="27">
        <f>VLOOKUP($A185,'[1]Raw Data'!$A$3:$FB$285,15,FALSE)</f>
        <v>2.57</v>
      </c>
      <c r="O185" s="27">
        <f>VLOOKUP($A185,'[1]Raw Data'!$A$3:$FB$285,17,FALSE)</f>
        <v>0.19</v>
      </c>
      <c r="P185" s="27">
        <f>VLOOKUP($A185,'[1]Raw Data'!$A$3:$FB$285,18,FALSE)</f>
        <v>3</v>
      </c>
      <c r="Q185" s="27">
        <f>VLOOKUP($A185,'[1]Raw Data'!$A$3:$FB$285,20,FALSE)</f>
        <v>1.07</v>
      </c>
      <c r="R185" s="27">
        <f>VLOOKUP($A185,'[1]Raw Data'!$A$3:$FB$285,21,FALSE)</f>
        <v>3.23</v>
      </c>
      <c r="S185" s="27">
        <f>VLOOKUP($A185,'[1]Raw Data'!$A$3:$FB$285,23,FALSE)</f>
        <v>0</v>
      </c>
      <c r="T185" s="27">
        <f>VLOOKUP($A185,'[1]Raw Data'!$A$3:$FB$285,24,FALSE)</f>
        <v>0</v>
      </c>
      <c r="U185" s="27">
        <f>VLOOKUP($A185,'[1]Raw Data'!$A$3:$FB$285,26,FALSE)</f>
        <v>0.76</v>
      </c>
      <c r="V185" s="27">
        <f>VLOOKUP($A185,'[1]Raw Data'!$A$3:$FB$285,27,FALSE)</f>
        <v>0.88</v>
      </c>
      <c r="W185" s="27">
        <f>VLOOKUP($A185,'[1]Raw Data'!$A$3:$FB$285,29,FALSE)</f>
        <v>0</v>
      </c>
      <c r="X185" s="27">
        <f>VLOOKUP($A185,'[1]Raw Data'!$A$3:$FB$285,30,FALSE)</f>
        <v>0</v>
      </c>
      <c r="Y185" s="27">
        <f>VLOOKUP($A185,'[1]Raw Data'!$A$3:$FB$285,32,FALSE)</f>
        <v>0.06</v>
      </c>
      <c r="Z185" s="27">
        <f>VLOOKUP($A185,'[1]Raw Data'!$A$3:$FB$285,33,FALSE)</f>
        <v>4.17</v>
      </c>
      <c r="AA185" s="27">
        <f>VLOOKUP($A185,'[1]Raw Data'!$A$3:$FB$285,35,FALSE)</f>
        <v>6.25</v>
      </c>
      <c r="AB185" s="27">
        <f>VLOOKUP($A185,'[1]Raw Data'!$A$3:$FB$285,36,FALSE)</f>
        <v>1.79</v>
      </c>
      <c r="AC185" s="27">
        <f>VLOOKUP($A185,'[1]Raw Data'!$A$3:$FB$285,38,FALSE)</f>
        <v>0.28000000000000003</v>
      </c>
      <c r="AD185" s="27">
        <f>VLOOKUP($A185,'[1]Raw Data'!$A$3:$FB$285,39,FALSE)</f>
        <v>0.34</v>
      </c>
      <c r="AE185" s="27">
        <f>VLOOKUP($A185,'[1]Raw Data'!$A$3:$FB$285,41,FALSE)</f>
        <v>0</v>
      </c>
      <c r="AF185" s="27">
        <f>VLOOKUP($A185,'[1]Raw Data'!$A$3:$FB$285,42,FALSE)</f>
        <v>0</v>
      </c>
      <c r="AG185" s="27">
        <f>VLOOKUP($A185,'[1]Raw Data'!$A$3:$FB$285,44,FALSE)</f>
        <v>0</v>
      </c>
      <c r="AH185" s="27">
        <f>VLOOKUP($A185,'[1]Raw Data'!$A$3:$FB$285,45,FALSE)</f>
        <v>0</v>
      </c>
      <c r="AI185" s="27">
        <f>VLOOKUP($A185,'[1]Raw Data'!$A$3:$FB$285,46,FALSE)</f>
        <v>6833</v>
      </c>
      <c r="AJ185" s="27">
        <f>VLOOKUP($A185,'[1]Raw Data'!$A$3:$FB$285,47,FALSE)</f>
        <v>5752</v>
      </c>
      <c r="AK185" s="27">
        <f>VLOOKUP($A185,'[1]Raw Data'!$A$3:$FB$285,48,FALSE)</f>
        <v>5828</v>
      </c>
      <c r="AL185" s="27">
        <f>VLOOKUP($A185,'[1]Raw Data'!$A$3:$FB$285,49,FALSE)</f>
        <v>5370</v>
      </c>
      <c r="AM185" s="27">
        <f>VLOOKUP($A185,'[1]Raw Data'!$A$3:$FB$285,50,FALSE)</f>
        <v>4462</v>
      </c>
      <c r="AN185" s="27">
        <f>VLOOKUP($A185,'[1]Raw Data'!$A$3:$FB$285,51,FALSE)</f>
        <v>908</v>
      </c>
      <c r="AO185" s="27">
        <f>VLOOKUP($A185,'[1]Raw Data'!$A$3:$FB$285,52,FALSE)</f>
        <v>4462</v>
      </c>
      <c r="AP185" s="27">
        <f>VLOOKUP($A185,'[1]Raw Data'!$A$3:$FB$285,53,FALSE)</f>
        <v>904</v>
      </c>
      <c r="AQ185" s="27">
        <f>VLOOKUP($A185,'[1]Raw Data'!$A$3:$FB$285,54,FALSE)</f>
        <v>20</v>
      </c>
      <c r="AR185" s="27">
        <f>VLOOKUP($A185,'[1]Raw Data'!$A$3:$FB$285,55,FALSE)</f>
        <v>20</v>
      </c>
      <c r="AS185" s="27">
        <f>VLOOKUP($A185,'[1]Raw Data'!$A$3:$FB$285,56,FALSE)</f>
        <v>1</v>
      </c>
      <c r="AT185" s="27">
        <f>VLOOKUP($A185,'[1]Raw Data'!$A$3:$FB$285,57,FALSE)</f>
        <v>2013</v>
      </c>
      <c r="AU185" s="27">
        <f>VLOOKUP($A185,'[1]Raw Data'!$A$3:$FB$285,58,FALSE)</f>
        <v>1038</v>
      </c>
      <c r="AV185" s="27" t="str">
        <f>VLOOKUP($A185,'[1]Raw Data'!$A$3:$FB$285,59,FALSE)</f>
        <v/>
      </c>
      <c r="AW185" s="27" t="str">
        <f>VLOOKUP($A185,'[1]Raw Data'!$A$3:$FB$285,60,FALSE)</f>
        <v/>
      </c>
      <c r="AX185" s="27" t="str">
        <f>VLOOKUP(A185,'[1]PO''s List'!A183:E465,4,FALSE)</f>
        <v>CARE-N(Livelihood,DRR,GESI,Health,Shelter,Health),INF(Employment ,Government buildings,Shelter),NRCS(Livelihood,Education,Employment ,Health,Shelter,Health)</v>
      </c>
      <c r="AZ185" s="27" t="str">
        <f>VLOOKUP(A185,'[1]PO''s List'!$A$3:$E$285,5,FALSE)</f>
        <v>ACN(Shelter),JICA(Shelter),LWR(Livelihood,DRR,Shelter),NYF(Education),WVIN(Employment ,Health)</v>
      </c>
      <c r="BB185" s="27">
        <f>VLOOKUP($A185,'[1]Raw Data'!$A$3:$FB$285,63,FALSE)</f>
        <v>118548</v>
      </c>
      <c r="BC185" s="27" t="str">
        <f>VLOOKUP($A185,'[1]Raw Data'!$A$3:$FB$285,64,FALSE)</f>
        <v/>
      </c>
      <c r="BD185" s="27" t="str">
        <f t="shared" si="18"/>
        <v/>
      </c>
      <c r="BE185" s="27" t="str">
        <f>VLOOKUP($A185,'[1]Raw Data'!$A$3:$FB$285,65,FALSE)</f>
        <v/>
      </c>
      <c r="BF185" s="27">
        <f>VLOOKUP($A185,'[1]Raw Data'!$A$3:$FB$285,66,FALSE)</f>
        <v>120140</v>
      </c>
      <c r="BG185" s="27" t="str">
        <f>VLOOKUP($A185,'[1]Raw Data'!$A$3:$FB$285,67,FALSE)</f>
        <v/>
      </c>
      <c r="BH185" s="27" t="str">
        <f t="shared" si="19"/>
        <v/>
      </c>
      <c r="BI185" s="27" t="str">
        <f>VLOOKUP($A185,'[1]Raw Data'!$A$3:$FB$285,68,FALSE)</f>
        <v/>
      </c>
      <c r="BJ185" s="27">
        <f>VLOOKUP($A185,'[1]Raw Data'!$A$3:$FB$285,69,FALSE)</f>
        <v>12645</v>
      </c>
      <c r="BK185" s="27" t="str">
        <f>VLOOKUP($A185,'[1]Raw Data'!$A$3:$FB$285,70,FALSE)</f>
        <v/>
      </c>
      <c r="BL185" s="27" t="str">
        <f t="shared" si="20"/>
        <v/>
      </c>
      <c r="BM185" s="27" t="str">
        <f>VLOOKUP($A185,'[1]Raw Data'!$A$3:$FB$285,71,FALSE)</f>
        <v/>
      </c>
      <c r="BN185" s="27">
        <f>VLOOKUP($A185,'[1]Raw Data'!$A$3:$FB$285,72,FALSE)</f>
        <v>14543</v>
      </c>
      <c r="BO185" s="27" t="str">
        <f>VLOOKUP($A185,'[1]Raw Data'!$A$3:$FB$285,73,FALSE)</f>
        <v/>
      </c>
      <c r="BP185" s="27" t="str">
        <f t="shared" si="21"/>
        <v/>
      </c>
      <c r="BQ185" s="27" t="str">
        <f>VLOOKUP($A185,'[1]Raw Data'!$A$3:$FB$285,74,FALSE)</f>
        <v/>
      </c>
      <c r="BR185" s="27" t="str">
        <f>VLOOKUP($A185,'[1]Raw Data'!$A$3:$FB$285,75,FALSE)</f>
        <v/>
      </c>
      <c r="BS185" s="27" t="str">
        <f>VLOOKUP($A185,'[1]Raw Data'!$A$3:$FB$285,76,FALSE)</f>
        <v/>
      </c>
      <c r="BT185" s="27" t="str">
        <f t="shared" si="22"/>
        <v/>
      </c>
      <c r="BU185" s="27" t="str">
        <f>VLOOKUP($A185,'[1]Raw Data'!$A$3:$FB$285,77,FALSE)</f>
        <v/>
      </c>
      <c r="BV185" s="27">
        <f>VLOOKUP($A185,'[1]Raw Data'!$A$3:$FB$285,78,FALSE)</f>
        <v>398566</v>
      </c>
      <c r="BW185" s="27" t="str">
        <f>VLOOKUP($A185,'[1]Raw Data'!$A$3:$FB$285,79,FALSE)</f>
        <v/>
      </c>
      <c r="BX185" s="27" t="str">
        <f t="shared" si="23"/>
        <v/>
      </c>
      <c r="BY185" s="27" t="str">
        <f>VLOOKUP($A185,'[1]Raw Data'!$A$3:$FB$285,80,FALSE)</f>
        <v/>
      </c>
      <c r="BZ185" s="27">
        <f>VLOOKUP($A185,'[1]Raw Data'!$A$3:$FB$285,81,FALSE)</f>
        <v>1287617</v>
      </c>
      <c r="CA185" s="27" t="str">
        <f>VLOOKUP($A185,'[1]Raw Data'!$A$3:$FB$285,82,FALSE)</f>
        <v/>
      </c>
      <c r="CB185" s="27" t="str">
        <f t="shared" si="24"/>
        <v/>
      </c>
      <c r="CC185" s="27" t="str">
        <f>VLOOKUP($A185,'[1]Raw Data'!$A$3:$FB$285,83,FALSE)</f>
        <v/>
      </c>
      <c r="CD185" s="27">
        <f>VLOOKUP($A185,'[1]Raw Data'!$A$3:$FB$285,84,FALSE)</f>
        <v>16288</v>
      </c>
      <c r="CE185" s="27" t="str">
        <f>VLOOKUP($A185,'[1]Raw Data'!$A$3:$FB$285,85,FALSE)</f>
        <v/>
      </c>
      <c r="CF185" s="27" t="str">
        <f t="shared" si="25"/>
        <v/>
      </c>
      <c r="CG185" s="27" t="str">
        <f>VLOOKUP($A185,'[1]Raw Data'!$A$3:$FB$285,86,FALSE)</f>
        <v/>
      </c>
      <c r="CH185" s="27">
        <f>VLOOKUP($A185,'[1]Raw Data'!$A$3:$FB$285,87,FALSE)</f>
        <v>1317235</v>
      </c>
      <c r="CI185" s="27" t="str">
        <f>VLOOKUP($A185,'[1]Raw Data'!$A$3:$FB$285,88,FALSE)</f>
        <v/>
      </c>
      <c r="CJ185" s="27" t="str">
        <f t="shared" si="26"/>
        <v/>
      </c>
      <c r="CK185" s="27" t="str">
        <f>VLOOKUP($A185,'[1]Raw Data'!$A$3:$FB$285,89,FALSE)</f>
        <v/>
      </c>
      <c r="CL185" s="27" t="str">
        <f>VLOOKUP($A185,'[1]Raw Data'!$A$3:$FB$285,91,FALSE)</f>
        <v/>
      </c>
      <c r="CM185" s="27" t="str">
        <f>VLOOKUP($A185,'[1]Raw Data'!$A$3:$FB$285,93,FALSE)</f>
        <v/>
      </c>
      <c r="CN185" s="27" t="str">
        <f>VLOOKUP($A185,'[1]Raw Data'!$A$3:$FB$285,94,FALSE)</f>
        <v>304</v>
      </c>
      <c r="CO185" s="27" t="str">
        <f>VLOOKUP($A185,'[1]Raw Data'!$A$3:$FB$285,95,FALSE)</f>
        <v/>
      </c>
      <c r="CP185" s="27" t="str">
        <f>VLOOKUP($A185,'[1]Raw Data'!$A$3:$FB$285,96,FALSE)</f>
        <v/>
      </c>
      <c r="CQ185" s="27" t="str">
        <f>VLOOKUP($A185,'[1]Raw Data'!$A$3:$FB$285,97,FALSE)</f>
        <v/>
      </c>
      <c r="CR185" s="27" t="str">
        <f>VLOOKUP($A185,'[1]Raw Data'!$A$3:$FB$285,98,FALSE)</f>
        <v/>
      </c>
      <c r="CS185" s="27" t="str">
        <f>VLOOKUP($A185,'[1]Raw Data'!$A$3:$FB$285,99,FALSE)</f>
        <v/>
      </c>
      <c r="CT185" s="27" t="str">
        <f>VLOOKUP($A185,'[1]Raw Data'!$A$3:$FB$285,101,FALSE)</f>
        <v>Raju Gurung</v>
      </c>
      <c r="CU185" s="27" t="s">
        <v>1416</v>
      </c>
      <c r="CV185" s="27" t="str">
        <f>VLOOKUP($A185,'[1]Raw Data'!$A$3:$FB$285,102,FALSE)</f>
        <v xml:space="preserve">Chairman </v>
      </c>
      <c r="CW185" s="27" t="s">
        <v>878</v>
      </c>
      <c r="CX185" s="27">
        <f>VLOOKUP($A185,'[1]Raw Data'!$A$3:$FB$285,103,FALSE)</f>
        <v>9851040066</v>
      </c>
      <c r="CY185" s="27" t="str">
        <f>VLOOKUP($A185,'[1]Raw Data'!$A$3:$FB$285,105,FALSE)</f>
        <v>Rita Devkota</v>
      </c>
      <c r="CZ185" s="27" t="s">
        <v>1417</v>
      </c>
      <c r="DA185" s="27" t="str">
        <f>VLOOKUP($A185,'[1]Raw Data'!$A$3:$FB$285,106,FALSE)</f>
        <v>Deputy Chairman</v>
      </c>
      <c r="DB185" s="27" t="s">
        <v>879</v>
      </c>
      <c r="DC185" s="27">
        <f>VLOOKUP($A185,'[1]Raw Data'!$A$3:$FB$285,107,FALSE)</f>
        <v>9846377901</v>
      </c>
      <c r="DD185" s="27" t="str">
        <f>VLOOKUP($A185,'[1]Raw Data'!$A$3:$FB$285,109,FALSE)</f>
        <v>Bhesh Bahadur Kunwar</v>
      </c>
      <c r="DE185" s="27" t="s">
        <v>1418</v>
      </c>
      <c r="DF185" s="27" t="str">
        <f>VLOOKUP($A185,'[1]Raw Data'!$A$3:$FB$285,110,FALSE)</f>
        <v>Chief Adminstration Officer</v>
      </c>
      <c r="DG185" s="27" t="s">
        <v>880</v>
      </c>
      <c r="DH185" s="27">
        <f>VLOOKUP($A185,'[1]Raw Data'!$A$3:$FB$285,111,FALSE)</f>
        <v>9856066210</v>
      </c>
      <c r="DI185" s="27" t="str">
        <f>VLOOKUP($A185,'[1]Raw Data'!$A$3:$FB$285,121,FALSE)</f>
        <v>Ahamaddin Miya</v>
      </c>
      <c r="DJ185" s="27" t="s">
        <v>1419</v>
      </c>
      <c r="DK185" s="27" t="str">
        <f>VLOOKUP($A185,'[1]Raw Data'!$A$3:$FB$285,122,FALSE)</f>
        <v>Focal Person</v>
      </c>
      <c r="DL185" s="27" t="s">
        <v>881</v>
      </c>
      <c r="DM185" s="27">
        <f>VLOOKUP($A185,'[1]Raw Data'!$A$3:$FB$285,123,FALSE)</f>
        <v>9856040588</v>
      </c>
      <c r="DN185" s="27" t="str">
        <f>VLOOKUP($A185,'[1]Raw Data'!$A$3:$FB$285,113,FALSE)</f>
        <v>Ram Sharan Acharya</v>
      </c>
      <c r="DO185" s="27" t="s">
        <v>1379</v>
      </c>
      <c r="DP185" s="27" t="str">
        <f>VLOOKUP($A185,'[1]Raw Data'!$A$3:$FB$285,114,FALSE)</f>
        <v>NRA Chief-District</v>
      </c>
      <c r="DQ185" s="27" t="s">
        <v>882</v>
      </c>
      <c r="DR185" s="27">
        <f>VLOOKUP($A185,'[1]Raw Data'!$A$3:$FB$285,115,FALSE)</f>
        <v>9856042637</v>
      </c>
      <c r="DS185" s="27" t="str">
        <f>VLOOKUP($A185,'[1]Raw Data'!$A$3:$FB$285,117,FALSE)</f>
        <v>Sunita Shrestha</v>
      </c>
      <c r="DT185" s="27" t="s">
        <v>1380</v>
      </c>
      <c r="DU185" s="27" t="str">
        <f>VLOOKUP($A185,'[1]Raw Data'!$A$3:$FB$285,118,FALSE)</f>
        <v>DUDBC.DLPIU Chief</v>
      </c>
      <c r="DV185" s="27" t="s">
        <v>883</v>
      </c>
      <c r="DW185" s="27">
        <f>VLOOKUP($A185,'[1]Raw Data'!$A$3:$FB$285,119,FALSE)</f>
        <v>9841632087</v>
      </c>
      <c r="DX185" s="27" t="s">
        <v>339</v>
      </c>
      <c r="DY185" s="27" t="str">
        <f>VLOOKUP($A185,'[1]Raw Data'!$A$3:$FB$285,124,FALSE)</f>
        <v/>
      </c>
      <c r="DZ185" s="27" t="s">
        <v>884</v>
      </c>
      <c r="EA185" s="27" t="str">
        <f>VLOOKUP($A185,'[1]Raw Data'!$A$3:$FB$285,125,FALSE)</f>
        <v/>
      </c>
      <c r="EB185" s="27" t="s">
        <v>341</v>
      </c>
      <c r="EC185" s="27" t="str">
        <f>VLOOKUP($A185,'[1]Raw Data'!$A$3:$FB$285,126,FALSE)</f>
        <v/>
      </c>
      <c r="ED185" t="s">
        <v>478</v>
      </c>
      <c r="EE185" s="27" t="str">
        <f>VLOOKUP($A185,'[1]Raw Data'!$A$3:$FB$285,127,FALSE)</f>
        <v/>
      </c>
      <c r="EF185" s="27" t="s">
        <v>343</v>
      </c>
      <c r="EG185" s="27" t="str">
        <f>VLOOKUP($A185,'[1]Raw Data'!$A$3:$FB$285,128,FALSE)</f>
        <v/>
      </c>
      <c r="EH185" t="s">
        <v>344</v>
      </c>
      <c r="EI185" s="27" t="str">
        <f>VLOOKUP($A185,'[1]Raw Data'!$A$3:$FB$285,129,FALSE)</f>
        <v/>
      </c>
      <c r="EM185" s="27" t="str">
        <f>VLOOKUP($A185,'[1]Raw Data'!$A$3:$FB$285,130,FALSE)</f>
        <v/>
      </c>
      <c r="EN185" s="27" t="str">
        <f>VLOOKUP($A185,'[1]Raw Data'!$A$3:$FB$285,131,FALSE)</f>
        <v/>
      </c>
      <c r="EO185" s="27" t="str">
        <f>VLOOKUP($A185,'[1]Raw Data'!$A$3:$FB$285,132,FALSE)</f>
        <v/>
      </c>
      <c r="EP185" s="27" t="str">
        <f>VLOOKUP($A185,'[1]Raw Data'!$A$3:$FB$285,133,FALSE)</f>
        <v/>
      </c>
      <c r="EQ185" s="27" t="str">
        <f>VLOOKUP($A185,'[1]Raw Data'!$A$3:$FB$285,134,FALSE)</f>
        <v/>
      </c>
      <c r="ER185" s="27" t="str">
        <f>VLOOKUP($A185,'[1]Raw Data'!$A$3:$FB$285,135,FALSE)</f>
        <v/>
      </c>
      <c r="ES185" s="27" t="str">
        <f>VLOOKUP($A185,'[1]Raw Data'!$A$3:$FB$285,136,FALSE)</f>
        <v/>
      </c>
      <c r="ET185" s="27" t="str">
        <f>VLOOKUP($A185,'[1]Raw Data'!$A$3:$FB$285,137,FALSE)</f>
        <v/>
      </c>
      <c r="EU185" s="27" t="str">
        <f>VLOOKUP($A185,'[1]Raw Data'!$A$3:$FB$285,138,FALSE)</f>
        <v/>
      </c>
      <c r="EV185" s="27" t="str">
        <f>VLOOKUP($A185,'[1]Raw Data'!$A$3:$FB$285,139,FALSE)</f>
        <v/>
      </c>
      <c r="EW185" s="38">
        <f>VLOOKUP($A185,[1]Training!$A$2:$I$284,5,FALSE)</f>
        <v>524.53846153846155</v>
      </c>
      <c r="EX185" s="31">
        <f>VLOOKUP($A185,[1]Training!$A$2:$I$284,6,FALSE)</f>
        <v>723</v>
      </c>
      <c r="EY185" s="38">
        <f>VLOOKUP($A185,[1]Training!$A$2:$I$284,8,FALSE)</f>
        <v>674.49977390911147</v>
      </c>
      <c r="EZ185" s="31">
        <f>VLOOKUP($A185,[1]Training!$A$2:$I$284,9,FALSE)</f>
        <v>0</v>
      </c>
      <c r="FA185" s="27">
        <v>1</v>
      </c>
      <c r="FB185" s="27">
        <v>2</v>
      </c>
      <c r="FC185" s="27" t="str">
        <f>VLOOKUP($A185,'[1]Raw Data'!$A$3:$FB$285,148,FALSE)</f>
        <v>Chandra Gurung</v>
      </c>
      <c r="FD185" s="27" t="s">
        <v>1381</v>
      </c>
      <c r="FE185" s="27" t="str">
        <f>VLOOKUP($A185,'[1]Raw Data'!$A$3:$FB$285,149,FALSE)</f>
        <v>District Coordinator</v>
      </c>
      <c r="FF185" s="27" t="s">
        <v>885</v>
      </c>
      <c r="FG185" s="27">
        <f>VLOOKUP($A185,'[1]Raw Data'!$A$3:$FB$285,150,FALSE)</f>
        <v>9841478742</v>
      </c>
      <c r="FH185" s="27" t="str">
        <f>VLOOKUP($A185,'[1]Raw Data'!$A$3:$FB$285,156,FALSE)</f>
        <v>Atit Shrestha</v>
      </c>
      <c r="FI185" s="27" t="s">
        <v>1382</v>
      </c>
      <c r="FJ185" s="27" t="str">
        <f>VLOOKUP($A185,'[1]Raw Data'!$A$3:$FB$285,157,FALSE)</f>
        <v>District Technical Officer</v>
      </c>
      <c r="FK185" s="27" t="s">
        <v>886</v>
      </c>
      <c r="FL185" s="27">
        <f>VLOOKUP($A185,'[1]Raw Data'!$A$3:$FB$285,158,FALSE)</f>
        <v>9801328282</v>
      </c>
      <c r="FM185" s="27" t="str">
        <f>VLOOKUP($A185,'[1]Raw Data'!$A$3:$FB$285,152,FALSE)</f>
        <v>Birodh Kattel</v>
      </c>
      <c r="FN185" s="27" t="s">
        <v>1383</v>
      </c>
      <c r="FO185" s="27" t="str">
        <f>VLOOKUP($A185,'[1]Raw Data'!$A$3:$FB$285,153,FALSE)</f>
        <v>DIstrict Information Management Officer</v>
      </c>
      <c r="FP185" s="27" t="s">
        <v>887</v>
      </c>
      <c r="FQ185" s="27">
        <f>VLOOKUP($A185,'[1]Raw Data'!$A$3:$FB$285,154,FALSE)</f>
        <v>9841419970</v>
      </c>
    </row>
    <row r="186" spans="1:173" ht="24" x14ac:dyDescent="0.45">
      <c r="A186" s="27">
        <v>36011</v>
      </c>
      <c r="B186" s="36" t="str">
        <f ca="1">IFERROR(__xludf.DUMMYFUNCTION("""COMPUTED_VALUE"""),"Sulikot Gaunpalika")</f>
        <v>Sulikot Gaunpalika</v>
      </c>
      <c r="C186" s="37" t="str">
        <f>VLOOKUP(A186,'[1]Palika and District in Nepali '!$D$1:$F$283,3,FALSE)</f>
        <v>सुलिकोट गाऊपालिका</v>
      </c>
      <c r="D186" s="36" t="str">
        <f ca="1">IFERROR(__xludf.DUMMYFUNCTION("""COMPUTED_VALUE"""),"Gorkha")</f>
        <v>Gorkha</v>
      </c>
      <c r="E186" s="36"/>
      <c r="F186" s="27">
        <f>VLOOKUP(A186,'[1]Raw Data'!$A$3:$FB$285,4,FALSE)</f>
        <v>516</v>
      </c>
      <c r="G186" s="27">
        <f>VLOOKUP(A186,'[1]Raw Data'!$A$3:$FB$285,5,FALSE)</f>
        <v>6786</v>
      </c>
      <c r="H186" s="27">
        <f>VLOOKUP(A186,'[1]Raw Data'!$A$3:$FB$285,6,FALSE)</f>
        <v>7302</v>
      </c>
      <c r="I186" s="27">
        <f>VLOOKUP($A186,'[1]Raw Data'!$A$3:$FB$285,8,FALSE)</f>
        <v>0.66</v>
      </c>
      <c r="J186" s="27">
        <f>VLOOKUP($A186,'[1]Raw Data'!$A$3:$FB$285,9,FALSE)</f>
        <v>1.27</v>
      </c>
      <c r="K186" s="27">
        <f>VLOOKUP($A186,'[1]Raw Data'!$A$3:$FB$285,11,FALSE)</f>
        <v>91.8</v>
      </c>
      <c r="L186" s="27">
        <f>VLOOKUP($A186,'[1]Raw Data'!$A$3:$FB$285,12,FALSE)</f>
        <v>82.76</v>
      </c>
      <c r="M186" s="27">
        <f>VLOOKUP($A186,'[1]Raw Data'!$A$3:$FB$285,14,FALSE)</f>
        <v>0.1</v>
      </c>
      <c r="N186" s="27">
        <f>VLOOKUP($A186,'[1]Raw Data'!$A$3:$FB$285,15,FALSE)</f>
        <v>2.57</v>
      </c>
      <c r="O186" s="27">
        <f>VLOOKUP($A186,'[1]Raw Data'!$A$3:$FB$285,17,FALSE)</f>
        <v>0</v>
      </c>
      <c r="P186" s="27">
        <f>VLOOKUP($A186,'[1]Raw Data'!$A$3:$FB$285,18,FALSE)</f>
        <v>3</v>
      </c>
      <c r="Q186" s="27">
        <f>VLOOKUP($A186,'[1]Raw Data'!$A$3:$FB$285,20,FALSE)</f>
        <v>0.99</v>
      </c>
      <c r="R186" s="27">
        <f>VLOOKUP($A186,'[1]Raw Data'!$A$3:$FB$285,21,FALSE)</f>
        <v>3.23</v>
      </c>
      <c r="S186" s="27">
        <f>VLOOKUP($A186,'[1]Raw Data'!$A$3:$FB$285,23,FALSE)</f>
        <v>0</v>
      </c>
      <c r="T186" s="27">
        <f>VLOOKUP($A186,'[1]Raw Data'!$A$3:$FB$285,24,FALSE)</f>
        <v>0</v>
      </c>
      <c r="U186" s="27">
        <f>VLOOKUP($A186,'[1]Raw Data'!$A$3:$FB$285,26,FALSE)</f>
        <v>0.69</v>
      </c>
      <c r="V186" s="27">
        <f>VLOOKUP($A186,'[1]Raw Data'!$A$3:$FB$285,27,FALSE)</f>
        <v>0.88</v>
      </c>
      <c r="W186" s="27">
        <f>VLOOKUP($A186,'[1]Raw Data'!$A$3:$FB$285,29,FALSE)</f>
        <v>0</v>
      </c>
      <c r="X186" s="27">
        <f>VLOOKUP($A186,'[1]Raw Data'!$A$3:$FB$285,30,FALSE)</f>
        <v>0</v>
      </c>
      <c r="Y186" s="27">
        <f>VLOOKUP($A186,'[1]Raw Data'!$A$3:$FB$285,32,FALSE)</f>
        <v>4.9800000000000004</v>
      </c>
      <c r="Z186" s="27">
        <f>VLOOKUP($A186,'[1]Raw Data'!$A$3:$FB$285,33,FALSE)</f>
        <v>4.17</v>
      </c>
      <c r="AA186" s="27">
        <f>VLOOKUP($A186,'[1]Raw Data'!$A$3:$FB$285,35,FALSE)</f>
        <v>0.53</v>
      </c>
      <c r="AB186" s="27">
        <f>VLOOKUP($A186,'[1]Raw Data'!$A$3:$FB$285,36,FALSE)</f>
        <v>1.79</v>
      </c>
      <c r="AC186" s="27">
        <f>VLOOKUP($A186,'[1]Raw Data'!$A$3:$FB$285,38,FALSE)</f>
        <v>0.26</v>
      </c>
      <c r="AD186" s="27">
        <f>VLOOKUP($A186,'[1]Raw Data'!$A$3:$FB$285,39,FALSE)</f>
        <v>0.34</v>
      </c>
      <c r="AE186" s="27">
        <f>VLOOKUP($A186,'[1]Raw Data'!$A$3:$FB$285,41,FALSE)</f>
        <v>0</v>
      </c>
      <c r="AF186" s="27">
        <f>VLOOKUP($A186,'[1]Raw Data'!$A$3:$FB$285,42,FALSE)</f>
        <v>0</v>
      </c>
      <c r="AG186" s="27">
        <f>VLOOKUP($A186,'[1]Raw Data'!$A$3:$FB$285,44,FALSE)</f>
        <v>0</v>
      </c>
      <c r="AH186" s="27">
        <f>VLOOKUP($A186,'[1]Raw Data'!$A$3:$FB$285,45,FALSE)</f>
        <v>0</v>
      </c>
      <c r="AI186" s="27">
        <f>VLOOKUP($A186,'[1]Raw Data'!$A$3:$FB$285,46,FALSE)</f>
        <v>7200</v>
      </c>
      <c r="AJ186" s="27">
        <f>VLOOKUP($A186,'[1]Raw Data'!$A$3:$FB$285,47,FALSE)</f>
        <v>6826</v>
      </c>
      <c r="AK186" s="27">
        <f>VLOOKUP($A186,'[1]Raw Data'!$A$3:$FB$285,48,FALSE)</f>
        <v>6827</v>
      </c>
      <c r="AL186" s="27">
        <f>VLOOKUP($A186,'[1]Raw Data'!$A$3:$FB$285,49,FALSE)</f>
        <v>6548</v>
      </c>
      <c r="AM186" s="27">
        <f>VLOOKUP($A186,'[1]Raw Data'!$A$3:$FB$285,50,FALSE)</f>
        <v>5954</v>
      </c>
      <c r="AN186" s="27">
        <f>VLOOKUP($A186,'[1]Raw Data'!$A$3:$FB$285,51,FALSE)</f>
        <v>594</v>
      </c>
      <c r="AO186" s="27">
        <f>VLOOKUP($A186,'[1]Raw Data'!$A$3:$FB$285,52,FALSE)</f>
        <v>5954</v>
      </c>
      <c r="AP186" s="27">
        <f>VLOOKUP($A186,'[1]Raw Data'!$A$3:$FB$285,53,FALSE)</f>
        <v>177</v>
      </c>
      <c r="AQ186" s="27">
        <f>VLOOKUP($A186,'[1]Raw Data'!$A$3:$FB$285,54,FALSE)</f>
        <v>1</v>
      </c>
      <c r="AR186" s="27">
        <f>VLOOKUP($A186,'[1]Raw Data'!$A$3:$FB$285,55,FALSE)</f>
        <v>1</v>
      </c>
      <c r="AS186" s="27">
        <f>VLOOKUP($A186,'[1]Raw Data'!$A$3:$FB$285,56,FALSE)</f>
        <v>0</v>
      </c>
      <c r="AT186" s="27">
        <f>VLOOKUP($A186,'[1]Raw Data'!$A$3:$FB$285,57,FALSE)</f>
        <v>901</v>
      </c>
      <c r="AU186" s="27">
        <f>VLOOKUP($A186,'[1]Raw Data'!$A$3:$FB$285,58,FALSE)</f>
        <v>1047</v>
      </c>
      <c r="AV186" s="27" t="str">
        <f>VLOOKUP($A186,'[1]Raw Data'!$A$3:$FB$285,59,FALSE)</f>
        <v/>
      </c>
      <c r="AW186" s="27" t="str">
        <f>VLOOKUP($A186,'[1]Raw Data'!$A$3:$FB$285,60,FALSE)</f>
        <v/>
      </c>
      <c r="AX186" s="27" t="str">
        <f>VLOOKUP(A186,'[1]PO''s List'!A184:E466,4,FALSE)</f>
        <v>CARE-N(Livelihood,DRR,Employment ,GESI,Health,Shelter,Health),INF(Employment ),NRCS(Livelihood,Education,Employment ,Health,Shelter,Health)</v>
      </c>
      <c r="AZ186" s="27" t="str">
        <f>VLOOKUP(A186,'[1]PO''s List'!$A$3:$E$285,5,FALSE)</f>
        <v>FCA(Education),HELVETAS(Shelter),JICA(Shelter),NRA(Shelter),NYF(Shelter),SCI(DRR,Education,Employment ,Health,Shelter,Social Protection,Health)</v>
      </c>
      <c r="BB186" s="27">
        <f>VLOOKUP($A186,'[1]Raw Data'!$A$3:$FB$285,63,FALSE)</f>
        <v>156675</v>
      </c>
      <c r="BC186" s="27" t="str">
        <f>VLOOKUP($A186,'[1]Raw Data'!$A$3:$FB$285,64,FALSE)</f>
        <v>Y</v>
      </c>
      <c r="BD186" s="27" t="str">
        <f t="shared" si="18"/>
        <v>छ</v>
      </c>
      <c r="BE186" s="27">
        <f>VLOOKUP($A186,'[1]Raw Data'!$A$3:$FB$285,65,FALSE)</f>
        <v>4500</v>
      </c>
      <c r="BF186" s="27">
        <f>VLOOKUP($A186,'[1]Raw Data'!$A$3:$FB$285,66,FALSE)</f>
        <v>156010</v>
      </c>
      <c r="BG186" s="27" t="str">
        <f>VLOOKUP($A186,'[1]Raw Data'!$A$3:$FB$285,67,FALSE)</f>
        <v>Y</v>
      </c>
      <c r="BH186" s="27" t="str">
        <f t="shared" si="19"/>
        <v>छ</v>
      </c>
      <c r="BI186" s="27">
        <f>VLOOKUP($A186,'[1]Raw Data'!$A$3:$FB$285,68,FALSE)</f>
        <v>10000</v>
      </c>
      <c r="BJ186" s="27">
        <f>VLOOKUP($A186,'[1]Raw Data'!$A$3:$FB$285,69,FALSE)</f>
        <v>16692</v>
      </c>
      <c r="BK186" s="27" t="str">
        <f>VLOOKUP($A186,'[1]Raw Data'!$A$3:$FB$285,70,FALSE)</f>
        <v>Y</v>
      </c>
      <c r="BL186" s="27" t="str">
        <f t="shared" si="20"/>
        <v>छ</v>
      </c>
      <c r="BM186" s="27">
        <f>VLOOKUP($A186,'[1]Raw Data'!$A$3:$FB$285,71,FALSE)</f>
        <v>12000</v>
      </c>
      <c r="BN186" s="27">
        <f>VLOOKUP($A186,'[1]Raw Data'!$A$3:$FB$285,72,FALSE)</f>
        <v>19121</v>
      </c>
      <c r="BO186" s="27" t="str">
        <f>VLOOKUP($A186,'[1]Raw Data'!$A$3:$FB$285,73,FALSE)</f>
        <v>N</v>
      </c>
      <c r="BP186" s="27" t="str">
        <f t="shared" si="21"/>
        <v>छैन</v>
      </c>
      <c r="BQ186" s="27" t="str">
        <f>VLOOKUP($A186,'[1]Raw Data'!$A$3:$FB$285,74,FALSE)</f>
        <v/>
      </c>
      <c r="BR186" s="27" t="str">
        <f>VLOOKUP($A186,'[1]Raw Data'!$A$3:$FB$285,75,FALSE)</f>
        <v/>
      </c>
      <c r="BS186" s="27" t="str">
        <f>VLOOKUP($A186,'[1]Raw Data'!$A$3:$FB$285,76,FALSE)</f>
        <v>Y</v>
      </c>
      <c r="BT186" s="27" t="str">
        <f t="shared" si="22"/>
        <v>छ</v>
      </c>
      <c r="BU186" s="27">
        <f>VLOOKUP($A186,'[1]Raw Data'!$A$3:$FB$285,77,FALSE)</f>
        <v>1200</v>
      </c>
      <c r="BV186" s="27">
        <f>VLOOKUP($A186,'[1]Raw Data'!$A$3:$FB$285,78,FALSE)</f>
        <v>522007</v>
      </c>
      <c r="BW186" s="27" t="str">
        <f>VLOOKUP($A186,'[1]Raw Data'!$A$3:$FB$285,79,FALSE)</f>
        <v>Y</v>
      </c>
      <c r="BX186" s="27" t="str">
        <f t="shared" si="23"/>
        <v>छ</v>
      </c>
      <c r="BY186" s="27">
        <f>VLOOKUP($A186,'[1]Raw Data'!$A$3:$FB$285,80,FALSE)</f>
        <v>1300</v>
      </c>
      <c r="BZ186" s="27">
        <f>VLOOKUP($A186,'[1]Raw Data'!$A$3:$FB$285,81,FALSE)</f>
        <v>1711250</v>
      </c>
      <c r="CA186" s="27" t="str">
        <f>VLOOKUP($A186,'[1]Raw Data'!$A$3:$FB$285,82,FALSE)</f>
        <v>Y</v>
      </c>
      <c r="CB186" s="27" t="str">
        <f t="shared" si="24"/>
        <v>छ</v>
      </c>
      <c r="CC186" s="27">
        <f>VLOOKUP($A186,'[1]Raw Data'!$A$3:$FB$285,83,FALSE)</f>
        <v>107</v>
      </c>
      <c r="CD186" s="27">
        <f>VLOOKUP($A186,'[1]Raw Data'!$A$3:$FB$285,84,FALSE)</f>
        <v>21352</v>
      </c>
      <c r="CE186" s="27" t="str">
        <f>VLOOKUP($A186,'[1]Raw Data'!$A$3:$FB$285,85,FALSE)</f>
        <v/>
      </c>
      <c r="CF186" s="27" t="str">
        <f t="shared" si="25"/>
        <v/>
      </c>
      <c r="CG186" s="27" t="str">
        <f>VLOOKUP($A186,'[1]Raw Data'!$A$3:$FB$285,86,FALSE)</f>
        <v/>
      </c>
      <c r="CH186" s="27">
        <f>VLOOKUP($A186,'[1]Raw Data'!$A$3:$FB$285,87,FALSE)</f>
        <v>2553984</v>
      </c>
      <c r="CI186" s="27" t="str">
        <f>VLOOKUP($A186,'[1]Raw Data'!$A$3:$FB$285,88,FALSE)</f>
        <v>Y</v>
      </c>
      <c r="CJ186" s="27" t="str">
        <f t="shared" si="26"/>
        <v>छ</v>
      </c>
      <c r="CK186" s="27">
        <f>VLOOKUP($A186,'[1]Raw Data'!$A$3:$FB$285,89,FALSE)</f>
        <v>21</v>
      </c>
      <c r="CL186" s="27" t="str">
        <f>VLOOKUP($A186,'[1]Raw Data'!$A$3:$FB$285,91,FALSE)</f>
        <v/>
      </c>
      <c r="CM186" s="27" t="str">
        <f>VLOOKUP($A186,'[1]Raw Data'!$A$3:$FB$285,93,FALSE)</f>
        <v/>
      </c>
      <c r="CN186" s="27" t="str">
        <f>VLOOKUP($A186,'[1]Raw Data'!$A$3:$FB$285,94,FALSE)</f>
        <v>302</v>
      </c>
      <c r="CO186" s="27" t="str">
        <f>VLOOKUP($A186,'[1]Raw Data'!$A$3:$FB$285,95,FALSE)</f>
        <v/>
      </c>
      <c r="CP186" s="27" t="str">
        <f>VLOOKUP($A186,'[1]Raw Data'!$A$3:$FB$285,96,FALSE)</f>
        <v/>
      </c>
      <c r="CQ186" s="27" t="str">
        <f>VLOOKUP($A186,'[1]Raw Data'!$A$3:$FB$285,97,FALSE)</f>
        <v/>
      </c>
      <c r="CR186" s="27" t="str">
        <f>VLOOKUP($A186,'[1]Raw Data'!$A$3:$FB$285,98,FALSE)</f>
        <v/>
      </c>
      <c r="CS186" s="27" t="str">
        <f>VLOOKUP($A186,'[1]Raw Data'!$A$3:$FB$285,99,FALSE)</f>
        <v/>
      </c>
      <c r="CT186" s="27" t="str">
        <f>VLOOKUP($A186,'[1]Raw Data'!$A$3:$FB$285,101,FALSE)</f>
        <v>Bishnu Prasad  Bhatta</v>
      </c>
      <c r="CU186" s="27" t="s">
        <v>1420</v>
      </c>
      <c r="CV186" s="27" t="str">
        <f>VLOOKUP($A186,'[1]Raw Data'!$A$3:$FB$285,102,FALSE)</f>
        <v xml:space="preserve">Chairman </v>
      </c>
      <c r="CW186" s="27" t="s">
        <v>878</v>
      </c>
      <c r="CX186" s="27">
        <f>VLOOKUP($A186,'[1]Raw Data'!$A$3:$FB$285,103,FALSE)</f>
        <v>9856040873</v>
      </c>
      <c r="CY186" s="27" t="str">
        <f>VLOOKUP($A186,'[1]Raw Data'!$A$3:$FB$285,105,FALSE)</f>
        <v>Son Maya Gurung</v>
      </c>
      <c r="CZ186" s="27" t="s">
        <v>1421</v>
      </c>
      <c r="DA186" s="27" t="str">
        <f>VLOOKUP($A186,'[1]Raw Data'!$A$3:$FB$285,106,FALSE)</f>
        <v>Deputy Chairman</v>
      </c>
      <c r="DB186" s="27" t="s">
        <v>879</v>
      </c>
      <c r="DC186" s="27">
        <f>VLOOKUP($A186,'[1]Raw Data'!$A$3:$FB$285,107,FALSE)</f>
        <v>9860647837</v>
      </c>
      <c r="DD186" s="27" t="str">
        <f>VLOOKUP($A186,'[1]Raw Data'!$A$3:$FB$285,109,FALSE)</f>
        <v>Shiv Bahadur Gurung</v>
      </c>
      <c r="DE186" s="27" t="s">
        <v>1422</v>
      </c>
      <c r="DF186" s="27" t="str">
        <f>VLOOKUP($A186,'[1]Raw Data'!$A$3:$FB$285,110,FALSE)</f>
        <v>Chief Adminstration Officer</v>
      </c>
      <c r="DG186" s="27" t="s">
        <v>880</v>
      </c>
      <c r="DH186" s="27">
        <f>VLOOKUP($A186,'[1]Raw Data'!$A$3:$FB$285,111,FALSE)</f>
        <v>986010060</v>
      </c>
      <c r="DI186" s="27" t="str">
        <f>VLOOKUP($A186,'[1]Raw Data'!$A$3:$FB$285,121,FALSE)</f>
        <v>Ganesh Paneru</v>
      </c>
      <c r="DJ186" s="27" t="s">
        <v>1423</v>
      </c>
      <c r="DK186" s="27" t="str">
        <f>VLOOKUP($A186,'[1]Raw Data'!$A$3:$FB$285,122,FALSE)</f>
        <v>Focal Person</v>
      </c>
      <c r="DL186" s="27" t="s">
        <v>881</v>
      </c>
      <c r="DM186" s="27">
        <f>VLOOKUP($A186,'[1]Raw Data'!$A$3:$FB$285,123,FALSE)</f>
        <v>9849621304</v>
      </c>
      <c r="DN186" s="27" t="str">
        <f>VLOOKUP($A186,'[1]Raw Data'!$A$3:$FB$285,113,FALSE)</f>
        <v>Ram Sharan Acharya</v>
      </c>
      <c r="DO186" s="27" t="s">
        <v>1379</v>
      </c>
      <c r="DP186" s="27" t="str">
        <f>VLOOKUP($A186,'[1]Raw Data'!$A$3:$FB$285,114,FALSE)</f>
        <v>NRA Chief-District</v>
      </c>
      <c r="DQ186" s="27" t="s">
        <v>882</v>
      </c>
      <c r="DR186" s="27">
        <f>VLOOKUP($A186,'[1]Raw Data'!$A$3:$FB$285,115,FALSE)</f>
        <v>9856042637</v>
      </c>
      <c r="DS186" s="27" t="str">
        <f>VLOOKUP($A186,'[1]Raw Data'!$A$3:$FB$285,117,FALSE)</f>
        <v>Sunita Shrestha</v>
      </c>
      <c r="DT186" s="27" t="s">
        <v>1380</v>
      </c>
      <c r="DU186" s="27" t="str">
        <f>VLOOKUP($A186,'[1]Raw Data'!$A$3:$FB$285,118,FALSE)</f>
        <v>DUDBC.DLPIU Chief</v>
      </c>
      <c r="DV186" s="27" t="s">
        <v>883</v>
      </c>
      <c r="DW186" s="27">
        <f>VLOOKUP($A186,'[1]Raw Data'!$A$3:$FB$285,119,FALSE)</f>
        <v>9841632087</v>
      </c>
      <c r="DX186" s="27" t="s">
        <v>339</v>
      </c>
      <c r="DY186" s="27" t="str">
        <f>VLOOKUP($A186,'[1]Raw Data'!$A$3:$FB$285,124,FALSE)</f>
        <v/>
      </c>
      <c r="DZ186" s="27" t="s">
        <v>884</v>
      </c>
      <c r="EA186" s="27" t="str">
        <f>VLOOKUP($A186,'[1]Raw Data'!$A$3:$FB$285,125,FALSE)</f>
        <v/>
      </c>
      <c r="EB186" s="27" t="s">
        <v>341</v>
      </c>
      <c r="EC186" s="27" t="str">
        <f>VLOOKUP($A186,'[1]Raw Data'!$A$3:$FB$285,126,FALSE)</f>
        <v/>
      </c>
      <c r="ED186" t="s">
        <v>478</v>
      </c>
      <c r="EE186" s="27" t="str">
        <f>VLOOKUP($A186,'[1]Raw Data'!$A$3:$FB$285,127,FALSE)</f>
        <v/>
      </c>
      <c r="EF186" s="27" t="s">
        <v>343</v>
      </c>
      <c r="EG186" s="27" t="str">
        <f>VLOOKUP($A186,'[1]Raw Data'!$A$3:$FB$285,128,FALSE)</f>
        <v/>
      </c>
      <c r="EH186" t="s">
        <v>344</v>
      </c>
      <c r="EI186" s="27" t="str">
        <f>VLOOKUP($A186,'[1]Raw Data'!$A$3:$FB$285,129,FALSE)</f>
        <v/>
      </c>
      <c r="EM186" s="27" t="str">
        <f>VLOOKUP($A186,'[1]Raw Data'!$A$3:$FB$285,130,FALSE)</f>
        <v/>
      </c>
      <c r="EN186" s="27" t="str">
        <f>VLOOKUP($A186,'[1]Raw Data'!$A$3:$FB$285,131,FALSE)</f>
        <v/>
      </c>
      <c r="EO186" s="27" t="str">
        <f>VLOOKUP($A186,'[1]Raw Data'!$A$3:$FB$285,132,FALSE)</f>
        <v/>
      </c>
      <c r="EP186" s="27" t="str">
        <f>VLOOKUP($A186,'[1]Raw Data'!$A$3:$FB$285,133,FALSE)</f>
        <v/>
      </c>
      <c r="EQ186" s="27" t="str">
        <f>VLOOKUP($A186,'[1]Raw Data'!$A$3:$FB$285,134,FALSE)</f>
        <v/>
      </c>
      <c r="ER186" s="27" t="str">
        <f>VLOOKUP($A186,'[1]Raw Data'!$A$3:$FB$285,135,FALSE)</f>
        <v/>
      </c>
      <c r="ES186" s="27" t="str">
        <f>VLOOKUP($A186,'[1]Raw Data'!$A$3:$FB$285,136,FALSE)</f>
        <v/>
      </c>
      <c r="ET186" s="27" t="str">
        <f>VLOOKUP($A186,'[1]Raw Data'!$A$3:$FB$285,137,FALSE)</f>
        <v/>
      </c>
      <c r="EU186" s="27" t="str">
        <f>VLOOKUP($A186,'[1]Raw Data'!$A$3:$FB$285,138,FALSE)</f>
        <v/>
      </c>
      <c r="EV186" s="27" t="str">
        <f>VLOOKUP($A186,'[1]Raw Data'!$A$3:$FB$285,139,FALSE)</f>
        <v/>
      </c>
      <c r="EW186" s="38">
        <f>VLOOKUP($A186,[1]Training!$A$2:$I$284,5,FALSE)</f>
        <v>552.38461538461536</v>
      </c>
      <c r="EX186" s="31">
        <f>VLOOKUP($A186,[1]Training!$A$2:$I$284,6,FALSE)</f>
        <v>929</v>
      </c>
      <c r="EY186" s="38">
        <f>VLOOKUP($A186,[1]Training!$A$2:$I$284,8,FALSE)</f>
        <v>710.30691838118923</v>
      </c>
      <c r="EZ186" s="31">
        <f>VLOOKUP($A186,[1]Training!$A$2:$I$284,9,FALSE)</f>
        <v>0</v>
      </c>
      <c r="FA186" s="27">
        <v>1</v>
      </c>
      <c r="FB186" s="27">
        <v>2</v>
      </c>
      <c r="FC186" s="27" t="str">
        <f>VLOOKUP($A186,'[1]Raw Data'!$A$3:$FB$285,148,FALSE)</f>
        <v>Chandra Gurung</v>
      </c>
      <c r="FD186" s="27" t="s">
        <v>1381</v>
      </c>
      <c r="FE186" s="27" t="str">
        <f>VLOOKUP($A186,'[1]Raw Data'!$A$3:$FB$285,149,FALSE)</f>
        <v>District Coordinator</v>
      </c>
      <c r="FF186" s="27" t="s">
        <v>885</v>
      </c>
      <c r="FG186" s="27">
        <f>VLOOKUP($A186,'[1]Raw Data'!$A$3:$FB$285,150,FALSE)</f>
        <v>9841478742</v>
      </c>
      <c r="FH186" s="27" t="str">
        <f>VLOOKUP($A186,'[1]Raw Data'!$A$3:$FB$285,156,FALSE)</f>
        <v>Atit Shrestha</v>
      </c>
      <c r="FI186" s="27" t="s">
        <v>1382</v>
      </c>
      <c r="FJ186" s="27" t="str">
        <f>VLOOKUP($A186,'[1]Raw Data'!$A$3:$FB$285,157,FALSE)</f>
        <v>District Technical Officer</v>
      </c>
      <c r="FK186" s="27" t="s">
        <v>886</v>
      </c>
      <c r="FL186" s="27">
        <f>VLOOKUP($A186,'[1]Raw Data'!$A$3:$FB$285,158,FALSE)</f>
        <v>9801328282</v>
      </c>
      <c r="FM186" s="27" t="str">
        <f>VLOOKUP($A186,'[1]Raw Data'!$A$3:$FB$285,152,FALSE)</f>
        <v>Birodh Kattel</v>
      </c>
      <c r="FN186" s="27" t="s">
        <v>1383</v>
      </c>
      <c r="FO186" s="27" t="str">
        <f>VLOOKUP($A186,'[1]Raw Data'!$A$3:$FB$285,153,FALSE)</f>
        <v>DIstrict Information Management Officer</v>
      </c>
      <c r="FP186" s="27" t="s">
        <v>887</v>
      </c>
      <c r="FQ186" s="27">
        <f>VLOOKUP($A186,'[1]Raw Data'!$A$3:$FB$285,154,FALSE)</f>
        <v>9841419970</v>
      </c>
    </row>
    <row r="187" spans="1:173" ht="24" x14ac:dyDescent="0.45">
      <c r="A187" s="27">
        <v>37001</v>
      </c>
      <c r="B187" s="36" t="str">
        <f ca="1">IFERROR(__xludf.DUMMYFUNCTION("""COMPUTED_VALUE"""),"Besishahar Nagarpalika")</f>
        <v>Besishahar Nagarpalika</v>
      </c>
      <c r="C187" s="37" t="str">
        <f>VLOOKUP(A187,'[1]Palika and District in Nepali '!$D$1:$F$283,3,FALSE)</f>
        <v>बेसिशहर नगरपालिका</v>
      </c>
      <c r="D187" s="36" t="str">
        <f ca="1">IFERROR(__xludf.DUMMYFUNCTION("""COMPUTED_VALUE"""),"Lamjung")</f>
        <v>Lamjung</v>
      </c>
      <c r="E187" s="36"/>
      <c r="F187" s="27">
        <f>VLOOKUP(A187,'[1]Raw Data'!$A$3:$FB$285,4,FALSE)</f>
        <v>1444</v>
      </c>
      <c r="G187" s="27">
        <f>VLOOKUP(A187,'[1]Raw Data'!$A$3:$FB$285,5,FALSE)</f>
        <v>1407</v>
      </c>
      <c r="H187" s="27">
        <f>VLOOKUP(A187,'[1]Raw Data'!$A$3:$FB$285,6,FALSE)</f>
        <v>2851</v>
      </c>
      <c r="I187" s="27">
        <f>VLOOKUP($A187,'[1]Raw Data'!$A$3:$FB$285,8,FALSE)</f>
        <v>2.81</v>
      </c>
      <c r="J187" s="27">
        <f>VLOOKUP($A187,'[1]Raw Data'!$A$3:$FB$285,9,FALSE)</f>
        <v>1.63</v>
      </c>
      <c r="K187" s="27">
        <f>VLOOKUP($A187,'[1]Raw Data'!$A$3:$FB$285,11,FALSE)</f>
        <v>90.49</v>
      </c>
      <c r="L187" s="27">
        <f>VLOOKUP($A187,'[1]Raw Data'!$A$3:$FB$285,12,FALSE)</f>
        <v>86.02</v>
      </c>
      <c r="M187" s="27">
        <f>VLOOKUP($A187,'[1]Raw Data'!$A$3:$FB$285,14,FALSE)</f>
        <v>5.44</v>
      </c>
      <c r="N187" s="27">
        <f>VLOOKUP($A187,'[1]Raw Data'!$A$3:$FB$285,15,FALSE)</f>
        <v>3.02</v>
      </c>
      <c r="O187" s="27">
        <f>VLOOKUP($A187,'[1]Raw Data'!$A$3:$FB$285,17,FALSE)</f>
        <v>0.18</v>
      </c>
      <c r="P187" s="27">
        <f>VLOOKUP($A187,'[1]Raw Data'!$A$3:$FB$285,18,FALSE)</f>
        <v>1.49</v>
      </c>
      <c r="Q187" s="27">
        <f>VLOOKUP($A187,'[1]Raw Data'!$A$3:$FB$285,20,FALSE)</f>
        <v>0.56000000000000005</v>
      </c>
      <c r="R187" s="27">
        <f>VLOOKUP($A187,'[1]Raw Data'!$A$3:$FB$285,21,FALSE)</f>
        <v>2.72</v>
      </c>
      <c r="S187" s="27">
        <f>VLOOKUP($A187,'[1]Raw Data'!$A$3:$FB$285,23,FALSE)</f>
        <v>0</v>
      </c>
      <c r="T187" s="27">
        <f>VLOOKUP($A187,'[1]Raw Data'!$A$3:$FB$285,24,FALSE)</f>
        <v>0</v>
      </c>
      <c r="U187" s="27">
        <f>VLOOKUP($A187,'[1]Raw Data'!$A$3:$FB$285,26,FALSE)</f>
        <v>0.18</v>
      </c>
      <c r="V187" s="27">
        <f>VLOOKUP($A187,'[1]Raw Data'!$A$3:$FB$285,27,FALSE)</f>
        <v>0.25</v>
      </c>
      <c r="W187" s="27">
        <f>VLOOKUP($A187,'[1]Raw Data'!$A$3:$FB$285,29,FALSE)</f>
        <v>0</v>
      </c>
      <c r="X187" s="27">
        <f>VLOOKUP($A187,'[1]Raw Data'!$A$3:$FB$285,30,FALSE)</f>
        <v>0</v>
      </c>
      <c r="Y187" s="27">
        <f>VLOOKUP($A187,'[1]Raw Data'!$A$3:$FB$285,32,FALSE)</f>
        <v>0</v>
      </c>
      <c r="Z187" s="27">
        <f>VLOOKUP($A187,'[1]Raw Data'!$A$3:$FB$285,33,FALSE)</f>
        <v>0.37</v>
      </c>
      <c r="AA187" s="27">
        <f>VLOOKUP($A187,'[1]Raw Data'!$A$3:$FB$285,35,FALSE)</f>
        <v>0.25</v>
      </c>
      <c r="AB187" s="27">
        <f>VLOOKUP($A187,'[1]Raw Data'!$A$3:$FB$285,36,FALSE)</f>
        <v>4.38</v>
      </c>
      <c r="AC187" s="27">
        <f>VLOOKUP($A187,'[1]Raw Data'!$A$3:$FB$285,38,FALSE)</f>
        <v>0.11</v>
      </c>
      <c r="AD187" s="27">
        <f>VLOOKUP($A187,'[1]Raw Data'!$A$3:$FB$285,39,FALSE)</f>
        <v>0.13</v>
      </c>
      <c r="AE187" s="27">
        <f>VLOOKUP($A187,'[1]Raw Data'!$A$3:$FB$285,41,FALSE)</f>
        <v>0</v>
      </c>
      <c r="AF187" s="27">
        <f>VLOOKUP($A187,'[1]Raw Data'!$A$3:$FB$285,42,FALSE)</f>
        <v>0</v>
      </c>
      <c r="AG187" s="27">
        <f>VLOOKUP($A187,'[1]Raw Data'!$A$3:$FB$285,44,FALSE)</f>
        <v>0</v>
      </c>
      <c r="AH187" s="27">
        <f>VLOOKUP($A187,'[1]Raw Data'!$A$3:$FB$285,45,FALSE)</f>
        <v>0</v>
      </c>
      <c r="AI187" s="27">
        <f>VLOOKUP($A187,'[1]Raw Data'!$A$3:$FB$285,46,FALSE)</f>
        <v>1308</v>
      </c>
      <c r="AJ187" s="27">
        <f>VLOOKUP($A187,'[1]Raw Data'!$A$3:$FB$285,47,FALSE)</f>
        <v>1096</v>
      </c>
      <c r="AK187" s="27">
        <f>VLOOKUP($A187,'[1]Raw Data'!$A$3:$FB$285,48,FALSE)</f>
        <v>1096</v>
      </c>
      <c r="AL187" s="27">
        <f>VLOOKUP($A187,'[1]Raw Data'!$A$3:$FB$285,49,FALSE)</f>
        <v>224</v>
      </c>
      <c r="AM187" s="27">
        <f>VLOOKUP($A187,'[1]Raw Data'!$A$3:$FB$285,50,FALSE)</f>
        <v>4</v>
      </c>
      <c r="AN187" s="27" t="str">
        <f>VLOOKUP($A187,'[1]Raw Data'!$A$3:$FB$285,51,FALSE)</f>
        <v/>
      </c>
      <c r="AO187" s="27" t="str">
        <f>VLOOKUP($A187,'[1]Raw Data'!$A$3:$FB$285,52,FALSE)</f>
        <v/>
      </c>
      <c r="AP187" s="27">
        <f>VLOOKUP($A187,'[1]Raw Data'!$A$3:$FB$285,53,FALSE)</f>
        <v>11</v>
      </c>
      <c r="AQ187" s="27" t="str">
        <f>VLOOKUP($A187,'[1]Raw Data'!$A$3:$FB$285,54,FALSE)</f>
        <v/>
      </c>
      <c r="AR187" s="27" t="str">
        <f>VLOOKUP($A187,'[1]Raw Data'!$A$3:$FB$285,55,FALSE)</f>
        <v/>
      </c>
      <c r="AS187" s="27" t="str">
        <f>VLOOKUP($A187,'[1]Raw Data'!$A$3:$FB$285,56,FALSE)</f>
        <v/>
      </c>
      <c r="AT187" s="27" t="str">
        <f>VLOOKUP($A187,'[1]Raw Data'!$A$3:$FB$285,57,FALSE)</f>
        <v/>
      </c>
      <c r="AU187" s="27" t="str">
        <f>VLOOKUP($A187,'[1]Raw Data'!$A$3:$FB$285,58,FALSE)</f>
        <v/>
      </c>
      <c r="AV187" s="27" t="str">
        <f>VLOOKUP($A187,'[1]Raw Data'!$A$3:$FB$285,59,FALSE)</f>
        <v/>
      </c>
      <c r="AW187" s="27" t="str">
        <f>VLOOKUP($A187,'[1]Raw Data'!$A$3:$FB$285,60,FALSE)</f>
        <v/>
      </c>
      <c r="AX187" s="27" t="str">
        <f>VLOOKUP(A187,'[1]PO''s List'!A185:E467,4,FALSE)</f>
        <v/>
      </c>
      <c r="AZ187" s="27" t="str">
        <f>VLOOKUP(A187,'[1]PO''s List'!$A$3:$E$285,5,FALSE)</f>
        <v>WVIN(Education)</v>
      </c>
      <c r="BB187" s="27">
        <f>VLOOKUP($A187,'[1]Raw Data'!$A$3:$FB$285,63,FALSE)</f>
        <v>33441</v>
      </c>
      <c r="BC187" s="27" t="str">
        <f>VLOOKUP($A187,'[1]Raw Data'!$A$3:$FB$285,64,FALSE)</f>
        <v/>
      </c>
      <c r="BD187" s="27" t="str">
        <f t="shared" si="18"/>
        <v/>
      </c>
      <c r="BE187" s="27" t="str">
        <f>VLOOKUP($A187,'[1]Raw Data'!$A$3:$FB$285,65,FALSE)</f>
        <v/>
      </c>
      <c r="BF187" s="27">
        <f>VLOOKUP($A187,'[1]Raw Data'!$A$3:$FB$285,66,FALSE)</f>
        <v>30243</v>
      </c>
      <c r="BG187" s="27" t="str">
        <f>VLOOKUP($A187,'[1]Raw Data'!$A$3:$FB$285,67,FALSE)</f>
        <v/>
      </c>
      <c r="BH187" s="27" t="str">
        <f t="shared" si="19"/>
        <v/>
      </c>
      <c r="BI187" s="27" t="str">
        <f>VLOOKUP($A187,'[1]Raw Data'!$A$3:$FB$285,68,FALSE)</f>
        <v/>
      </c>
      <c r="BJ187" s="27">
        <f>VLOOKUP($A187,'[1]Raw Data'!$A$3:$FB$285,69,FALSE)</f>
        <v>3536</v>
      </c>
      <c r="BK187" s="27" t="str">
        <f>VLOOKUP($A187,'[1]Raw Data'!$A$3:$FB$285,70,FALSE)</f>
        <v/>
      </c>
      <c r="BL187" s="27" t="str">
        <f t="shared" si="20"/>
        <v/>
      </c>
      <c r="BM187" s="27" t="str">
        <f>VLOOKUP($A187,'[1]Raw Data'!$A$3:$FB$285,71,FALSE)</f>
        <v/>
      </c>
      <c r="BN187" s="27">
        <f>VLOOKUP($A187,'[1]Raw Data'!$A$3:$FB$285,72,FALSE)</f>
        <v>3951</v>
      </c>
      <c r="BO187" s="27" t="str">
        <f>VLOOKUP($A187,'[1]Raw Data'!$A$3:$FB$285,73,FALSE)</f>
        <v/>
      </c>
      <c r="BP187" s="27" t="str">
        <f t="shared" si="21"/>
        <v/>
      </c>
      <c r="BQ187" s="27" t="str">
        <f>VLOOKUP($A187,'[1]Raw Data'!$A$3:$FB$285,74,FALSE)</f>
        <v/>
      </c>
      <c r="BR187" s="27" t="str">
        <f>VLOOKUP($A187,'[1]Raw Data'!$A$3:$FB$285,75,FALSE)</f>
        <v/>
      </c>
      <c r="BS187" s="27" t="str">
        <f>VLOOKUP($A187,'[1]Raw Data'!$A$3:$FB$285,76,FALSE)</f>
        <v/>
      </c>
      <c r="BT187" s="27" t="str">
        <f t="shared" si="22"/>
        <v/>
      </c>
      <c r="BU187" s="27" t="str">
        <f>VLOOKUP($A187,'[1]Raw Data'!$A$3:$FB$285,77,FALSE)</f>
        <v/>
      </c>
      <c r="BV187" s="27">
        <f>VLOOKUP($A187,'[1]Raw Data'!$A$3:$FB$285,78,FALSE)</f>
        <v>102864</v>
      </c>
      <c r="BW187" s="27" t="str">
        <f>VLOOKUP($A187,'[1]Raw Data'!$A$3:$FB$285,79,FALSE)</f>
        <v/>
      </c>
      <c r="BX187" s="27" t="str">
        <f t="shared" si="23"/>
        <v/>
      </c>
      <c r="BY187" s="27" t="str">
        <f>VLOOKUP($A187,'[1]Raw Data'!$A$3:$FB$285,80,FALSE)</f>
        <v/>
      </c>
      <c r="BZ187" s="27">
        <f>VLOOKUP($A187,'[1]Raw Data'!$A$3:$FB$285,81,FALSE)</f>
        <v>371296</v>
      </c>
      <c r="CA187" s="27" t="str">
        <f>VLOOKUP($A187,'[1]Raw Data'!$A$3:$FB$285,82,FALSE)</f>
        <v/>
      </c>
      <c r="CB187" s="27" t="str">
        <f t="shared" si="24"/>
        <v/>
      </c>
      <c r="CC187" s="27" t="str">
        <f>VLOOKUP($A187,'[1]Raw Data'!$A$3:$FB$285,83,FALSE)</f>
        <v/>
      </c>
      <c r="CD187" s="27">
        <f>VLOOKUP($A187,'[1]Raw Data'!$A$3:$FB$285,84,FALSE)</f>
        <v>4210</v>
      </c>
      <c r="CE187" s="27" t="str">
        <f>VLOOKUP($A187,'[1]Raw Data'!$A$3:$FB$285,85,FALSE)</f>
        <v/>
      </c>
      <c r="CF187" s="27" t="str">
        <f t="shared" si="25"/>
        <v/>
      </c>
      <c r="CG187" s="27" t="str">
        <f>VLOOKUP($A187,'[1]Raw Data'!$A$3:$FB$285,86,FALSE)</f>
        <v/>
      </c>
      <c r="CH187" s="27">
        <f>VLOOKUP($A187,'[1]Raw Data'!$A$3:$FB$285,87,FALSE)</f>
        <v>933774</v>
      </c>
      <c r="CI187" s="27" t="str">
        <f>VLOOKUP($A187,'[1]Raw Data'!$A$3:$FB$285,88,FALSE)</f>
        <v/>
      </c>
      <c r="CJ187" s="27" t="str">
        <f t="shared" si="26"/>
        <v/>
      </c>
      <c r="CK187" s="27" t="str">
        <f>VLOOKUP($A187,'[1]Raw Data'!$A$3:$FB$285,89,FALSE)</f>
        <v/>
      </c>
      <c r="CL187" s="27" t="str">
        <f>VLOOKUP($A187,'[1]Raw Data'!$A$3:$FB$285,91,FALSE)</f>
        <v/>
      </c>
      <c r="CM187" s="27" t="str">
        <f>VLOOKUP($A187,'[1]Raw Data'!$A$3:$FB$285,93,FALSE)</f>
        <v/>
      </c>
      <c r="CN187" s="27" t="str">
        <f>VLOOKUP($A187,'[1]Raw Data'!$A$3:$FB$285,94,FALSE)</f>
        <v/>
      </c>
      <c r="CO187" s="27" t="str">
        <f>VLOOKUP($A187,'[1]Raw Data'!$A$3:$FB$285,95,FALSE)</f>
        <v/>
      </c>
      <c r="CP187" s="27" t="str">
        <f>VLOOKUP($A187,'[1]Raw Data'!$A$3:$FB$285,96,FALSE)</f>
        <v/>
      </c>
      <c r="CQ187" s="27" t="str">
        <f>VLOOKUP($A187,'[1]Raw Data'!$A$3:$FB$285,97,FALSE)</f>
        <v/>
      </c>
      <c r="CR187" s="27" t="str">
        <f>VLOOKUP($A187,'[1]Raw Data'!$A$3:$FB$285,98,FALSE)</f>
        <v/>
      </c>
      <c r="CS187" s="27" t="str">
        <f>VLOOKUP($A187,'[1]Raw Data'!$A$3:$FB$285,99,FALSE)</f>
        <v/>
      </c>
      <c r="CT187" s="27" t="str">
        <f>VLOOKUP($A187,'[1]Raw Data'!$A$3:$FB$285,101,FALSE)</f>
        <v/>
      </c>
      <c r="CV187" s="27" t="str">
        <f>VLOOKUP($A187,'[1]Raw Data'!$A$3:$FB$285,102,FALSE)</f>
        <v>Mayor</v>
      </c>
      <c r="CW187" s="27" t="s">
        <v>834</v>
      </c>
      <c r="CX187" s="27" t="str">
        <f>VLOOKUP($A187,'[1]Raw Data'!$A$3:$FB$285,103,FALSE)</f>
        <v/>
      </c>
      <c r="CY187" s="27" t="str">
        <f>VLOOKUP($A187,'[1]Raw Data'!$A$3:$FB$285,105,FALSE)</f>
        <v/>
      </c>
      <c r="DA187" s="27" t="str">
        <f>VLOOKUP($A187,'[1]Raw Data'!$A$3:$FB$285,106,FALSE)</f>
        <v>Deputy Mayor</v>
      </c>
      <c r="DB187" s="27" t="s">
        <v>888</v>
      </c>
      <c r="DC187" s="27" t="str">
        <f>VLOOKUP($A187,'[1]Raw Data'!$A$3:$FB$285,107,FALSE)</f>
        <v/>
      </c>
      <c r="DD187" s="27" t="str">
        <f>VLOOKUP($A187,'[1]Raw Data'!$A$3:$FB$285,109,FALSE)</f>
        <v/>
      </c>
      <c r="DF187" s="27" t="str">
        <f>VLOOKUP($A187,'[1]Raw Data'!$A$3:$FB$285,110,FALSE)</f>
        <v>Chief Adminstration Officer</v>
      </c>
      <c r="DG187" s="27" t="s">
        <v>880</v>
      </c>
      <c r="DH187" s="27" t="str">
        <f>VLOOKUP($A187,'[1]Raw Data'!$A$3:$FB$285,111,FALSE)</f>
        <v/>
      </c>
      <c r="DI187" s="27" t="str">
        <f>VLOOKUP($A187,'[1]Raw Data'!$A$3:$FB$285,121,FALSE)</f>
        <v>Anoj Chiluwal</v>
      </c>
      <c r="DJ187" s="27" t="s">
        <v>1424</v>
      </c>
      <c r="DK187" s="27" t="str">
        <f>VLOOKUP($A187,'[1]Raw Data'!$A$3:$FB$285,122,FALSE)</f>
        <v>Focal Person</v>
      </c>
      <c r="DL187" s="27" t="s">
        <v>881</v>
      </c>
      <c r="DM187" s="27">
        <f>VLOOKUP($A187,'[1]Raw Data'!$A$3:$FB$285,123,FALSE)</f>
        <v>9849543694</v>
      </c>
      <c r="DN187" s="27" t="str">
        <f>VLOOKUP($A187,'[1]Raw Data'!$A$3:$FB$285,113,FALSE)</f>
        <v>Usesh Shrestha</v>
      </c>
      <c r="DO187" s="27" t="s">
        <v>1425</v>
      </c>
      <c r="DP187" s="27" t="str">
        <f>VLOOKUP($A187,'[1]Raw Data'!$A$3:$FB$285,114,FALSE)</f>
        <v>NRA Chief-District</v>
      </c>
      <c r="DQ187" s="27" t="s">
        <v>882</v>
      </c>
      <c r="DR187" s="27">
        <f>VLOOKUP($A187,'[1]Raw Data'!$A$3:$FB$285,115,FALSE)</f>
        <v>9856046960</v>
      </c>
      <c r="DS187" s="27" t="str">
        <f>VLOOKUP($A187,'[1]Raw Data'!$A$3:$FB$285,117,FALSE)</f>
        <v/>
      </c>
      <c r="DU187" s="27" t="str">
        <f>VLOOKUP($A187,'[1]Raw Data'!$A$3:$FB$285,118,FALSE)</f>
        <v>DUDBC.DLPIU Chief</v>
      </c>
      <c r="DV187" s="27" t="s">
        <v>883</v>
      </c>
      <c r="DW187" s="27" t="str">
        <f>VLOOKUP($A187,'[1]Raw Data'!$A$3:$FB$285,119,FALSE)</f>
        <v/>
      </c>
      <c r="DX187" s="27" t="s">
        <v>339</v>
      </c>
      <c r="DY187" s="27" t="str">
        <f>VLOOKUP($A187,'[1]Raw Data'!$A$3:$FB$285,124,FALSE)</f>
        <v/>
      </c>
      <c r="DZ187" s="27" t="s">
        <v>884</v>
      </c>
      <c r="EA187" s="27" t="str">
        <f>VLOOKUP($A187,'[1]Raw Data'!$A$3:$FB$285,125,FALSE)</f>
        <v/>
      </c>
      <c r="EB187" s="27" t="s">
        <v>341</v>
      </c>
      <c r="EC187" s="27" t="str">
        <f>VLOOKUP($A187,'[1]Raw Data'!$A$3:$FB$285,126,FALSE)</f>
        <v/>
      </c>
      <c r="ED187" t="s">
        <v>478</v>
      </c>
      <c r="EE187" s="27" t="str">
        <f>VLOOKUP($A187,'[1]Raw Data'!$A$3:$FB$285,127,FALSE)</f>
        <v/>
      </c>
      <c r="EF187" s="27" t="s">
        <v>343</v>
      </c>
      <c r="EG187" s="27" t="str">
        <f>VLOOKUP($A187,'[1]Raw Data'!$A$3:$FB$285,128,FALSE)</f>
        <v/>
      </c>
      <c r="EH187" t="s">
        <v>344</v>
      </c>
      <c r="EI187" s="27" t="str">
        <f>VLOOKUP($A187,'[1]Raw Data'!$A$3:$FB$285,129,FALSE)</f>
        <v/>
      </c>
      <c r="EM187" s="27" t="str">
        <f>VLOOKUP($A187,'[1]Raw Data'!$A$3:$FB$285,130,FALSE)</f>
        <v/>
      </c>
      <c r="EN187" s="27" t="str">
        <f>VLOOKUP($A187,'[1]Raw Data'!$A$3:$FB$285,131,FALSE)</f>
        <v/>
      </c>
      <c r="EO187" s="27" t="str">
        <f>VLOOKUP($A187,'[1]Raw Data'!$A$3:$FB$285,132,FALSE)</f>
        <v/>
      </c>
      <c r="EP187" s="27" t="str">
        <f>VLOOKUP($A187,'[1]Raw Data'!$A$3:$FB$285,133,FALSE)</f>
        <v/>
      </c>
      <c r="EQ187" s="27" t="str">
        <f>VLOOKUP($A187,'[1]Raw Data'!$A$3:$FB$285,134,FALSE)</f>
        <v/>
      </c>
      <c r="ER187" s="27" t="str">
        <f>VLOOKUP($A187,'[1]Raw Data'!$A$3:$FB$285,135,FALSE)</f>
        <v/>
      </c>
      <c r="ES187" s="27" t="str">
        <f>VLOOKUP($A187,'[1]Raw Data'!$A$3:$FB$285,136,FALSE)</f>
        <v/>
      </c>
      <c r="ET187" s="27" t="str">
        <f>VLOOKUP($A187,'[1]Raw Data'!$A$3:$FB$285,137,FALSE)</f>
        <v/>
      </c>
      <c r="EU187" s="27" t="str">
        <f>VLOOKUP($A187,'[1]Raw Data'!$A$3:$FB$285,138,FALSE)</f>
        <v/>
      </c>
      <c r="EV187" s="27" t="str">
        <f>VLOOKUP($A187,'[1]Raw Data'!$A$3:$FB$285,139,FALSE)</f>
        <v/>
      </c>
      <c r="EW187" s="38">
        <f>VLOOKUP($A187,[1]Training!$A$2:$I$284,5,FALSE)</f>
        <v>100.61538461538461</v>
      </c>
      <c r="EX187" s="31">
        <f>VLOOKUP($A187,[1]Training!$A$2:$I$284,6,FALSE)</f>
        <v>40</v>
      </c>
      <c r="EY187" s="38">
        <f>VLOOKUP($A187,[1]Training!$A$2:$I$284,8,FALSE)</f>
        <v>118.90909090909091</v>
      </c>
      <c r="EZ187" s="31">
        <f>VLOOKUP($A187,[1]Training!$A$2:$I$284,9,FALSE)</f>
        <v>0</v>
      </c>
      <c r="FA187" s="27">
        <v>1</v>
      </c>
      <c r="FB187" s="27">
        <v>2</v>
      </c>
      <c r="FC187" s="27" t="str">
        <f>VLOOKUP($A187,'[1]Raw Data'!$A$3:$FB$285,148,FALSE)</f>
        <v/>
      </c>
      <c r="FE187" s="27" t="str">
        <f>VLOOKUP($A187,'[1]Raw Data'!$A$3:$FB$285,149,FALSE)</f>
        <v>District Coordinator</v>
      </c>
      <c r="FF187" s="27" t="s">
        <v>885</v>
      </c>
      <c r="FG187" s="27" t="str">
        <f>VLOOKUP($A187,'[1]Raw Data'!$A$3:$FB$285,150,FALSE)</f>
        <v/>
      </c>
      <c r="FH187" s="27" t="str">
        <f>VLOOKUP($A187,'[1]Raw Data'!$A$3:$FB$285,156,FALSE)</f>
        <v/>
      </c>
      <c r="FJ187" s="27" t="str">
        <f>VLOOKUP($A187,'[1]Raw Data'!$A$3:$FB$285,157,FALSE)</f>
        <v>District Technical Officer</v>
      </c>
      <c r="FK187" s="27" t="s">
        <v>886</v>
      </c>
      <c r="FL187" s="27" t="str">
        <f>VLOOKUP($A187,'[1]Raw Data'!$A$3:$FB$285,158,FALSE)</f>
        <v/>
      </c>
      <c r="FM187" s="27" t="str">
        <f>VLOOKUP($A187,'[1]Raw Data'!$A$3:$FB$285,152,FALSE)</f>
        <v/>
      </c>
      <c r="FO187" s="27" t="str">
        <f>VLOOKUP($A187,'[1]Raw Data'!$A$3:$FB$285,153,FALSE)</f>
        <v>DIstrict Information Management Officer</v>
      </c>
      <c r="FP187" s="27" t="s">
        <v>887</v>
      </c>
      <c r="FQ187" s="27" t="str">
        <f>VLOOKUP($A187,'[1]Raw Data'!$A$3:$FB$285,154,FALSE)</f>
        <v/>
      </c>
    </row>
    <row r="188" spans="1:173" ht="24" x14ac:dyDescent="0.45">
      <c r="A188" s="27">
        <v>37002</v>
      </c>
      <c r="B188" s="36" t="str">
        <f ca="1">IFERROR(__xludf.DUMMYFUNCTION("""COMPUTED_VALUE"""),"Dordi Gaunpalika")</f>
        <v>Dordi Gaunpalika</v>
      </c>
      <c r="C188" s="37" t="str">
        <f>VLOOKUP(A188,'[1]Palika and District in Nepali '!$D$1:$F$283,3,FALSE)</f>
        <v>दोर्दि गाउँपालिका</v>
      </c>
      <c r="D188" s="36" t="str">
        <f ca="1">IFERROR(__xludf.DUMMYFUNCTION("""COMPUTED_VALUE"""),"Lamjung")</f>
        <v>Lamjung</v>
      </c>
      <c r="E188" s="36"/>
      <c r="F188" s="27">
        <f>VLOOKUP(A188,'[1]Raw Data'!$A$3:$FB$285,4,FALSE)</f>
        <v>1043</v>
      </c>
      <c r="G188" s="27">
        <f>VLOOKUP(A188,'[1]Raw Data'!$A$3:$FB$285,5,FALSE)</f>
        <v>2332</v>
      </c>
      <c r="H188" s="27">
        <f>VLOOKUP(A188,'[1]Raw Data'!$A$3:$FB$285,6,FALSE)</f>
        <v>3375</v>
      </c>
      <c r="I188" s="27">
        <f>VLOOKUP($A188,'[1]Raw Data'!$A$3:$FB$285,8,FALSE)</f>
        <v>1.43</v>
      </c>
      <c r="J188" s="27">
        <f>VLOOKUP($A188,'[1]Raw Data'!$A$3:$FB$285,9,FALSE)</f>
        <v>1.63</v>
      </c>
      <c r="K188" s="27">
        <f>VLOOKUP($A188,'[1]Raw Data'!$A$3:$FB$285,11,FALSE)</f>
        <v>94.78</v>
      </c>
      <c r="L188" s="27">
        <f>VLOOKUP($A188,'[1]Raw Data'!$A$3:$FB$285,12,FALSE)</f>
        <v>86.02</v>
      </c>
      <c r="M188" s="27">
        <f>VLOOKUP($A188,'[1]Raw Data'!$A$3:$FB$285,14,FALSE)</f>
        <v>0.72</v>
      </c>
      <c r="N188" s="27">
        <f>VLOOKUP($A188,'[1]Raw Data'!$A$3:$FB$285,15,FALSE)</f>
        <v>3.02</v>
      </c>
      <c r="O188" s="27">
        <f>VLOOKUP($A188,'[1]Raw Data'!$A$3:$FB$285,17,FALSE)</f>
        <v>0.03</v>
      </c>
      <c r="P188" s="27">
        <f>VLOOKUP($A188,'[1]Raw Data'!$A$3:$FB$285,18,FALSE)</f>
        <v>1.49</v>
      </c>
      <c r="Q188" s="27">
        <f>VLOOKUP($A188,'[1]Raw Data'!$A$3:$FB$285,20,FALSE)</f>
        <v>0.42</v>
      </c>
      <c r="R188" s="27">
        <f>VLOOKUP($A188,'[1]Raw Data'!$A$3:$FB$285,21,FALSE)</f>
        <v>2.72</v>
      </c>
      <c r="S188" s="27">
        <f>VLOOKUP($A188,'[1]Raw Data'!$A$3:$FB$285,23,FALSE)</f>
        <v>0</v>
      </c>
      <c r="T188" s="27">
        <f>VLOOKUP($A188,'[1]Raw Data'!$A$3:$FB$285,24,FALSE)</f>
        <v>0</v>
      </c>
      <c r="U188" s="27">
        <f>VLOOKUP($A188,'[1]Raw Data'!$A$3:$FB$285,26,FALSE)</f>
        <v>0.03</v>
      </c>
      <c r="V188" s="27">
        <f>VLOOKUP($A188,'[1]Raw Data'!$A$3:$FB$285,27,FALSE)</f>
        <v>0.25</v>
      </c>
      <c r="W188" s="27">
        <f>VLOOKUP($A188,'[1]Raw Data'!$A$3:$FB$285,29,FALSE)</f>
        <v>0</v>
      </c>
      <c r="X188" s="27">
        <f>VLOOKUP($A188,'[1]Raw Data'!$A$3:$FB$285,30,FALSE)</f>
        <v>0</v>
      </c>
      <c r="Y188" s="27">
        <f>VLOOKUP($A188,'[1]Raw Data'!$A$3:$FB$285,32,FALSE)</f>
        <v>0.83</v>
      </c>
      <c r="Z188" s="27">
        <f>VLOOKUP($A188,'[1]Raw Data'!$A$3:$FB$285,33,FALSE)</f>
        <v>0.37</v>
      </c>
      <c r="AA188" s="27">
        <f>VLOOKUP($A188,'[1]Raw Data'!$A$3:$FB$285,35,FALSE)</f>
        <v>1.52</v>
      </c>
      <c r="AB188" s="27">
        <f>VLOOKUP($A188,'[1]Raw Data'!$A$3:$FB$285,36,FALSE)</f>
        <v>4.38</v>
      </c>
      <c r="AC188" s="27">
        <f>VLOOKUP($A188,'[1]Raw Data'!$A$3:$FB$285,38,FALSE)</f>
        <v>0.24</v>
      </c>
      <c r="AD188" s="27">
        <f>VLOOKUP($A188,'[1]Raw Data'!$A$3:$FB$285,39,FALSE)</f>
        <v>0.13</v>
      </c>
      <c r="AE188" s="27">
        <f>VLOOKUP($A188,'[1]Raw Data'!$A$3:$FB$285,41,FALSE)</f>
        <v>0</v>
      </c>
      <c r="AF188" s="27">
        <f>VLOOKUP($A188,'[1]Raw Data'!$A$3:$FB$285,42,FALSE)</f>
        <v>0</v>
      </c>
      <c r="AG188" s="27">
        <f>VLOOKUP($A188,'[1]Raw Data'!$A$3:$FB$285,44,FALSE)</f>
        <v>0</v>
      </c>
      <c r="AH188" s="27">
        <f>VLOOKUP($A188,'[1]Raw Data'!$A$3:$FB$285,45,FALSE)</f>
        <v>0</v>
      </c>
      <c r="AI188" s="27">
        <f>VLOOKUP($A188,'[1]Raw Data'!$A$3:$FB$285,46,FALSE)</f>
        <v>2239</v>
      </c>
      <c r="AJ188" s="27">
        <f>VLOOKUP($A188,'[1]Raw Data'!$A$3:$FB$285,47,FALSE)</f>
        <v>1362</v>
      </c>
      <c r="AK188" s="27">
        <f>VLOOKUP($A188,'[1]Raw Data'!$A$3:$FB$285,48,FALSE)</f>
        <v>1362</v>
      </c>
      <c r="AL188" s="27">
        <f>VLOOKUP($A188,'[1]Raw Data'!$A$3:$FB$285,49,FALSE)</f>
        <v>230</v>
      </c>
      <c r="AM188" s="27">
        <f>VLOOKUP($A188,'[1]Raw Data'!$A$3:$FB$285,50,FALSE)</f>
        <v>0</v>
      </c>
      <c r="AN188" s="27" t="str">
        <f>VLOOKUP($A188,'[1]Raw Data'!$A$3:$FB$285,51,FALSE)</f>
        <v/>
      </c>
      <c r="AO188" s="27" t="str">
        <f>VLOOKUP($A188,'[1]Raw Data'!$A$3:$FB$285,52,FALSE)</f>
        <v/>
      </c>
      <c r="AP188" s="27">
        <f>VLOOKUP($A188,'[1]Raw Data'!$A$3:$FB$285,53,FALSE)</f>
        <v>25</v>
      </c>
      <c r="AQ188" s="27" t="str">
        <f>VLOOKUP($A188,'[1]Raw Data'!$A$3:$FB$285,54,FALSE)</f>
        <v/>
      </c>
      <c r="AR188" s="27" t="str">
        <f>VLOOKUP($A188,'[1]Raw Data'!$A$3:$FB$285,55,FALSE)</f>
        <v/>
      </c>
      <c r="AS188" s="27" t="str">
        <f>VLOOKUP($A188,'[1]Raw Data'!$A$3:$FB$285,56,FALSE)</f>
        <v/>
      </c>
      <c r="AT188" s="27" t="str">
        <f>VLOOKUP($A188,'[1]Raw Data'!$A$3:$FB$285,57,FALSE)</f>
        <v/>
      </c>
      <c r="AU188" s="27" t="str">
        <f>VLOOKUP($A188,'[1]Raw Data'!$A$3:$FB$285,58,FALSE)</f>
        <v/>
      </c>
      <c r="AV188" s="27" t="str">
        <f>VLOOKUP($A188,'[1]Raw Data'!$A$3:$FB$285,59,FALSE)</f>
        <v/>
      </c>
      <c r="AW188" s="27" t="str">
        <f>VLOOKUP($A188,'[1]Raw Data'!$A$3:$FB$285,60,FALSE)</f>
        <v/>
      </c>
      <c r="AX188" s="27" t="str">
        <f>VLOOKUP(A188,'[1]PO''s List'!A186:E468,4,FALSE)</f>
        <v/>
      </c>
      <c r="AZ188" s="27" t="str">
        <f>VLOOKUP(A188,'[1]PO''s List'!$A$3:$E$285,5,FALSE)</f>
        <v/>
      </c>
      <c r="BB188" s="27">
        <f>VLOOKUP($A188,'[1]Raw Data'!$A$3:$FB$285,63,FALSE)</f>
        <v>39607</v>
      </c>
      <c r="BC188" s="27" t="str">
        <f>VLOOKUP($A188,'[1]Raw Data'!$A$3:$FB$285,64,FALSE)</f>
        <v/>
      </c>
      <c r="BD188" s="27" t="str">
        <f t="shared" si="18"/>
        <v/>
      </c>
      <c r="BE188" s="27" t="str">
        <f>VLOOKUP($A188,'[1]Raw Data'!$A$3:$FB$285,65,FALSE)</f>
        <v/>
      </c>
      <c r="BF188" s="27">
        <f>VLOOKUP($A188,'[1]Raw Data'!$A$3:$FB$285,66,FALSE)</f>
        <v>39191</v>
      </c>
      <c r="BG188" s="27" t="str">
        <f>VLOOKUP($A188,'[1]Raw Data'!$A$3:$FB$285,67,FALSE)</f>
        <v/>
      </c>
      <c r="BH188" s="27" t="str">
        <f t="shared" si="19"/>
        <v/>
      </c>
      <c r="BI188" s="27" t="str">
        <f>VLOOKUP($A188,'[1]Raw Data'!$A$3:$FB$285,68,FALSE)</f>
        <v/>
      </c>
      <c r="BJ188" s="27">
        <f>VLOOKUP($A188,'[1]Raw Data'!$A$3:$FB$285,69,FALSE)</f>
        <v>4219</v>
      </c>
      <c r="BK188" s="27" t="str">
        <f>VLOOKUP($A188,'[1]Raw Data'!$A$3:$FB$285,70,FALSE)</f>
        <v/>
      </c>
      <c r="BL188" s="27" t="str">
        <f t="shared" si="20"/>
        <v/>
      </c>
      <c r="BM188" s="27" t="str">
        <f>VLOOKUP($A188,'[1]Raw Data'!$A$3:$FB$285,71,FALSE)</f>
        <v/>
      </c>
      <c r="BN188" s="27">
        <f>VLOOKUP($A188,'[1]Raw Data'!$A$3:$FB$285,72,FALSE)</f>
        <v>4830</v>
      </c>
      <c r="BO188" s="27" t="str">
        <f>VLOOKUP($A188,'[1]Raw Data'!$A$3:$FB$285,73,FALSE)</f>
        <v/>
      </c>
      <c r="BP188" s="27" t="str">
        <f t="shared" si="21"/>
        <v/>
      </c>
      <c r="BQ188" s="27" t="str">
        <f>VLOOKUP($A188,'[1]Raw Data'!$A$3:$FB$285,74,FALSE)</f>
        <v/>
      </c>
      <c r="BR188" s="27" t="str">
        <f>VLOOKUP($A188,'[1]Raw Data'!$A$3:$FB$285,75,FALSE)</f>
        <v/>
      </c>
      <c r="BS188" s="27" t="str">
        <f>VLOOKUP($A188,'[1]Raw Data'!$A$3:$FB$285,76,FALSE)</f>
        <v/>
      </c>
      <c r="BT188" s="27" t="str">
        <f t="shared" si="22"/>
        <v/>
      </c>
      <c r="BU188" s="27" t="str">
        <f>VLOOKUP($A188,'[1]Raw Data'!$A$3:$FB$285,77,FALSE)</f>
        <v/>
      </c>
      <c r="BV188" s="27">
        <f>VLOOKUP($A188,'[1]Raw Data'!$A$3:$FB$285,78,FALSE)</f>
        <v>132393</v>
      </c>
      <c r="BW188" s="27" t="str">
        <f>VLOOKUP($A188,'[1]Raw Data'!$A$3:$FB$285,79,FALSE)</f>
        <v/>
      </c>
      <c r="BX188" s="27" t="str">
        <f t="shared" si="23"/>
        <v/>
      </c>
      <c r="BY188" s="27" t="str">
        <f>VLOOKUP($A188,'[1]Raw Data'!$A$3:$FB$285,80,FALSE)</f>
        <v/>
      </c>
      <c r="BZ188" s="27">
        <f>VLOOKUP($A188,'[1]Raw Data'!$A$3:$FB$285,81,FALSE)</f>
        <v>434590</v>
      </c>
      <c r="CA188" s="27" t="str">
        <f>VLOOKUP($A188,'[1]Raw Data'!$A$3:$FB$285,82,FALSE)</f>
        <v/>
      </c>
      <c r="CB188" s="27" t="str">
        <f t="shared" si="24"/>
        <v/>
      </c>
      <c r="CC188" s="27" t="str">
        <f>VLOOKUP($A188,'[1]Raw Data'!$A$3:$FB$285,83,FALSE)</f>
        <v/>
      </c>
      <c r="CD188" s="27">
        <f>VLOOKUP($A188,'[1]Raw Data'!$A$3:$FB$285,84,FALSE)</f>
        <v>5422</v>
      </c>
      <c r="CE188" s="27" t="str">
        <f>VLOOKUP($A188,'[1]Raw Data'!$A$3:$FB$285,85,FALSE)</f>
        <v/>
      </c>
      <c r="CF188" s="27" t="str">
        <f t="shared" si="25"/>
        <v/>
      </c>
      <c r="CG188" s="27" t="str">
        <f>VLOOKUP($A188,'[1]Raw Data'!$A$3:$FB$285,86,FALSE)</f>
        <v/>
      </c>
      <c r="CH188" s="27">
        <f>VLOOKUP($A188,'[1]Raw Data'!$A$3:$FB$285,87,FALSE)</f>
        <v>849242</v>
      </c>
      <c r="CI188" s="27" t="str">
        <f>VLOOKUP($A188,'[1]Raw Data'!$A$3:$FB$285,88,FALSE)</f>
        <v/>
      </c>
      <c r="CJ188" s="27" t="str">
        <f t="shared" si="26"/>
        <v/>
      </c>
      <c r="CK188" s="27" t="str">
        <f>VLOOKUP($A188,'[1]Raw Data'!$A$3:$FB$285,89,FALSE)</f>
        <v/>
      </c>
      <c r="CL188" s="27" t="str">
        <f>VLOOKUP($A188,'[1]Raw Data'!$A$3:$FB$285,91,FALSE)</f>
        <v/>
      </c>
      <c r="CM188" s="27" t="str">
        <f>VLOOKUP($A188,'[1]Raw Data'!$A$3:$FB$285,93,FALSE)</f>
        <v/>
      </c>
      <c r="CN188" s="27" t="str">
        <f>VLOOKUP($A188,'[1]Raw Data'!$A$3:$FB$285,94,FALSE)</f>
        <v/>
      </c>
      <c r="CO188" s="27" t="str">
        <f>VLOOKUP($A188,'[1]Raw Data'!$A$3:$FB$285,95,FALSE)</f>
        <v/>
      </c>
      <c r="CP188" s="27" t="str">
        <f>VLOOKUP($A188,'[1]Raw Data'!$A$3:$FB$285,96,FALSE)</f>
        <v/>
      </c>
      <c r="CQ188" s="27" t="str">
        <f>VLOOKUP($A188,'[1]Raw Data'!$A$3:$FB$285,97,FALSE)</f>
        <v/>
      </c>
      <c r="CR188" s="27" t="str">
        <f>VLOOKUP($A188,'[1]Raw Data'!$A$3:$FB$285,98,FALSE)</f>
        <v/>
      </c>
      <c r="CS188" s="27" t="str">
        <f>VLOOKUP($A188,'[1]Raw Data'!$A$3:$FB$285,99,FALSE)</f>
        <v/>
      </c>
      <c r="CT188" s="27" t="str">
        <f>VLOOKUP($A188,'[1]Raw Data'!$A$3:$FB$285,101,FALSE)</f>
        <v/>
      </c>
      <c r="CV188" s="27" t="str">
        <f>VLOOKUP($A188,'[1]Raw Data'!$A$3:$FB$285,102,FALSE)</f>
        <v>Chairman</v>
      </c>
      <c r="CW188" s="27" t="s">
        <v>878</v>
      </c>
      <c r="CX188" s="27" t="str">
        <f>VLOOKUP($A188,'[1]Raw Data'!$A$3:$FB$285,103,FALSE)</f>
        <v/>
      </c>
      <c r="CY188" s="27" t="str">
        <f>VLOOKUP($A188,'[1]Raw Data'!$A$3:$FB$285,105,FALSE)</f>
        <v/>
      </c>
      <c r="DA188" s="27" t="str">
        <f>VLOOKUP($A188,'[1]Raw Data'!$A$3:$FB$285,106,FALSE)</f>
        <v>Deputy Chairman</v>
      </c>
      <c r="DB188" s="27" t="s">
        <v>879</v>
      </c>
      <c r="DC188" s="27" t="str">
        <f>VLOOKUP($A188,'[1]Raw Data'!$A$3:$FB$285,107,FALSE)</f>
        <v/>
      </c>
      <c r="DD188" s="27" t="str">
        <f>VLOOKUP($A188,'[1]Raw Data'!$A$3:$FB$285,109,FALSE)</f>
        <v/>
      </c>
      <c r="DF188" s="27" t="str">
        <f>VLOOKUP($A188,'[1]Raw Data'!$A$3:$FB$285,110,FALSE)</f>
        <v>Chief Adminstration Officer</v>
      </c>
      <c r="DG188" s="27" t="s">
        <v>880</v>
      </c>
      <c r="DH188" s="27" t="str">
        <f>VLOOKUP($A188,'[1]Raw Data'!$A$3:$FB$285,111,FALSE)</f>
        <v/>
      </c>
      <c r="DI188" s="27" t="str">
        <f>VLOOKUP($A188,'[1]Raw Data'!$A$3:$FB$285,121,FALSE)</f>
        <v/>
      </c>
      <c r="DK188" s="27" t="str">
        <f>VLOOKUP($A188,'[1]Raw Data'!$A$3:$FB$285,122,FALSE)</f>
        <v>Focal Person</v>
      </c>
      <c r="DL188" s="27" t="s">
        <v>881</v>
      </c>
      <c r="DM188" s="27" t="str">
        <f>VLOOKUP($A188,'[1]Raw Data'!$A$3:$FB$285,123,FALSE)</f>
        <v/>
      </c>
      <c r="DN188" s="27" t="str">
        <f>VLOOKUP($A188,'[1]Raw Data'!$A$3:$FB$285,113,FALSE)</f>
        <v>Usesh Shrestha</v>
      </c>
      <c r="DO188" s="27" t="s">
        <v>1425</v>
      </c>
      <c r="DP188" s="27" t="str">
        <f>VLOOKUP($A188,'[1]Raw Data'!$A$3:$FB$285,114,FALSE)</f>
        <v>NRA Chief-District</v>
      </c>
      <c r="DQ188" s="27" t="s">
        <v>882</v>
      </c>
      <c r="DR188" s="27">
        <f>VLOOKUP($A188,'[1]Raw Data'!$A$3:$FB$285,115,FALSE)</f>
        <v>9856046960</v>
      </c>
      <c r="DS188" s="27" t="str">
        <f>VLOOKUP($A188,'[1]Raw Data'!$A$3:$FB$285,117,FALSE)</f>
        <v/>
      </c>
      <c r="DU188" s="27" t="str">
        <f>VLOOKUP($A188,'[1]Raw Data'!$A$3:$FB$285,118,FALSE)</f>
        <v>DUDBC.DLPIU Chief</v>
      </c>
      <c r="DV188" s="27" t="s">
        <v>883</v>
      </c>
      <c r="DW188" s="27" t="str">
        <f>VLOOKUP($A188,'[1]Raw Data'!$A$3:$FB$285,119,FALSE)</f>
        <v/>
      </c>
      <c r="DX188" s="27" t="s">
        <v>339</v>
      </c>
      <c r="DY188" s="27" t="str">
        <f>VLOOKUP($A188,'[1]Raw Data'!$A$3:$FB$285,124,FALSE)</f>
        <v/>
      </c>
      <c r="DZ188" s="27" t="s">
        <v>884</v>
      </c>
      <c r="EA188" s="27" t="str">
        <f>VLOOKUP($A188,'[1]Raw Data'!$A$3:$FB$285,125,FALSE)</f>
        <v/>
      </c>
      <c r="EB188" s="27" t="s">
        <v>341</v>
      </c>
      <c r="EC188" s="27" t="str">
        <f>VLOOKUP($A188,'[1]Raw Data'!$A$3:$FB$285,126,FALSE)</f>
        <v/>
      </c>
      <c r="ED188" t="s">
        <v>478</v>
      </c>
      <c r="EE188" s="27" t="str">
        <f>VLOOKUP($A188,'[1]Raw Data'!$A$3:$FB$285,127,FALSE)</f>
        <v/>
      </c>
      <c r="EF188" s="27" t="s">
        <v>343</v>
      </c>
      <c r="EG188" s="27" t="str">
        <f>VLOOKUP($A188,'[1]Raw Data'!$A$3:$FB$285,128,FALSE)</f>
        <v/>
      </c>
      <c r="EH188" t="s">
        <v>344</v>
      </c>
      <c r="EI188" s="27" t="str">
        <f>VLOOKUP($A188,'[1]Raw Data'!$A$3:$FB$285,129,FALSE)</f>
        <v/>
      </c>
      <c r="EM188" s="27" t="str">
        <f>VLOOKUP($A188,'[1]Raw Data'!$A$3:$FB$285,130,FALSE)</f>
        <v/>
      </c>
      <c r="EN188" s="27" t="str">
        <f>VLOOKUP($A188,'[1]Raw Data'!$A$3:$FB$285,131,FALSE)</f>
        <v/>
      </c>
      <c r="EO188" s="27" t="str">
        <f>VLOOKUP($A188,'[1]Raw Data'!$A$3:$FB$285,132,FALSE)</f>
        <v/>
      </c>
      <c r="EP188" s="27" t="str">
        <f>VLOOKUP($A188,'[1]Raw Data'!$A$3:$FB$285,133,FALSE)</f>
        <v/>
      </c>
      <c r="EQ188" s="27" t="str">
        <f>VLOOKUP($A188,'[1]Raw Data'!$A$3:$FB$285,134,FALSE)</f>
        <v/>
      </c>
      <c r="ER188" s="27" t="str">
        <f>VLOOKUP($A188,'[1]Raw Data'!$A$3:$FB$285,135,FALSE)</f>
        <v/>
      </c>
      <c r="ES188" s="27" t="str">
        <f>VLOOKUP($A188,'[1]Raw Data'!$A$3:$FB$285,136,FALSE)</f>
        <v/>
      </c>
      <c r="ET188" s="27" t="str">
        <f>VLOOKUP($A188,'[1]Raw Data'!$A$3:$FB$285,137,FALSE)</f>
        <v/>
      </c>
      <c r="EU188" s="27" t="str">
        <f>VLOOKUP($A188,'[1]Raw Data'!$A$3:$FB$285,138,FALSE)</f>
        <v/>
      </c>
      <c r="EV188" s="27" t="str">
        <f>VLOOKUP($A188,'[1]Raw Data'!$A$3:$FB$285,139,FALSE)</f>
        <v/>
      </c>
      <c r="EW188" s="38">
        <f>VLOOKUP($A188,[1]Training!$A$2:$I$284,5,FALSE)</f>
        <v>172.23076923076923</v>
      </c>
      <c r="EX188" s="31">
        <f>VLOOKUP($A188,[1]Training!$A$2:$I$284,6,FALSE)</f>
        <v>82</v>
      </c>
      <c r="EY188" s="38">
        <f>VLOOKUP($A188,[1]Training!$A$2:$I$284,8,FALSE)</f>
        <v>203.54545454545453</v>
      </c>
      <c r="EZ188" s="31">
        <f>VLOOKUP($A188,[1]Training!$A$2:$I$284,9,FALSE)</f>
        <v>0</v>
      </c>
      <c r="FA188" s="27">
        <v>1</v>
      </c>
      <c r="FB188" s="27">
        <v>2</v>
      </c>
      <c r="FC188" s="27" t="str">
        <f>VLOOKUP($A188,'[1]Raw Data'!$A$3:$FB$285,148,FALSE)</f>
        <v/>
      </c>
      <c r="FE188" s="27" t="str">
        <f>VLOOKUP($A188,'[1]Raw Data'!$A$3:$FB$285,149,FALSE)</f>
        <v>District Coordinator</v>
      </c>
      <c r="FF188" s="27" t="s">
        <v>885</v>
      </c>
      <c r="FG188" s="27" t="str">
        <f>VLOOKUP($A188,'[1]Raw Data'!$A$3:$FB$285,150,FALSE)</f>
        <v/>
      </c>
      <c r="FH188" s="27" t="str">
        <f>VLOOKUP($A188,'[1]Raw Data'!$A$3:$FB$285,156,FALSE)</f>
        <v/>
      </c>
      <c r="FJ188" s="27" t="str">
        <f>VLOOKUP($A188,'[1]Raw Data'!$A$3:$FB$285,157,FALSE)</f>
        <v>District Technical Officer</v>
      </c>
      <c r="FK188" s="27" t="s">
        <v>886</v>
      </c>
      <c r="FL188" s="27" t="str">
        <f>VLOOKUP($A188,'[1]Raw Data'!$A$3:$FB$285,158,FALSE)</f>
        <v/>
      </c>
      <c r="FM188" s="27" t="str">
        <f>VLOOKUP($A188,'[1]Raw Data'!$A$3:$FB$285,152,FALSE)</f>
        <v/>
      </c>
      <c r="FO188" s="27" t="str">
        <f>VLOOKUP($A188,'[1]Raw Data'!$A$3:$FB$285,153,FALSE)</f>
        <v>DIstrict Information Management Officer</v>
      </c>
      <c r="FP188" s="27" t="s">
        <v>887</v>
      </c>
      <c r="FQ188" s="27" t="str">
        <f>VLOOKUP($A188,'[1]Raw Data'!$A$3:$FB$285,154,FALSE)</f>
        <v/>
      </c>
    </row>
    <row r="189" spans="1:173" ht="24" x14ac:dyDescent="0.45">
      <c r="A189" s="27">
        <v>37003</v>
      </c>
      <c r="B189" s="36" t="str">
        <f ca="1">IFERROR(__xludf.DUMMYFUNCTION("""COMPUTED_VALUE"""),"Dudhpokhari Gaunpalika")</f>
        <v>Dudhpokhari Gaunpalika</v>
      </c>
      <c r="C189" s="37" t="str">
        <f>VLOOKUP(A189,'[1]Palika and District in Nepali '!$D$1:$F$283,3,FALSE)</f>
        <v>दुधपोखरी गाउँपालिका</v>
      </c>
      <c r="D189" s="36" t="str">
        <f ca="1">IFERROR(__xludf.DUMMYFUNCTION("""COMPUTED_VALUE"""),"Lamjung")</f>
        <v>Lamjung</v>
      </c>
      <c r="E189" s="36"/>
      <c r="F189" s="27">
        <f>VLOOKUP(A189,'[1]Raw Data'!$A$3:$FB$285,4,FALSE)</f>
        <v>203</v>
      </c>
      <c r="G189" s="27">
        <f>VLOOKUP(A189,'[1]Raw Data'!$A$3:$FB$285,5,FALSE)</f>
        <v>2464</v>
      </c>
      <c r="H189" s="27">
        <f>VLOOKUP(A189,'[1]Raw Data'!$A$3:$FB$285,6,FALSE)</f>
        <v>2667</v>
      </c>
      <c r="I189" s="27">
        <f>VLOOKUP($A189,'[1]Raw Data'!$A$3:$FB$285,8,FALSE)</f>
        <v>0.23</v>
      </c>
      <c r="J189" s="27">
        <f>VLOOKUP($A189,'[1]Raw Data'!$A$3:$FB$285,9,FALSE)</f>
        <v>1.63</v>
      </c>
      <c r="K189" s="27">
        <f>VLOOKUP($A189,'[1]Raw Data'!$A$3:$FB$285,11,FALSE)</f>
        <v>98.76</v>
      </c>
      <c r="L189" s="27">
        <f>VLOOKUP($A189,'[1]Raw Data'!$A$3:$FB$285,12,FALSE)</f>
        <v>86.02</v>
      </c>
      <c r="M189" s="27">
        <f>VLOOKUP($A189,'[1]Raw Data'!$A$3:$FB$285,14,FALSE)</f>
        <v>0</v>
      </c>
      <c r="N189" s="27">
        <f>VLOOKUP($A189,'[1]Raw Data'!$A$3:$FB$285,15,FALSE)</f>
        <v>3.02</v>
      </c>
      <c r="O189" s="27">
        <f>VLOOKUP($A189,'[1]Raw Data'!$A$3:$FB$285,17,FALSE)</f>
        <v>0.11</v>
      </c>
      <c r="P189" s="27">
        <f>VLOOKUP($A189,'[1]Raw Data'!$A$3:$FB$285,18,FALSE)</f>
        <v>1.49</v>
      </c>
      <c r="Q189" s="27">
        <f>VLOOKUP($A189,'[1]Raw Data'!$A$3:$FB$285,20,FALSE)</f>
        <v>0.04</v>
      </c>
      <c r="R189" s="27">
        <f>VLOOKUP($A189,'[1]Raw Data'!$A$3:$FB$285,21,FALSE)</f>
        <v>2.72</v>
      </c>
      <c r="S189" s="27">
        <f>VLOOKUP($A189,'[1]Raw Data'!$A$3:$FB$285,23,FALSE)</f>
        <v>0</v>
      </c>
      <c r="T189" s="27">
        <f>VLOOKUP($A189,'[1]Raw Data'!$A$3:$FB$285,24,FALSE)</f>
        <v>0</v>
      </c>
      <c r="U189" s="27">
        <f>VLOOKUP($A189,'[1]Raw Data'!$A$3:$FB$285,26,FALSE)</f>
        <v>0.23</v>
      </c>
      <c r="V189" s="27">
        <f>VLOOKUP($A189,'[1]Raw Data'!$A$3:$FB$285,27,FALSE)</f>
        <v>0.25</v>
      </c>
      <c r="W189" s="27">
        <f>VLOOKUP($A189,'[1]Raw Data'!$A$3:$FB$285,29,FALSE)</f>
        <v>0</v>
      </c>
      <c r="X189" s="27">
        <f>VLOOKUP($A189,'[1]Raw Data'!$A$3:$FB$285,30,FALSE)</f>
        <v>0</v>
      </c>
      <c r="Y189" s="27">
        <f>VLOOKUP($A189,'[1]Raw Data'!$A$3:$FB$285,32,FALSE)</f>
        <v>0.41</v>
      </c>
      <c r="Z189" s="27">
        <f>VLOOKUP($A189,'[1]Raw Data'!$A$3:$FB$285,33,FALSE)</f>
        <v>0.37</v>
      </c>
      <c r="AA189" s="27">
        <f>VLOOKUP($A189,'[1]Raw Data'!$A$3:$FB$285,35,FALSE)</f>
        <v>0.19</v>
      </c>
      <c r="AB189" s="27">
        <f>VLOOKUP($A189,'[1]Raw Data'!$A$3:$FB$285,36,FALSE)</f>
        <v>4.38</v>
      </c>
      <c r="AC189" s="27">
        <f>VLOOKUP($A189,'[1]Raw Data'!$A$3:$FB$285,38,FALSE)</f>
        <v>0.04</v>
      </c>
      <c r="AD189" s="27">
        <f>VLOOKUP($A189,'[1]Raw Data'!$A$3:$FB$285,39,FALSE)</f>
        <v>0.13</v>
      </c>
      <c r="AE189" s="27">
        <f>VLOOKUP($A189,'[1]Raw Data'!$A$3:$FB$285,41,FALSE)</f>
        <v>0</v>
      </c>
      <c r="AF189" s="27">
        <f>VLOOKUP($A189,'[1]Raw Data'!$A$3:$FB$285,42,FALSE)</f>
        <v>0</v>
      </c>
      <c r="AG189" s="27">
        <f>VLOOKUP($A189,'[1]Raw Data'!$A$3:$FB$285,44,FALSE)</f>
        <v>0</v>
      </c>
      <c r="AH189" s="27">
        <f>VLOOKUP($A189,'[1]Raw Data'!$A$3:$FB$285,45,FALSE)</f>
        <v>0</v>
      </c>
      <c r="AI189" s="27">
        <f>VLOOKUP($A189,'[1]Raw Data'!$A$3:$FB$285,46,FALSE)</f>
        <v>2437</v>
      </c>
      <c r="AJ189" s="27">
        <f>VLOOKUP($A189,'[1]Raw Data'!$A$3:$FB$285,47,FALSE)</f>
        <v>1976</v>
      </c>
      <c r="AK189" s="27">
        <f>VLOOKUP($A189,'[1]Raw Data'!$A$3:$FB$285,48,FALSE)</f>
        <v>1976</v>
      </c>
      <c r="AL189" s="27">
        <f>VLOOKUP($A189,'[1]Raw Data'!$A$3:$FB$285,49,FALSE)</f>
        <v>833</v>
      </c>
      <c r="AM189" s="27">
        <f>VLOOKUP($A189,'[1]Raw Data'!$A$3:$FB$285,50,FALSE)</f>
        <v>2</v>
      </c>
      <c r="AN189" s="27" t="str">
        <f>VLOOKUP($A189,'[1]Raw Data'!$A$3:$FB$285,51,FALSE)</f>
        <v/>
      </c>
      <c r="AO189" s="27" t="str">
        <f>VLOOKUP($A189,'[1]Raw Data'!$A$3:$FB$285,52,FALSE)</f>
        <v/>
      </c>
      <c r="AP189" s="27">
        <f>VLOOKUP($A189,'[1]Raw Data'!$A$3:$FB$285,53,FALSE)</f>
        <v>6</v>
      </c>
      <c r="AQ189" s="27" t="str">
        <f>VLOOKUP($A189,'[1]Raw Data'!$A$3:$FB$285,54,FALSE)</f>
        <v/>
      </c>
      <c r="AR189" s="27" t="str">
        <f>VLOOKUP($A189,'[1]Raw Data'!$A$3:$FB$285,55,FALSE)</f>
        <v/>
      </c>
      <c r="AS189" s="27" t="str">
        <f>VLOOKUP($A189,'[1]Raw Data'!$A$3:$FB$285,56,FALSE)</f>
        <v/>
      </c>
      <c r="AT189" s="27" t="str">
        <f>VLOOKUP($A189,'[1]Raw Data'!$A$3:$FB$285,57,FALSE)</f>
        <v/>
      </c>
      <c r="AU189" s="27" t="str">
        <f>VLOOKUP($A189,'[1]Raw Data'!$A$3:$FB$285,58,FALSE)</f>
        <v/>
      </c>
      <c r="AV189" s="27" t="str">
        <f>VLOOKUP($A189,'[1]Raw Data'!$A$3:$FB$285,59,FALSE)</f>
        <v/>
      </c>
      <c r="AW189" s="27" t="str">
        <f>VLOOKUP($A189,'[1]Raw Data'!$A$3:$FB$285,60,FALSE)</f>
        <v/>
      </c>
      <c r="AX189" s="27" t="str">
        <f>VLOOKUP(A189,'[1]PO''s List'!A187:E469,4,FALSE)</f>
        <v/>
      </c>
      <c r="AZ189" s="27" t="str">
        <f>VLOOKUP(A189,'[1]PO''s List'!$A$3:$E$285,5,FALSE)</f>
        <v>LWR(Livelihood,DRR,Shelter)</v>
      </c>
      <c r="BB189" s="27">
        <f>VLOOKUP($A189,'[1]Raw Data'!$A$3:$FB$285,63,FALSE)</f>
        <v>56143</v>
      </c>
      <c r="BC189" s="27" t="str">
        <f>VLOOKUP($A189,'[1]Raw Data'!$A$3:$FB$285,64,FALSE)</f>
        <v/>
      </c>
      <c r="BD189" s="27" t="str">
        <f t="shared" si="18"/>
        <v/>
      </c>
      <c r="BE189" s="27" t="str">
        <f>VLOOKUP($A189,'[1]Raw Data'!$A$3:$FB$285,65,FALSE)</f>
        <v/>
      </c>
      <c r="BF189" s="27">
        <f>VLOOKUP($A189,'[1]Raw Data'!$A$3:$FB$285,66,FALSE)</f>
        <v>58356</v>
      </c>
      <c r="BG189" s="27" t="str">
        <f>VLOOKUP($A189,'[1]Raw Data'!$A$3:$FB$285,67,FALSE)</f>
        <v/>
      </c>
      <c r="BH189" s="27" t="str">
        <f t="shared" si="19"/>
        <v/>
      </c>
      <c r="BI189" s="27" t="str">
        <f>VLOOKUP($A189,'[1]Raw Data'!$A$3:$FB$285,68,FALSE)</f>
        <v/>
      </c>
      <c r="BJ189" s="27">
        <f>VLOOKUP($A189,'[1]Raw Data'!$A$3:$FB$285,69,FALSE)</f>
        <v>6002</v>
      </c>
      <c r="BK189" s="27" t="str">
        <f>VLOOKUP($A189,'[1]Raw Data'!$A$3:$FB$285,70,FALSE)</f>
        <v/>
      </c>
      <c r="BL189" s="27" t="str">
        <f t="shared" si="20"/>
        <v/>
      </c>
      <c r="BM189" s="27" t="str">
        <f>VLOOKUP($A189,'[1]Raw Data'!$A$3:$FB$285,71,FALSE)</f>
        <v/>
      </c>
      <c r="BN189" s="27">
        <f>VLOOKUP($A189,'[1]Raw Data'!$A$3:$FB$285,72,FALSE)</f>
        <v>6951</v>
      </c>
      <c r="BO189" s="27" t="str">
        <f>VLOOKUP($A189,'[1]Raw Data'!$A$3:$FB$285,73,FALSE)</f>
        <v/>
      </c>
      <c r="BP189" s="27" t="str">
        <f t="shared" si="21"/>
        <v/>
      </c>
      <c r="BQ189" s="27" t="str">
        <f>VLOOKUP($A189,'[1]Raw Data'!$A$3:$FB$285,74,FALSE)</f>
        <v/>
      </c>
      <c r="BR189" s="27" t="str">
        <f>VLOOKUP($A189,'[1]Raw Data'!$A$3:$FB$285,75,FALSE)</f>
        <v/>
      </c>
      <c r="BS189" s="27" t="str">
        <f>VLOOKUP($A189,'[1]Raw Data'!$A$3:$FB$285,76,FALSE)</f>
        <v/>
      </c>
      <c r="BT189" s="27" t="str">
        <f t="shared" si="22"/>
        <v/>
      </c>
      <c r="BU189" s="27" t="str">
        <f>VLOOKUP($A189,'[1]Raw Data'!$A$3:$FB$285,77,FALSE)</f>
        <v/>
      </c>
      <c r="BV189" s="27">
        <f>VLOOKUP($A189,'[1]Raw Data'!$A$3:$FB$285,78,FALSE)</f>
        <v>192976</v>
      </c>
      <c r="BW189" s="27" t="str">
        <f>VLOOKUP($A189,'[1]Raw Data'!$A$3:$FB$285,79,FALSE)</f>
        <v/>
      </c>
      <c r="BX189" s="27" t="str">
        <f t="shared" si="23"/>
        <v/>
      </c>
      <c r="BY189" s="27" t="str">
        <f>VLOOKUP($A189,'[1]Raw Data'!$A$3:$FB$285,80,FALSE)</f>
        <v/>
      </c>
      <c r="BZ189" s="27">
        <f>VLOOKUP($A189,'[1]Raw Data'!$A$3:$FB$285,81,FALSE)</f>
        <v>607101</v>
      </c>
      <c r="CA189" s="27" t="str">
        <f>VLOOKUP($A189,'[1]Raw Data'!$A$3:$FB$285,82,FALSE)</f>
        <v/>
      </c>
      <c r="CB189" s="27" t="str">
        <f t="shared" si="24"/>
        <v/>
      </c>
      <c r="CC189" s="27" t="str">
        <f>VLOOKUP($A189,'[1]Raw Data'!$A$3:$FB$285,83,FALSE)</f>
        <v/>
      </c>
      <c r="CD189" s="27">
        <f>VLOOKUP($A189,'[1]Raw Data'!$A$3:$FB$285,84,FALSE)</f>
        <v>7886</v>
      </c>
      <c r="CE189" s="27" t="str">
        <f>VLOOKUP($A189,'[1]Raw Data'!$A$3:$FB$285,85,FALSE)</f>
        <v/>
      </c>
      <c r="CF189" s="27" t="str">
        <f t="shared" si="25"/>
        <v/>
      </c>
      <c r="CG189" s="27" t="str">
        <f>VLOOKUP($A189,'[1]Raw Data'!$A$3:$FB$285,86,FALSE)</f>
        <v/>
      </c>
      <c r="CH189" s="27">
        <f>VLOOKUP($A189,'[1]Raw Data'!$A$3:$FB$285,87,FALSE)</f>
        <v>459252</v>
      </c>
      <c r="CI189" s="27" t="str">
        <f>VLOOKUP($A189,'[1]Raw Data'!$A$3:$FB$285,88,FALSE)</f>
        <v/>
      </c>
      <c r="CJ189" s="27" t="str">
        <f t="shared" si="26"/>
        <v/>
      </c>
      <c r="CK189" s="27" t="str">
        <f>VLOOKUP($A189,'[1]Raw Data'!$A$3:$FB$285,89,FALSE)</f>
        <v/>
      </c>
      <c r="CL189" s="27" t="str">
        <f>VLOOKUP($A189,'[1]Raw Data'!$A$3:$FB$285,91,FALSE)</f>
        <v/>
      </c>
      <c r="CM189" s="27" t="str">
        <f>VLOOKUP($A189,'[1]Raw Data'!$A$3:$FB$285,93,FALSE)</f>
        <v/>
      </c>
      <c r="CN189" s="27" t="str">
        <f>VLOOKUP($A189,'[1]Raw Data'!$A$3:$FB$285,94,FALSE)</f>
        <v/>
      </c>
      <c r="CO189" s="27" t="str">
        <f>VLOOKUP($A189,'[1]Raw Data'!$A$3:$FB$285,95,FALSE)</f>
        <v/>
      </c>
      <c r="CP189" s="27" t="str">
        <f>VLOOKUP($A189,'[1]Raw Data'!$A$3:$FB$285,96,FALSE)</f>
        <v/>
      </c>
      <c r="CQ189" s="27" t="str">
        <f>VLOOKUP($A189,'[1]Raw Data'!$A$3:$FB$285,97,FALSE)</f>
        <v/>
      </c>
      <c r="CR189" s="27" t="str">
        <f>VLOOKUP($A189,'[1]Raw Data'!$A$3:$FB$285,98,FALSE)</f>
        <v/>
      </c>
      <c r="CS189" s="27" t="str">
        <f>VLOOKUP($A189,'[1]Raw Data'!$A$3:$FB$285,99,FALSE)</f>
        <v/>
      </c>
      <c r="CT189" s="27" t="str">
        <f>VLOOKUP($A189,'[1]Raw Data'!$A$3:$FB$285,101,FALSE)</f>
        <v/>
      </c>
      <c r="CV189" s="27" t="str">
        <f>VLOOKUP($A189,'[1]Raw Data'!$A$3:$FB$285,102,FALSE)</f>
        <v>Chairman</v>
      </c>
      <c r="CW189" s="27" t="s">
        <v>878</v>
      </c>
      <c r="CX189" s="27" t="str">
        <f>VLOOKUP($A189,'[1]Raw Data'!$A$3:$FB$285,103,FALSE)</f>
        <v/>
      </c>
      <c r="CY189" s="27" t="str">
        <f>VLOOKUP($A189,'[1]Raw Data'!$A$3:$FB$285,105,FALSE)</f>
        <v/>
      </c>
      <c r="DA189" s="27" t="str">
        <f>VLOOKUP($A189,'[1]Raw Data'!$A$3:$FB$285,106,FALSE)</f>
        <v>Deputy Chairman</v>
      </c>
      <c r="DB189" s="27" t="s">
        <v>879</v>
      </c>
      <c r="DC189" s="27" t="str">
        <f>VLOOKUP($A189,'[1]Raw Data'!$A$3:$FB$285,107,FALSE)</f>
        <v/>
      </c>
      <c r="DD189" s="27" t="str">
        <f>VLOOKUP($A189,'[1]Raw Data'!$A$3:$FB$285,109,FALSE)</f>
        <v/>
      </c>
      <c r="DF189" s="27" t="str">
        <f>VLOOKUP($A189,'[1]Raw Data'!$A$3:$FB$285,110,FALSE)</f>
        <v>Chief Adminstration Officer</v>
      </c>
      <c r="DG189" s="27" t="s">
        <v>880</v>
      </c>
      <c r="DH189" s="27" t="str">
        <f>VLOOKUP($A189,'[1]Raw Data'!$A$3:$FB$285,111,FALSE)</f>
        <v/>
      </c>
      <c r="DI189" s="27" t="str">
        <f>VLOOKUP($A189,'[1]Raw Data'!$A$3:$FB$285,121,FALSE)</f>
        <v>Milan Nepali</v>
      </c>
      <c r="DJ189" s="27" t="s">
        <v>1426</v>
      </c>
      <c r="DK189" s="27" t="str">
        <f>VLOOKUP($A189,'[1]Raw Data'!$A$3:$FB$285,122,FALSE)</f>
        <v>Focal Person</v>
      </c>
      <c r="DL189" s="27" t="s">
        <v>881</v>
      </c>
      <c r="DM189" s="27">
        <f>VLOOKUP($A189,'[1]Raw Data'!$A$3:$FB$285,123,FALSE)</f>
        <v>984478095</v>
      </c>
      <c r="DN189" s="27" t="str">
        <f>VLOOKUP($A189,'[1]Raw Data'!$A$3:$FB$285,113,FALSE)</f>
        <v>Usesh Shrestha</v>
      </c>
      <c r="DO189" s="27" t="s">
        <v>1425</v>
      </c>
      <c r="DP189" s="27" t="str">
        <f>VLOOKUP($A189,'[1]Raw Data'!$A$3:$FB$285,114,FALSE)</f>
        <v>NRA Chief-District</v>
      </c>
      <c r="DQ189" s="27" t="s">
        <v>882</v>
      </c>
      <c r="DR189" s="27">
        <f>VLOOKUP($A189,'[1]Raw Data'!$A$3:$FB$285,115,FALSE)</f>
        <v>9856046960</v>
      </c>
      <c r="DS189" s="27" t="str">
        <f>VLOOKUP($A189,'[1]Raw Data'!$A$3:$FB$285,117,FALSE)</f>
        <v/>
      </c>
      <c r="DU189" s="27" t="str">
        <f>VLOOKUP($A189,'[1]Raw Data'!$A$3:$FB$285,118,FALSE)</f>
        <v>DUDBC.DLPIU Chief</v>
      </c>
      <c r="DV189" s="27" t="s">
        <v>883</v>
      </c>
      <c r="DW189" s="27" t="str">
        <f>VLOOKUP($A189,'[1]Raw Data'!$A$3:$FB$285,119,FALSE)</f>
        <v/>
      </c>
      <c r="DX189" s="27" t="s">
        <v>339</v>
      </c>
      <c r="DY189" s="27" t="str">
        <f>VLOOKUP($A189,'[1]Raw Data'!$A$3:$FB$285,124,FALSE)</f>
        <v/>
      </c>
      <c r="DZ189" s="27" t="s">
        <v>884</v>
      </c>
      <c r="EA189" s="27" t="str">
        <f>VLOOKUP($A189,'[1]Raw Data'!$A$3:$FB$285,125,FALSE)</f>
        <v/>
      </c>
      <c r="EB189" s="27" t="s">
        <v>341</v>
      </c>
      <c r="EC189" s="27" t="str">
        <f>VLOOKUP($A189,'[1]Raw Data'!$A$3:$FB$285,126,FALSE)</f>
        <v/>
      </c>
      <c r="ED189" t="s">
        <v>478</v>
      </c>
      <c r="EE189" s="27" t="str">
        <f>VLOOKUP($A189,'[1]Raw Data'!$A$3:$FB$285,127,FALSE)</f>
        <v/>
      </c>
      <c r="EF189" s="27" t="s">
        <v>343</v>
      </c>
      <c r="EG189" s="27" t="str">
        <f>VLOOKUP($A189,'[1]Raw Data'!$A$3:$FB$285,128,FALSE)</f>
        <v/>
      </c>
      <c r="EH189" t="s">
        <v>344</v>
      </c>
      <c r="EI189" s="27" t="str">
        <f>VLOOKUP($A189,'[1]Raw Data'!$A$3:$FB$285,129,FALSE)</f>
        <v/>
      </c>
      <c r="EM189" s="27" t="str">
        <f>VLOOKUP($A189,'[1]Raw Data'!$A$3:$FB$285,130,FALSE)</f>
        <v/>
      </c>
      <c r="EN189" s="27" t="str">
        <f>VLOOKUP($A189,'[1]Raw Data'!$A$3:$FB$285,131,FALSE)</f>
        <v/>
      </c>
      <c r="EO189" s="27" t="str">
        <f>VLOOKUP($A189,'[1]Raw Data'!$A$3:$FB$285,132,FALSE)</f>
        <v/>
      </c>
      <c r="EP189" s="27" t="str">
        <f>VLOOKUP($A189,'[1]Raw Data'!$A$3:$FB$285,133,FALSE)</f>
        <v/>
      </c>
      <c r="EQ189" s="27" t="str">
        <f>VLOOKUP($A189,'[1]Raw Data'!$A$3:$FB$285,134,FALSE)</f>
        <v/>
      </c>
      <c r="ER189" s="27" t="str">
        <f>VLOOKUP($A189,'[1]Raw Data'!$A$3:$FB$285,135,FALSE)</f>
        <v/>
      </c>
      <c r="ES189" s="27" t="str">
        <f>VLOOKUP($A189,'[1]Raw Data'!$A$3:$FB$285,136,FALSE)</f>
        <v/>
      </c>
      <c r="ET189" s="27" t="str">
        <f>VLOOKUP($A189,'[1]Raw Data'!$A$3:$FB$285,137,FALSE)</f>
        <v/>
      </c>
      <c r="EU189" s="27" t="str">
        <f>VLOOKUP($A189,'[1]Raw Data'!$A$3:$FB$285,138,FALSE)</f>
        <v/>
      </c>
      <c r="EV189" s="27" t="str">
        <f>VLOOKUP($A189,'[1]Raw Data'!$A$3:$FB$285,139,FALSE)</f>
        <v/>
      </c>
      <c r="EW189" s="38">
        <f>VLOOKUP($A189,[1]Training!$A$2:$I$284,5,FALSE)</f>
        <v>187.46153846153845</v>
      </c>
      <c r="EX189" s="31">
        <f>VLOOKUP($A189,[1]Training!$A$2:$I$284,6,FALSE)</f>
        <v>0</v>
      </c>
      <c r="EY189" s="38">
        <f>VLOOKUP($A189,[1]Training!$A$2:$I$284,8,FALSE)</f>
        <v>221.54545454545453</v>
      </c>
      <c r="EZ189" s="31">
        <f>VLOOKUP($A189,[1]Training!$A$2:$I$284,9,FALSE)</f>
        <v>0</v>
      </c>
      <c r="FA189" s="27">
        <v>1</v>
      </c>
      <c r="FB189" s="27">
        <v>2</v>
      </c>
      <c r="FC189" s="27" t="str">
        <f>VLOOKUP($A189,'[1]Raw Data'!$A$3:$FB$285,148,FALSE)</f>
        <v/>
      </c>
      <c r="FE189" s="27" t="str">
        <f>VLOOKUP($A189,'[1]Raw Data'!$A$3:$FB$285,149,FALSE)</f>
        <v>District Coordinator</v>
      </c>
      <c r="FF189" s="27" t="s">
        <v>885</v>
      </c>
      <c r="FG189" s="27" t="str">
        <f>VLOOKUP($A189,'[1]Raw Data'!$A$3:$FB$285,150,FALSE)</f>
        <v/>
      </c>
      <c r="FH189" s="27" t="str">
        <f>VLOOKUP($A189,'[1]Raw Data'!$A$3:$FB$285,156,FALSE)</f>
        <v/>
      </c>
      <c r="FJ189" s="27" t="str">
        <f>VLOOKUP($A189,'[1]Raw Data'!$A$3:$FB$285,157,FALSE)</f>
        <v>District Technical Officer</v>
      </c>
      <c r="FK189" s="27" t="s">
        <v>886</v>
      </c>
      <c r="FL189" s="27" t="str">
        <f>VLOOKUP($A189,'[1]Raw Data'!$A$3:$FB$285,158,FALSE)</f>
        <v/>
      </c>
      <c r="FM189" s="27" t="str">
        <f>VLOOKUP($A189,'[1]Raw Data'!$A$3:$FB$285,152,FALSE)</f>
        <v/>
      </c>
      <c r="FO189" s="27" t="str">
        <f>VLOOKUP($A189,'[1]Raw Data'!$A$3:$FB$285,153,FALSE)</f>
        <v>DIstrict Information Management Officer</v>
      </c>
      <c r="FP189" s="27" t="s">
        <v>887</v>
      </c>
      <c r="FQ189" s="27" t="str">
        <f>VLOOKUP($A189,'[1]Raw Data'!$A$3:$FB$285,154,FALSE)</f>
        <v/>
      </c>
    </row>
    <row r="190" spans="1:173" ht="24" x14ac:dyDescent="0.45">
      <c r="A190" s="27">
        <v>37004</v>
      </c>
      <c r="B190" s="36" t="str">
        <f ca="1">IFERROR(__xludf.DUMMYFUNCTION("""COMPUTED_VALUE"""),"Kwholasothar Gaunpalika")</f>
        <v>Kwholasothar Gaunpalika</v>
      </c>
      <c r="C190" s="37" t="str">
        <f>VLOOKUP(A190,'[1]Palika and District in Nepali '!$D$1:$F$283,3,FALSE)</f>
        <v>खोलासोथर गाउँपालिका</v>
      </c>
      <c r="D190" s="36" t="str">
        <f ca="1">IFERROR(__xludf.DUMMYFUNCTION("""COMPUTED_VALUE"""),"Lamjung")</f>
        <v>Lamjung</v>
      </c>
      <c r="E190" s="36"/>
      <c r="F190" s="27">
        <f>VLOOKUP(A190,'[1]Raw Data'!$A$3:$FB$285,4,FALSE)</f>
        <v>347</v>
      </c>
      <c r="G190" s="27">
        <f>VLOOKUP(A190,'[1]Raw Data'!$A$3:$FB$285,5,FALSE)</f>
        <v>393</v>
      </c>
      <c r="H190" s="27">
        <f>VLOOKUP(A190,'[1]Raw Data'!$A$3:$FB$285,6,FALSE)</f>
        <v>740</v>
      </c>
      <c r="I190" s="27">
        <f>VLOOKUP($A190,'[1]Raw Data'!$A$3:$FB$285,8,FALSE)</f>
        <v>0.68</v>
      </c>
      <c r="J190" s="27">
        <f>VLOOKUP($A190,'[1]Raw Data'!$A$3:$FB$285,9,FALSE)</f>
        <v>1.63</v>
      </c>
      <c r="K190" s="27">
        <f>VLOOKUP($A190,'[1]Raw Data'!$A$3:$FB$285,11,FALSE)</f>
        <v>61.35</v>
      </c>
      <c r="L190" s="27">
        <f>VLOOKUP($A190,'[1]Raw Data'!$A$3:$FB$285,12,FALSE)</f>
        <v>86.02</v>
      </c>
      <c r="M190" s="27">
        <f>VLOOKUP($A190,'[1]Raw Data'!$A$3:$FB$285,14,FALSE)</f>
        <v>0</v>
      </c>
      <c r="N190" s="27">
        <f>VLOOKUP($A190,'[1]Raw Data'!$A$3:$FB$285,15,FALSE)</f>
        <v>3.02</v>
      </c>
      <c r="O190" s="27">
        <f>VLOOKUP($A190,'[1]Raw Data'!$A$3:$FB$285,17,FALSE)</f>
        <v>0</v>
      </c>
      <c r="P190" s="27">
        <f>VLOOKUP($A190,'[1]Raw Data'!$A$3:$FB$285,18,FALSE)</f>
        <v>1.49</v>
      </c>
      <c r="Q190" s="27">
        <f>VLOOKUP($A190,'[1]Raw Data'!$A$3:$FB$285,20,FALSE)</f>
        <v>0</v>
      </c>
      <c r="R190" s="27">
        <f>VLOOKUP($A190,'[1]Raw Data'!$A$3:$FB$285,21,FALSE)</f>
        <v>2.72</v>
      </c>
      <c r="S190" s="27">
        <f>VLOOKUP($A190,'[1]Raw Data'!$A$3:$FB$285,23,FALSE)</f>
        <v>0</v>
      </c>
      <c r="T190" s="27">
        <f>VLOOKUP($A190,'[1]Raw Data'!$A$3:$FB$285,24,FALSE)</f>
        <v>0</v>
      </c>
      <c r="U190" s="27">
        <f>VLOOKUP($A190,'[1]Raw Data'!$A$3:$FB$285,26,FALSE)</f>
        <v>0.27</v>
      </c>
      <c r="V190" s="27">
        <f>VLOOKUP($A190,'[1]Raw Data'!$A$3:$FB$285,27,FALSE)</f>
        <v>0.25</v>
      </c>
      <c r="W190" s="27">
        <f>VLOOKUP($A190,'[1]Raw Data'!$A$3:$FB$285,29,FALSE)</f>
        <v>0</v>
      </c>
      <c r="X190" s="27">
        <f>VLOOKUP($A190,'[1]Raw Data'!$A$3:$FB$285,30,FALSE)</f>
        <v>0</v>
      </c>
      <c r="Y190" s="27">
        <f>VLOOKUP($A190,'[1]Raw Data'!$A$3:$FB$285,32,FALSE)</f>
        <v>0</v>
      </c>
      <c r="Z190" s="27">
        <f>VLOOKUP($A190,'[1]Raw Data'!$A$3:$FB$285,33,FALSE)</f>
        <v>0.37</v>
      </c>
      <c r="AA190" s="27">
        <f>VLOOKUP($A190,'[1]Raw Data'!$A$3:$FB$285,35,FALSE)</f>
        <v>37.700000000000003</v>
      </c>
      <c r="AB190" s="27">
        <f>VLOOKUP($A190,'[1]Raw Data'!$A$3:$FB$285,36,FALSE)</f>
        <v>4.38</v>
      </c>
      <c r="AC190" s="27">
        <f>VLOOKUP($A190,'[1]Raw Data'!$A$3:$FB$285,38,FALSE)</f>
        <v>0</v>
      </c>
      <c r="AD190" s="27">
        <f>VLOOKUP($A190,'[1]Raw Data'!$A$3:$FB$285,39,FALSE)</f>
        <v>0.13</v>
      </c>
      <c r="AE190" s="27">
        <f>VLOOKUP($A190,'[1]Raw Data'!$A$3:$FB$285,41,FALSE)</f>
        <v>0</v>
      </c>
      <c r="AF190" s="27">
        <f>VLOOKUP($A190,'[1]Raw Data'!$A$3:$FB$285,42,FALSE)</f>
        <v>0</v>
      </c>
      <c r="AG190" s="27">
        <f>VLOOKUP($A190,'[1]Raw Data'!$A$3:$FB$285,44,FALSE)</f>
        <v>0</v>
      </c>
      <c r="AH190" s="27">
        <f>VLOOKUP($A190,'[1]Raw Data'!$A$3:$FB$285,45,FALSE)</f>
        <v>0</v>
      </c>
      <c r="AI190" s="27">
        <f>VLOOKUP($A190,'[1]Raw Data'!$A$3:$FB$285,46,FALSE)</f>
        <v>316</v>
      </c>
      <c r="AJ190" s="27">
        <f>VLOOKUP($A190,'[1]Raw Data'!$A$3:$FB$285,47,FALSE)</f>
        <v>295</v>
      </c>
      <c r="AK190" s="27">
        <f>VLOOKUP($A190,'[1]Raw Data'!$A$3:$FB$285,48,FALSE)</f>
        <v>295</v>
      </c>
      <c r="AL190" s="27">
        <f>VLOOKUP($A190,'[1]Raw Data'!$A$3:$FB$285,49,FALSE)</f>
        <v>34</v>
      </c>
      <c r="AM190" s="27">
        <f>VLOOKUP($A190,'[1]Raw Data'!$A$3:$FB$285,50,FALSE)</f>
        <v>0</v>
      </c>
      <c r="AN190" s="27" t="str">
        <f>VLOOKUP($A190,'[1]Raw Data'!$A$3:$FB$285,51,FALSE)</f>
        <v/>
      </c>
      <c r="AO190" s="27" t="str">
        <f>VLOOKUP($A190,'[1]Raw Data'!$A$3:$FB$285,52,FALSE)</f>
        <v/>
      </c>
      <c r="AP190" s="27">
        <f>VLOOKUP($A190,'[1]Raw Data'!$A$3:$FB$285,53,FALSE)</f>
        <v>72</v>
      </c>
      <c r="AQ190" s="27" t="str">
        <f>VLOOKUP($A190,'[1]Raw Data'!$A$3:$FB$285,54,FALSE)</f>
        <v/>
      </c>
      <c r="AR190" s="27" t="str">
        <f>VLOOKUP($A190,'[1]Raw Data'!$A$3:$FB$285,55,FALSE)</f>
        <v/>
      </c>
      <c r="AS190" s="27" t="str">
        <f>VLOOKUP($A190,'[1]Raw Data'!$A$3:$FB$285,56,FALSE)</f>
        <v/>
      </c>
      <c r="AT190" s="27" t="str">
        <f>VLOOKUP($A190,'[1]Raw Data'!$A$3:$FB$285,57,FALSE)</f>
        <v/>
      </c>
      <c r="AU190" s="27" t="str">
        <f>VLOOKUP($A190,'[1]Raw Data'!$A$3:$FB$285,58,FALSE)</f>
        <v/>
      </c>
      <c r="AV190" s="27" t="str">
        <f>VLOOKUP($A190,'[1]Raw Data'!$A$3:$FB$285,59,FALSE)</f>
        <v/>
      </c>
      <c r="AW190" s="27" t="str">
        <f>VLOOKUP($A190,'[1]Raw Data'!$A$3:$FB$285,60,FALSE)</f>
        <v/>
      </c>
      <c r="AX190" s="27" t="str">
        <f>VLOOKUP(A190,'[1]PO''s List'!A188:E470,4,FALSE)</f>
        <v/>
      </c>
      <c r="AZ190" s="27" t="str">
        <f>VLOOKUP(A190,'[1]PO''s List'!$A$3:$E$285,5,FALSE)</f>
        <v/>
      </c>
      <c r="BB190" s="27">
        <f>VLOOKUP($A190,'[1]Raw Data'!$A$3:$FB$285,63,FALSE)</f>
        <v>8404</v>
      </c>
      <c r="BC190" s="27" t="str">
        <f>VLOOKUP($A190,'[1]Raw Data'!$A$3:$FB$285,64,FALSE)</f>
        <v/>
      </c>
      <c r="BD190" s="27" t="str">
        <f t="shared" si="18"/>
        <v/>
      </c>
      <c r="BE190" s="27" t="str">
        <f>VLOOKUP($A190,'[1]Raw Data'!$A$3:$FB$285,65,FALSE)</f>
        <v/>
      </c>
      <c r="BF190" s="27">
        <f>VLOOKUP($A190,'[1]Raw Data'!$A$3:$FB$285,66,FALSE)</f>
        <v>8640</v>
      </c>
      <c r="BG190" s="27" t="str">
        <f>VLOOKUP($A190,'[1]Raw Data'!$A$3:$FB$285,67,FALSE)</f>
        <v/>
      </c>
      <c r="BH190" s="27" t="str">
        <f t="shared" si="19"/>
        <v/>
      </c>
      <c r="BI190" s="27" t="str">
        <f>VLOOKUP($A190,'[1]Raw Data'!$A$3:$FB$285,68,FALSE)</f>
        <v/>
      </c>
      <c r="BJ190" s="27">
        <f>VLOOKUP($A190,'[1]Raw Data'!$A$3:$FB$285,69,FALSE)</f>
        <v>898</v>
      </c>
      <c r="BK190" s="27" t="str">
        <f>VLOOKUP($A190,'[1]Raw Data'!$A$3:$FB$285,70,FALSE)</f>
        <v/>
      </c>
      <c r="BL190" s="27" t="str">
        <f t="shared" si="20"/>
        <v/>
      </c>
      <c r="BM190" s="27" t="str">
        <f>VLOOKUP($A190,'[1]Raw Data'!$A$3:$FB$285,71,FALSE)</f>
        <v/>
      </c>
      <c r="BN190" s="27">
        <f>VLOOKUP($A190,'[1]Raw Data'!$A$3:$FB$285,72,FALSE)</f>
        <v>1037</v>
      </c>
      <c r="BO190" s="27" t="str">
        <f>VLOOKUP($A190,'[1]Raw Data'!$A$3:$FB$285,73,FALSE)</f>
        <v/>
      </c>
      <c r="BP190" s="27" t="str">
        <f t="shared" si="21"/>
        <v/>
      </c>
      <c r="BQ190" s="27" t="str">
        <f>VLOOKUP($A190,'[1]Raw Data'!$A$3:$FB$285,74,FALSE)</f>
        <v/>
      </c>
      <c r="BR190" s="27" t="str">
        <f>VLOOKUP($A190,'[1]Raw Data'!$A$3:$FB$285,75,FALSE)</f>
        <v/>
      </c>
      <c r="BS190" s="27" t="str">
        <f>VLOOKUP($A190,'[1]Raw Data'!$A$3:$FB$285,76,FALSE)</f>
        <v/>
      </c>
      <c r="BT190" s="27" t="str">
        <f t="shared" si="22"/>
        <v/>
      </c>
      <c r="BU190" s="27" t="str">
        <f>VLOOKUP($A190,'[1]Raw Data'!$A$3:$FB$285,77,FALSE)</f>
        <v/>
      </c>
      <c r="BV190" s="27">
        <f>VLOOKUP($A190,'[1]Raw Data'!$A$3:$FB$285,78,FALSE)</f>
        <v>28776</v>
      </c>
      <c r="BW190" s="27" t="str">
        <f>VLOOKUP($A190,'[1]Raw Data'!$A$3:$FB$285,79,FALSE)</f>
        <v/>
      </c>
      <c r="BX190" s="27" t="str">
        <f t="shared" si="23"/>
        <v/>
      </c>
      <c r="BY190" s="27" t="str">
        <f>VLOOKUP($A190,'[1]Raw Data'!$A$3:$FB$285,80,FALSE)</f>
        <v/>
      </c>
      <c r="BZ190" s="27">
        <f>VLOOKUP($A190,'[1]Raw Data'!$A$3:$FB$285,81,FALSE)</f>
        <v>91277</v>
      </c>
      <c r="CA190" s="27" t="str">
        <f>VLOOKUP($A190,'[1]Raw Data'!$A$3:$FB$285,82,FALSE)</f>
        <v/>
      </c>
      <c r="CB190" s="27" t="str">
        <f t="shared" si="24"/>
        <v/>
      </c>
      <c r="CC190" s="27" t="str">
        <f>VLOOKUP($A190,'[1]Raw Data'!$A$3:$FB$285,83,FALSE)</f>
        <v/>
      </c>
      <c r="CD190" s="27">
        <f>VLOOKUP($A190,'[1]Raw Data'!$A$3:$FB$285,84,FALSE)</f>
        <v>1177</v>
      </c>
      <c r="CE190" s="27" t="str">
        <f>VLOOKUP($A190,'[1]Raw Data'!$A$3:$FB$285,85,FALSE)</f>
        <v/>
      </c>
      <c r="CF190" s="27" t="str">
        <f t="shared" si="25"/>
        <v/>
      </c>
      <c r="CG190" s="27" t="str">
        <f>VLOOKUP($A190,'[1]Raw Data'!$A$3:$FB$285,86,FALSE)</f>
        <v/>
      </c>
      <c r="CH190" s="27">
        <f>VLOOKUP($A190,'[1]Raw Data'!$A$3:$FB$285,87,FALSE)</f>
        <v>104939</v>
      </c>
      <c r="CI190" s="27" t="str">
        <f>VLOOKUP($A190,'[1]Raw Data'!$A$3:$FB$285,88,FALSE)</f>
        <v/>
      </c>
      <c r="CJ190" s="27" t="str">
        <f t="shared" si="26"/>
        <v/>
      </c>
      <c r="CK190" s="27" t="str">
        <f>VLOOKUP($A190,'[1]Raw Data'!$A$3:$FB$285,89,FALSE)</f>
        <v/>
      </c>
      <c r="CL190" s="27" t="str">
        <f>VLOOKUP($A190,'[1]Raw Data'!$A$3:$FB$285,91,FALSE)</f>
        <v/>
      </c>
      <c r="CM190" s="27" t="str">
        <f>VLOOKUP($A190,'[1]Raw Data'!$A$3:$FB$285,93,FALSE)</f>
        <v/>
      </c>
      <c r="CN190" s="27" t="str">
        <f>VLOOKUP($A190,'[1]Raw Data'!$A$3:$FB$285,94,FALSE)</f>
        <v/>
      </c>
      <c r="CO190" s="27" t="str">
        <f>VLOOKUP($A190,'[1]Raw Data'!$A$3:$FB$285,95,FALSE)</f>
        <v/>
      </c>
      <c r="CP190" s="27" t="str">
        <f>VLOOKUP($A190,'[1]Raw Data'!$A$3:$FB$285,96,FALSE)</f>
        <v/>
      </c>
      <c r="CQ190" s="27" t="str">
        <f>VLOOKUP($A190,'[1]Raw Data'!$A$3:$FB$285,97,FALSE)</f>
        <v/>
      </c>
      <c r="CR190" s="27" t="str">
        <f>VLOOKUP($A190,'[1]Raw Data'!$A$3:$FB$285,98,FALSE)</f>
        <v/>
      </c>
      <c r="CS190" s="27" t="str">
        <f>VLOOKUP($A190,'[1]Raw Data'!$A$3:$FB$285,99,FALSE)</f>
        <v/>
      </c>
      <c r="CT190" s="27" t="str">
        <f>VLOOKUP($A190,'[1]Raw Data'!$A$3:$FB$285,101,FALSE)</f>
        <v/>
      </c>
      <c r="CV190" s="27" t="str">
        <f>VLOOKUP($A190,'[1]Raw Data'!$A$3:$FB$285,102,FALSE)</f>
        <v>Chairman</v>
      </c>
      <c r="CW190" s="27" t="s">
        <v>878</v>
      </c>
      <c r="CX190" s="27" t="str">
        <f>VLOOKUP($A190,'[1]Raw Data'!$A$3:$FB$285,103,FALSE)</f>
        <v/>
      </c>
      <c r="CY190" s="27" t="str">
        <f>VLOOKUP($A190,'[1]Raw Data'!$A$3:$FB$285,105,FALSE)</f>
        <v/>
      </c>
      <c r="DA190" s="27" t="str">
        <f>VLOOKUP($A190,'[1]Raw Data'!$A$3:$FB$285,106,FALSE)</f>
        <v>Deputy Chairman</v>
      </c>
      <c r="DB190" s="27" t="s">
        <v>879</v>
      </c>
      <c r="DC190" s="27" t="str">
        <f>VLOOKUP($A190,'[1]Raw Data'!$A$3:$FB$285,107,FALSE)</f>
        <v/>
      </c>
      <c r="DD190" s="27" t="str">
        <f>VLOOKUP($A190,'[1]Raw Data'!$A$3:$FB$285,109,FALSE)</f>
        <v/>
      </c>
      <c r="DF190" s="27" t="str">
        <f>VLOOKUP($A190,'[1]Raw Data'!$A$3:$FB$285,110,FALSE)</f>
        <v>Chief Adminstration Officer</v>
      </c>
      <c r="DG190" s="27" t="s">
        <v>880</v>
      </c>
      <c r="DH190" s="27" t="str">
        <f>VLOOKUP($A190,'[1]Raw Data'!$A$3:$FB$285,111,FALSE)</f>
        <v/>
      </c>
      <c r="DI190" s="27" t="str">
        <f>VLOOKUP($A190,'[1]Raw Data'!$A$3:$FB$285,121,FALSE)</f>
        <v/>
      </c>
      <c r="DK190" s="27" t="str">
        <f>VLOOKUP($A190,'[1]Raw Data'!$A$3:$FB$285,122,FALSE)</f>
        <v>Focal Person</v>
      </c>
      <c r="DL190" s="27" t="s">
        <v>881</v>
      </c>
      <c r="DM190" s="27" t="str">
        <f>VLOOKUP($A190,'[1]Raw Data'!$A$3:$FB$285,123,FALSE)</f>
        <v/>
      </c>
      <c r="DN190" s="27" t="str">
        <f>VLOOKUP($A190,'[1]Raw Data'!$A$3:$FB$285,113,FALSE)</f>
        <v>Usesh Shrestha</v>
      </c>
      <c r="DO190" s="27" t="s">
        <v>1425</v>
      </c>
      <c r="DP190" s="27" t="str">
        <f>VLOOKUP($A190,'[1]Raw Data'!$A$3:$FB$285,114,FALSE)</f>
        <v>NRA Chief-District</v>
      </c>
      <c r="DQ190" s="27" t="s">
        <v>882</v>
      </c>
      <c r="DR190" s="27">
        <f>VLOOKUP($A190,'[1]Raw Data'!$A$3:$FB$285,115,FALSE)</f>
        <v>9856046960</v>
      </c>
      <c r="DS190" s="27" t="str">
        <f>VLOOKUP($A190,'[1]Raw Data'!$A$3:$FB$285,117,FALSE)</f>
        <v/>
      </c>
      <c r="DU190" s="27" t="str">
        <f>VLOOKUP($A190,'[1]Raw Data'!$A$3:$FB$285,118,FALSE)</f>
        <v>DUDBC.DLPIU Chief</v>
      </c>
      <c r="DV190" s="27" t="s">
        <v>883</v>
      </c>
      <c r="DW190" s="27" t="str">
        <f>VLOOKUP($A190,'[1]Raw Data'!$A$3:$FB$285,119,FALSE)</f>
        <v/>
      </c>
      <c r="DX190" s="27" t="s">
        <v>339</v>
      </c>
      <c r="DY190" s="27" t="str">
        <f>VLOOKUP($A190,'[1]Raw Data'!$A$3:$FB$285,124,FALSE)</f>
        <v/>
      </c>
      <c r="DZ190" s="27" t="s">
        <v>884</v>
      </c>
      <c r="EA190" s="27" t="str">
        <f>VLOOKUP($A190,'[1]Raw Data'!$A$3:$FB$285,125,FALSE)</f>
        <v/>
      </c>
      <c r="EB190" s="27" t="s">
        <v>341</v>
      </c>
      <c r="EC190" s="27" t="str">
        <f>VLOOKUP($A190,'[1]Raw Data'!$A$3:$FB$285,126,FALSE)</f>
        <v/>
      </c>
      <c r="ED190" t="s">
        <v>478</v>
      </c>
      <c r="EE190" s="27" t="str">
        <f>VLOOKUP($A190,'[1]Raw Data'!$A$3:$FB$285,127,FALSE)</f>
        <v/>
      </c>
      <c r="EF190" s="27" t="s">
        <v>343</v>
      </c>
      <c r="EG190" s="27" t="str">
        <f>VLOOKUP($A190,'[1]Raw Data'!$A$3:$FB$285,128,FALSE)</f>
        <v/>
      </c>
      <c r="EH190" t="s">
        <v>344</v>
      </c>
      <c r="EI190" s="27" t="str">
        <f>VLOOKUP($A190,'[1]Raw Data'!$A$3:$FB$285,129,FALSE)</f>
        <v/>
      </c>
      <c r="EM190" s="27" t="str">
        <f>VLOOKUP($A190,'[1]Raw Data'!$A$3:$FB$285,130,FALSE)</f>
        <v/>
      </c>
      <c r="EN190" s="27" t="str">
        <f>VLOOKUP($A190,'[1]Raw Data'!$A$3:$FB$285,131,FALSE)</f>
        <v/>
      </c>
      <c r="EO190" s="27" t="str">
        <f>VLOOKUP($A190,'[1]Raw Data'!$A$3:$FB$285,132,FALSE)</f>
        <v/>
      </c>
      <c r="EP190" s="27" t="str">
        <f>VLOOKUP($A190,'[1]Raw Data'!$A$3:$FB$285,133,FALSE)</f>
        <v/>
      </c>
      <c r="EQ190" s="27" t="str">
        <f>VLOOKUP($A190,'[1]Raw Data'!$A$3:$FB$285,134,FALSE)</f>
        <v/>
      </c>
      <c r="ER190" s="27" t="str">
        <f>VLOOKUP($A190,'[1]Raw Data'!$A$3:$FB$285,135,FALSE)</f>
        <v/>
      </c>
      <c r="ES190" s="27" t="str">
        <f>VLOOKUP($A190,'[1]Raw Data'!$A$3:$FB$285,136,FALSE)</f>
        <v/>
      </c>
      <c r="ET190" s="27" t="str">
        <f>VLOOKUP($A190,'[1]Raw Data'!$A$3:$FB$285,137,FALSE)</f>
        <v/>
      </c>
      <c r="EU190" s="27" t="str">
        <f>VLOOKUP($A190,'[1]Raw Data'!$A$3:$FB$285,138,FALSE)</f>
        <v/>
      </c>
      <c r="EV190" s="27" t="str">
        <f>VLOOKUP($A190,'[1]Raw Data'!$A$3:$FB$285,139,FALSE)</f>
        <v/>
      </c>
      <c r="EW190" s="38">
        <f>VLOOKUP($A190,[1]Training!$A$2:$I$284,5,FALSE)</f>
        <v>24.307692307692307</v>
      </c>
      <c r="EX190" s="31">
        <f>VLOOKUP($A190,[1]Training!$A$2:$I$284,6,FALSE)</f>
        <v>0</v>
      </c>
      <c r="EY190" s="38">
        <f>VLOOKUP($A190,[1]Training!$A$2:$I$284,8,FALSE)</f>
        <v>28.727272727272727</v>
      </c>
      <c r="EZ190" s="31">
        <f>VLOOKUP($A190,[1]Training!$A$2:$I$284,9,FALSE)</f>
        <v>0</v>
      </c>
      <c r="FA190" s="27">
        <v>1</v>
      </c>
      <c r="FB190" s="27">
        <v>2</v>
      </c>
      <c r="FC190" s="27" t="str">
        <f>VLOOKUP($A190,'[1]Raw Data'!$A$3:$FB$285,148,FALSE)</f>
        <v/>
      </c>
      <c r="FE190" s="27" t="str">
        <f>VLOOKUP($A190,'[1]Raw Data'!$A$3:$FB$285,149,FALSE)</f>
        <v>District Coordinator</v>
      </c>
      <c r="FF190" s="27" t="s">
        <v>885</v>
      </c>
      <c r="FG190" s="27" t="str">
        <f>VLOOKUP($A190,'[1]Raw Data'!$A$3:$FB$285,150,FALSE)</f>
        <v/>
      </c>
      <c r="FH190" s="27" t="str">
        <f>VLOOKUP($A190,'[1]Raw Data'!$A$3:$FB$285,156,FALSE)</f>
        <v/>
      </c>
      <c r="FJ190" s="27" t="str">
        <f>VLOOKUP($A190,'[1]Raw Data'!$A$3:$FB$285,157,FALSE)</f>
        <v>District Technical Officer</v>
      </c>
      <c r="FK190" s="27" t="s">
        <v>886</v>
      </c>
      <c r="FL190" s="27" t="str">
        <f>VLOOKUP($A190,'[1]Raw Data'!$A$3:$FB$285,158,FALSE)</f>
        <v/>
      </c>
      <c r="FM190" s="27" t="str">
        <f>VLOOKUP($A190,'[1]Raw Data'!$A$3:$FB$285,152,FALSE)</f>
        <v/>
      </c>
      <c r="FO190" s="27" t="str">
        <f>VLOOKUP($A190,'[1]Raw Data'!$A$3:$FB$285,153,FALSE)</f>
        <v>DIstrict Information Management Officer</v>
      </c>
      <c r="FP190" s="27" t="s">
        <v>887</v>
      </c>
      <c r="FQ190" s="27" t="str">
        <f>VLOOKUP($A190,'[1]Raw Data'!$A$3:$FB$285,154,FALSE)</f>
        <v/>
      </c>
    </row>
    <row r="191" spans="1:173" ht="24" x14ac:dyDescent="0.45">
      <c r="A191" s="27">
        <v>37005</v>
      </c>
      <c r="B191" s="36" t="str">
        <f ca="1">IFERROR(__xludf.DUMMYFUNCTION("""COMPUTED_VALUE"""),"MadhyaNepal Nagarpalika")</f>
        <v>MadhyaNepal Nagarpalika</v>
      </c>
      <c r="C191" s="37" t="str">
        <f>VLOOKUP(A191,'[1]Palika and District in Nepali '!$D$1:$F$283,3,FALSE)</f>
        <v>मध्यनेपाल नगरपालिका</v>
      </c>
      <c r="D191" s="36" t="str">
        <f ca="1">IFERROR(__xludf.DUMMYFUNCTION("""COMPUTED_VALUE"""),"Lamjung")</f>
        <v>Lamjung</v>
      </c>
      <c r="E191" s="36"/>
      <c r="F191" s="27">
        <f>VLOOKUP(A191,'[1]Raw Data'!$A$3:$FB$285,4,FALSE)</f>
        <v>757</v>
      </c>
      <c r="G191" s="27">
        <f>VLOOKUP(A191,'[1]Raw Data'!$A$3:$FB$285,5,FALSE)</f>
        <v>1589</v>
      </c>
      <c r="H191" s="27">
        <f>VLOOKUP(A191,'[1]Raw Data'!$A$3:$FB$285,6,FALSE)</f>
        <v>2346</v>
      </c>
      <c r="I191" s="27">
        <f>VLOOKUP($A191,'[1]Raw Data'!$A$3:$FB$285,8,FALSE)</f>
        <v>2.64</v>
      </c>
      <c r="J191" s="27">
        <f>VLOOKUP($A191,'[1]Raw Data'!$A$3:$FB$285,9,FALSE)</f>
        <v>1.63</v>
      </c>
      <c r="K191" s="27">
        <f>VLOOKUP($A191,'[1]Raw Data'!$A$3:$FB$285,11,FALSE)</f>
        <v>92.75</v>
      </c>
      <c r="L191" s="27">
        <f>VLOOKUP($A191,'[1]Raw Data'!$A$3:$FB$285,12,FALSE)</f>
        <v>86.02</v>
      </c>
      <c r="M191" s="27">
        <f>VLOOKUP($A191,'[1]Raw Data'!$A$3:$FB$285,14,FALSE)</f>
        <v>2.4300000000000002</v>
      </c>
      <c r="N191" s="27">
        <f>VLOOKUP($A191,'[1]Raw Data'!$A$3:$FB$285,15,FALSE)</f>
        <v>3.02</v>
      </c>
      <c r="O191" s="27">
        <f>VLOOKUP($A191,'[1]Raw Data'!$A$3:$FB$285,17,FALSE)</f>
        <v>0.38</v>
      </c>
      <c r="P191" s="27">
        <f>VLOOKUP($A191,'[1]Raw Data'!$A$3:$FB$285,18,FALSE)</f>
        <v>1.49</v>
      </c>
      <c r="Q191" s="27">
        <f>VLOOKUP($A191,'[1]Raw Data'!$A$3:$FB$285,20,FALSE)</f>
        <v>0.77</v>
      </c>
      <c r="R191" s="27">
        <f>VLOOKUP($A191,'[1]Raw Data'!$A$3:$FB$285,21,FALSE)</f>
        <v>2.72</v>
      </c>
      <c r="S191" s="27">
        <f>VLOOKUP($A191,'[1]Raw Data'!$A$3:$FB$285,23,FALSE)</f>
        <v>0</v>
      </c>
      <c r="T191" s="27">
        <f>VLOOKUP($A191,'[1]Raw Data'!$A$3:$FB$285,24,FALSE)</f>
        <v>0</v>
      </c>
      <c r="U191" s="27">
        <f>VLOOKUP($A191,'[1]Raw Data'!$A$3:$FB$285,26,FALSE)</f>
        <v>0.09</v>
      </c>
      <c r="V191" s="27">
        <f>VLOOKUP($A191,'[1]Raw Data'!$A$3:$FB$285,27,FALSE)</f>
        <v>0.25</v>
      </c>
      <c r="W191" s="27">
        <f>VLOOKUP($A191,'[1]Raw Data'!$A$3:$FB$285,29,FALSE)</f>
        <v>0</v>
      </c>
      <c r="X191" s="27">
        <f>VLOOKUP($A191,'[1]Raw Data'!$A$3:$FB$285,30,FALSE)</f>
        <v>0</v>
      </c>
      <c r="Y191" s="27">
        <f>VLOOKUP($A191,'[1]Raw Data'!$A$3:$FB$285,32,FALSE)</f>
        <v>0.09</v>
      </c>
      <c r="Z191" s="27">
        <f>VLOOKUP($A191,'[1]Raw Data'!$A$3:$FB$285,33,FALSE)</f>
        <v>0.37</v>
      </c>
      <c r="AA191" s="27">
        <f>VLOOKUP($A191,'[1]Raw Data'!$A$3:$FB$285,35,FALSE)</f>
        <v>0.85</v>
      </c>
      <c r="AB191" s="27">
        <f>VLOOKUP($A191,'[1]Raw Data'!$A$3:$FB$285,36,FALSE)</f>
        <v>4.38</v>
      </c>
      <c r="AC191" s="27">
        <f>VLOOKUP($A191,'[1]Raw Data'!$A$3:$FB$285,38,FALSE)</f>
        <v>0</v>
      </c>
      <c r="AD191" s="27">
        <f>VLOOKUP($A191,'[1]Raw Data'!$A$3:$FB$285,39,FALSE)</f>
        <v>0.13</v>
      </c>
      <c r="AE191" s="27">
        <f>VLOOKUP($A191,'[1]Raw Data'!$A$3:$FB$285,41,FALSE)</f>
        <v>0</v>
      </c>
      <c r="AF191" s="27">
        <f>VLOOKUP($A191,'[1]Raw Data'!$A$3:$FB$285,42,FALSE)</f>
        <v>0</v>
      </c>
      <c r="AG191" s="27">
        <f>VLOOKUP($A191,'[1]Raw Data'!$A$3:$FB$285,44,FALSE)</f>
        <v>0</v>
      </c>
      <c r="AH191" s="27">
        <f>VLOOKUP($A191,'[1]Raw Data'!$A$3:$FB$285,45,FALSE)</f>
        <v>0</v>
      </c>
      <c r="AI191" s="27">
        <f>VLOOKUP($A191,'[1]Raw Data'!$A$3:$FB$285,46,FALSE)</f>
        <v>1505</v>
      </c>
      <c r="AJ191" s="27">
        <f>VLOOKUP($A191,'[1]Raw Data'!$A$3:$FB$285,47,FALSE)</f>
        <v>1754</v>
      </c>
      <c r="AK191" s="27">
        <f>VLOOKUP($A191,'[1]Raw Data'!$A$3:$FB$285,48,FALSE)</f>
        <v>1754</v>
      </c>
      <c r="AL191" s="27">
        <f>VLOOKUP($A191,'[1]Raw Data'!$A$3:$FB$285,49,FALSE)</f>
        <v>318</v>
      </c>
      <c r="AM191" s="27">
        <f>VLOOKUP($A191,'[1]Raw Data'!$A$3:$FB$285,50,FALSE)</f>
        <v>0</v>
      </c>
      <c r="AN191" s="27" t="str">
        <f>VLOOKUP($A191,'[1]Raw Data'!$A$3:$FB$285,51,FALSE)</f>
        <v/>
      </c>
      <c r="AO191" s="27" t="str">
        <f>VLOOKUP($A191,'[1]Raw Data'!$A$3:$FB$285,52,FALSE)</f>
        <v/>
      </c>
      <c r="AP191" s="27">
        <f>VLOOKUP($A191,'[1]Raw Data'!$A$3:$FB$285,53,FALSE)</f>
        <v>54</v>
      </c>
      <c r="AQ191" s="27" t="str">
        <f>VLOOKUP($A191,'[1]Raw Data'!$A$3:$FB$285,54,FALSE)</f>
        <v/>
      </c>
      <c r="AR191" s="27" t="str">
        <f>VLOOKUP($A191,'[1]Raw Data'!$A$3:$FB$285,55,FALSE)</f>
        <v/>
      </c>
      <c r="AS191" s="27" t="str">
        <f>VLOOKUP($A191,'[1]Raw Data'!$A$3:$FB$285,56,FALSE)</f>
        <v/>
      </c>
      <c r="AT191" s="27" t="str">
        <f>VLOOKUP($A191,'[1]Raw Data'!$A$3:$FB$285,57,FALSE)</f>
        <v/>
      </c>
      <c r="AU191" s="27" t="str">
        <f>VLOOKUP($A191,'[1]Raw Data'!$A$3:$FB$285,58,FALSE)</f>
        <v/>
      </c>
      <c r="AV191" s="27" t="str">
        <f>VLOOKUP($A191,'[1]Raw Data'!$A$3:$FB$285,59,FALSE)</f>
        <v/>
      </c>
      <c r="AW191" s="27" t="str">
        <f>VLOOKUP($A191,'[1]Raw Data'!$A$3:$FB$285,60,FALSE)</f>
        <v/>
      </c>
      <c r="AX191" s="27" t="str">
        <f>VLOOKUP(A191,'[1]PO''s List'!A189:E471,4,FALSE)</f>
        <v/>
      </c>
      <c r="AZ191" s="27" t="str">
        <f>VLOOKUP(A191,'[1]PO''s List'!$A$3:$E$285,5,FALSE)</f>
        <v/>
      </c>
      <c r="BB191" s="27">
        <f>VLOOKUP($A191,'[1]Raw Data'!$A$3:$FB$285,63,FALSE)</f>
        <v>46809</v>
      </c>
      <c r="BC191" s="27" t="str">
        <f>VLOOKUP($A191,'[1]Raw Data'!$A$3:$FB$285,64,FALSE)</f>
        <v/>
      </c>
      <c r="BD191" s="27" t="str">
        <f t="shared" si="18"/>
        <v/>
      </c>
      <c r="BE191" s="27" t="str">
        <f>VLOOKUP($A191,'[1]Raw Data'!$A$3:$FB$285,65,FALSE)</f>
        <v/>
      </c>
      <c r="BF191" s="27">
        <f>VLOOKUP($A191,'[1]Raw Data'!$A$3:$FB$285,66,FALSE)</f>
        <v>48276</v>
      </c>
      <c r="BG191" s="27" t="str">
        <f>VLOOKUP($A191,'[1]Raw Data'!$A$3:$FB$285,67,FALSE)</f>
        <v/>
      </c>
      <c r="BH191" s="27" t="str">
        <f t="shared" si="19"/>
        <v/>
      </c>
      <c r="BI191" s="27" t="str">
        <f>VLOOKUP($A191,'[1]Raw Data'!$A$3:$FB$285,68,FALSE)</f>
        <v/>
      </c>
      <c r="BJ191" s="27">
        <f>VLOOKUP($A191,'[1]Raw Data'!$A$3:$FB$285,69,FALSE)</f>
        <v>5001</v>
      </c>
      <c r="BK191" s="27" t="str">
        <f>VLOOKUP($A191,'[1]Raw Data'!$A$3:$FB$285,70,FALSE)</f>
        <v/>
      </c>
      <c r="BL191" s="27" t="str">
        <f t="shared" si="20"/>
        <v/>
      </c>
      <c r="BM191" s="27" t="str">
        <f>VLOOKUP($A191,'[1]Raw Data'!$A$3:$FB$285,71,FALSE)</f>
        <v/>
      </c>
      <c r="BN191" s="27">
        <f>VLOOKUP($A191,'[1]Raw Data'!$A$3:$FB$285,72,FALSE)</f>
        <v>5784</v>
      </c>
      <c r="BO191" s="27" t="str">
        <f>VLOOKUP($A191,'[1]Raw Data'!$A$3:$FB$285,73,FALSE)</f>
        <v/>
      </c>
      <c r="BP191" s="27" t="str">
        <f t="shared" si="21"/>
        <v/>
      </c>
      <c r="BQ191" s="27" t="str">
        <f>VLOOKUP($A191,'[1]Raw Data'!$A$3:$FB$285,74,FALSE)</f>
        <v/>
      </c>
      <c r="BR191" s="27" t="str">
        <f>VLOOKUP($A191,'[1]Raw Data'!$A$3:$FB$285,75,FALSE)</f>
        <v/>
      </c>
      <c r="BS191" s="27" t="str">
        <f>VLOOKUP($A191,'[1]Raw Data'!$A$3:$FB$285,76,FALSE)</f>
        <v/>
      </c>
      <c r="BT191" s="27" t="str">
        <f t="shared" si="22"/>
        <v/>
      </c>
      <c r="BU191" s="27" t="str">
        <f>VLOOKUP($A191,'[1]Raw Data'!$A$3:$FB$285,77,FALSE)</f>
        <v/>
      </c>
      <c r="BV191" s="27">
        <f>VLOOKUP($A191,'[1]Raw Data'!$A$3:$FB$285,78,FALSE)</f>
        <v>160549</v>
      </c>
      <c r="BW191" s="27" t="str">
        <f>VLOOKUP($A191,'[1]Raw Data'!$A$3:$FB$285,79,FALSE)</f>
        <v/>
      </c>
      <c r="BX191" s="27" t="str">
        <f t="shared" si="23"/>
        <v/>
      </c>
      <c r="BY191" s="27" t="str">
        <f>VLOOKUP($A191,'[1]Raw Data'!$A$3:$FB$285,80,FALSE)</f>
        <v/>
      </c>
      <c r="BZ191" s="27">
        <f>VLOOKUP($A191,'[1]Raw Data'!$A$3:$FB$285,81,FALSE)</f>
        <v>507876</v>
      </c>
      <c r="CA191" s="27" t="str">
        <f>VLOOKUP($A191,'[1]Raw Data'!$A$3:$FB$285,82,FALSE)</f>
        <v/>
      </c>
      <c r="CB191" s="27" t="str">
        <f t="shared" si="24"/>
        <v/>
      </c>
      <c r="CC191" s="27" t="str">
        <f>VLOOKUP($A191,'[1]Raw Data'!$A$3:$FB$285,83,FALSE)</f>
        <v/>
      </c>
      <c r="CD191" s="27">
        <f>VLOOKUP($A191,'[1]Raw Data'!$A$3:$FB$285,84,FALSE)</f>
        <v>6566</v>
      </c>
      <c r="CE191" s="27" t="str">
        <f>VLOOKUP($A191,'[1]Raw Data'!$A$3:$FB$285,85,FALSE)</f>
        <v/>
      </c>
      <c r="CF191" s="27" t="str">
        <f t="shared" si="25"/>
        <v/>
      </c>
      <c r="CG191" s="27" t="str">
        <f>VLOOKUP($A191,'[1]Raw Data'!$A$3:$FB$285,86,FALSE)</f>
        <v/>
      </c>
      <c r="CH191" s="27">
        <f>VLOOKUP($A191,'[1]Raw Data'!$A$3:$FB$285,87,FALSE)</f>
        <v>540108</v>
      </c>
      <c r="CI191" s="27" t="str">
        <f>VLOOKUP($A191,'[1]Raw Data'!$A$3:$FB$285,88,FALSE)</f>
        <v/>
      </c>
      <c r="CJ191" s="27" t="str">
        <f t="shared" si="26"/>
        <v/>
      </c>
      <c r="CK191" s="27" t="str">
        <f>VLOOKUP($A191,'[1]Raw Data'!$A$3:$FB$285,89,FALSE)</f>
        <v/>
      </c>
      <c r="CL191" s="27" t="str">
        <f>VLOOKUP($A191,'[1]Raw Data'!$A$3:$FB$285,91,FALSE)</f>
        <v/>
      </c>
      <c r="CM191" s="27" t="str">
        <f>VLOOKUP($A191,'[1]Raw Data'!$A$3:$FB$285,93,FALSE)</f>
        <v/>
      </c>
      <c r="CN191" s="27" t="str">
        <f>VLOOKUP($A191,'[1]Raw Data'!$A$3:$FB$285,94,FALSE)</f>
        <v/>
      </c>
      <c r="CO191" s="27" t="str">
        <f>VLOOKUP($A191,'[1]Raw Data'!$A$3:$FB$285,95,FALSE)</f>
        <v/>
      </c>
      <c r="CP191" s="27" t="str">
        <f>VLOOKUP($A191,'[1]Raw Data'!$A$3:$FB$285,96,FALSE)</f>
        <v/>
      </c>
      <c r="CQ191" s="27" t="str">
        <f>VLOOKUP($A191,'[1]Raw Data'!$A$3:$FB$285,97,FALSE)</f>
        <v/>
      </c>
      <c r="CR191" s="27" t="str">
        <f>VLOOKUP($A191,'[1]Raw Data'!$A$3:$FB$285,98,FALSE)</f>
        <v/>
      </c>
      <c r="CS191" s="27" t="str">
        <f>VLOOKUP($A191,'[1]Raw Data'!$A$3:$FB$285,99,FALSE)</f>
        <v/>
      </c>
      <c r="CT191" s="27" t="str">
        <f>VLOOKUP($A191,'[1]Raw Data'!$A$3:$FB$285,101,FALSE)</f>
        <v/>
      </c>
      <c r="CV191" s="27" t="str">
        <f>VLOOKUP($A191,'[1]Raw Data'!$A$3:$FB$285,102,FALSE)</f>
        <v>Mayor</v>
      </c>
      <c r="CW191" s="27" t="s">
        <v>834</v>
      </c>
      <c r="CX191" s="27" t="str">
        <f>VLOOKUP($A191,'[1]Raw Data'!$A$3:$FB$285,103,FALSE)</f>
        <v/>
      </c>
      <c r="CY191" s="27" t="str">
        <f>VLOOKUP($A191,'[1]Raw Data'!$A$3:$FB$285,105,FALSE)</f>
        <v/>
      </c>
      <c r="DA191" s="27" t="str">
        <f>VLOOKUP($A191,'[1]Raw Data'!$A$3:$FB$285,106,FALSE)</f>
        <v>Deputy Mayor</v>
      </c>
      <c r="DB191" s="27" t="s">
        <v>888</v>
      </c>
      <c r="DC191" s="27" t="str">
        <f>VLOOKUP($A191,'[1]Raw Data'!$A$3:$FB$285,107,FALSE)</f>
        <v/>
      </c>
      <c r="DD191" s="27" t="str">
        <f>VLOOKUP($A191,'[1]Raw Data'!$A$3:$FB$285,109,FALSE)</f>
        <v/>
      </c>
      <c r="DF191" s="27" t="str">
        <f>VLOOKUP($A191,'[1]Raw Data'!$A$3:$FB$285,110,FALSE)</f>
        <v>Chief Adminstration Officer</v>
      </c>
      <c r="DG191" s="27" t="s">
        <v>880</v>
      </c>
      <c r="DH191" s="27" t="str">
        <f>VLOOKUP($A191,'[1]Raw Data'!$A$3:$FB$285,111,FALSE)</f>
        <v/>
      </c>
      <c r="DI191" s="27" t="str">
        <f>VLOOKUP($A191,'[1]Raw Data'!$A$3:$FB$285,121,FALSE)</f>
        <v/>
      </c>
      <c r="DK191" s="27" t="str">
        <f>VLOOKUP($A191,'[1]Raw Data'!$A$3:$FB$285,122,FALSE)</f>
        <v>Focal Person</v>
      </c>
      <c r="DL191" s="27" t="s">
        <v>881</v>
      </c>
      <c r="DM191" s="27" t="str">
        <f>VLOOKUP($A191,'[1]Raw Data'!$A$3:$FB$285,123,FALSE)</f>
        <v/>
      </c>
      <c r="DN191" s="27" t="str">
        <f>VLOOKUP($A191,'[1]Raw Data'!$A$3:$FB$285,113,FALSE)</f>
        <v>Usesh Shrestha</v>
      </c>
      <c r="DO191" s="27" t="s">
        <v>1425</v>
      </c>
      <c r="DP191" s="27" t="str">
        <f>VLOOKUP($A191,'[1]Raw Data'!$A$3:$FB$285,114,FALSE)</f>
        <v>NRA Chief-District</v>
      </c>
      <c r="DQ191" s="27" t="s">
        <v>882</v>
      </c>
      <c r="DR191" s="27">
        <f>VLOOKUP($A191,'[1]Raw Data'!$A$3:$FB$285,115,FALSE)</f>
        <v>9856046960</v>
      </c>
      <c r="DS191" s="27" t="str">
        <f>VLOOKUP($A191,'[1]Raw Data'!$A$3:$FB$285,117,FALSE)</f>
        <v/>
      </c>
      <c r="DU191" s="27" t="str">
        <f>VLOOKUP($A191,'[1]Raw Data'!$A$3:$FB$285,118,FALSE)</f>
        <v>DUDBC.DLPIU Chief</v>
      </c>
      <c r="DV191" s="27" t="s">
        <v>883</v>
      </c>
      <c r="DW191" s="27" t="str">
        <f>VLOOKUP($A191,'[1]Raw Data'!$A$3:$FB$285,119,FALSE)</f>
        <v/>
      </c>
      <c r="DX191" s="27" t="s">
        <v>339</v>
      </c>
      <c r="DY191" s="27" t="str">
        <f>VLOOKUP($A191,'[1]Raw Data'!$A$3:$FB$285,124,FALSE)</f>
        <v/>
      </c>
      <c r="DZ191" s="27" t="s">
        <v>884</v>
      </c>
      <c r="EA191" s="27" t="str">
        <f>VLOOKUP($A191,'[1]Raw Data'!$A$3:$FB$285,125,FALSE)</f>
        <v/>
      </c>
      <c r="EB191" s="27" t="s">
        <v>341</v>
      </c>
      <c r="EC191" s="27" t="str">
        <f>VLOOKUP($A191,'[1]Raw Data'!$A$3:$FB$285,126,FALSE)</f>
        <v/>
      </c>
      <c r="ED191" t="s">
        <v>478</v>
      </c>
      <c r="EE191" s="27" t="str">
        <f>VLOOKUP($A191,'[1]Raw Data'!$A$3:$FB$285,127,FALSE)</f>
        <v/>
      </c>
      <c r="EF191" s="27" t="s">
        <v>343</v>
      </c>
      <c r="EG191" s="27" t="str">
        <f>VLOOKUP($A191,'[1]Raw Data'!$A$3:$FB$285,128,FALSE)</f>
        <v/>
      </c>
      <c r="EH191" t="s">
        <v>344</v>
      </c>
      <c r="EI191" s="27" t="str">
        <f>VLOOKUP($A191,'[1]Raw Data'!$A$3:$FB$285,129,FALSE)</f>
        <v/>
      </c>
      <c r="EM191" s="27" t="str">
        <f>VLOOKUP($A191,'[1]Raw Data'!$A$3:$FB$285,130,FALSE)</f>
        <v/>
      </c>
      <c r="EN191" s="27" t="str">
        <f>VLOOKUP($A191,'[1]Raw Data'!$A$3:$FB$285,131,FALSE)</f>
        <v/>
      </c>
      <c r="EO191" s="27" t="str">
        <f>VLOOKUP($A191,'[1]Raw Data'!$A$3:$FB$285,132,FALSE)</f>
        <v/>
      </c>
      <c r="EP191" s="27" t="str">
        <f>VLOOKUP($A191,'[1]Raw Data'!$A$3:$FB$285,133,FALSE)</f>
        <v/>
      </c>
      <c r="EQ191" s="27" t="str">
        <f>VLOOKUP($A191,'[1]Raw Data'!$A$3:$FB$285,134,FALSE)</f>
        <v/>
      </c>
      <c r="ER191" s="27" t="str">
        <f>VLOOKUP($A191,'[1]Raw Data'!$A$3:$FB$285,135,FALSE)</f>
        <v/>
      </c>
      <c r="ES191" s="27" t="str">
        <f>VLOOKUP($A191,'[1]Raw Data'!$A$3:$FB$285,136,FALSE)</f>
        <v/>
      </c>
      <c r="ET191" s="27" t="str">
        <f>VLOOKUP($A191,'[1]Raw Data'!$A$3:$FB$285,137,FALSE)</f>
        <v/>
      </c>
      <c r="EU191" s="27" t="str">
        <f>VLOOKUP($A191,'[1]Raw Data'!$A$3:$FB$285,138,FALSE)</f>
        <v/>
      </c>
      <c r="EV191" s="27" t="str">
        <f>VLOOKUP($A191,'[1]Raw Data'!$A$3:$FB$285,139,FALSE)</f>
        <v/>
      </c>
      <c r="EW191" s="38">
        <f>VLOOKUP($A191,[1]Training!$A$2:$I$284,5,FALSE)</f>
        <v>115.76923076923077</v>
      </c>
      <c r="EX191" s="31">
        <f>VLOOKUP($A191,[1]Training!$A$2:$I$284,6,FALSE)</f>
        <v>46</v>
      </c>
      <c r="EY191" s="38">
        <f>VLOOKUP($A191,[1]Training!$A$2:$I$284,8,FALSE)</f>
        <v>136.81818181818181</v>
      </c>
      <c r="EZ191" s="31">
        <f>VLOOKUP($A191,[1]Training!$A$2:$I$284,9,FALSE)</f>
        <v>0</v>
      </c>
      <c r="FA191" s="27">
        <v>1</v>
      </c>
      <c r="FB191" s="27">
        <v>2</v>
      </c>
      <c r="FC191" s="27" t="str">
        <f>VLOOKUP($A191,'[1]Raw Data'!$A$3:$FB$285,148,FALSE)</f>
        <v/>
      </c>
      <c r="FE191" s="27" t="str">
        <f>VLOOKUP($A191,'[1]Raw Data'!$A$3:$FB$285,149,FALSE)</f>
        <v>District Coordinator</v>
      </c>
      <c r="FF191" s="27" t="s">
        <v>885</v>
      </c>
      <c r="FG191" s="27" t="str">
        <f>VLOOKUP($A191,'[1]Raw Data'!$A$3:$FB$285,150,FALSE)</f>
        <v/>
      </c>
      <c r="FH191" s="27" t="str">
        <f>VLOOKUP($A191,'[1]Raw Data'!$A$3:$FB$285,156,FALSE)</f>
        <v/>
      </c>
      <c r="FJ191" s="27" t="str">
        <f>VLOOKUP($A191,'[1]Raw Data'!$A$3:$FB$285,157,FALSE)</f>
        <v>District Technical Officer</v>
      </c>
      <c r="FK191" s="27" t="s">
        <v>886</v>
      </c>
      <c r="FL191" s="27" t="str">
        <f>VLOOKUP($A191,'[1]Raw Data'!$A$3:$FB$285,158,FALSE)</f>
        <v/>
      </c>
      <c r="FM191" s="27" t="str">
        <f>VLOOKUP($A191,'[1]Raw Data'!$A$3:$FB$285,152,FALSE)</f>
        <v/>
      </c>
      <c r="FO191" s="27" t="str">
        <f>VLOOKUP($A191,'[1]Raw Data'!$A$3:$FB$285,153,FALSE)</f>
        <v>DIstrict Information Management Officer</v>
      </c>
      <c r="FP191" s="27" t="s">
        <v>887</v>
      </c>
      <c r="FQ191" s="27" t="str">
        <f>VLOOKUP($A191,'[1]Raw Data'!$A$3:$FB$285,154,FALSE)</f>
        <v/>
      </c>
    </row>
    <row r="192" spans="1:173" ht="24" x14ac:dyDescent="0.45">
      <c r="A192" s="27">
        <v>37006</v>
      </c>
      <c r="B192" s="36" t="str">
        <f ca="1">IFERROR(__xludf.DUMMYFUNCTION("""COMPUTED_VALUE"""),"Marsyangdi Gaunpalika")</f>
        <v>Marsyangdi Gaunpalika</v>
      </c>
      <c r="C192" s="37" t="str">
        <f>VLOOKUP(A192,'[1]Palika and District in Nepali '!$D$1:$F$283,3,FALSE)</f>
        <v>मर्स्यांग्दि गाऊँपालिका</v>
      </c>
      <c r="D192" s="36" t="str">
        <f ca="1">IFERROR(__xludf.DUMMYFUNCTION("""COMPUTED_VALUE"""),"Lamjung")</f>
        <v>Lamjung</v>
      </c>
      <c r="E192" s="36"/>
      <c r="F192" s="27">
        <f>VLOOKUP(A192,'[1]Raw Data'!$A$3:$FB$285,4,FALSE)</f>
        <v>812</v>
      </c>
      <c r="G192" s="27">
        <f>VLOOKUP(A192,'[1]Raw Data'!$A$3:$FB$285,5,FALSE)</f>
        <v>1124</v>
      </c>
      <c r="H192" s="27">
        <f>VLOOKUP(A192,'[1]Raw Data'!$A$3:$FB$285,6,FALSE)</f>
        <v>1936</v>
      </c>
      <c r="I192" s="27">
        <f>VLOOKUP($A192,'[1]Raw Data'!$A$3:$FB$285,8,FALSE)</f>
        <v>3.21</v>
      </c>
      <c r="J192" s="27">
        <f>VLOOKUP($A192,'[1]Raw Data'!$A$3:$FB$285,9,FALSE)</f>
        <v>1.63</v>
      </c>
      <c r="K192" s="27">
        <f>VLOOKUP($A192,'[1]Raw Data'!$A$3:$FB$285,11,FALSE)</f>
        <v>76.19</v>
      </c>
      <c r="L192" s="27">
        <f>VLOOKUP($A192,'[1]Raw Data'!$A$3:$FB$285,12,FALSE)</f>
        <v>86.02</v>
      </c>
      <c r="M192" s="27">
        <f>VLOOKUP($A192,'[1]Raw Data'!$A$3:$FB$285,14,FALSE)</f>
        <v>0.88</v>
      </c>
      <c r="N192" s="27">
        <f>VLOOKUP($A192,'[1]Raw Data'!$A$3:$FB$285,15,FALSE)</f>
        <v>3.02</v>
      </c>
      <c r="O192" s="27">
        <f>VLOOKUP($A192,'[1]Raw Data'!$A$3:$FB$285,17,FALSE)</f>
        <v>0.1</v>
      </c>
      <c r="P192" s="27">
        <f>VLOOKUP($A192,'[1]Raw Data'!$A$3:$FB$285,18,FALSE)</f>
        <v>1.49</v>
      </c>
      <c r="Q192" s="27">
        <f>VLOOKUP($A192,'[1]Raw Data'!$A$3:$FB$285,20,FALSE)</f>
        <v>0</v>
      </c>
      <c r="R192" s="27">
        <f>VLOOKUP($A192,'[1]Raw Data'!$A$3:$FB$285,21,FALSE)</f>
        <v>2.72</v>
      </c>
      <c r="S192" s="27">
        <f>VLOOKUP($A192,'[1]Raw Data'!$A$3:$FB$285,23,FALSE)</f>
        <v>0</v>
      </c>
      <c r="T192" s="27">
        <f>VLOOKUP($A192,'[1]Raw Data'!$A$3:$FB$285,24,FALSE)</f>
        <v>0</v>
      </c>
      <c r="U192" s="27">
        <f>VLOOKUP($A192,'[1]Raw Data'!$A$3:$FB$285,26,FALSE)</f>
        <v>0.78</v>
      </c>
      <c r="V192" s="27">
        <f>VLOOKUP($A192,'[1]Raw Data'!$A$3:$FB$285,27,FALSE)</f>
        <v>0.25</v>
      </c>
      <c r="W192" s="27">
        <f>VLOOKUP($A192,'[1]Raw Data'!$A$3:$FB$285,29,FALSE)</f>
        <v>0</v>
      </c>
      <c r="X192" s="27">
        <f>VLOOKUP($A192,'[1]Raw Data'!$A$3:$FB$285,30,FALSE)</f>
        <v>0</v>
      </c>
      <c r="Y192" s="27">
        <f>VLOOKUP($A192,'[1]Raw Data'!$A$3:$FB$285,32,FALSE)</f>
        <v>1.45</v>
      </c>
      <c r="Z192" s="27">
        <f>VLOOKUP($A192,'[1]Raw Data'!$A$3:$FB$285,33,FALSE)</f>
        <v>0.37</v>
      </c>
      <c r="AA192" s="27">
        <f>VLOOKUP($A192,'[1]Raw Data'!$A$3:$FB$285,35,FALSE)</f>
        <v>17.34</v>
      </c>
      <c r="AB192" s="27">
        <f>VLOOKUP($A192,'[1]Raw Data'!$A$3:$FB$285,36,FALSE)</f>
        <v>4.38</v>
      </c>
      <c r="AC192" s="27">
        <f>VLOOKUP($A192,'[1]Raw Data'!$A$3:$FB$285,38,FALSE)</f>
        <v>0.05</v>
      </c>
      <c r="AD192" s="27">
        <f>VLOOKUP($A192,'[1]Raw Data'!$A$3:$FB$285,39,FALSE)</f>
        <v>0.13</v>
      </c>
      <c r="AE192" s="27">
        <f>VLOOKUP($A192,'[1]Raw Data'!$A$3:$FB$285,41,FALSE)</f>
        <v>0</v>
      </c>
      <c r="AF192" s="27">
        <f>VLOOKUP($A192,'[1]Raw Data'!$A$3:$FB$285,42,FALSE)</f>
        <v>0</v>
      </c>
      <c r="AG192" s="27">
        <f>VLOOKUP($A192,'[1]Raw Data'!$A$3:$FB$285,44,FALSE)</f>
        <v>0</v>
      </c>
      <c r="AH192" s="27">
        <f>VLOOKUP($A192,'[1]Raw Data'!$A$3:$FB$285,45,FALSE)</f>
        <v>0</v>
      </c>
      <c r="AI192" s="27">
        <f>VLOOKUP($A192,'[1]Raw Data'!$A$3:$FB$285,46,FALSE)</f>
        <v>922</v>
      </c>
      <c r="AJ192" s="27">
        <f>VLOOKUP($A192,'[1]Raw Data'!$A$3:$FB$285,47,FALSE)</f>
        <v>773</v>
      </c>
      <c r="AK192" s="27">
        <f>VLOOKUP($A192,'[1]Raw Data'!$A$3:$FB$285,48,FALSE)</f>
        <v>773</v>
      </c>
      <c r="AL192" s="27">
        <f>VLOOKUP($A192,'[1]Raw Data'!$A$3:$FB$285,49,FALSE)</f>
        <v>162</v>
      </c>
      <c r="AM192" s="27">
        <f>VLOOKUP($A192,'[1]Raw Data'!$A$3:$FB$285,50,FALSE)</f>
        <v>0</v>
      </c>
      <c r="AN192" s="27" t="str">
        <f>VLOOKUP($A192,'[1]Raw Data'!$A$3:$FB$285,51,FALSE)</f>
        <v/>
      </c>
      <c r="AO192" s="27" t="str">
        <f>VLOOKUP($A192,'[1]Raw Data'!$A$3:$FB$285,52,FALSE)</f>
        <v/>
      </c>
      <c r="AP192" s="27">
        <f>VLOOKUP($A192,'[1]Raw Data'!$A$3:$FB$285,53,FALSE)</f>
        <v>176</v>
      </c>
      <c r="AQ192" s="27" t="str">
        <f>VLOOKUP($A192,'[1]Raw Data'!$A$3:$FB$285,54,FALSE)</f>
        <v/>
      </c>
      <c r="AR192" s="27" t="str">
        <f>VLOOKUP($A192,'[1]Raw Data'!$A$3:$FB$285,55,FALSE)</f>
        <v/>
      </c>
      <c r="AS192" s="27" t="str">
        <f>VLOOKUP($A192,'[1]Raw Data'!$A$3:$FB$285,56,FALSE)</f>
        <v/>
      </c>
      <c r="AT192" s="27" t="str">
        <f>VLOOKUP($A192,'[1]Raw Data'!$A$3:$FB$285,57,FALSE)</f>
        <v/>
      </c>
      <c r="AU192" s="27" t="str">
        <f>VLOOKUP($A192,'[1]Raw Data'!$A$3:$FB$285,58,FALSE)</f>
        <v/>
      </c>
      <c r="AV192" s="27" t="str">
        <f>VLOOKUP($A192,'[1]Raw Data'!$A$3:$FB$285,59,FALSE)</f>
        <v/>
      </c>
      <c r="AW192" s="27" t="str">
        <f>VLOOKUP($A192,'[1]Raw Data'!$A$3:$FB$285,60,FALSE)</f>
        <v/>
      </c>
      <c r="AX192" s="27" t="str">
        <f>VLOOKUP(A192,'[1]PO''s List'!A190:E472,4,FALSE)</f>
        <v/>
      </c>
      <c r="AZ192" s="27" t="str">
        <f>VLOOKUP(A192,'[1]PO''s List'!$A$3:$E$285,5,FALSE)</f>
        <v/>
      </c>
      <c r="BB192" s="27">
        <f>VLOOKUP($A192,'[1]Raw Data'!$A$3:$FB$285,63,FALSE)</f>
        <v>22931</v>
      </c>
      <c r="BC192" s="27" t="str">
        <f>VLOOKUP($A192,'[1]Raw Data'!$A$3:$FB$285,64,FALSE)</f>
        <v/>
      </c>
      <c r="BD192" s="27" t="str">
        <f t="shared" si="18"/>
        <v/>
      </c>
      <c r="BE192" s="27" t="str">
        <f>VLOOKUP($A192,'[1]Raw Data'!$A$3:$FB$285,65,FALSE)</f>
        <v/>
      </c>
      <c r="BF192" s="27">
        <f>VLOOKUP($A192,'[1]Raw Data'!$A$3:$FB$285,66,FALSE)</f>
        <v>22178</v>
      </c>
      <c r="BG192" s="27" t="str">
        <f>VLOOKUP($A192,'[1]Raw Data'!$A$3:$FB$285,67,FALSE)</f>
        <v/>
      </c>
      <c r="BH192" s="27" t="str">
        <f t="shared" si="19"/>
        <v/>
      </c>
      <c r="BI192" s="27" t="str">
        <f>VLOOKUP($A192,'[1]Raw Data'!$A$3:$FB$285,68,FALSE)</f>
        <v/>
      </c>
      <c r="BJ192" s="27">
        <f>VLOOKUP($A192,'[1]Raw Data'!$A$3:$FB$285,69,FALSE)</f>
        <v>2438</v>
      </c>
      <c r="BK192" s="27" t="str">
        <f>VLOOKUP($A192,'[1]Raw Data'!$A$3:$FB$285,70,FALSE)</f>
        <v/>
      </c>
      <c r="BL192" s="27" t="str">
        <f t="shared" si="20"/>
        <v/>
      </c>
      <c r="BM192" s="27" t="str">
        <f>VLOOKUP($A192,'[1]Raw Data'!$A$3:$FB$285,71,FALSE)</f>
        <v/>
      </c>
      <c r="BN192" s="27">
        <f>VLOOKUP($A192,'[1]Raw Data'!$A$3:$FB$285,72,FALSE)</f>
        <v>2774</v>
      </c>
      <c r="BO192" s="27" t="str">
        <f>VLOOKUP($A192,'[1]Raw Data'!$A$3:$FB$285,73,FALSE)</f>
        <v/>
      </c>
      <c r="BP192" s="27" t="str">
        <f t="shared" si="21"/>
        <v/>
      </c>
      <c r="BQ192" s="27" t="str">
        <f>VLOOKUP($A192,'[1]Raw Data'!$A$3:$FB$285,74,FALSE)</f>
        <v/>
      </c>
      <c r="BR192" s="27" t="str">
        <f>VLOOKUP($A192,'[1]Raw Data'!$A$3:$FB$285,75,FALSE)</f>
        <v/>
      </c>
      <c r="BS192" s="27" t="str">
        <f>VLOOKUP($A192,'[1]Raw Data'!$A$3:$FB$285,76,FALSE)</f>
        <v/>
      </c>
      <c r="BT192" s="27" t="str">
        <f t="shared" si="22"/>
        <v/>
      </c>
      <c r="BU192" s="27" t="str">
        <f>VLOOKUP($A192,'[1]Raw Data'!$A$3:$FB$285,77,FALSE)</f>
        <v/>
      </c>
      <c r="BV192" s="27">
        <f>VLOOKUP($A192,'[1]Raw Data'!$A$3:$FB$285,78,FALSE)</f>
        <v>75099</v>
      </c>
      <c r="BW192" s="27" t="str">
        <f>VLOOKUP($A192,'[1]Raw Data'!$A$3:$FB$285,79,FALSE)</f>
        <v/>
      </c>
      <c r="BX192" s="27" t="str">
        <f t="shared" si="23"/>
        <v/>
      </c>
      <c r="BY192" s="27" t="str">
        <f>VLOOKUP($A192,'[1]Raw Data'!$A$3:$FB$285,80,FALSE)</f>
        <v/>
      </c>
      <c r="BZ192" s="27">
        <f>VLOOKUP($A192,'[1]Raw Data'!$A$3:$FB$285,81,FALSE)</f>
        <v>252463</v>
      </c>
      <c r="CA192" s="27" t="str">
        <f>VLOOKUP($A192,'[1]Raw Data'!$A$3:$FB$285,82,FALSE)</f>
        <v/>
      </c>
      <c r="CB192" s="27" t="str">
        <f t="shared" si="24"/>
        <v/>
      </c>
      <c r="CC192" s="27" t="str">
        <f>VLOOKUP($A192,'[1]Raw Data'!$A$3:$FB$285,83,FALSE)</f>
        <v/>
      </c>
      <c r="CD192" s="27">
        <f>VLOOKUP($A192,'[1]Raw Data'!$A$3:$FB$285,84,FALSE)</f>
        <v>3075</v>
      </c>
      <c r="CE192" s="27" t="str">
        <f>VLOOKUP($A192,'[1]Raw Data'!$A$3:$FB$285,85,FALSE)</f>
        <v/>
      </c>
      <c r="CF192" s="27" t="str">
        <f t="shared" si="25"/>
        <v/>
      </c>
      <c r="CG192" s="27" t="str">
        <f>VLOOKUP($A192,'[1]Raw Data'!$A$3:$FB$285,86,FALSE)</f>
        <v/>
      </c>
      <c r="CH192" s="27">
        <f>VLOOKUP($A192,'[1]Raw Data'!$A$3:$FB$285,87,FALSE)</f>
        <v>538551</v>
      </c>
      <c r="CI192" s="27" t="str">
        <f>VLOOKUP($A192,'[1]Raw Data'!$A$3:$FB$285,88,FALSE)</f>
        <v/>
      </c>
      <c r="CJ192" s="27" t="str">
        <f t="shared" si="26"/>
        <v/>
      </c>
      <c r="CK192" s="27" t="str">
        <f>VLOOKUP($A192,'[1]Raw Data'!$A$3:$FB$285,89,FALSE)</f>
        <v/>
      </c>
      <c r="CL192" s="27" t="str">
        <f>VLOOKUP($A192,'[1]Raw Data'!$A$3:$FB$285,91,FALSE)</f>
        <v/>
      </c>
      <c r="CM192" s="27" t="str">
        <f>VLOOKUP($A192,'[1]Raw Data'!$A$3:$FB$285,93,FALSE)</f>
        <v/>
      </c>
      <c r="CN192" s="27" t="str">
        <f>VLOOKUP($A192,'[1]Raw Data'!$A$3:$FB$285,94,FALSE)</f>
        <v/>
      </c>
      <c r="CO192" s="27" t="str">
        <f>VLOOKUP($A192,'[1]Raw Data'!$A$3:$FB$285,95,FALSE)</f>
        <v/>
      </c>
      <c r="CP192" s="27" t="str">
        <f>VLOOKUP($A192,'[1]Raw Data'!$A$3:$FB$285,96,FALSE)</f>
        <v/>
      </c>
      <c r="CQ192" s="27" t="str">
        <f>VLOOKUP($A192,'[1]Raw Data'!$A$3:$FB$285,97,FALSE)</f>
        <v/>
      </c>
      <c r="CR192" s="27" t="str">
        <f>VLOOKUP($A192,'[1]Raw Data'!$A$3:$FB$285,98,FALSE)</f>
        <v/>
      </c>
      <c r="CS192" s="27" t="str">
        <f>VLOOKUP($A192,'[1]Raw Data'!$A$3:$FB$285,99,FALSE)</f>
        <v/>
      </c>
      <c r="CT192" s="27" t="str">
        <f>VLOOKUP($A192,'[1]Raw Data'!$A$3:$FB$285,101,FALSE)</f>
        <v/>
      </c>
      <c r="CV192" s="27" t="str">
        <f>VLOOKUP($A192,'[1]Raw Data'!$A$3:$FB$285,102,FALSE)</f>
        <v>Chairman</v>
      </c>
      <c r="CW192" s="27" t="s">
        <v>878</v>
      </c>
      <c r="CX192" s="27" t="str">
        <f>VLOOKUP($A192,'[1]Raw Data'!$A$3:$FB$285,103,FALSE)</f>
        <v/>
      </c>
      <c r="CY192" s="27" t="str">
        <f>VLOOKUP($A192,'[1]Raw Data'!$A$3:$FB$285,105,FALSE)</f>
        <v/>
      </c>
      <c r="DA192" s="27" t="str">
        <f>VLOOKUP($A192,'[1]Raw Data'!$A$3:$FB$285,106,FALSE)</f>
        <v>Deputy Chairman</v>
      </c>
      <c r="DB192" s="27" t="s">
        <v>879</v>
      </c>
      <c r="DC192" s="27" t="str">
        <f>VLOOKUP($A192,'[1]Raw Data'!$A$3:$FB$285,107,FALSE)</f>
        <v/>
      </c>
      <c r="DD192" s="27" t="str">
        <f>VLOOKUP($A192,'[1]Raw Data'!$A$3:$FB$285,109,FALSE)</f>
        <v/>
      </c>
      <c r="DF192" s="27" t="str">
        <f>VLOOKUP($A192,'[1]Raw Data'!$A$3:$FB$285,110,FALSE)</f>
        <v>Chief Adminstration Officer</v>
      </c>
      <c r="DG192" s="27" t="s">
        <v>880</v>
      </c>
      <c r="DH192" s="27" t="str">
        <f>VLOOKUP($A192,'[1]Raw Data'!$A$3:$FB$285,111,FALSE)</f>
        <v/>
      </c>
      <c r="DI192" s="27" t="str">
        <f>VLOOKUP($A192,'[1]Raw Data'!$A$3:$FB$285,121,FALSE)</f>
        <v>Pradip Kumar Barakoti</v>
      </c>
      <c r="DJ192" s="27" t="s">
        <v>1427</v>
      </c>
      <c r="DK192" s="27" t="str">
        <f>VLOOKUP($A192,'[1]Raw Data'!$A$3:$FB$285,122,FALSE)</f>
        <v>Focal Person</v>
      </c>
      <c r="DL192" s="27" t="s">
        <v>881</v>
      </c>
      <c r="DM192" s="27">
        <f>VLOOKUP($A192,'[1]Raw Data'!$A$3:$FB$285,123,FALSE)</f>
        <v>9841910630</v>
      </c>
      <c r="DN192" s="27" t="str">
        <f>VLOOKUP($A192,'[1]Raw Data'!$A$3:$FB$285,113,FALSE)</f>
        <v>Usesh Shrestha</v>
      </c>
      <c r="DO192" s="27" t="s">
        <v>1425</v>
      </c>
      <c r="DP192" s="27" t="str">
        <f>VLOOKUP($A192,'[1]Raw Data'!$A$3:$FB$285,114,FALSE)</f>
        <v>NRA Chief-District</v>
      </c>
      <c r="DQ192" s="27" t="s">
        <v>882</v>
      </c>
      <c r="DR192" s="27">
        <f>VLOOKUP($A192,'[1]Raw Data'!$A$3:$FB$285,115,FALSE)</f>
        <v>9856046960</v>
      </c>
      <c r="DS192" s="27" t="str">
        <f>VLOOKUP($A192,'[1]Raw Data'!$A$3:$FB$285,117,FALSE)</f>
        <v/>
      </c>
      <c r="DU192" s="27" t="str">
        <f>VLOOKUP($A192,'[1]Raw Data'!$A$3:$FB$285,118,FALSE)</f>
        <v>DUDBC.DLPIU Chief</v>
      </c>
      <c r="DV192" s="27" t="s">
        <v>883</v>
      </c>
      <c r="DW192" s="27" t="str">
        <f>VLOOKUP($A192,'[1]Raw Data'!$A$3:$FB$285,119,FALSE)</f>
        <v/>
      </c>
      <c r="DX192" s="27" t="s">
        <v>339</v>
      </c>
      <c r="DY192" s="27" t="str">
        <f>VLOOKUP($A192,'[1]Raw Data'!$A$3:$FB$285,124,FALSE)</f>
        <v/>
      </c>
      <c r="DZ192" s="27" t="s">
        <v>884</v>
      </c>
      <c r="EA192" s="27" t="str">
        <f>VLOOKUP($A192,'[1]Raw Data'!$A$3:$FB$285,125,FALSE)</f>
        <v/>
      </c>
      <c r="EB192" s="27" t="s">
        <v>341</v>
      </c>
      <c r="EC192" s="27" t="str">
        <f>VLOOKUP($A192,'[1]Raw Data'!$A$3:$FB$285,126,FALSE)</f>
        <v/>
      </c>
      <c r="ED192" t="s">
        <v>478</v>
      </c>
      <c r="EE192" s="27" t="str">
        <f>VLOOKUP($A192,'[1]Raw Data'!$A$3:$FB$285,127,FALSE)</f>
        <v/>
      </c>
      <c r="EF192" s="27" t="s">
        <v>343</v>
      </c>
      <c r="EG192" s="27" t="str">
        <f>VLOOKUP($A192,'[1]Raw Data'!$A$3:$FB$285,128,FALSE)</f>
        <v/>
      </c>
      <c r="EH192" t="s">
        <v>344</v>
      </c>
      <c r="EI192" s="27" t="str">
        <f>VLOOKUP($A192,'[1]Raw Data'!$A$3:$FB$285,129,FALSE)</f>
        <v/>
      </c>
      <c r="EM192" s="27" t="str">
        <f>VLOOKUP($A192,'[1]Raw Data'!$A$3:$FB$285,130,FALSE)</f>
        <v/>
      </c>
      <c r="EN192" s="27" t="str">
        <f>VLOOKUP($A192,'[1]Raw Data'!$A$3:$FB$285,131,FALSE)</f>
        <v/>
      </c>
      <c r="EO192" s="27" t="str">
        <f>VLOOKUP($A192,'[1]Raw Data'!$A$3:$FB$285,132,FALSE)</f>
        <v/>
      </c>
      <c r="EP192" s="27" t="str">
        <f>VLOOKUP($A192,'[1]Raw Data'!$A$3:$FB$285,133,FALSE)</f>
        <v/>
      </c>
      <c r="EQ192" s="27" t="str">
        <f>VLOOKUP($A192,'[1]Raw Data'!$A$3:$FB$285,134,FALSE)</f>
        <v/>
      </c>
      <c r="ER192" s="27" t="str">
        <f>VLOOKUP($A192,'[1]Raw Data'!$A$3:$FB$285,135,FALSE)</f>
        <v/>
      </c>
      <c r="ES192" s="27" t="str">
        <f>VLOOKUP($A192,'[1]Raw Data'!$A$3:$FB$285,136,FALSE)</f>
        <v/>
      </c>
      <c r="ET192" s="27" t="str">
        <f>VLOOKUP($A192,'[1]Raw Data'!$A$3:$FB$285,137,FALSE)</f>
        <v/>
      </c>
      <c r="EU192" s="27" t="str">
        <f>VLOOKUP($A192,'[1]Raw Data'!$A$3:$FB$285,138,FALSE)</f>
        <v/>
      </c>
      <c r="EV192" s="27" t="str">
        <f>VLOOKUP($A192,'[1]Raw Data'!$A$3:$FB$285,139,FALSE)</f>
        <v/>
      </c>
      <c r="EW192" s="38">
        <f>VLOOKUP($A192,[1]Training!$A$2:$I$284,5,FALSE)</f>
        <v>70.92307692307692</v>
      </c>
      <c r="EX192" s="31">
        <f>VLOOKUP($A192,[1]Training!$A$2:$I$284,6,FALSE)</f>
        <v>0</v>
      </c>
      <c r="EY192" s="38">
        <f>VLOOKUP($A192,[1]Training!$A$2:$I$284,8,FALSE)</f>
        <v>83.818181818181813</v>
      </c>
      <c r="EZ192" s="31">
        <f>VLOOKUP($A192,[1]Training!$A$2:$I$284,9,FALSE)</f>
        <v>0</v>
      </c>
      <c r="FA192" s="27">
        <v>1</v>
      </c>
      <c r="FB192" s="27">
        <v>2</v>
      </c>
      <c r="FC192" s="27" t="str">
        <f>VLOOKUP($A192,'[1]Raw Data'!$A$3:$FB$285,148,FALSE)</f>
        <v/>
      </c>
      <c r="FE192" s="27" t="str">
        <f>VLOOKUP($A192,'[1]Raw Data'!$A$3:$FB$285,149,FALSE)</f>
        <v>District Coordinator</v>
      </c>
      <c r="FF192" s="27" t="s">
        <v>885</v>
      </c>
      <c r="FG192" s="27" t="str">
        <f>VLOOKUP($A192,'[1]Raw Data'!$A$3:$FB$285,150,FALSE)</f>
        <v/>
      </c>
      <c r="FH192" s="27" t="str">
        <f>VLOOKUP($A192,'[1]Raw Data'!$A$3:$FB$285,156,FALSE)</f>
        <v/>
      </c>
      <c r="FJ192" s="27" t="str">
        <f>VLOOKUP($A192,'[1]Raw Data'!$A$3:$FB$285,157,FALSE)</f>
        <v>District Technical Officer</v>
      </c>
      <c r="FK192" s="27" t="s">
        <v>886</v>
      </c>
      <c r="FL192" s="27" t="str">
        <f>VLOOKUP($A192,'[1]Raw Data'!$A$3:$FB$285,158,FALSE)</f>
        <v/>
      </c>
      <c r="FM192" s="27" t="str">
        <f>VLOOKUP($A192,'[1]Raw Data'!$A$3:$FB$285,152,FALSE)</f>
        <v/>
      </c>
      <c r="FO192" s="27" t="str">
        <f>VLOOKUP($A192,'[1]Raw Data'!$A$3:$FB$285,153,FALSE)</f>
        <v>DIstrict Information Management Officer</v>
      </c>
      <c r="FP192" s="27" t="s">
        <v>887</v>
      </c>
      <c r="FQ192" s="27" t="str">
        <f>VLOOKUP($A192,'[1]Raw Data'!$A$3:$FB$285,154,FALSE)</f>
        <v/>
      </c>
    </row>
    <row r="193" spans="1:173" ht="24" x14ac:dyDescent="0.45">
      <c r="A193" s="27">
        <v>37007</v>
      </c>
      <c r="B193" s="36" t="str">
        <f ca="1">IFERROR(__xludf.DUMMYFUNCTION("""COMPUTED_VALUE"""),"Rainas Nagarpalika")</f>
        <v>Rainas Nagarpalika</v>
      </c>
      <c r="C193" s="37" t="str">
        <f>VLOOKUP(A193,'[1]Palika and District in Nepali '!$D$1:$F$283,3,FALSE)</f>
        <v>राइनास नगरपालिका</v>
      </c>
      <c r="D193" s="36" t="str">
        <f ca="1">IFERROR(__xludf.DUMMYFUNCTION("""COMPUTED_VALUE"""),"Lamjung")</f>
        <v>Lamjung</v>
      </c>
      <c r="E193" s="36"/>
      <c r="F193" s="27">
        <f>VLOOKUP(A193,'[1]Raw Data'!$A$3:$FB$285,4,FALSE)</f>
        <v>1180</v>
      </c>
      <c r="G193" s="27">
        <f>VLOOKUP(A193,'[1]Raw Data'!$A$3:$FB$285,5,FALSE)</f>
        <v>3182</v>
      </c>
      <c r="H193" s="27">
        <f>VLOOKUP(A193,'[1]Raw Data'!$A$3:$FB$285,6,FALSE)</f>
        <v>4362</v>
      </c>
      <c r="I193" s="27">
        <f>VLOOKUP($A193,'[1]Raw Data'!$A$3:$FB$285,8,FALSE)</f>
        <v>0.73</v>
      </c>
      <c r="J193" s="27">
        <f>VLOOKUP($A193,'[1]Raw Data'!$A$3:$FB$285,9,FALSE)</f>
        <v>1.63</v>
      </c>
      <c r="K193" s="27">
        <f>VLOOKUP($A193,'[1]Raw Data'!$A$3:$FB$285,11,FALSE)</f>
        <v>87.79</v>
      </c>
      <c r="L193" s="27">
        <f>VLOOKUP($A193,'[1]Raw Data'!$A$3:$FB$285,12,FALSE)</f>
        <v>86.02</v>
      </c>
      <c r="M193" s="27">
        <f>VLOOKUP($A193,'[1]Raw Data'!$A$3:$FB$285,14,FALSE)</f>
        <v>1.86</v>
      </c>
      <c r="N193" s="27">
        <f>VLOOKUP($A193,'[1]Raw Data'!$A$3:$FB$285,15,FALSE)</f>
        <v>3.02</v>
      </c>
      <c r="O193" s="27">
        <f>VLOOKUP($A193,'[1]Raw Data'!$A$3:$FB$285,17,FALSE)</f>
        <v>6.68</v>
      </c>
      <c r="P193" s="27">
        <f>VLOOKUP($A193,'[1]Raw Data'!$A$3:$FB$285,18,FALSE)</f>
        <v>1.49</v>
      </c>
      <c r="Q193" s="27">
        <f>VLOOKUP($A193,'[1]Raw Data'!$A$3:$FB$285,20,FALSE)</f>
        <v>1.28</v>
      </c>
      <c r="R193" s="27">
        <f>VLOOKUP($A193,'[1]Raw Data'!$A$3:$FB$285,21,FALSE)</f>
        <v>2.72</v>
      </c>
      <c r="S193" s="27">
        <f>VLOOKUP($A193,'[1]Raw Data'!$A$3:$FB$285,23,FALSE)</f>
        <v>0</v>
      </c>
      <c r="T193" s="27">
        <f>VLOOKUP($A193,'[1]Raw Data'!$A$3:$FB$285,24,FALSE)</f>
        <v>0</v>
      </c>
      <c r="U193" s="27">
        <f>VLOOKUP($A193,'[1]Raw Data'!$A$3:$FB$285,26,FALSE)</f>
        <v>0.46</v>
      </c>
      <c r="V193" s="27">
        <f>VLOOKUP($A193,'[1]Raw Data'!$A$3:$FB$285,27,FALSE)</f>
        <v>0.25</v>
      </c>
      <c r="W193" s="27">
        <f>VLOOKUP($A193,'[1]Raw Data'!$A$3:$FB$285,29,FALSE)</f>
        <v>0</v>
      </c>
      <c r="X193" s="27">
        <f>VLOOKUP($A193,'[1]Raw Data'!$A$3:$FB$285,30,FALSE)</f>
        <v>0</v>
      </c>
      <c r="Y193" s="27">
        <f>VLOOKUP($A193,'[1]Raw Data'!$A$3:$FB$285,32,FALSE)</f>
        <v>0.18</v>
      </c>
      <c r="Z193" s="27">
        <f>VLOOKUP($A193,'[1]Raw Data'!$A$3:$FB$285,33,FALSE)</f>
        <v>0.37</v>
      </c>
      <c r="AA193" s="27">
        <f>VLOOKUP($A193,'[1]Raw Data'!$A$3:$FB$285,35,FALSE)</f>
        <v>0.67</v>
      </c>
      <c r="AB193" s="27">
        <f>VLOOKUP($A193,'[1]Raw Data'!$A$3:$FB$285,36,FALSE)</f>
        <v>4.38</v>
      </c>
      <c r="AC193" s="27">
        <f>VLOOKUP($A193,'[1]Raw Data'!$A$3:$FB$285,38,FALSE)</f>
        <v>0.34</v>
      </c>
      <c r="AD193" s="27">
        <f>VLOOKUP($A193,'[1]Raw Data'!$A$3:$FB$285,39,FALSE)</f>
        <v>0.13</v>
      </c>
      <c r="AE193" s="27">
        <f>VLOOKUP($A193,'[1]Raw Data'!$A$3:$FB$285,41,FALSE)</f>
        <v>0</v>
      </c>
      <c r="AF193" s="27">
        <f>VLOOKUP($A193,'[1]Raw Data'!$A$3:$FB$285,42,FALSE)</f>
        <v>0</v>
      </c>
      <c r="AG193" s="27">
        <f>VLOOKUP($A193,'[1]Raw Data'!$A$3:$FB$285,44,FALSE)</f>
        <v>0</v>
      </c>
      <c r="AH193" s="27">
        <f>VLOOKUP($A193,'[1]Raw Data'!$A$3:$FB$285,45,FALSE)</f>
        <v>0</v>
      </c>
      <c r="AI193" s="27">
        <f>VLOOKUP($A193,'[1]Raw Data'!$A$3:$FB$285,46,FALSE)</f>
        <v>2989</v>
      </c>
      <c r="AJ193" s="27">
        <f>VLOOKUP($A193,'[1]Raw Data'!$A$3:$FB$285,47,FALSE)</f>
        <v>2106</v>
      </c>
      <c r="AK193" s="27">
        <f>VLOOKUP($A193,'[1]Raw Data'!$A$3:$FB$285,48,FALSE)</f>
        <v>2106</v>
      </c>
      <c r="AL193" s="27">
        <f>VLOOKUP($A193,'[1]Raw Data'!$A$3:$FB$285,49,FALSE)</f>
        <v>675</v>
      </c>
      <c r="AM193" s="27">
        <f>VLOOKUP($A193,'[1]Raw Data'!$A$3:$FB$285,50,FALSE)</f>
        <v>2</v>
      </c>
      <c r="AN193" s="27" t="str">
        <f>VLOOKUP($A193,'[1]Raw Data'!$A$3:$FB$285,51,FALSE)</f>
        <v/>
      </c>
      <c r="AO193" s="27" t="str">
        <f>VLOOKUP($A193,'[1]Raw Data'!$A$3:$FB$285,52,FALSE)</f>
        <v/>
      </c>
      <c r="AP193" s="27">
        <f>VLOOKUP($A193,'[1]Raw Data'!$A$3:$FB$285,53,FALSE)</f>
        <v>105</v>
      </c>
      <c r="AQ193" s="27" t="str">
        <f>VLOOKUP($A193,'[1]Raw Data'!$A$3:$FB$285,54,FALSE)</f>
        <v/>
      </c>
      <c r="AR193" s="27" t="str">
        <f>VLOOKUP($A193,'[1]Raw Data'!$A$3:$FB$285,55,FALSE)</f>
        <v/>
      </c>
      <c r="AS193" s="27" t="str">
        <f>VLOOKUP($A193,'[1]Raw Data'!$A$3:$FB$285,56,FALSE)</f>
        <v/>
      </c>
      <c r="AT193" s="27" t="str">
        <f>VLOOKUP($A193,'[1]Raw Data'!$A$3:$FB$285,57,FALSE)</f>
        <v/>
      </c>
      <c r="AU193" s="27" t="str">
        <f>VLOOKUP($A193,'[1]Raw Data'!$A$3:$FB$285,58,FALSE)</f>
        <v/>
      </c>
      <c r="AV193" s="27" t="str">
        <f>VLOOKUP($A193,'[1]Raw Data'!$A$3:$FB$285,59,FALSE)</f>
        <v/>
      </c>
      <c r="AW193" s="27" t="str">
        <f>VLOOKUP($A193,'[1]Raw Data'!$A$3:$FB$285,60,FALSE)</f>
        <v/>
      </c>
      <c r="AX193" s="27" t="str">
        <f>VLOOKUP(A193,'[1]PO''s List'!A191:E473,4,FALSE)</f>
        <v/>
      </c>
      <c r="AZ193" s="27" t="str">
        <f>VLOOKUP(A193,'[1]PO''s List'!$A$3:$E$285,5,FALSE)</f>
        <v>CHOICE(Education)</v>
      </c>
      <c r="BB193" s="27">
        <f>VLOOKUP($A193,'[1]Raw Data'!$A$3:$FB$285,63,FALSE)</f>
        <v>63767</v>
      </c>
      <c r="BC193" s="27" t="str">
        <f>VLOOKUP($A193,'[1]Raw Data'!$A$3:$FB$285,64,FALSE)</f>
        <v/>
      </c>
      <c r="BD193" s="27" t="str">
        <f t="shared" si="18"/>
        <v/>
      </c>
      <c r="BE193" s="27" t="str">
        <f>VLOOKUP($A193,'[1]Raw Data'!$A$3:$FB$285,65,FALSE)</f>
        <v/>
      </c>
      <c r="BF193" s="27">
        <f>VLOOKUP($A193,'[1]Raw Data'!$A$3:$FB$285,66,FALSE)</f>
        <v>61274</v>
      </c>
      <c r="BG193" s="27" t="str">
        <f>VLOOKUP($A193,'[1]Raw Data'!$A$3:$FB$285,67,FALSE)</f>
        <v/>
      </c>
      <c r="BH193" s="27" t="str">
        <f t="shared" si="19"/>
        <v/>
      </c>
      <c r="BI193" s="27" t="str">
        <f>VLOOKUP($A193,'[1]Raw Data'!$A$3:$FB$285,68,FALSE)</f>
        <v/>
      </c>
      <c r="BJ193" s="27">
        <f>VLOOKUP($A193,'[1]Raw Data'!$A$3:$FB$285,69,FALSE)</f>
        <v>6770</v>
      </c>
      <c r="BK193" s="27" t="str">
        <f>VLOOKUP($A193,'[1]Raw Data'!$A$3:$FB$285,70,FALSE)</f>
        <v/>
      </c>
      <c r="BL193" s="27" t="str">
        <f t="shared" si="20"/>
        <v/>
      </c>
      <c r="BM193" s="27" t="str">
        <f>VLOOKUP($A193,'[1]Raw Data'!$A$3:$FB$285,71,FALSE)</f>
        <v/>
      </c>
      <c r="BN193" s="27">
        <f>VLOOKUP($A193,'[1]Raw Data'!$A$3:$FB$285,72,FALSE)</f>
        <v>7669</v>
      </c>
      <c r="BO193" s="27" t="str">
        <f>VLOOKUP($A193,'[1]Raw Data'!$A$3:$FB$285,73,FALSE)</f>
        <v/>
      </c>
      <c r="BP193" s="27" t="str">
        <f t="shared" si="21"/>
        <v/>
      </c>
      <c r="BQ193" s="27" t="str">
        <f>VLOOKUP($A193,'[1]Raw Data'!$A$3:$FB$285,74,FALSE)</f>
        <v/>
      </c>
      <c r="BR193" s="27" t="str">
        <f>VLOOKUP($A193,'[1]Raw Data'!$A$3:$FB$285,75,FALSE)</f>
        <v/>
      </c>
      <c r="BS193" s="27" t="str">
        <f>VLOOKUP($A193,'[1]Raw Data'!$A$3:$FB$285,76,FALSE)</f>
        <v/>
      </c>
      <c r="BT193" s="27" t="str">
        <f t="shared" si="22"/>
        <v/>
      </c>
      <c r="BU193" s="27" t="str">
        <f>VLOOKUP($A193,'[1]Raw Data'!$A$3:$FB$285,77,FALSE)</f>
        <v/>
      </c>
      <c r="BV193" s="27">
        <f>VLOOKUP($A193,'[1]Raw Data'!$A$3:$FB$285,78,FALSE)</f>
        <v>203347</v>
      </c>
      <c r="BW193" s="27" t="str">
        <f>VLOOKUP($A193,'[1]Raw Data'!$A$3:$FB$285,79,FALSE)</f>
        <v/>
      </c>
      <c r="BX193" s="27" t="str">
        <f t="shared" si="23"/>
        <v/>
      </c>
      <c r="BY193" s="27" t="str">
        <f>VLOOKUP($A193,'[1]Raw Data'!$A$3:$FB$285,80,FALSE)</f>
        <v/>
      </c>
      <c r="BZ193" s="27">
        <f>VLOOKUP($A193,'[1]Raw Data'!$A$3:$FB$285,81,FALSE)</f>
        <v>696991</v>
      </c>
      <c r="CA193" s="27" t="str">
        <f>VLOOKUP($A193,'[1]Raw Data'!$A$3:$FB$285,82,FALSE)</f>
        <v/>
      </c>
      <c r="CB193" s="27" t="str">
        <f t="shared" si="24"/>
        <v/>
      </c>
      <c r="CC193" s="27" t="str">
        <f>VLOOKUP($A193,'[1]Raw Data'!$A$3:$FB$285,83,FALSE)</f>
        <v/>
      </c>
      <c r="CD193" s="27">
        <f>VLOOKUP($A193,'[1]Raw Data'!$A$3:$FB$285,84,FALSE)</f>
        <v>8302</v>
      </c>
      <c r="CE193" s="27" t="str">
        <f>VLOOKUP($A193,'[1]Raw Data'!$A$3:$FB$285,85,FALSE)</f>
        <v/>
      </c>
      <c r="CF193" s="27" t="str">
        <f t="shared" si="25"/>
        <v/>
      </c>
      <c r="CG193" s="27" t="str">
        <f>VLOOKUP($A193,'[1]Raw Data'!$A$3:$FB$285,86,FALSE)</f>
        <v/>
      </c>
      <c r="CH193" s="27">
        <f>VLOOKUP($A193,'[1]Raw Data'!$A$3:$FB$285,87,FALSE)</f>
        <v>879292</v>
      </c>
      <c r="CI193" s="27" t="str">
        <f>VLOOKUP($A193,'[1]Raw Data'!$A$3:$FB$285,88,FALSE)</f>
        <v/>
      </c>
      <c r="CJ193" s="27" t="str">
        <f t="shared" si="26"/>
        <v/>
      </c>
      <c r="CK193" s="27" t="str">
        <f>VLOOKUP($A193,'[1]Raw Data'!$A$3:$FB$285,89,FALSE)</f>
        <v/>
      </c>
      <c r="CL193" s="27" t="str">
        <f>VLOOKUP($A193,'[1]Raw Data'!$A$3:$FB$285,91,FALSE)</f>
        <v/>
      </c>
      <c r="CM193" s="27" t="str">
        <f>VLOOKUP($A193,'[1]Raw Data'!$A$3:$FB$285,93,FALSE)</f>
        <v/>
      </c>
      <c r="CN193" s="27" t="str">
        <f>VLOOKUP($A193,'[1]Raw Data'!$A$3:$FB$285,94,FALSE)</f>
        <v/>
      </c>
      <c r="CO193" s="27" t="str">
        <f>VLOOKUP($A193,'[1]Raw Data'!$A$3:$FB$285,95,FALSE)</f>
        <v/>
      </c>
      <c r="CP193" s="27" t="str">
        <f>VLOOKUP($A193,'[1]Raw Data'!$A$3:$FB$285,96,FALSE)</f>
        <v/>
      </c>
      <c r="CQ193" s="27" t="str">
        <f>VLOOKUP($A193,'[1]Raw Data'!$A$3:$FB$285,97,FALSE)</f>
        <v/>
      </c>
      <c r="CR193" s="27" t="str">
        <f>VLOOKUP($A193,'[1]Raw Data'!$A$3:$FB$285,98,FALSE)</f>
        <v/>
      </c>
      <c r="CS193" s="27" t="str">
        <f>VLOOKUP($A193,'[1]Raw Data'!$A$3:$FB$285,99,FALSE)</f>
        <v/>
      </c>
      <c r="CT193" s="27" t="str">
        <f>VLOOKUP($A193,'[1]Raw Data'!$A$3:$FB$285,101,FALSE)</f>
        <v/>
      </c>
      <c r="CV193" s="27" t="str">
        <f>VLOOKUP($A193,'[1]Raw Data'!$A$3:$FB$285,102,FALSE)</f>
        <v>Mayor</v>
      </c>
      <c r="CW193" s="27" t="s">
        <v>834</v>
      </c>
      <c r="CX193" s="27" t="str">
        <f>VLOOKUP($A193,'[1]Raw Data'!$A$3:$FB$285,103,FALSE)</f>
        <v/>
      </c>
      <c r="CY193" s="27" t="str">
        <f>VLOOKUP($A193,'[1]Raw Data'!$A$3:$FB$285,105,FALSE)</f>
        <v/>
      </c>
      <c r="DA193" s="27" t="str">
        <f>VLOOKUP($A193,'[1]Raw Data'!$A$3:$FB$285,106,FALSE)</f>
        <v>Deputy Mayor</v>
      </c>
      <c r="DB193" s="27" t="s">
        <v>888</v>
      </c>
      <c r="DC193" s="27" t="str">
        <f>VLOOKUP($A193,'[1]Raw Data'!$A$3:$FB$285,107,FALSE)</f>
        <v/>
      </c>
      <c r="DD193" s="27" t="str">
        <f>VLOOKUP($A193,'[1]Raw Data'!$A$3:$FB$285,109,FALSE)</f>
        <v/>
      </c>
      <c r="DF193" s="27" t="str">
        <f>VLOOKUP($A193,'[1]Raw Data'!$A$3:$FB$285,110,FALSE)</f>
        <v>Chief Adminstration Officer</v>
      </c>
      <c r="DG193" s="27" t="s">
        <v>880</v>
      </c>
      <c r="DH193" s="27" t="str">
        <f>VLOOKUP($A193,'[1]Raw Data'!$A$3:$FB$285,111,FALSE)</f>
        <v/>
      </c>
      <c r="DI193" s="27" t="str">
        <f>VLOOKUP($A193,'[1]Raw Data'!$A$3:$FB$285,121,FALSE)</f>
        <v>Maya Nand Chaudhary</v>
      </c>
      <c r="DJ193" s="27" t="s">
        <v>1428</v>
      </c>
      <c r="DK193" s="27" t="str">
        <f>VLOOKUP($A193,'[1]Raw Data'!$A$3:$FB$285,122,FALSE)</f>
        <v>Focal Person</v>
      </c>
      <c r="DL193" s="27" t="s">
        <v>881</v>
      </c>
      <c r="DM193" s="27">
        <f>VLOOKUP($A193,'[1]Raw Data'!$A$3:$FB$285,123,FALSE)</f>
        <v>9840203446</v>
      </c>
      <c r="DN193" s="27" t="str">
        <f>VLOOKUP($A193,'[1]Raw Data'!$A$3:$FB$285,113,FALSE)</f>
        <v>Usesh Shrestha</v>
      </c>
      <c r="DO193" s="27" t="s">
        <v>1425</v>
      </c>
      <c r="DP193" s="27" t="str">
        <f>VLOOKUP($A193,'[1]Raw Data'!$A$3:$FB$285,114,FALSE)</f>
        <v>NRA Chief-District</v>
      </c>
      <c r="DQ193" s="27" t="s">
        <v>882</v>
      </c>
      <c r="DR193" s="27">
        <f>VLOOKUP($A193,'[1]Raw Data'!$A$3:$FB$285,115,FALSE)</f>
        <v>9856046960</v>
      </c>
      <c r="DS193" s="27" t="str">
        <f>VLOOKUP($A193,'[1]Raw Data'!$A$3:$FB$285,117,FALSE)</f>
        <v/>
      </c>
      <c r="DU193" s="27" t="str">
        <f>VLOOKUP($A193,'[1]Raw Data'!$A$3:$FB$285,118,FALSE)</f>
        <v>DUDBC.DLPIU Chief</v>
      </c>
      <c r="DV193" s="27" t="s">
        <v>883</v>
      </c>
      <c r="DW193" s="27" t="str">
        <f>VLOOKUP($A193,'[1]Raw Data'!$A$3:$FB$285,119,FALSE)</f>
        <v/>
      </c>
      <c r="DX193" s="27" t="s">
        <v>339</v>
      </c>
      <c r="DY193" s="27" t="str">
        <f>VLOOKUP($A193,'[1]Raw Data'!$A$3:$FB$285,124,FALSE)</f>
        <v/>
      </c>
      <c r="DZ193" s="27" t="s">
        <v>884</v>
      </c>
      <c r="EA193" s="27" t="str">
        <f>VLOOKUP($A193,'[1]Raw Data'!$A$3:$FB$285,125,FALSE)</f>
        <v/>
      </c>
      <c r="EB193" s="27" t="s">
        <v>341</v>
      </c>
      <c r="EC193" s="27" t="str">
        <f>VLOOKUP($A193,'[1]Raw Data'!$A$3:$FB$285,126,FALSE)</f>
        <v/>
      </c>
      <c r="ED193" t="s">
        <v>478</v>
      </c>
      <c r="EE193" s="27" t="str">
        <f>VLOOKUP($A193,'[1]Raw Data'!$A$3:$FB$285,127,FALSE)</f>
        <v/>
      </c>
      <c r="EF193" s="27" t="s">
        <v>343</v>
      </c>
      <c r="EG193" s="27" t="str">
        <f>VLOOKUP($A193,'[1]Raw Data'!$A$3:$FB$285,128,FALSE)</f>
        <v/>
      </c>
      <c r="EH193" t="s">
        <v>344</v>
      </c>
      <c r="EI193" s="27" t="str">
        <f>VLOOKUP($A193,'[1]Raw Data'!$A$3:$FB$285,129,FALSE)</f>
        <v/>
      </c>
      <c r="EM193" s="27" t="str">
        <f>VLOOKUP($A193,'[1]Raw Data'!$A$3:$FB$285,130,FALSE)</f>
        <v/>
      </c>
      <c r="EN193" s="27" t="str">
        <f>VLOOKUP($A193,'[1]Raw Data'!$A$3:$FB$285,131,FALSE)</f>
        <v/>
      </c>
      <c r="EO193" s="27" t="str">
        <f>VLOOKUP($A193,'[1]Raw Data'!$A$3:$FB$285,132,FALSE)</f>
        <v/>
      </c>
      <c r="EP193" s="27" t="str">
        <f>VLOOKUP($A193,'[1]Raw Data'!$A$3:$FB$285,133,FALSE)</f>
        <v/>
      </c>
      <c r="EQ193" s="27" t="str">
        <f>VLOOKUP($A193,'[1]Raw Data'!$A$3:$FB$285,134,FALSE)</f>
        <v/>
      </c>
      <c r="ER193" s="27" t="str">
        <f>VLOOKUP($A193,'[1]Raw Data'!$A$3:$FB$285,135,FALSE)</f>
        <v/>
      </c>
      <c r="ES193" s="27" t="str">
        <f>VLOOKUP($A193,'[1]Raw Data'!$A$3:$FB$285,136,FALSE)</f>
        <v/>
      </c>
      <c r="ET193" s="27" t="str">
        <f>VLOOKUP($A193,'[1]Raw Data'!$A$3:$FB$285,137,FALSE)</f>
        <v/>
      </c>
      <c r="EU193" s="27" t="str">
        <f>VLOOKUP($A193,'[1]Raw Data'!$A$3:$FB$285,138,FALSE)</f>
        <v/>
      </c>
      <c r="EV193" s="27" t="str">
        <f>VLOOKUP($A193,'[1]Raw Data'!$A$3:$FB$285,139,FALSE)</f>
        <v/>
      </c>
      <c r="EW193" s="38">
        <f>VLOOKUP($A193,[1]Training!$A$2:$I$284,5,FALSE)</f>
        <v>229.92307692307693</v>
      </c>
      <c r="EX193" s="31">
        <f>VLOOKUP($A193,[1]Training!$A$2:$I$284,6,FALSE)</f>
        <v>19</v>
      </c>
      <c r="EY193" s="38">
        <f>VLOOKUP($A193,[1]Training!$A$2:$I$284,8,FALSE)</f>
        <v>271.72727272727275</v>
      </c>
      <c r="EZ193" s="31">
        <f>VLOOKUP($A193,[1]Training!$A$2:$I$284,9,FALSE)</f>
        <v>0</v>
      </c>
      <c r="FA193" s="27">
        <v>1</v>
      </c>
      <c r="FB193" s="27">
        <v>2</v>
      </c>
      <c r="FC193" s="27" t="str">
        <f>VLOOKUP($A193,'[1]Raw Data'!$A$3:$FB$285,148,FALSE)</f>
        <v/>
      </c>
      <c r="FE193" s="27" t="str">
        <f>VLOOKUP($A193,'[1]Raw Data'!$A$3:$FB$285,149,FALSE)</f>
        <v>District Coordinator</v>
      </c>
      <c r="FF193" s="27" t="s">
        <v>885</v>
      </c>
      <c r="FG193" s="27" t="str">
        <f>VLOOKUP($A193,'[1]Raw Data'!$A$3:$FB$285,150,FALSE)</f>
        <v/>
      </c>
      <c r="FH193" s="27" t="str">
        <f>VLOOKUP($A193,'[1]Raw Data'!$A$3:$FB$285,156,FALSE)</f>
        <v/>
      </c>
      <c r="FJ193" s="27" t="str">
        <f>VLOOKUP($A193,'[1]Raw Data'!$A$3:$FB$285,157,FALSE)</f>
        <v>District Technical Officer</v>
      </c>
      <c r="FK193" s="27" t="s">
        <v>886</v>
      </c>
      <c r="FL193" s="27" t="str">
        <f>VLOOKUP($A193,'[1]Raw Data'!$A$3:$FB$285,158,FALSE)</f>
        <v/>
      </c>
      <c r="FM193" s="27" t="str">
        <f>VLOOKUP($A193,'[1]Raw Data'!$A$3:$FB$285,152,FALSE)</f>
        <v/>
      </c>
      <c r="FO193" s="27" t="str">
        <f>VLOOKUP($A193,'[1]Raw Data'!$A$3:$FB$285,153,FALSE)</f>
        <v>DIstrict Information Management Officer</v>
      </c>
      <c r="FP193" s="27" t="s">
        <v>887</v>
      </c>
      <c r="FQ193" s="27" t="str">
        <f>VLOOKUP($A193,'[1]Raw Data'!$A$3:$FB$285,154,FALSE)</f>
        <v/>
      </c>
    </row>
    <row r="194" spans="1:173" ht="24" x14ac:dyDescent="0.45">
      <c r="A194" s="27">
        <v>37008</v>
      </c>
      <c r="B194" s="36" t="str">
        <f ca="1">IFERROR(__xludf.DUMMYFUNCTION("""COMPUTED_VALUE"""),"Sundarbazar Nagarpalika")</f>
        <v>Sundarbazar Nagarpalika</v>
      </c>
      <c r="C194" s="37" t="str">
        <f>VLOOKUP(A194,'[1]Palika and District in Nepali '!$D$1:$F$283,3,FALSE)</f>
        <v>सुन्दरबजार नगरपालिका</v>
      </c>
      <c r="D194" s="36" t="str">
        <f ca="1">IFERROR(__xludf.DUMMYFUNCTION("""COMPUTED_VALUE"""),"Lamjung")</f>
        <v>Lamjung</v>
      </c>
      <c r="E194" s="36"/>
      <c r="F194" s="27">
        <f>VLOOKUP(A194,'[1]Raw Data'!$A$3:$FB$285,4,FALSE)</f>
        <v>1630</v>
      </c>
      <c r="G194" s="27">
        <f>VLOOKUP(A194,'[1]Raw Data'!$A$3:$FB$285,5,FALSE)</f>
        <v>2454</v>
      </c>
      <c r="H194" s="27">
        <f>VLOOKUP(A194,'[1]Raw Data'!$A$3:$FB$285,6,FALSE)</f>
        <v>4084</v>
      </c>
      <c r="I194" s="27">
        <f>VLOOKUP($A194,'[1]Raw Data'!$A$3:$FB$285,8,FALSE)</f>
        <v>1.69</v>
      </c>
      <c r="J194" s="27">
        <f>VLOOKUP($A194,'[1]Raw Data'!$A$3:$FB$285,9,FALSE)</f>
        <v>1.63</v>
      </c>
      <c r="K194" s="27">
        <f>VLOOKUP($A194,'[1]Raw Data'!$A$3:$FB$285,11,FALSE)</f>
        <v>70.760000000000005</v>
      </c>
      <c r="L194" s="27">
        <f>VLOOKUP($A194,'[1]Raw Data'!$A$3:$FB$285,12,FALSE)</f>
        <v>86.02</v>
      </c>
      <c r="M194" s="27">
        <f>VLOOKUP($A194,'[1]Raw Data'!$A$3:$FB$285,14,FALSE)</f>
        <v>8.33</v>
      </c>
      <c r="N194" s="27">
        <f>VLOOKUP($A194,'[1]Raw Data'!$A$3:$FB$285,15,FALSE)</f>
        <v>3.02</v>
      </c>
      <c r="O194" s="27">
        <f>VLOOKUP($A194,'[1]Raw Data'!$A$3:$FB$285,17,FALSE)</f>
        <v>0.51</v>
      </c>
      <c r="P194" s="27">
        <f>VLOOKUP($A194,'[1]Raw Data'!$A$3:$FB$285,18,FALSE)</f>
        <v>1.49</v>
      </c>
      <c r="Q194" s="27">
        <f>VLOOKUP($A194,'[1]Raw Data'!$A$3:$FB$285,20,FALSE)</f>
        <v>12.32</v>
      </c>
      <c r="R194" s="27">
        <f>VLOOKUP($A194,'[1]Raw Data'!$A$3:$FB$285,21,FALSE)</f>
        <v>2.72</v>
      </c>
      <c r="S194" s="27">
        <f>VLOOKUP($A194,'[1]Raw Data'!$A$3:$FB$285,23,FALSE)</f>
        <v>0</v>
      </c>
      <c r="T194" s="27">
        <f>VLOOKUP($A194,'[1]Raw Data'!$A$3:$FB$285,24,FALSE)</f>
        <v>0</v>
      </c>
      <c r="U194" s="27">
        <f>VLOOKUP($A194,'[1]Raw Data'!$A$3:$FB$285,26,FALSE)</f>
        <v>0.1</v>
      </c>
      <c r="V194" s="27">
        <f>VLOOKUP($A194,'[1]Raw Data'!$A$3:$FB$285,27,FALSE)</f>
        <v>0.25</v>
      </c>
      <c r="W194" s="27">
        <f>VLOOKUP($A194,'[1]Raw Data'!$A$3:$FB$285,29,FALSE)</f>
        <v>0</v>
      </c>
      <c r="X194" s="27">
        <f>VLOOKUP($A194,'[1]Raw Data'!$A$3:$FB$285,30,FALSE)</f>
        <v>0</v>
      </c>
      <c r="Y194" s="27">
        <f>VLOOKUP($A194,'[1]Raw Data'!$A$3:$FB$285,32,FALSE)</f>
        <v>0.12</v>
      </c>
      <c r="Z194" s="27">
        <f>VLOOKUP($A194,'[1]Raw Data'!$A$3:$FB$285,33,FALSE)</f>
        <v>0.37</v>
      </c>
      <c r="AA194" s="27">
        <f>VLOOKUP($A194,'[1]Raw Data'!$A$3:$FB$285,35,FALSE)</f>
        <v>6.15</v>
      </c>
      <c r="AB194" s="27">
        <f>VLOOKUP($A194,'[1]Raw Data'!$A$3:$FB$285,36,FALSE)</f>
        <v>4.38</v>
      </c>
      <c r="AC194" s="27">
        <f>VLOOKUP($A194,'[1]Raw Data'!$A$3:$FB$285,38,FALSE)</f>
        <v>0.02</v>
      </c>
      <c r="AD194" s="27">
        <f>VLOOKUP($A194,'[1]Raw Data'!$A$3:$FB$285,39,FALSE)</f>
        <v>0.13</v>
      </c>
      <c r="AE194" s="27">
        <f>VLOOKUP($A194,'[1]Raw Data'!$A$3:$FB$285,41,FALSE)</f>
        <v>0</v>
      </c>
      <c r="AF194" s="27">
        <f>VLOOKUP($A194,'[1]Raw Data'!$A$3:$FB$285,42,FALSE)</f>
        <v>0</v>
      </c>
      <c r="AG194" s="27">
        <f>VLOOKUP($A194,'[1]Raw Data'!$A$3:$FB$285,44,FALSE)</f>
        <v>0</v>
      </c>
      <c r="AH194" s="27">
        <f>VLOOKUP($A194,'[1]Raw Data'!$A$3:$FB$285,45,FALSE)</f>
        <v>0</v>
      </c>
      <c r="AI194" s="27">
        <f>VLOOKUP($A194,'[1]Raw Data'!$A$3:$FB$285,46,FALSE)</f>
        <v>2257</v>
      </c>
      <c r="AJ194" s="27">
        <f>VLOOKUP($A194,'[1]Raw Data'!$A$3:$FB$285,47,FALSE)</f>
        <v>2825</v>
      </c>
      <c r="AK194" s="27">
        <f>VLOOKUP($A194,'[1]Raw Data'!$A$3:$FB$285,48,FALSE)</f>
        <v>2825</v>
      </c>
      <c r="AL194" s="27">
        <f>VLOOKUP($A194,'[1]Raw Data'!$A$3:$FB$285,49,FALSE)</f>
        <v>710</v>
      </c>
      <c r="AM194" s="27">
        <f>VLOOKUP($A194,'[1]Raw Data'!$A$3:$FB$285,50,FALSE)</f>
        <v>1</v>
      </c>
      <c r="AN194" s="27" t="str">
        <f>VLOOKUP($A194,'[1]Raw Data'!$A$3:$FB$285,51,FALSE)</f>
        <v/>
      </c>
      <c r="AO194" s="27" t="str">
        <f>VLOOKUP($A194,'[1]Raw Data'!$A$3:$FB$285,52,FALSE)</f>
        <v/>
      </c>
      <c r="AP194" s="27">
        <f>VLOOKUP($A194,'[1]Raw Data'!$A$3:$FB$285,53,FALSE)</f>
        <v>90</v>
      </c>
      <c r="AQ194" s="27" t="str">
        <f>VLOOKUP($A194,'[1]Raw Data'!$A$3:$FB$285,54,FALSE)</f>
        <v/>
      </c>
      <c r="AR194" s="27" t="str">
        <f>VLOOKUP($A194,'[1]Raw Data'!$A$3:$FB$285,55,FALSE)</f>
        <v/>
      </c>
      <c r="AS194" s="27" t="str">
        <f>VLOOKUP($A194,'[1]Raw Data'!$A$3:$FB$285,56,FALSE)</f>
        <v/>
      </c>
      <c r="AT194" s="27" t="str">
        <f>VLOOKUP($A194,'[1]Raw Data'!$A$3:$FB$285,57,FALSE)</f>
        <v/>
      </c>
      <c r="AU194" s="27" t="str">
        <f>VLOOKUP($A194,'[1]Raw Data'!$A$3:$FB$285,58,FALSE)</f>
        <v/>
      </c>
      <c r="AV194" s="27" t="str">
        <f>VLOOKUP($A194,'[1]Raw Data'!$A$3:$FB$285,59,FALSE)</f>
        <v/>
      </c>
      <c r="AW194" s="27" t="str">
        <f>VLOOKUP($A194,'[1]Raw Data'!$A$3:$FB$285,60,FALSE)</f>
        <v/>
      </c>
      <c r="AX194" s="27" t="str">
        <f>VLOOKUP(A194,'[1]PO''s List'!A192:E474,4,FALSE)</f>
        <v/>
      </c>
      <c r="AZ194" s="27" t="str">
        <f>VLOOKUP(A194,'[1]PO''s List'!$A$3:$E$285,5,FALSE)</f>
        <v>WVIN(Education)</v>
      </c>
      <c r="BB194" s="27">
        <f>VLOOKUP($A194,'[1]Raw Data'!$A$3:$FB$285,63,FALSE)</f>
        <v>102119</v>
      </c>
      <c r="BC194" s="27" t="str">
        <f>VLOOKUP($A194,'[1]Raw Data'!$A$3:$FB$285,64,FALSE)</f>
        <v/>
      </c>
      <c r="BD194" s="27" t="str">
        <f t="shared" si="18"/>
        <v/>
      </c>
      <c r="BE194" s="27" t="str">
        <f>VLOOKUP($A194,'[1]Raw Data'!$A$3:$FB$285,65,FALSE)</f>
        <v/>
      </c>
      <c r="BF194" s="27">
        <f>VLOOKUP($A194,'[1]Raw Data'!$A$3:$FB$285,66,FALSE)</f>
        <v>78295</v>
      </c>
      <c r="BG194" s="27" t="str">
        <f>VLOOKUP($A194,'[1]Raw Data'!$A$3:$FB$285,67,FALSE)</f>
        <v/>
      </c>
      <c r="BH194" s="27" t="str">
        <f t="shared" si="19"/>
        <v/>
      </c>
      <c r="BI194" s="27" t="str">
        <f>VLOOKUP($A194,'[1]Raw Data'!$A$3:$FB$285,68,FALSE)</f>
        <v/>
      </c>
      <c r="BJ194" s="27">
        <f>VLOOKUP($A194,'[1]Raw Data'!$A$3:$FB$285,69,FALSE)</f>
        <v>10659</v>
      </c>
      <c r="BK194" s="27" t="str">
        <f>VLOOKUP($A194,'[1]Raw Data'!$A$3:$FB$285,70,FALSE)</f>
        <v/>
      </c>
      <c r="BL194" s="27" t="str">
        <f t="shared" si="20"/>
        <v/>
      </c>
      <c r="BM194" s="27" t="str">
        <f>VLOOKUP($A194,'[1]Raw Data'!$A$3:$FB$285,71,FALSE)</f>
        <v/>
      </c>
      <c r="BN194" s="27">
        <f>VLOOKUP($A194,'[1]Raw Data'!$A$3:$FB$285,72,FALSE)</f>
        <v>11404</v>
      </c>
      <c r="BO194" s="27" t="str">
        <f>VLOOKUP($A194,'[1]Raw Data'!$A$3:$FB$285,73,FALSE)</f>
        <v/>
      </c>
      <c r="BP194" s="27" t="str">
        <f t="shared" si="21"/>
        <v/>
      </c>
      <c r="BQ194" s="27" t="str">
        <f>VLOOKUP($A194,'[1]Raw Data'!$A$3:$FB$285,74,FALSE)</f>
        <v/>
      </c>
      <c r="BR194" s="27" t="str">
        <f>VLOOKUP($A194,'[1]Raw Data'!$A$3:$FB$285,75,FALSE)</f>
        <v/>
      </c>
      <c r="BS194" s="27" t="str">
        <f>VLOOKUP($A194,'[1]Raw Data'!$A$3:$FB$285,76,FALSE)</f>
        <v/>
      </c>
      <c r="BT194" s="27" t="str">
        <f t="shared" si="22"/>
        <v/>
      </c>
      <c r="BU194" s="27" t="str">
        <f>VLOOKUP($A194,'[1]Raw Data'!$A$3:$FB$285,77,FALSE)</f>
        <v/>
      </c>
      <c r="BV194" s="27">
        <f>VLOOKUP($A194,'[1]Raw Data'!$A$3:$FB$285,78,FALSE)</f>
        <v>265415</v>
      </c>
      <c r="BW194" s="27" t="str">
        <f>VLOOKUP($A194,'[1]Raw Data'!$A$3:$FB$285,79,FALSE)</f>
        <v/>
      </c>
      <c r="BX194" s="27" t="str">
        <f t="shared" si="23"/>
        <v/>
      </c>
      <c r="BY194" s="27" t="str">
        <f>VLOOKUP($A194,'[1]Raw Data'!$A$3:$FB$285,80,FALSE)</f>
        <v/>
      </c>
      <c r="BZ194" s="27">
        <f>VLOOKUP($A194,'[1]Raw Data'!$A$3:$FB$285,81,FALSE)</f>
        <v>1149048</v>
      </c>
      <c r="CA194" s="27" t="str">
        <f>VLOOKUP($A194,'[1]Raw Data'!$A$3:$FB$285,82,FALSE)</f>
        <v/>
      </c>
      <c r="CB194" s="27" t="str">
        <f t="shared" si="24"/>
        <v/>
      </c>
      <c r="CC194" s="27" t="str">
        <f>VLOOKUP($A194,'[1]Raw Data'!$A$3:$FB$285,83,FALSE)</f>
        <v/>
      </c>
      <c r="CD194" s="27">
        <f>VLOOKUP($A194,'[1]Raw Data'!$A$3:$FB$285,84,FALSE)</f>
        <v>10817</v>
      </c>
      <c r="CE194" s="27" t="str">
        <f>VLOOKUP($A194,'[1]Raw Data'!$A$3:$FB$285,85,FALSE)</f>
        <v/>
      </c>
      <c r="CF194" s="27" t="str">
        <f t="shared" si="25"/>
        <v/>
      </c>
      <c r="CG194" s="27" t="str">
        <f>VLOOKUP($A194,'[1]Raw Data'!$A$3:$FB$285,86,FALSE)</f>
        <v/>
      </c>
      <c r="CH194" s="27">
        <f>VLOOKUP($A194,'[1]Raw Data'!$A$3:$FB$285,87,FALSE)</f>
        <v>3207115</v>
      </c>
      <c r="CI194" s="27" t="str">
        <f>VLOOKUP($A194,'[1]Raw Data'!$A$3:$FB$285,88,FALSE)</f>
        <v/>
      </c>
      <c r="CJ194" s="27" t="str">
        <f t="shared" si="26"/>
        <v/>
      </c>
      <c r="CK194" s="27" t="str">
        <f>VLOOKUP($A194,'[1]Raw Data'!$A$3:$FB$285,89,FALSE)</f>
        <v/>
      </c>
      <c r="CL194" s="27" t="str">
        <f>VLOOKUP($A194,'[1]Raw Data'!$A$3:$FB$285,91,FALSE)</f>
        <v/>
      </c>
      <c r="CM194" s="27" t="str">
        <f>VLOOKUP($A194,'[1]Raw Data'!$A$3:$FB$285,93,FALSE)</f>
        <v/>
      </c>
      <c r="CN194" s="27" t="str">
        <f>VLOOKUP($A194,'[1]Raw Data'!$A$3:$FB$285,94,FALSE)</f>
        <v/>
      </c>
      <c r="CO194" s="27" t="str">
        <f>VLOOKUP($A194,'[1]Raw Data'!$A$3:$FB$285,95,FALSE)</f>
        <v/>
      </c>
      <c r="CP194" s="27" t="str">
        <f>VLOOKUP($A194,'[1]Raw Data'!$A$3:$FB$285,96,FALSE)</f>
        <v/>
      </c>
      <c r="CQ194" s="27" t="str">
        <f>VLOOKUP($A194,'[1]Raw Data'!$A$3:$FB$285,97,FALSE)</f>
        <v/>
      </c>
      <c r="CR194" s="27" t="str">
        <f>VLOOKUP($A194,'[1]Raw Data'!$A$3:$FB$285,98,FALSE)</f>
        <v/>
      </c>
      <c r="CS194" s="27" t="str">
        <f>VLOOKUP($A194,'[1]Raw Data'!$A$3:$FB$285,99,FALSE)</f>
        <v/>
      </c>
      <c r="CT194" s="27" t="str">
        <f>VLOOKUP($A194,'[1]Raw Data'!$A$3:$FB$285,101,FALSE)</f>
        <v/>
      </c>
      <c r="CV194" s="27" t="str">
        <f>VLOOKUP($A194,'[1]Raw Data'!$A$3:$FB$285,102,FALSE)</f>
        <v>Mayor</v>
      </c>
      <c r="CW194" s="27" t="s">
        <v>834</v>
      </c>
      <c r="CX194" s="27" t="str">
        <f>VLOOKUP($A194,'[1]Raw Data'!$A$3:$FB$285,103,FALSE)</f>
        <v/>
      </c>
      <c r="CY194" s="27" t="str">
        <f>VLOOKUP($A194,'[1]Raw Data'!$A$3:$FB$285,105,FALSE)</f>
        <v/>
      </c>
      <c r="DA194" s="27" t="str">
        <f>VLOOKUP($A194,'[1]Raw Data'!$A$3:$FB$285,106,FALSE)</f>
        <v>Deputy Mayor</v>
      </c>
      <c r="DB194" s="27" t="s">
        <v>888</v>
      </c>
      <c r="DC194" s="27" t="str">
        <f>VLOOKUP($A194,'[1]Raw Data'!$A$3:$FB$285,107,FALSE)</f>
        <v/>
      </c>
      <c r="DD194" s="27" t="str">
        <f>VLOOKUP($A194,'[1]Raw Data'!$A$3:$FB$285,109,FALSE)</f>
        <v/>
      </c>
      <c r="DF194" s="27" t="str">
        <f>VLOOKUP($A194,'[1]Raw Data'!$A$3:$FB$285,110,FALSE)</f>
        <v>Chief Adminstration Officer</v>
      </c>
      <c r="DG194" s="27" t="s">
        <v>880</v>
      </c>
      <c r="DH194" s="27" t="str">
        <f>VLOOKUP($A194,'[1]Raw Data'!$A$3:$FB$285,111,FALSE)</f>
        <v/>
      </c>
      <c r="DI194" s="27" t="str">
        <f>VLOOKUP($A194,'[1]Raw Data'!$A$3:$FB$285,121,FALSE)</f>
        <v>Mithilesh Yadav</v>
      </c>
      <c r="DJ194" s="27" t="s">
        <v>1429</v>
      </c>
      <c r="DK194" s="27" t="str">
        <f>VLOOKUP($A194,'[1]Raw Data'!$A$3:$FB$285,122,FALSE)</f>
        <v>Focal Person</v>
      </c>
      <c r="DL194" s="27" t="s">
        <v>881</v>
      </c>
      <c r="DM194" s="27">
        <f>VLOOKUP($A194,'[1]Raw Data'!$A$3:$FB$285,123,FALSE)</f>
        <v>9847001248</v>
      </c>
      <c r="DN194" s="27" t="str">
        <f>VLOOKUP($A194,'[1]Raw Data'!$A$3:$FB$285,113,FALSE)</f>
        <v>Usesh Shrestha</v>
      </c>
      <c r="DO194" s="27" t="s">
        <v>1425</v>
      </c>
      <c r="DP194" s="27" t="str">
        <f>VLOOKUP($A194,'[1]Raw Data'!$A$3:$FB$285,114,FALSE)</f>
        <v>NRA Chief-District</v>
      </c>
      <c r="DQ194" s="27" t="s">
        <v>882</v>
      </c>
      <c r="DR194" s="27">
        <f>VLOOKUP($A194,'[1]Raw Data'!$A$3:$FB$285,115,FALSE)</f>
        <v>9856046960</v>
      </c>
      <c r="DS194" s="27" t="str">
        <f>VLOOKUP($A194,'[1]Raw Data'!$A$3:$FB$285,117,FALSE)</f>
        <v/>
      </c>
      <c r="DU194" s="27" t="str">
        <f>VLOOKUP($A194,'[1]Raw Data'!$A$3:$FB$285,118,FALSE)</f>
        <v>DUDBC.DLPIU Chief</v>
      </c>
      <c r="DV194" s="27" t="s">
        <v>883</v>
      </c>
      <c r="DW194" s="27" t="str">
        <f>VLOOKUP($A194,'[1]Raw Data'!$A$3:$FB$285,119,FALSE)</f>
        <v/>
      </c>
      <c r="DX194" s="27" t="s">
        <v>339</v>
      </c>
      <c r="DY194" s="27" t="str">
        <f>VLOOKUP($A194,'[1]Raw Data'!$A$3:$FB$285,124,FALSE)</f>
        <v/>
      </c>
      <c r="DZ194" s="27" t="s">
        <v>884</v>
      </c>
      <c r="EA194" s="27" t="str">
        <f>VLOOKUP($A194,'[1]Raw Data'!$A$3:$FB$285,125,FALSE)</f>
        <v/>
      </c>
      <c r="EB194" s="27" t="s">
        <v>341</v>
      </c>
      <c r="EC194" s="27" t="str">
        <f>VLOOKUP($A194,'[1]Raw Data'!$A$3:$FB$285,126,FALSE)</f>
        <v/>
      </c>
      <c r="ED194" t="s">
        <v>478</v>
      </c>
      <c r="EE194" s="27" t="str">
        <f>VLOOKUP($A194,'[1]Raw Data'!$A$3:$FB$285,127,FALSE)</f>
        <v/>
      </c>
      <c r="EF194" s="27" t="s">
        <v>343</v>
      </c>
      <c r="EG194" s="27" t="str">
        <f>VLOOKUP($A194,'[1]Raw Data'!$A$3:$FB$285,128,FALSE)</f>
        <v/>
      </c>
      <c r="EH194" t="s">
        <v>344</v>
      </c>
      <c r="EI194" s="27" t="str">
        <f>VLOOKUP($A194,'[1]Raw Data'!$A$3:$FB$285,129,FALSE)</f>
        <v/>
      </c>
      <c r="EM194" s="27" t="str">
        <f>VLOOKUP($A194,'[1]Raw Data'!$A$3:$FB$285,130,FALSE)</f>
        <v/>
      </c>
      <c r="EN194" s="27" t="str">
        <f>VLOOKUP($A194,'[1]Raw Data'!$A$3:$FB$285,131,FALSE)</f>
        <v/>
      </c>
      <c r="EO194" s="27" t="str">
        <f>VLOOKUP($A194,'[1]Raw Data'!$A$3:$FB$285,132,FALSE)</f>
        <v/>
      </c>
      <c r="EP194" s="27" t="str">
        <f>VLOOKUP($A194,'[1]Raw Data'!$A$3:$FB$285,133,FALSE)</f>
        <v/>
      </c>
      <c r="EQ194" s="27" t="str">
        <f>VLOOKUP($A194,'[1]Raw Data'!$A$3:$FB$285,134,FALSE)</f>
        <v/>
      </c>
      <c r="ER194" s="27" t="str">
        <f>VLOOKUP($A194,'[1]Raw Data'!$A$3:$FB$285,135,FALSE)</f>
        <v/>
      </c>
      <c r="ES194" s="27" t="str">
        <f>VLOOKUP($A194,'[1]Raw Data'!$A$3:$FB$285,136,FALSE)</f>
        <v/>
      </c>
      <c r="ET194" s="27" t="str">
        <f>VLOOKUP($A194,'[1]Raw Data'!$A$3:$FB$285,137,FALSE)</f>
        <v/>
      </c>
      <c r="EU194" s="27" t="str">
        <f>VLOOKUP($A194,'[1]Raw Data'!$A$3:$FB$285,138,FALSE)</f>
        <v/>
      </c>
      <c r="EV194" s="27" t="str">
        <f>VLOOKUP($A194,'[1]Raw Data'!$A$3:$FB$285,139,FALSE)</f>
        <v/>
      </c>
      <c r="EW194" s="38">
        <f>VLOOKUP($A194,[1]Training!$A$2:$I$284,5,FALSE)</f>
        <v>173.61538461538461</v>
      </c>
      <c r="EX194" s="31">
        <f>VLOOKUP($A194,[1]Training!$A$2:$I$284,6,FALSE)</f>
        <v>17</v>
      </c>
      <c r="EY194" s="38">
        <f>VLOOKUP($A194,[1]Training!$A$2:$I$284,8,FALSE)</f>
        <v>205.18181818181819</v>
      </c>
      <c r="EZ194" s="31">
        <f>VLOOKUP($A194,[1]Training!$A$2:$I$284,9,FALSE)</f>
        <v>0</v>
      </c>
      <c r="FA194" s="27">
        <v>1</v>
      </c>
      <c r="FB194" s="27">
        <v>2</v>
      </c>
      <c r="FC194" s="27" t="str">
        <f>VLOOKUP($A194,'[1]Raw Data'!$A$3:$FB$285,148,FALSE)</f>
        <v/>
      </c>
      <c r="FE194" s="27" t="str">
        <f>VLOOKUP($A194,'[1]Raw Data'!$A$3:$FB$285,149,FALSE)</f>
        <v>District Coordinator</v>
      </c>
      <c r="FF194" s="27" t="s">
        <v>885</v>
      </c>
      <c r="FG194" s="27" t="str">
        <f>VLOOKUP($A194,'[1]Raw Data'!$A$3:$FB$285,150,FALSE)</f>
        <v/>
      </c>
      <c r="FH194" s="27" t="str">
        <f>VLOOKUP($A194,'[1]Raw Data'!$A$3:$FB$285,156,FALSE)</f>
        <v/>
      </c>
      <c r="FJ194" s="27" t="str">
        <f>VLOOKUP($A194,'[1]Raw Data'!$A$3:$FB$285,157,FALSE)</f>
        <v>District Technical Officer</v>
      </c>
      <c r="FK194" s="27" t="s">
        <v>886</v>
      </c>
      <c r="FL194" s="27" t="str">
        <f>VLOOKUP($A194,'[1]Raw Data'!$A$3:$FB$285,158,FALSE)</f>
        <v/>
      </c>
      <c r="FM194" s="27" t="str">
        <f>VLOOKUP($A194,'[1]Raw Data'!$A$3:$FB$285,152,FALSE)</f>
        <v/>
      </c>
      <c r="FO194" s="27" t="str">
        <f>VLOOKUP($A194,'[1]Raw Data'!$A$3:$FB$285,153,FALSE)</f>
        <v>DIstrict Information Management Officer</v>
      </c>
      <c r="FP194" s="27" t="s">
        <v>887</v>
      </c>
      <c r="FQ194" s="27" t="str">
        <f>VLOOKUP($A194,'[1]Raw Data'!$A$3:$FB$285,154,FALSE)</f>
        <v/>
      </c>
    </row>
    <row r="195" spans="1:173" ht="24" x14ac:dyDescent="0.45">
      <c r="A195" s="27">
        <v>38001</v>
      </c>
      <c r="B195" s="36" t="str">
        <f ca="1">IFERROR(__xludf.DUMMYFUNCTION("""COMPUTED_VALUE"""),"Anbukhaireni Gaunpalika")</f>
        <v>Anbukhaireni Gaunpalika</v>
      </c>
      <c r="C195" s="37" t="str">
        <f>VLOOKUP(A195,'[1]Palika and District in Nepali '!$D$1:$F$283,3,FALSE)</f>
        <v>आंबुखैरेनी गाउँपालिका</v>
      </c>
      <c r="D195" s="36" t="str">
        <f ca="1">IFERROR(__xludf.DUMMYFUNCTION("""COMPUTED_VALUE"""),"Tanahun")</f>
        <v>Tanahun</v>
      </c>
      <c r="E195" s="36"/>
      <c r="F195" s="27">
        <f>VLOOKUP(A195,'[1]Raw Data'!$A$3:$FB$285,4,FALSE)</f>
        <v>315</v>
      </c>
      <c r="G195" s="27">
        <f>VLOOKUP(A195,'[1]Raw Data'!$A$3:$FB$285,5,FALSE)</f>
        <v>735</v>
      </c>
      <c r="H195" s="27">
        <f>VLOOKUP(A195,'[1]Raw Data'!$A$3:$FB$285,6,FALSE)</f>
        <v>1050</v>
      </c>
      <c r="I195" s="27">
        <f>VLOOKUP($A195,'[1]Raw Data'!$A$3:$FB$285,8,FALSE)</f>
        <v>1.52</v>
      </c>
      <c r="J195" s="27">
        <f>VLOOKUP($A195,'[1]Raw Data'!$A$3:$FB$285,9,FALSE)</f>
        <v>2.69</v>
      </c>
      <c r="K195" s="27">
        <f>VLOOKUP($A195,'[1]Raw Data'!$A$3:$FB$285,11,FALSE)</f>
        <v>93.24</v>
      </c>
      <c r="L195" s="27">
        <f>VLOOKUP($A195,'[1]Raw Data'!$A$3:$FB$285,12,FALSE)</f>
        <v>88.78</v>
      </c>
      <c r="M195" s="27">
        <f>VLOOKUP($A195,'[1]Raw Data'!$A$3:$FB$285,14,FALSE)</f>
        <v>3.14</v>
      </c>
      <c r="N195" s="27">
        <f>VLOOKUP($A195,'[1]Raw Data'!$A$3:$FB$285,15,FALSE)</f>
        <v>3.44</v>
      </c>
      <c r="O195" s="27">
        <f>VLOOKUP($A195,'[1]Raw Data'!$A$3:$FB$285,17,FALSE)</f>
        <v>0.48</v>
      </c>
      <c r="P195" s="27">
        <f>VLOOKUP($A195,'[1]Raw Data'!$A$3:$FB$285,18,FALSE)</f>
        <v>1.46</v>
      </c>
      <c r="Q195" s="27">
        <f>VLOOKUP($A195,'[1]Raw Data'!$A$3:$FB$285,20,FALSE)</f>
        <v>0</v>
      </c>
      <c r="R195" s="27">
        <f>VLOOKUP($A195,'[1]Raw Data'!$A$3:$FB$285,21,FALSE)</f>
        <v>2.38</v>
      </c>
      <c r="S195" s="27">
        <f>VLOOKUP($A195,'[1]Raw Data'!$A$3:$FB$285,23,FALSE)</f>
        <v>0</v>
      </c>
      <c r="T195" s="27">
        <f>VLOOKUP($A195,'[1]Raw Data'!$A$3:$FB$285,24,FALSE)</f>
        <v>0</v>
      </c>
      <c r="U195" s="27">
        <f>VLOOKUP($A195,'[1]Raw Data'!$A$3:$FB$285,26,FALSE)</f>
        <v>0.19</v>
      </c>
      <c r="V195" s="27">
        <f>VLOOKUP($A195,'[1]Raw Data'!$A$3:$FB$285,27,FALSE)</f>
        <v>0.37</v>
      </c>
      <c r="W195" s="27">
        <f>VLOOKUP($A195,'[1]Raw Data'!$A$3:$FB$285,29,FALSE)</f>
        <v>0</v>
      </c>
      <c r="X195" s="27">
        <f>VLOOKUP($A195,'[1]Raw Data'!$A$3:$FB$285,30,FALSE)</f>
        <v>0</v>
      </c>
      <c r="Y195" s="27">
        <f>VLOOKUP($A195,'[1]Raw Data'!$A$3:$FB$285,32,FALSE)</f>
        <v>1.1399999999999999</v>
      </c>
      <c r="Z195" s="27">
        <f>VLOOKUP($A195,'[1]Raw Data'!$A$3:$FB$285,33,FALSE)</f>
        <v>0.32</v>
      </c>
      <c r="AA195" s="27">
        <f>VLOOKUP($A195,'[1]Raw Data'!$A$3:$FB$285,35,FALSE)</f>
        <v>0.28999999999999998</v>
      </c>
      <c r="AB195" s="27">
        <f>VLOOKUP($A195,'[1]Raw Data'!$A$3:$FB$285,36,FALSE)</f>
        <v>0.47</v>
      </c>
      <c r="AC195" s="27">
        <f>VLOOKUP($A195,'[1]Raw Data'!$A$3:$FB$285,38,FALSE)</f>
        <v>0</v>
      </c>
      <c r="AD195" s="27">
        <f>VLOOKUP($A195,'[1]Raw Data'!$A$3:$FB$285,39,FALSE)</f>
        <v>0.08</v>
      </c>
      <c r="AE195" s="27">
        <f>VLOOKUP($A195,'[1]Raw Data'!$A$3:$FB$285,41,FALSE)</f>
        <v>0</v>
      </c>
      <c r="AF195" s="27">
        <f>VLOOKUP($A195,'[1]Raw Data'!$A$3:$FB$285,42,FALSE)</f>
        <v>0</v>
      </c>
      <c r="AG195" s="27">
        <f>VLOOKUP($A195,'[1]Raw Data'!$A$3:$FB$285,44,FALSE)</f>
        <v>0</v>
      </c>
      <c r="AH195" s="27">
        <f>VLOOKUP($A195,'[1]Raw Data'!$A$3:$FB$285,45,FALSE)</f>
        <v>0</v>
      </c>
      <c r="AI195" s="27">
        <f>VLOOKUP($A195,'[1]Raw Data'!$A$3:$FB$285,46,FALSE)</f>
        <v>722</v>
      </c>
      <c r="AJ195" s="27">
        <f>VLOOKUP($A195,'[1]Raw Data'!$A$3:$FB$285,47,FALSE)</f>
        <v>837</v>
      </c>
      <c r="AK195" s="27">
        <f>VLOOKUP($A195,'[1]Raw Data'!$A$3:$FB$285,48,FALSE)</f>
        <v>837</v>
      </c>
      <c r="AL195" s="27">
        <f>VLOOKUP($A195,'[1]Raw Data'!$A$3:$FB$285,49,FALSE)</f>
        <v>141</v>
      </c>
      <c r="AM195" s="27">
        <f>VLOOKUP($A195,'[1]Raw Data'!$A$3:$FB$285,50,FALSE)</f>
        <v>0</v>
      </c>
      <c r="AN195" s="27" t="str">
        <f>VLOOKUP($A195,'[1]Raw Data'!$A$3:$FB$285,51,FALSE)</f>
        <v/>
      </c>
      <c r="AO195" s="27" t="str">
        <f>VLOOKUP($A195,'[1]Raw Data'!$A$3:$FB$285,52,FALSE)</f>
        <v/>
      </c>
      <c r="AP195" s="27">
        <f>VLOOKUP($A195,'[1]Raw Data'!$A$3:$FB$285,53,FALSE)</f>
        <v>162</v>
      </c>
      <c r="AQ195" s="27" t="str">
        <f>VLOOKUP($A195,'[1]Raw Data'!$A$3:$FB$285,54,FALSE)</f>
        <v/>
      </c>
      <c r="AR195" s="27" t="str">
        <f>VLOOKUP($A195,'[1]Raw Data'!$A$3:$FB$285,55,FALSE)</f>
        <v/>
      </c>
      <c r="AS195" s="27" t="str">
        <f>VLOOKUP($A195,'[1]Raw Data'!$A$3:$FB$285,56,FALSE)</f>
        <v/>
      </c>
      <c r="AT195" s="27" t="str">
        <f>VLOOKUP($A195,'[1]Raw Data'!$A$3:$FB$285,57,FALSE)</f>
        <v/>
      </c>
      <c r="AU195" s="27" t="str">
        <f>VLOOKUP($A195,'[1]Raw Data'!$A$3:$FB$285,58,FALSE)</f>
        <v/>
      </c>
      <c r="AV195" s="27" t="str">
        <f>VLOOKUP($A195,'[1]Raw Data'!$A$3:$FB$285,59,FALSE)</f>
        <v/>
      </c>
      <c r="AW195" s="27" t="str">
        <f>VLOOKUP($A195,'[1]Raw Data'!$A$3:$FB$285,60,FALSE)</f>
        <v/>
      </c>
      <c r="AX195" s="27" t="str">
        <f>VLOOKUP(A195,'[1]PO''s List'!A193:E475,4,FALSE)</f>
        <v/>
      </c>
      <c r="AZ195" s="27" t="str">
        <f>VLOOKUP(A195,'[1]PO''s List'!$A$3:$E$285,5,FALSE)</f>
        <v/>
      </c>
      <c r="BB195" s="27">
        <f>VLOOKUP($A195,'[1]Raw Data'!$A$3:$FB$285,63,FALSE)</f>
        <v>29870</v>
      </c>
      <c r="BC195" s="27" t="str">
        <f>VLOOKUP($A195,'[1]Raw Data'!$A$3:$FB$285,64,FALSE)</f>
        <v>Y</v>
      </c>
      <c r="BD195" s="27" t="str">
        <f t="shared" si="18"/>
        <v>छ</v>
      </c>
      <c r="BE195" s="27" t="str">
        <f>VLOOKUP($A195,'[1]Raw Data'!$A$3:$FB$285,65,FALSE)</f>
        <v/>
      </c>
      <c r="BF195" s="27">
        <f>VLOOKUP($A195,'[1]Raw Data'!$A$3:$FB$285,66,FALSE)</f>
        <v>23191</v>
      </c>
      <c r="BG195" s="27" t="str">
        <f>VLOOKUP($A195,'[1]Raw Data'!$A$3:$FB$285,67,FALSE)</f>
        <v/>
      </c>
      <c r="BH195" s="27" t="str">
        <f t="shared" si="19"/>
        <v/>
      </c>
      <c r="BI195" s="27" t="str">
        <f>VLOOKUP($A195,'[1]Raw Data'!$A$3:$FB$285,68,FALSE)</f>
        <v/>
      </c>
      <c r="BJ195" s="27">
        <f>VLOOKUP($A195,'[1]Raw Data'!$A$3:$FB$285,69,FALSE)</f>
        <v>3122</v>
      </c>
      <c r="BK195" s="27" t="str">
        <f>VLOOKUP($A195,'[1]Raw Data'!$A$3:$FB$285,70,FALSE)</f>
        <v/>
      </c>
      <c r="BL195" s="27" t="str">
        <f t="shared" si="20"/>
        <v/>
      </c>
      <c r="BM195" s="27" t="str">
        <f>VLOOKUP($A195,'[1]Raw Data'!$A$3:$FB$285,71,FALSE)</f>
        <v/>
      </c>
      <c r="BN195" s="27">
        <f>VLOOKUP($A195,'[1]Raw Data'!$A$3:$FB$285,72,FALSE)</f>
        <v>3354</v>
      </c>
      <c r="BO195" s="27" t="str">
        <f>VLOOKUP($A195,'[1]Raw Data'!$A$3:$FB$285,73,FALSE)</f>
        <v/>
      </c>
      <c r="BP195" s="27" t="str">
        <f t="shared" si="21"/>
        <v/>
      </c>
      <c r="BQ195" s="27" t="str">
        <f>VLOOKUP($A195,'[1]Raw Data'!$A$3:$FB$285,74,FALSE)</f>
        <v/>
      </c>
      <c r="BR195" s="27" t="str">
        <f>VLOOKUP($A195,'[1]Raw Data'!$A$3:$FB$285,75,FALSE)</f>
        <v/>
      </c>
      <c r="BS195" s="27" t="str">
        <f>VLOOKUP($A195,'[1]Raw Data'!$A$3:$FB$285,76,FALSE)</f>
        <v/>
      </c>
      <c r="BT195" s="27" t="str">
        <f t="shared" si="22"/>
        <v/>
      </c>
      <c r="BU195" s="27" t="str">
        <f>VLOOKUP($A195,'[1]Raw Data'!$A$3:$FB$285,77,FALSE)</f>
        <v/>
      </c>
      <c r="BV195" s="27">
        <f>VLOOKUP($A195,'[1]Raw Data'!$A$3:$FB$285,78,FALSE)</f>
        <v>79432</v>
      </c>
      <c r="BW195" s="27" t="str">
        <f>VLOOKUP($A195,'[1]Raw Data'!$A$3:$FB$285,79,FALSE)</f>
        <v/>
      </c>
      <c r="BX195" s="27" t="str">
        <f t="shared" si="23"/>
        <v/>
      </c>
      <c r="BY195" s="27" t="str">
        <f>VLOOKUP($A195,'[1]Raw Data'!$A$3:$FB$285,80,FALSE)</f>
        <v/>
      </c>
      <c r="BZ195" s="27">
        <f>VLOOKUP($A195,'[1]Raw Data'!$A$3:$FB$285,81,FALSE)</f>
        <v>336850</v>
      </c>
      <c r="CA195" s="27" t="str">
        <f>VLOOKUP($A195,'[1]Raw Data'!$A$3:$FB$285,82,FALSE)</f>
        <v/>
      </c>
      <c r="CB195" s="27" t="str">
        <f t="shared" si="24"/>
        <v/>
      </c>
      <c r="CC195" s="27" t="str">
        <f>VLOOKUP($A195,'[1]Raw Data'!$A$3:$FB$285,83,FALSE)</f>
        <v/>
      </c>
      <c r="CD195" s="27">
        <f>VLOOKUP($A195,'[1]Raw Data'!$A$3:$FB$285,84,FALSE)</f>
        <v>3243</v>
      </c>
      <c r="CE195" s="27" t="str">
        <f>VLOOKUP($A195,'[1]Raw Data'!$A$3:$FB$285,85,FALSE)</f>
        <v/>
      </c>
      <c r="CF195" s="27" t="str">
        <f t="shared" si="25"/>
        <v/>
      </c>
      <c r="CG195" s="27" t="str">
        <f>VLOOKUP($A195,'[1]Raw Data'!$A$3:$FB$285,86,FALSE)</f>
        <v/>
      </c>
      <c r="CH195" s="27">
        <f>VLOOKUP($A195,'[1]Raw Data'!$A$3:$FB$285,87,FALSE)</f>
        <v>1052181</v>
      </c>
      <c r="CI195" s="27" t="str">
        <f>VLOOKUP($A195,'[1]Raw Data'!$A$3:$FB$285,88,FALSE)</f>
        <v/>
      </c>
      <c r="CJ195" s="27" t="str">
        <f t="shared" si="26"/>
        <v/>
      </c>
      <c r="CK195" s="27" t="str">
        <f>VLOOKUP($A195,'[1]Raw Data'!$A$3:$FB$285,89,FALSE)</f>
        <v/>
      </c>
      <c r="CL195" s="27" t="str">
        <f>VLOOKUP($A195,'[1]Raw Data'!$A$3:$FB$285,91,FALSE)</f>
        <v/>
      </c>
      <c r="CM195" s="27" t="str">
        <f>VLOOKUP($A195,'[1]Raw Data'!$A$3:$FB$285,93,FALSE)</f>
        <v/>
      </c>
      <c r="CN195" s="27" t="str">
        <f>VLOOKUP($A195,'[1]Raw Data'!$A$3:$FB$285,94,FALSE)</f>
        <v/>
      </c>
      <c r="CO195" s="27" t="str">
        <f>VLOOKUP($A195,'[1]Raw Data'!$A$3:$FB$285,95,FALSE)</f>
        <v/>
      </c>
      <c r="CP195" s="27" t="str">
        <f>VLOOKUP($A195,'[1]Raw Data'!$A$3:$FB$285,96,FALSE)</f>
        <v/>
      </c>
      <c r="CQ195" s="27" t="str">
        <f>VLOOKUP($A195,'[1]Raw Data'!$A$3:$FB$285,97,FALSE)</f>
        <v/>
      </c>
      <c r="CR195" s="27" t="str">
        <f>VLOOKUP($A195,'[1]Raw Data'!$A$3:$FB$285,98,FALSE)</f>
        <v/>
      </c>
      <c r="CS195" s="27" t="str">
        <f>VLOOKUP($A195,'[1]Raw Data'!$A$3:$FB$285,99,FALSE)</f>
        <v/>
      </c>
      <c r="CT195" s="27" t="str">
        <f>VLOOKUP($A195,'[1]Raw Data'!$A$3:$FB$285,101,FALSE)</f>
        <v/>
      </c>
      <c r="CV195" s="27" t="str">
        <f>VLOOKUP($A195,'[1]Raw Data'!$A$3:$FB$285,102,FALSE)</f>
        <v>Chairman</v>
      </c>
      <c r="CW195" s="27" t="s">
        <v>878</v>
      </c>
      <c r="CX195" s="27" t="str">
        <f>VLOOKUP($A195,'[1]Raw Data'!$A$3:$FB$285,103,FALSE)</f>
        <v/>
      </c>
      <c r="CY195" s="27" t="str">
        <f>VLOOKUP($A195,'[1]Raw Data'!$A$3:$FB$285,105,FALSE)</f>
        <v/>
      </c>
      <c r="DA195" s="27" t="str">
        <f>VLOOKUP($A195,'[1]Raw Data'!$A$3:$FB$285,106,FALSE)</f>
        <v>Deputy Chairman</v>
      </c>
      <c r="DB195" s="27" t="s">
        <v>879</v>
      </c>
      <c r="DC195" s="27" t="str">
        <f>VLOOKUP($A195,'[1]Raw Data'!$A$3:$FB$285,107,FALSE)</f>
        <v/>
      </c>
      <c r="DD195" s="27" t="str">
        <f>VLOOKUP($A195,'[1]Raw Data'!$A$3:$FB$285,109,FALSE)</f>
        <v/>
      </c>
      <c r="DF195" s="27" t="str">
        <f>VLOOKUP($A195,'[1]Raw Data'!$A$3:$FB$285,110,FALSE)</f>
        <v>Chief Adminstration Officer</v>
      </c>
      <c r="DG195" s="27" t="s">
        <v>880</v>
      </c>
      <c r="DH195" s="27">
        <f>VLOOKUP($A195,'[1]Raw Data'!$A$3:$FB$285,111,FALSE)</f>
        <v>9856063718</v>
      </c>
      <c r="DI195" s="27" t="str">
        <f>VLOOKUP($A195,'[1]Raw Data'!$A$3:$FB$285,121,FALSE)</f>
        <v>Anil Bhujel</v>
      </c>
      <c r="DJ195" s="27" t="s">
        <v>1430</v>
      </c>
      <c r="DK195" s="27" t="str">
        <f>VLOOKUP($A195,'[1]Raw Data'!$A$3:$FB$285,122,FALSE)</f>
        <v>Focal Person</v>
      </c>
      <c r="DL195" s="27" t="s">
        <v>881</v>
      </c>
      <c r="DM195" s="27">
        <f>VLOOKUP($A195,'[1]Raw Data'!$A$3:$FB$285,123,FALSE)</f>
        <v>9846467053</v>
      </c>
      <c r="DN195" s="27" t="str">
        <f>VLOOKUP($A195,'[1]Raw Data'!$A$3:$FB$285,113,FALSE)</f>
        <v>Dipendra Kumar Rohita</v>
      </c>
      <c r="DO195" s="27" t="s">
        <v>1431</v>
      </c>
      <c r="DP195" s="27" t="str">
        <f>VLOOKUP($A195,'[1]Raw Data'!$A$3:$FB$285,114,FALSE)</f>
        <v>NRA Chief-District</v>
      </c>
      <c r="DQ195" s="27" t="s">
        <v>882</v>
      </c>
      <c r="DR195" s="27" t="str">
        <f>VLOOKUP($A195,'[1]Raw Data'!$A$3:$FB$285,115,FALSE)</f>
        <v/>
      </c>
      <c r="DS195" s="27" t="str">
        <f>VLOOKUP($A195,'[1]Raw Data'!$A$3:$FB$285,117,FALSE)</f>
        <v/>
      </c>
      <c r="DU195" s="27" t="str">
        <f>VLOOKUP($A195,'[1]Raw Data'!$A$3:$FB$285,118,FALSE)</f>
        <v>DUDBC.DLPIU Chief</v>
      </c>
      <c r="DV195" s="27" t="s">
        <v>883</v>
      </c>
      <c r="DW195" s="27" t="str">
        <f>VLOOKUP($A195,'[1]Raw Data'!$A$3:$FB$285,119,FALSE)</f>
        <v/>
      </c>
      <c r="DX195" s="27" t="s">
        <v>339</v>
      </c>
      <c r="DY195" s="27" t="str">
        <f>VLOOKUP($A195,'[1]Raw Data'!$A$3:$FB$285,124,FALSE)</f>
        <v/>
      </c>
      <c r="DZ195" s="27" t="s">
        <v>884</v>
      </c>
      <c r="EA195" s="27" t="str">
        <f>VLOOKUP($A195,'[1]Raw Data'!$A$3:$FB$285,125,FALSE)</f>
        <v/>
      </c>
      <c r="EB195" s="27" t="s">
        <v>341</v>
      </c>
      <c r="EC195" s="27" t="str">
        <f>VLOOKUP($A195,'[1]Raw Data'!$A$3:$FB$285,126,FALSE)</f>
        <v/>
      </c>
      <c r="ED195" t="s">
        <v>478</v>
      </c>
      <c r="EE195" s="27" t="str">
        <f>VLOOKUP($A195,'[1]Raw Data'!$A$3:$FB$285,127,FALSE)</f>
        <v/>
      </c>
      <c r="EF195" s="27" t="s">
        <v>343</v>
      </c>
      <c r="EG195" s="27" t="str">
        <f>VLOOKUP($A195,'[1]Raw Data'!$A$3:$FB$285,128,FALSE)</f>
        <v/>
      </c>
      <c r="EH195" t="s">
        <v>344</v>
      </c>
      <c r="EI195" s="27" t="str">
        <f>VLOOKUP($A195,'[1]Raw Data'!$A$3:$FB$285,129,FALSE)</f>
        <v/>
      </c>
      <c r="EM195" s="27" t="str">
        <f>VLOOKUP($A195,'[1]Raw Data'!$A$3:$FB$285,130,FALSE)</f>
        <v/>
      </c>
      <c r="EN195" s="27" t="str">
        <f>VLOOKUP($A195,'[1]Raw Data'!$A$3:$FB$285,131,FALSE)</f>
        <v/>
      </c>
      <c r="EO195" s="27" t="str">
        <f>VLOOKUP($A195,'[1]Raw Data'!$A$3:$FB$285,132,FALSE)</f>
        <v/>
      </c>
      <c r="EP195" s="27" t="str">
        <f>VLOOKUP($A195,'[1]Raw Data'!$A$3:$FB$285,133,FALSE)</f>
        <v/>
      </c>
      <c r="EQ195" s="27" t="str">
        <f>VLOOKUP($A195,'[1]Raw Data'!$A$3:$FB$285,134,FALSE)</f>
        <v/>
      </c>
      <c r="ER195" s="27" t="str">
        <f>VLOOKUP($A195,'[1]Raw Data'!$A$3:$FB$285,135,FALSE)</f>
        <v/>
      </c>
      <c r="ES195" s="27" t="str">
        <f>VLOOKUP($A195,'[1]Raw Data'!$A$3:$FB$285,136,FALSE)</f>
        <v/>
      </c>
      <c r="ET195" s="27" t="str">
        <f>VLOOKUP($A195,'[1]Raw Data'!$A$3:$FB$285,137,FALSE)</f>
        <v/>
      </c>
      <c r="EU195" s="27" t="str">
        <f>VLOOKUP($A195,'[1]Raw Data'!$A$3:$FB$285,138,FALSE)</f>
        <v/>
      </c>
      <c r="EV195" s="27" t="str">
        <f>VLOOKUP($A195,'[1]Raw Data'!$A$3:$FB$285,139,FALSE)</f>
        <v/>
      </c>
      <c r="EW195" s="38">
        <f>VLOOKUP($A195,[1]Training!$A$2:$I$284,5,FALSE)</f>
        <v>55.53846153846154</v>
      </c>
      <c r="EX195" s="31">
        <f>VLOOKUP($A195,[1]Training!$A$2:$I$284,6,FALSE)</f>
        <v>0</v>
      </c>
      <c r="EY195" s="38">
        <f>VLOOKUP($A195,[1]Training!$A$2:$I$284,8,FALSE)</f>
        <v>65.63636363636364</v>
      </c>
      <c r="EZ195" s="31">
        <f>VLOOKUP($A195,[1]Training!$A$2:$I$284,9,FALSE)</f>
        <v>0</v>
      </c>
      <c r="FA195" s="27">
        <v>1</v>
      </c>
      <c r="FB195" s="27">
        <v>2</v>
      </c>
      <c r="FC195" s="27" t="str">
        <f>VLOOKUP($A195,'[1]Raw Data'!$A$3:$FB$285,148,FALSE)</f>
        <v/>
      </c>
      <c r="FE195" s="27" t="str">
        <f>VLOOKUP($A195,'[1]Raw Data'!$A$3:$FB$285,149,FALSE)</f>
        <v>District Coordinator</v>
      </c>
      <c r="FF195" s="27" t="s">
        <v>885</v>
      </c>
      <c r="FG195" s="27" t="str">
        <f>VLOOKUP($A195,'[1]Raw Data'!$A$3:$FB$285,150,FALSE)</f>
        <v/>
      </c>
      <c r="FH195" s="27" t="str">
        <f>VLOOKUP($A195,'[1]Raw Data'!$A$3:$FB$285,156,FALSE)</f>
        <v/>
      </c>
      <c r="FJ195" s="27" t="str">
        <f>VLOOKUP($A195,'[1]Raw Data'!$A$3:$FB$285,157,FALSE)</f>
        <v>District Technical Officer</v>
      </c>
      <c r="FK195" s="27" t="s">
        <v>886</v>
      </c>
      <c r="FL195" s="27" t="str">
        <f>VLOOKUP($A195,'[1]Raw Data'!$A$3:$FB$285,158,FALSE)</f>
        <v/>
      </c>
      <c r="FM195" s="27" t="str">
        <f>VLOOKUP($A195,'[1]Raw Data'!$A$3:$FB$285,152,FALSE)</f>
        <v/>
      </c>
      <c r="FO195" s="27" t="str">
        <f>VLOOKUP($A195,'[1]Raw Data'!$A$3:$FB$285,153,FALSE)</f>
        <v>DIstrict Information Management Officer</v>
      </c>
      <c r="FP195" s="27" t="s">
        <v>887</v>
      </c>
      <c r="FQ195" s="27" t="str">
        <f>VLOOKUP($A195,'[1]Raw Data'!$A$3:$FB$285,154,FALSE)</f>
        <v/>
      </c>
    </row>
    <row r="196" spans="1:173" ht="24" x14ac:dyDescent="0.45">
      <c r="A196" s="27">
        <v>38002</v>
      </c>
      <c r="B196" s="36" t="str">
        <f ca="1">IFERROR(__xludf.DUMMYFUNCTION("""COMPUTED_VALUE"""),"Bandipur Gaunpalika")</f>
        <v>Bandipur Gaunpalika</v>
      </c>
      <c r="C196" s="37" t="str">
        <f>VLOOKUP(A196,'[1]Palika and District in Nepali '!$D$1:$F$283,3,FALSE)</f>
        <v>बन्दीपुर गाउँपालिका</v>
      </c>
      <c r="D196" s="36" t="str">
        <f ca="1">IFERROR(__xludf.DUMMYFUNCTION("""COMPUTED_VALUE"""),"Tanahun")</f>
        <v>Tanahun</v>
      </c>
      <c r="E196" s="36"/>
      <c r="F196" s="27">
        <f>VLOOKUP(A196,'[1]Raw Data'!$A$3:$FB$285,4,FALSE)</f>
        <v>157</v>
      </c>
      <c r="G196" s="27">
        <f>VLOOKUP(A196,'[1]Raw Data'!$A$3:$FB$285,5,FALSE)</f>
        <v>1069</v>
      </c>
      <c r="H196" s="27">
        <f>VLOOKUP(A196,'[1]Raw Data'!$A$3:$FB$285,6,FALSE)</f>
        <v>1226</v>
      </c>
      <c r="I196" s="27">
        <f>VLOOKUP($A196,'[1]Raw Data'!$A$3:$FB$285,8,FALSE)</f>
        <v>2.04</v>
      </c>
      <c r="J196" s="27">
        <f>VLOOKUP($A196,'[1]Raw Data'!$A$3:$FB$285,9,FALSE)</f>
        <v>2.69</v>
      </c>
      <c r="K196" s="27">
        <f>VLOOKUP($A196,'[1]Raw Data'!$A$3:$FB$285,11,FALSE)</f>
        <v>89.56</v>
      </c>
      <c r="L196" s="27">
        <f>VLOOKUP($A196,'[1]Raw Data'!$A$3:$FB$285,12,FALSE)</f>
        <v>88.78</v>
      </c>
      <c r="M196" s="27">
        <f>VLOOKUP($A196,'[1]Raw Data'!$A$3:$FB$285,14,FALSE)</f>
        <v>2.2799999999999998</v>
      </c>
      <c r="N196" s="27">
        <f>VLOOKUP($A196,'[1]Raw Data'!$A$3:$FB$285,15,FALSE)</f>
        <v>3.44</v>
      </c>
      <c r="O196" s="27">
        <f>VLOOKUP($A196,'[1]Raw Data'!$A$3:$FB$285,17,FALSE)</f>
        <v>1.88</v>
      </c>
      <c r="P196" s="27">
        <f>VLOOKUP($A196,'[1]Raw Data'!$A$3:$FB$285,18,FALSE)</f>
        <v>1.46</v>
      </c>
      <c r="Q196" s="27">
        <f>VLOOKUP($A196,'[1]Raw Data'!$A$3:$FB$285,20,FALSE)</f>
        <v>1.06</v>
      </c>
      <c r="R196" s="27">
        <f>VLOOKUP($A196,'[1]Raw Data'!$A$3:$FB$285,21,FALSE)</f>
        <v>2.38</v>
      </c>
      <c r="S196" s="27">
        <f>VLOOKUP($A196,'[1]Raw Data'!$A$3:$FB$285,23,FALSE)</f>
        <v>0</v>
      </c>
      <c r="T196" s="27">
        <f>VLOOKUP($A196,'[1]Raw Data'!$A$3:$FB$285,24,FALSE)</f>
        <v>0</v>
      </c>
      <c r="U196" s="27">
        <f>VLOOKUP($A196,'[1]Raw Data'!$A$3:$FB$285,26,FALSE)</f>
        <v>0.08</v>
      </c>
      <c r="V196" s="27">
        <f>VLOOKUP($A196,'[1]Raw Data'!$A$3:$FB$285,27,FALSE)</f>
        <v>0.37</v>
      </c>
      <c r="W196" s="27">
        <f>VLOOKUP($A196,'[1]Raw Data'!$A$3:$FB$285,29,FALSE)</f>
        <v>0</v>
      </c>
      <c r="X196" s="27">
        <f>VLOOKUP($A196,'[1]Raw Data'!$A$3:$FB$285,30,FALSE)</f>
        <v>0</v>
      </c>
      <c r="Y196" s="27">
        <f>VLOOKUP($A196,'[1]Raw Data'!$A$3:$FB$285,32,FALSE)</f>
        <v>0</v>
      </c>
      <c r="Z196" s="27">
        <f>VLOOKUP($A196,'[1]Raw Data'!$A$3:$FB$285,33,FALSE)</f>
        <v>0.32</v>
      </c>
      <c r="AA196" s="27">
        <f>VLOOKUP($A196,'[1]Raw Data'!$A$3:$FB$285,35,FALSE)</f>
        <v>3.1</v>
      </c>
      <c r="AB196" s="27">
        <f>VLOOKUP($A196,'[1]Raw Data'!$A$3:$FB$285,36,FALSE)</f>
        <v>0.47</v>
      </c>
      <c r="AC196" s="27">
        <f>VLOOKUP($A196,'[1]Raw Data'!$A$3:$FB$285,38,FALSE)</f>
        <v>0</v>
      </c>
      <c r="AD196" s="27">
        <f>VLOOKUP($A196,'[1]Raw Data'!$A$3:$FB$285,39,FALSE)</f>
        <v>0.08</v>
      </c>
      <c r="AE196" s="27">
        <f>VLOOKUP($A196,'[1]Raw Data'!$A$3:$FB$285,41,FALSE)</f>
        <v>0</v>
      </c>
      <c r="AF196" s="27">
        <f>VLOOKUP($A196,'[1]Raw Data'!$A$3:$FB$285,42,FALSE)</f>
        <v>0</v>
      </c>
      <c r="AG196" s="27">
        <f>VLOOKUP($A196,'[1]Raw Data'!$A$3:$FB$285,44,FALSE)</f>
        <v>0</v>
      </c>
      <c r="AH196" s="27">
        <f>VLOOKUP($A196,'[1]Raw Data'!$A$3:$FB$285,45,FALSE)</f>
        <v>0</v>
      </c>
      <c r="AI196" s="27">
        <f>VLOOKUP($A196,'[1]Raw Data'!$A$3:$FB$285,46,FALSE)</f>
        <v>996</v>
      </c>
      <c r="AJ196" s="27">
        <f>VLOOKUP($A196,'[1]Raw Data'!$A$3:$FB$285,47,FALSE)</f>
        <v>687</v>
      </c>
      <c r="AK196" s="27">
        <f>VLOOKUP($A196,'[1]Raw Data'!$A$3:$FB$285,48,FALSE)</f>
        <v>687</v>
      </c>
      <c r="AL196" s="27">
        <f>VLOOKUP($A196,'[1]Raw Data'!$A$3:$FB$285,49,FALSE)</f>
        <v>228</v>
      </c>
      <c r="AM196" s="27">
        <f>VLOOKUP($A196,'[1]Raw Data'!$A$3:$FB$285,50,FALSE)</f>
        <v>0</v>
      </c>
      <c r="AN196" s="27" t="str">
        <f>VLOOKUP($A196,'[1]Raw Data'!$A$3:$FB$285,51,FALSE)</f>
        <v/>
      </c>
      <c r="AO196" s="27" t="str">
        <f>VLOOKUP($A196,'[1]Raw Data'!$A$3:$FB$285,52,FALSE)</f>
        <v/>
      </c>
      <c r="AP196" s="27">
        <f>VLOOKUP($A196,'[1]Raw Data'!$A$3:$FB$285,53,FALSE)</f>
        <v>66</v>
      </c>
      <c r="AQ196" s="27" t="str">
        <f>VLOOKUP($A196,'[1]Raw Data'!$A$3:$FB$285,54,FALSE)</f>
        <v/>
      </c>
      <c r="AR196" s="27" t="str">
        <f>VLOOKUP($A196,'[1]Raw Data'!$A$3:$FB$285,55,FALSE)</f>
        <v/>
      </c>
      <c r="AS196" s="27" t="str">
        <f>VLOOKUP($A196,'[1]Raw Data'!$A$3:$FB$285,56,FALSE)</f>
        <v/>
      </c>
      <c r="AT196" s="27" t="str">
        <f>VLOOKUP($A196,'[1]Raw Data'!$A$3:$FB$285,57,FALSE)</f>
        <v/>
      </c>
      <c r="AU196" s="27" t="str">
        <f>VLOOKUP($A196,'[1]Raw Data'!$A$3:$FB$285,58,FALSE)</f>
        <v/>
      </c>
      <c r="AV196" s="27" t="str">
        <f>VLOOKUP($A196,'[1]Raw Data'!$A$3:$FB$285,59,FALSE)</f>
        <v/>
      </c>
      <c r="AW196" s="27" t="str">
        <f>VLOOKUP($A196,'[1]Raw Data'!$A$3:$FB$285,60,FALSE)</f>
        <v/>
      </c>
      <c r="AX196" s="27" t="str">
        <f>VLOOKUP(A196,'[1]PO''s List'!A194:E476,4,FALSE)</f>
        <v/>
      </c>
      <c r="AZ196" s="27" t="str">
        <f>VLOOKUP(A196,'[1]PO''s List'!$A$3:$E$285,5,FALSE)</f>
        <v/>
      </c>
      <c r="BB196" s="27">
        <f>VLOOKUP($A196,'[1]Raw Data'!$A$3:$FB$285,63,FALSE)</f>
        <v>20061</v>
      </c>
      <c r="BC196" s="27" t="str">
        <f>VLOOKUP($A196,'[1]Raw Data'!$A$3:$FB$285,64,FALSE)</f>
        <v/>
      </c>
      <c r="BD196" s="27" t="str">
        <f t="shared" si="18"/>
        <v/>
      </c>
      <c r="BE196" s="27" t="str">
        <f>VLOOKUP($A196,'[1]Raw Data'!$A$3:$FB$285,65,FALSE)</f>
        <v/>
      </c>
      <c r="BF196" s="27">
        <f>VLOOKUP($A196,'[1]Raw Data'!$A$3:$FB$285,66,FALSE)</f>
        <v>19953</v>
      </c>
      <c r="BG196" s="27" t="str">
        <f>VLOOKUP($A196,'[1]Raw Data'!$A$3:$FB$285,67,FALSE)</f>
        <v/>
      </c>
      <c r="BH196" s="27" t="str">
        <f t="shared" si="19"/>
        <v/>
      </c>
      <c r="BI196" s="27" t="str">
        <f>VLOOKUP($A196,'[1]Raw Data'!$A$3:$FB$285,68,FALSE)</f>
        <v/>
      </c>
      <c r="BJ196" s="27">
        <f>VLOOKUP($A196,'[1]Raw Data'!$A$3:$FB$285,69,FALSE)</f>
        <v>2137</v>
      </c>
      <c r="BK196" s="27" t="str">
        <f>VLOOKUP($A196,'[1]Raw Data'!$A$3:$FB$285,70,FALSE)</f>
        <v/>
      </c>
      <c r="BL196" s="27" t="str">
        <f t="shared" si="20"/>
        <v/>
      </c>
      <c r="BM196" s="27" t="str">
        <f>VLOOKUP($A196,'[1]Raw Data'!$A$3:$FB$285,71,FALSE)</f>
        <v/>
      </c>
      <c r="BN196" s="27">
        <f>VLOOKUP($A196,'[1]Raw Data'!$A$3:$FB$285,72,FALSE)</f>
        <v>2448</v>
      </c>
      <c r="BO196" s="27" t="str">
        <f>VLOOKUP($A196,'[1]Raw Data'!$A$3:$FB$285,73,FALSE)</f>
        <v/>
      </c>
      <c r="BP196" s="27" t="str">
        <f t="shared" si="21"/>
        <v/>
      </c>
      <c r="BQ196" s="27" t="str">
        <f>VLOOKUP($A196,'[1]Raw Data'!$A$3:$FB$285,74,FALSE)</f>
        <v/>
      </c>
      <c r="BR196" s="27" t="str">
        <f>VLOOKUP($A196,'[1]Raw Data'!$A$3:$FB$285,75,FALSE)</f>
        <v/>
      </c>
      <c r="BS196" s="27" t="str">
        <f>VLOOKUP($A196,'[1]Raw Data'!$A$3:$FB$285,76,FALSE)</f>
        <v/>
      </c>
      <c r="BT196" s="27" t="str">
        <f t="shared" si="22"/>
        <v/>
      </c>
      <c r="BU196" s="27" t="str">
        <f>VLOOKUP($A196,'[1]Raw Data'!$A$3:$FB$285,77,FALSE)</f>
        <v/>
      </c>
      <c r="BV196" s="27">
        <f>VLOOKUP($A196,'[1]Raw Data'!$A$3:$FB$285,78,FALSE)</f>
        <v>66910</v>
      </c>
      <c r="BW196" s="27" t="str">
        <f>VLOOKUP($A196,'[1]Raw Data'!$A$3:$FB$285,79,FALSE)</f>
        <v/>
      </c>
      <c r="BX196" s="27" t="str">
        <f t="shared" si="23"/>
        <v/>
      </c>
      <c r="BY196" s="27" t="str">
        <f>VLOOKUP($A196,'[1]Raw Data'!$A$3:$FB$285,80,FALSE)</f>
        <v/>
      </c>
      <c r="BZ196" s="27">
        <f>VLOOKUP($A196,'[1]Raw Data'!$A$3:$FB$285,81,FALSE)</f>
        <v>219339</v>
      </c>
      <c r="CA196" s="27" t="str">
        <f>VLOOKUP($A196,'[1]Raw Data'!$A$3:$FB$285,82,FALSE)</f>
        <v/>
      </c>
      <c r="CB196" s="27" t="str">
        <f t="shared" si="24"/>
        <v/>
      </c>
      <c r="CC196" s="27" t="str">
        <f>VLOOKUP($A196,'[1]Raw Data'!$A$3:$FB$285,83,FALSE)</f>
        <v/>
      </c>
      <c r="CD196" s="27">
        <f>VLOOKUP($A196,'[1]Raw Data'!$A$3:$FB$285,84,FALSE)</f>
        <v>2738</v>
      </c>
      <c r="CE196" s="27" t="str">
        <f>VLOOKUP($A196,'[1]Raw Data'!$A$3:$FB$285,85,FALSE)</f>
        <v/>
      </c>
      <c r="CF196" s="27" t="str">
        <f t="shared" si="25"/>
        <v/>
      </c>
      <c r="CG196" s="27" t="str">
        <f>VLOOKUP($A196,'[1]Raw Data'!$A$3:$FB$285,86,FALSE)</f>
        <v/>
      </c>
      <c r="CH196" s="27">
        <f>VLOOKUP($A196,'[1]Raw Data'!$A$3:$FB$285,87,FALSE)</f>
        <v>350481</v>
      </c>
      <c r="CI196" s="27" t="str">
        <f>VLOOKUP($A196,'[1]Raw Data'!$A$3:$FB$285,88,FALSE)</f>
        <v/>
      </c>
      <c r="CJ196" s="27" t="str">
        <f t="shared" si="26"/>
        <v/>
      </c>
      <c r="CK196" s="27" t="str">
        <f>VLOOKUP($A196,'[1]Raw Data'!$A$3:$FB$285,89,FALSE)</f>
        <v/>
      </c>
      <c r="CL196" s="27" t="str">
        <f>VLOOKUP($A196,'[1]Raw Data'!$A$3:$FB$285,91,FALSE)</f>
        <v/>
      </c>
      <c r="CM196" s="27" t="str">
        <f>VLOOKUP($A196,'[1]Raw Data'!$A$3:$FB$285,93,FALSE)</f>
        <v/>
      </c>
      <c r="CN196" s="27" t="str">
        <f>VLOOKUP($A196,'[1]Raw Data'!$A$3:$FB$285,94,FALSE)</f>
        <v/>
      </c>
      <c r="CO196" s="27" t="str">
        <f>VLOOKUP($A196,'[1]Raw Data'!$A$3:$FB$285,95,FALSE)</f>
        <v/>
      </c>
      <c r="CP196" s="27" t="str">
        <f>VLOOKUP($A196,'[1]Raw Data'!$A$3:$FB$285,96,FALSE)</f>
        <v/>
      </c>
      <c r="CQ196" s="27" t="str">
        <f>VLOOKUP($A196,'[1]Raw Data'!$A$3:$FB$285,97,FALSE)</f>
        <v/>
      </c>
      <c r="CR196" s="27" t="str">
        <f>VLOOKUP($A196,'[1]Raw Data'!$A$3:$FB$285,98,FALSE)</f>
        <v/>
      </c>
      <c r="CS196" s="27" t="str">
        <f>VLOOKUP($A196,'[1]Raw Data'!$A$3:$FB$285,99,FALSE)</f>
        <v/>
      </c>
      <c r="CT196" s="27" t="str">
        <f>VLOOKUP($A196,'[1]Raw Data'!$A$3:$FB$285,101,FALSE)</f>
        <v/>
      </c>
      <c r="CV196" s="27" t="str">
        <f>VLOOKUP($A196,'[1]Raw Data'!$A$3:$FB$285,102,FALSE)</f>
        <v>Chairman</v>
      </c>
      <c r="CW196" s="27" t="s">
        <v>878</v>
      </c>
      <c r="CX196" s="27" t="str">
        <f>VLOOKUP($A196,'[1]Raw Data'!$A$3:$FB$285,103,FALSE)</f>
        <v/>
      </c>
      <c r="CY196" s="27" t="str">
        <f>VLOOKUP($A196,'[1]Raw Data'!$A$3:$FB$285,105,FALSE)</f>
        <v/>
      </c>
      <c r="DA196" s="27" t="str">
        <f>VLOOKUP($A196,'[1]Raw Data'!$A$3:$FB$285,106,FALSE)</f>
        <v>Deputy Chairman</v>
      </c>
      <c r="DB196" s="27" t="s">
        <v>879</v>
      </c>
      <c r="DC196" s="27" t="str">
        <f>VLOOKUP($A196,'[1]Raw Data'!$A$3:$FB$285,107,FALSE)</f>
        <v/>
      </c>
      <c r="DD196" s="27" t="str">
        <f>VLOOKUP($A196,'[1]Raw Data'!$A$3:$FB$285,109,FALSE)</f>
        <v/>
      </c>
      <c r="DF196" s="27" t="str">
        <f>VLOOKUP($A196,'[1]Raw Data'!$A$3:$FB$285,110,FALSE)</f>
        <v>Chief Adminstration Officer</v>
      </c>
      <c r="DG196" s="27" t="s">
        <v>880</v>
      </c>
      <c r="DH196" s="27">
        <f>VLOOKUP($A196,'[1]Raw Data'!$A$3:$FB$285,111,FALSE)</f>
        <v>9856063718</v>
      </c>
      <c r="DI196" s="27" t="str">
        <f>VLOOKUP($A196,'[1]Raw Data'!$A$3:$FB$285,121,FALSE)</f>
        <v>Muhar Rawal</v>
      </c>
      <c r="DJ196" s="27" t="s">
        <v>1432</v>
      </c>
      <c r="DK196" s="27" t="str">
        <f>VLOOKUP($A196,'[1]Raw Data'!$A$3:$FB$285,122,FALSE)</f>
        <v>Focal Person</v>
      </c>
      <c r="DL196" s="27" t="s">
        <v>881</v>
      </c>
      <c r="DM196" s="27">
        <f>VLOOKUP($A196,'[1]Raw Data'!$A$3:$FB$285,123,FALSE)</f>
        <v>9841933856</v>
      </c>
      <c r="DN196" s="27" t="str">
        <f>VLOOKUP($A196,'[1]Raw Data'!$A$3:$FB$285,113,FALSE)</f>
        <v>Dipendra Kumar Rohita</v>
      </c>
      <c r="DO196" s="27" t="s">
        <v>1431</v>
      </c>
      <c r="DP196" s="27" t="str">
        <f>VLOOKUP($A196,'[1]Raw Data'!$A$3:$FB$285,114,FALSE)</f>
        <v>NRA Chief-District</v>
      </c>
      <c r="DQ196" s="27" t="s">
        <v>882</v>
      </c>
      <c r="DR196" s="27" t="str">
        <f>VLOOKUP($A196,'[1]Raw Data'!$A$3:$FB$285,115,FALSE)</f>
        <v/>
      </c>
      <c r="DS196" s="27" t="str">
        <f>VLOOKUP($A196,'[1]Raw Data'!$A$3:$FB$285,117,FALSE)</f>
        <v/>
      </c>
      <c r="DU196" s="27" t="str">
        <f>VLOOKUP($A196,'[1]Raw Data'!$A$3:$FB$285,118,FALSE)</f>
        <v>DUDBC.DLPIU Chief</v>
      </c>
      <c r="DV196" s="27" t="s">
        <v>883</v>
      </c>
      <c r="DW196" s="27" t="str">
        <f>VLOOKUP($A196,'[1]Raw Data'!$A$3:$FB$285,119,FALSE)</f>
        <v/>
      </c>
      <c r="DX196" s="27" t="s">
        <v>339</v>
      </c>
      <c r="DY196" s="27" t="str">
        <f>VLOOKUP($A196,'[1]Raw Data'!$A$3:$FB$285,124,FALSE)</f>
        <v/>
      </c>
      <c r="DZ196" s="27" t="s">
        <v>884</v>
      </c>
      <c r="EA196" s="27" t="str">
        <f>VLOOKUP($A196,'[1]Raw Data'!$A$3:$FB$285,125,FALSE)</f>
        <v/>
      </c>
      <c r="EB196" s="27" t="s">
        <v>341</v>
      </c>
      <c r="EC196" s="27" t="str">
        <f>VLOOKUP($A196,'[1]Raw Data'!$A$3:$FB$285,126,FALSE)</f>
        <v/>
      </c>
      <c r="ED196" t="s">
        <v>478</v>
      </c>
      <c r="EE196" s="27" t="str">
        <f>VLOOKUP($A196,'[1]Raw Data'!$A$3:$FB$285,127,FALSE)</f>
        <v/>
      </c>
      <c r="EF196" s="27" t="s">
        <v>343</v>
      </c>
      <c r="EG196" s="27" t="str">
        <f>VLOOKUP($A196,'[1]Raw Data'!$A$3:$FB$285,128,FALSE)</f>
        <v/>
      </c>
      <c r="EH196" t="s">
        <v>344</v>
      </c>
      <c r="EI196" s="27" t="str">
        <f>VLOOKUP($A196,'[1]Raw Data'!$A$3:$FB$285,129,FALSE)</f>
        <v/>
      </c>
      <c r="EM196" s="27" t="str">
        <f>VLOOKUP($A196,'[1]Raw Data'!$A$3:$FB$285,130,FALSE)</f>
        <v/>
      </c>
      <c r="EN196" s="27" t="str">
        <f>VLOOKUP($A196,'[1]Raw Data'!$A$3:$FB$285,131,FALSE)</f>
        <v/>
      </c>
      <c r="EO196" s="27" t="str">
        <f>VLOOKUP($A196,'[1]Raw Data'!$A$3:$FB$285,132,FALSE)</f>
        <v/>
      </c>
      <c r="EP196" s="27" t="str">
        <f>VLOOKUP($A196,'[1]Raw Data'!$A$3:$FB$285,133,FALSE)</f>
        <v/>
      </c>
      <c r="EQ196" s="27" t="str">
        <f>VLOOKUP($A196,'[1]Raw Data'!$A$3:$FB$285,134,FALSE)</f>
        <v/>
      </c>
      <c r="ER196" s="27" t="str">
        <f>VLOOKUP($A196,'[1]Raw Data'!$A$3:$FB$285,135,FALSE)</f>
        <v/>
      </c>
      <c r="ES196" s="27" t="str">
        <f>VLOOKUP($A196,'[1]Raw Data'!$A$3:$FB$285,136,FALSE)</f>
        <v/>
      </c>
      <c r="ET196" s="27" t="str">
        <f>VLOOKUP($A196,'[1]Raw Data'!$A$3:$FB$285,137,FALSE)</f>
        <v/>
      </c>
      <c r="EU196" s="27" t="str">
        <f>VLOOKUP($A196,'[1]Raw Data'!$A$3:$FB$285,138,FALSE)</f>
        <v/>
      </c>
      <c r="EV196" s="27" t="str">
        <f>VLOOKUP($A196,'[1]Raw Data'!$A$3:$FB$285,139,FALSE)</f>
        <v/>
      </c>
      <c r="EW196" s="38">
        <f>VLOOKUP($A196,[1]Training!$A$2:$I$284,5,FALSE)</f>
        <v>76.615384615384613</v>
      </c>
      <c r="EX196" s="31">
        <f>VLOOKUP($A196,[1]Training!$A$2:$I$284,6,FALSE)</f>
        <v>25</v>
      </c>
      <c r="EY196" s="38">
        <f>VLOOKUP($A196,[1]Training!$A$2:$I$284,8,FALSE)</f>
        <v>90.545454545454547</v>
      </c>
      <c r="EZ196" s="31">
        <f>VLOOKUP($A196,[1]Training!$A$2:$I$284,9,FALSE)</f>
        <v>0</v>
      </c>
      <c r="FA196" s="27">
        <v>1</v>
      </c>
      <c r="FB196" s="27">
        <v>2</v>
      </c>
      <c r="FC196" s="27" t="str">
        <f>VLOOKUP($A196,'[1]Raw Data'!$A$3:$FB$285,148,FALSE)</f>
        <v/>
      </c>
      <c r="FE196" s="27" t="str">
        <f>VLOOKUP($A196,'[1]Raw Data'!$A$3:$FB$285,149,FALSE)</f>
        <v>District Coordinator</v>
      </c>
      <c r="FF196" s="27" t="s">
        <v>885</v>
      </c>
      <c r="FG196" s="27" t="str">
        <f>VLOOKUP($A196,'[1]Raw Data'!$A$3:$FB$285,150,FALSE)</f>
        <v/>
      </c>
      <c r="FH196" s="27" t="str">
        <f>VLOOKUP($A196,'[1]Raw Data'!$A$3:$FB$285,156,FALSE)</f>
        <v/>
      </c>
      <c r="FJ196" s="27" t="str">
        <f>VLOOKUP($A196,'[1]Raw Data'!$A$3:$FB$285,157,FALSE)</f>
        <v>District Technical Officer</v>
      </c>
      <c r="FK196" s="27" t="s">
        <v>886</v>
      </c>
      <c r="FL196" s="27" t="str">
        <f>VLOOKUP($A196,'[1]Raw Data'!$A$3:$FB$285,158,FALSE)</f>
        <v/>
      </c>
      <c r="FM196" s="27" t="str">
        <f>VLOOKUP($A196,'[1]Raw Data'!$A$3:$FB$285,152,FALSE)</f>
        <v/>
      </c>
      <c r="FO196" s="27" t="str">
        <f>VLOOKUP($A196,'[1]Raw Data'!$A$3:$FB$285,153,FALSE)</f>
        <v>DIstrict Information Management Officer</v>
      </c>
      <c r="FP196" s="27" t="s">
        <v>887</v>
      </c>
      <c r="FQ196" s="27" t="str">
        <f>VLOOKUP($A196,'[1]Raw Data'!$A$3:$FB$285,154,FALSE)</f>
        <v/>
      </c>
    </row>
    <row r="197" spans="1:173" ht="24" x14ac:dyDescent="0.45">
      <c r="A197" s="27">
        <v>38003</v>
      </c>
      <c r="B197" s="36" t="str">
        <f ca="1">IFERROR(__xludf.DUMMYFUNCTION("""COMPUTED_VALUE"""),"Bhanu Nagarpalika")</f>
        <v>Bhanu Nagarpalika</v>
      </c>
      <c r="C197" s="37" t="str">
        <f>VLOOKUP(A197,'[1]Palika and District in Nepali '!$D$1:$F$283,3,FALSE)</f>
        <v>भानु नगरपालिका</v>
      </c>
      <c r="D197" s="36" t="str">
        <f ca="1">IFERROR(__xludf.DUMMYFUNCTION("""COMPUTED_VALUE"""),"Tanahun")</f>
        <v>Tanahun</v>
      </c>
      <c r="E197" s="36"/>
      <c r="F197" s="27">
        <f>VLOOKUP(A197,'[1]Raw Data'!$A$3:$FB$285,4,FALSE)</f>
        <v>2947</v>
      </c>
      <c r="G197" s="27">
        <f>VLOOKUP(A197,'[1]Raw Data'!$A$3:$FB$285,5,FALSE)</f>
        <v>4593</v>
      </c>
      <c r="H197" s="27">
        <f>VLOOKUP(A197,'[1]Raw Data'!$A$3:$FB$285,6,FALSE)</f>
        <v>7540</v>
      </c>
      <c r="I197" s="27">
        <f>VLOOKUP($A197,'[1]Raw Data'!$A$3:$FB$285,8,FALSE)</f>
        <v>1.69</v>
      </c>
      <c r="J197" s="27">
        <f>VLOOKUP($A197,'[1]Raw Data'!$A$3:$FB$285,9,FALSE)</f>
        <v>2.69</v>
      </c>
      <c r="K197" s="27">
        <f>VLOOKUP($A197,'[1]Raw Data'!$A$3:$FB$285,11,FALSE)</f>
        <v>87.16</v>
      </c>
      <c r="L197" s="27">
        <f>VLOOKUP($A197,'[1]Raw Data'!$A$3:$FB$285,12,FALSE)</f>
        <v>88.78</v>
      </c>
      <c r="M197" s="27">
        <f>VLOOKUP($A197,'[1]Raw Data'!$A$3:$FB$285,14,FALSE)</f>
        <v>3.06</v>
      </c>
      <c r="N197" s="27">
        <f>VLOOKUP($A197,'[1]Raw Data'!$A$3:$FB$285,15,FALSE)</f>
        <v>3.44</v>
      </c>
      <c r="O197" s="27">
        <f>VLOOKUP($A197,'[1]Raw Data'!$A$3:$FB$285,17,FALSE)</f>
        <v>2.84</v>
      </c>
      <c r="P197" s="27">
        <f>VLOOKUP($A197,'[1]Raw Data'!$A$3:$FB$285,18,FALSE)</f>
        <v>1.46</v>
      </c>
      <c r="Q197" s="27">
        <f>VLOOKUP($A197,'[1]Raw Data'!$A$3:$FB$285,20,FALSE)</f>
        <v>3.84</v>
      </c>
      <c r="R197" s="27">
        <f>VLOOKUP($A197,'[1]Raw Data'!$A$3:$FB$285,21,FALSE)</f>
        <v>2.38</v>
      </c>
      <c r="S197" s="27">
        <f>VLOOKUP($A197,'[1]Raw Data'!$A$3:$FB$285,23,FALSE)</f>
        <v>0</v>
      </c>
      <c r="T197" s="27">
        <f>VLOOKUP($A197,'[1]Raw Data'!$A$3:$FB$285,24,FALSE)</f>
        <v>0</v>
      </c>
      <c r="U197" s="27">
        <f>VLOOKUP($A197,'[1]Raw Data'!$A$3:$FB$285,26,FALSE)</f>
        <v>0.56999999999999995</v>
      </c>
      <c r="V197" s="27">
        <f>VLOOKUP($A197,'[1]Raw Data'!$A$3:$FB$285,27,FALSE)</f>
        <v>0.37</v>
      </c>
      <c r="W197" s="27">
        <f>VLOOKUP($A197,'[1]Raw Data'!$A$3:$FB$285,29,FALSE)</f>
        <v>0</v>
      </c>
      <c r="X197" s="27">
        <f>VLOOKUP($A197,'[1]Raw Data'!$A$3:$FB$285,30,FALSE)</f>
        <v>0</v>
      </c>
      <c r="Y197" s="27">
        <f>VLOOKUP($A197,'[1]Raw Data'!$A$3:$FB$285,32,FALSE)</f>
        <v>0.4</v>
      </c>
      <c r="Z197" s="27">
        <f>VLOOKUP($A197,'[1]Raw Data'!$A$3:$FB$285,33,FALSE)</f>
        <v>0.32</v>
      </c>
      <c r="AA197" s="27">
        <f>VLOOKUP($A197,'[1]Raw Data'!$A$3:$FB$285,35,FALSE)</f>
        <v>0.36</v>
      </c>
      <c r="AB197" s="27">
        <f>VLOOKUP($A197,'[1]Raw Data'!$A$3:$FB$285,36,FALSE)</f>
        <v>0.47</v>
      </c>
      <c r="AC197" s="27">
        <f>VLOOKUP($A197,'[1]Raw Data'!$A$3:$FB$285,38,FALSE)</f>
        <v>0.08</v>
      </c>
      <c r="AD197" s="27">
        <f>VLOOKUP($A197,'[1]Raw Data'!$A$3:$FB$285,39,FALSE)</f>
        <v>0.08</v>
      </c>
      <c r="AE197" s="27">
        <f>VLOOKUP($A197,'[1]Raw Data'!$A$3:$FB$285,41,FALSE)</f>
        <v>0</v>
      </c>
      <c r="AF197" s="27">
        <f>VLOOKUP($A197,'[1]Raw Data'!$A$3:$FB$285,42,FALSE)</f>
        <v>0</v>
      </c>
      <c r="AG197" s="27">
        <f>VLOOKUP($A197,'[1]Raw Data'!$A$3:$FB$285,44,FALSE)</f>
        <v>0</v>
      </c>
      <c r="AH197" s="27">
        <f>VLOOKUP($A197,'[1]Raw Data'!$A$3:$FB$285,45,FALSE)</f>
        <v>0</v>
      </c>
      <c r="AI197" s="27">
        <f>VLOOKUP($A197,'[1]Raw Data'!$A$3:$FB$285,46,FALSE)</f>
        <v>4378</v>
      </c>
      <c r="AJ197" s="27">
        <f>VLOOKUP($A197,'[1]Raw Data'!$A$3:$FB$285,47,FALSE)</f>
        <v>3790</v>
      </c>
      <c r="AK197" s="27">
        <f>VLOOKUP($A197,'[1]Raw Data'!$A$3:$FB$285,48,FALSE)</f>
        <v>3790</v>
      </c>
      <c r="AL197" s="27">
        <f>VLOOKUP($A197,'[1]Raw Data'!$A$3:$FB$285,49,FALSE)</f>
        <v>338</v>
      </c>
      <c r="AM197" s="27">
        <f>VLOOKUP($A197,'[1]Raw Data'!$A$3:$FB$285,50,FALSE)</f>
        <v>0</v>
      </c>
      <c r="AN197" s="27" t="str">
        <f>VLOOKUP($A197,'[1]Raw Data'!$A$3:$FB$285,51,FALSE)</f>
        <v/>
      </c>
      <c r="AO197" s="27" t="str">
        <f>VLOOKUP($A197,'[1]Raw Data'!$A$3:$FB$285,52,FALSE)</f>
        <v/>
      </c>
      <c r="AP197" s="27">
        <f>VLOOKUP($A197,'[1]Raw Data'!$A$3:$FB$285,53,FALSE)</f>
        <v>76</v>
      </c>
      <c r="AQ197" s="27" t="str">
        <f>VLOOKUP($A197,'[1]Raw Data'!$A$3:$FB$285,54,FALSE)</f>
        <v/>
      </c>
      <c r="AR197" s="27" t="str">
        <f>VLOOKUP($A197,'[1]Raw Data'!$A$3:$FB$285,55,FALSE)</f>
        <v/>
      </c>
      <c r="AS197" s="27" t="str">
        <f>VLOOKUP($A197,'[1]Raw Data'!$A$3:$FB$285,56,FALSE)</f>
        <v/>
      </c>
      <c r="AT197" s="27" t="str">
        <f>VLOOKUP($A197,'[1]Raw Data'!$A$3:$FB$285,57,FALSE)</f>
        <v/>
      </c>
      <c r="AU197" s="27" t="str">
        <f>VLOOKUP($A197,'[1]Raw Data'!$A$3:$FB$285,58,FALSE)</f>
        <v/>
      </c>
      <c r="AV197" s="27" t="str">
        <f>VLOOKUP($A197,'[1]Raw Data'!$A$3:$FB$285,59,FALSE)</f>
        <v/>
      </c>
      <c r="AW197" s="27" t="str">
        <f>VLOOKUP($A197,'[1]Raw Data'!$A$3:$FB$285,60,FALSE)</f>
        <v/>
      </c>
      <c r="AX197" s="27" t="str">
        <f>VLOOKUP(A197,'[1]PO''s List'!A195:E477,4,FALSE)</f>
        <v/>
      </c>
      <c r="AZ197" s="27" t="str">
        <f>VLOOKUP(A197,'[1]PO''s List'!$A$3:$E$285,5,FALSE)</f>
        <v/>
      </c>
      <c r="BB197" s="27">
        <f>VLOOKUP($A197,'[1]Raw Data'!$A$3:$FB$285,63,FALSE)</f>
        <v>111017</v>
      </c>
      <c r="BC197" s="27" t="str">
        <f>VLOOKUP($A197,'[1]Raw Data'!$A$3:$FB$285,64,FALSE)</f>
        <v/>
      </c>
      <c r="BD197" s="27" t="str">
        <f t="shared" si="18"/>
        <v/>
      </c>
      <c r="BE197" s="27" t="str">
        <f>VLOOKUP($A197,'[1]Raw Data'!$A$3:$FB$285,65,FALSE)</f>
        <v/>
      </c>
      <c r="BF197" s="27">
        <f>VLOOKUP($A197,'[1]Raw Data'!$A$3:$FB$285,66,FALSE)</f>
        <v>108717</v>
      </c>
      <c r="BG197" s="27" t="str">
        <f>VLOOKUP($A197,'[1]Raw Data'!$A$3:$FB$285,67,FALSE)</f>
        <v/>
      </c>
      <c r="BH197" s="27" t="str">
        <f t="shared" si="19"/>
        <v/>
      </c>
      <c r="BI197" s="27" t="str">
        <f>VLOOKUP($A197,'[1]Raw Data'!$A$3:$FB$285,68,FALSE)</f>
        <v/>
      </c>
      <c r="BJ197" s="27">
        <f>VLOOKUP($A197,'[1]Raw Data'!$A$3:$FB$285,69,FALSE)</f>
        <v>11813</v>
      </c>
      <c r="BK197" s="27" t="str">
        <f>VLOOKUP($A197,'[1]Raw Data'!$A$3:$FB$285,70,FALSE)</f>
        <v/>
      </c>
      <c r="BL197" s="27" t="str">
        <f t="shared" si="20"/>
        <v/>
      </c>
      <c r="BM197" s="27" t="str">
        <f>VLOOKUP($A197,'[1]Raw Data'!$A$3:$FB$285,71,FALSE)</f>
        <v/>
      </c>
      <c r="BN197" s="27">
        <f>VLOOKUP($A197,'[1]Raw Data'!$A$3:$FB$285,72,FALSE)</f>
        <v>13479</v>
      </c>
      <c r="BO197" s="27" t="str">
        <f>VLOOKUP($A197,'[1]Raw Data'!$A$3:$FB$285,73,FALSE)</f>
        <v/>
      </c>
      <c r="BP197" s="27" t="str">
        <f t="shared" si="21"/>
        <v/>
      </c>
      <c r="BQ197" s="27" t="str">
        <f>VLOOKUP($A197,'[1]Raw Data'!$A$3:$FB$285,74,FALSE)</f>
        <v/>
      </c>
      <c r="BR197" s="27" t="str">
        <f>VLOOKUP($A197,'[1]Raw Data'!$A$3:$FB$285,75,FALSE)</f>
        <v/>
      </c>
      <c r="BS197" s="27" t="str">
        <f>VLOOKUP($A197,'[1]Raw Data'!$A$3:$FB$285,76,FALSE)</f>
        <v/>
      </c>
      <c r="BT197" s="27" t="str">
        <f t="shared" si="22"/>
        <v/>
      </c>
      <c r="BU197" s="27" t="str">
        <f>VLOOKUP($A197,'[1]Raw Data'!$A$3:$FB$285,77,FALSE)</f>
        <v/>
      </c>
      <c r="BV197" s="27">
        <f>VLOOKUP($A197,'[1]Raw Data'!$A$3:$FB$285,78,FALSE)</f>
        <v>365976</v>
      </c>
      <c r="BW197" s="27" t="str">
        <f>VLOOKUP($A197,'[1]Raw Data'!$A$3:$FB$285,79,FALSE)</f>
        <v/>
      </c>
      <c r="BX197" s="27" t="str">
        <f t="shared" si="23"/>
        <v/>
      </c>
      <c r="BY197" s="27" t="str">
        <f>VLOOKUP($A197,'[1]Raw Data'!$A$3:$FB$285,80,FALSE)</f>
        <v/>
      </c>
      <c r="BZ197" s="27">
        <f>VLOOKUP($A197,'[1]Raw Data'!$A$3:$FB$285,81,FALSE)</f>
        <v>1217784</v>
      </c>
      <c r="CA197" s="27" t="str">
        <f>VLOOKUP($A197,'[1]Raw Data'!$A$3:$FB$285,82,FALSE)</f>
        <v/>
      </c>
      <c r="CB197" s="27" t="str">
        <f t="shared" si="24"/>
        <v/>
      </c>
      <c r="CC197" s="27" t="str">
        <f>VLOOKUP($A197,'[1]Raw Data'!$A$3:$FB$285,83,FALSE)</f>
        <v/>
      </c>
      <c r="CD197" s="27">
        <f>VLOOKUP($A197,'[1]Raw Data'!$A$3:$FB$285,84,FALSE)</f>
        <v>14978</v>
      </c>
      <c r="CE197" s="27" t="str">
        <f>VLOOKUP($A197,'[1]Raw Data'!$A$3:$FB$285,85,FALSE)</f>
        <v/>
      </c>
      <c r="CF197" s="27" t="str">
        <f t="shared" si="25"/>
        <v/>
      </c>
      <c r="CG197" s="27" t="str">
        <f>VLOOKUP($A197,'[1]Raw Data'!$A$3:$FB$285,86,FALSE)</f>
        <v/>
      </c>
      <c r="CH197" s="27">
        <f>VLOOKUP($A197,'[1]Raw Data'!$A$3:$FB$285,87,FALSE)</f>
        <v>2227123</v>
      </c>
      <c r="CI197" s="27" t="str">
        <f>VLOOKUP($A197,'[1]Raw Data'!$A$3:$FB$285,88,FALSE)</f>
        <v/>
      </c>
      <c r="CJ197" s="27" t="str">
        <f t="shared" si="26"/>
        <v/>
      </c>
      <c r="CK197" s="27" t="str">
        <f>VLOOKUP($A197,'[1]Raw Data'!$A$3:$FB$285,89,FALSE)</f>
        <v/>
      </c>
      <c r="CL197" s="27" t="str">
        <f>VLOOKUP($A197,'[1]Raw Data'!$A$3:$FB$285,91,FALSE)</f>
        <v/>
      </c>
      <c r="CM197" s="27" t="str">
        <f>VLOOKUP($A197,'[1]Raw Data'!$A$3:$FB$285,93,FALSE)</f>
        <v/>
      </c>
      <c r="CN197" s="27" t="str">
        <f>VLOOKUP($A197,'[1]Raw Data'!$A$3:$FB$285,94,FALSE)</f>
        <v/>
      </c>
      <c r="CO197" s="27" t="str">
        <f>VLOOKUP($A197,'[1]Raw Data'!$A$3:$FB$285,95,FALSE)</f>
        <v/>
      </c>
      <c r="CP197" s="27" t="str">
        <f>VLOOKUP($A197,'[1]Raw Data'!$A$3:$FB$285,96,FALSE)</f>
        <v/>
      </c>
      <c r="CQ197" s="27" t="str">
        <f>VLOOKUP($A197,'[1]Raw Data'!$A$3:$FB$285,97,FALSE)</f>
        <v/>
      </c>
      <c r="CR197" s="27" t="str">
        <f>VLOOKUP($A197,'[1]Raw Data'!$A$3:$FB$285,98,FALSE)</f>
        <v/>
      </c>
      <c r="CS197" s="27" t="str">
        <f>VLOOKUP($A197,'[1]Raw Data'!$A$3:$FB$285,99,FALSE)</f>
        <v/>
      </c>
      <c r="CT197" s="27" t="str">
        <f>VLOOKUP($A197,'[1]Raw Data'!$A$3:$FB$285,101,FALSE)</f>
        <v/>
      </c>
      <c r="CV197" s="27" t="str">
        <f>VLOOKUP($A197,'[1]Raw Data'!$A$3:$FB$285,102,FALSE)</f>
        <v>Mayor</v>
      </c>
      <c r="CW197" s="27" t="s">
        <v>834</v>
      </c>
      <c r="CX197" s="27" t="str">
        <f>VLOOKUP($A197,'[1]Raw Data'!$A$3:$FB$285,103,FALSE)</f>
        <v/>
      </c>
      <c r="CY197" s="27" t="str">
        <f>VLOOKUP($A197,'[1]Raw Data'!$A$3:$FB$285,105,FALSE)</f>
        <v/>
      </c>
      <c r="DA197" s="27" t="str">
        <f>VLOOKUP($A197,'[1]Raw Data'!$A$3:$FB$285,106,FALSE)</f>
        <v>Deputy Mayor</v>
      </c>
      <c r="DB197" s="27" t="s">
        <v>888</v>
      </c>
      <c r="DC197" s="27" t="str">
        <f>VLOOKUP($A197,'[1]Raw Data'!$A$3:$FB$285,107,FALSE)</f>
        <v/>
      </c>
      <c r="DD197" s="27" t="str">
        <f>VLOOKUP($A197,'[1]Raw Data'!$A$3:$FB$285,109,FALSE)</f>
        <v/>
      </c>
      <c r="DF197" s="27" t="str">
        <f>VLOOKUP($A197,'[1]Raw Data'!$A$3:$FB$285,110,FALSE)</f>
        <v>Chief Adminstration Officer</v>
      </c>
      <c r="DG197" s="27" t="s">
        <v>880</v>
      </c>
      <c r="DH197" s="27">
        <f>VLOOKUP($A197,'[1]Raw Data'!$A$3:$FB$285,111,FALSE)</f>
        <v>9856063718</v>
      </c>
      <c r="DI197" s="27" t="str">
        <f>VLOOKUP($A197,'[1]Raw Data'!$A$3:$FB$285,121,FALSE)</f>
        <v>Radha Hamal</v>
      </c>
      <c r="DJ197" s="27" t="s">
        <v>1433</v>
      </c>
      <c r="DK197" s="27" t="str">
        <f>VLOOKUP($A197,'[1]Raw Data'!$A$3:$FB$285,122,FALSE)</f>
        <v>Focal Person</v>
      </c>
      <c r="DL197" s="27" t="s">
        <v>881</v>
      </c>
      <c r="DM197" s="27">
        <f>VLOOKUP($A197,'[1]Raw Data'!$A$3:$FB$285,123,FALSE)</f>
        <v>9861598814</v>
      </c>
      <c r="DN197" s="27" t="str">
        <f>VLOOKUP($A197,'[1]Raw Data'!$A$3:$FB$285,113,FALSE)</f>
        <v>Dipendra Kumar Rohita</v>
      </c>
      <c r="DO197" s="27" t="s">
        <v>1431</v>
      </c>
      <c r="DP197" s="27" t="str">
        <f>VLOOKUP($A197,'[1]Raw Data'!$A$3:$FB$285,114,FALSE)</f>
        <v>NRA Chief-District</v>
      </c>
      <c r="DQ197" s="27" t="s">
        <v>882</v>
      </c>
      <c r="DR197" s="27" t="str">
        <f>VLOOKUP($A197,'[1]Raw Data'!$A$3:$FB$285,115,FALSE)</f>
        <v/>
      </c>
      <c r="DS197" s="27" t="str">
        <f>VLOOKUP($A197,'[1]Raw Data'!$A$3:$FB$285,117,FALSE)</f>
        <v/>
      </c>
      <c r="DU197" s="27" t="str">
        <f>VLOOKUP($A197,'[1]Raw Data'!$A$3:$FB$285,118,FALSE)</f>
        <v>DUDBC.DLPIU Chief</v>
      </c>
      <c r="DV197" s="27" t="s">
        <v>883</v>
      </c>
      <c r="DW197" s="27" t="str">
        <f>VLOOKUP($A197,'[1]Raw Data'!$A$3:$FB$285,119,FALSE)</f>
        <v/>
      </c>
      <c r="DX197" s="27" t="s">
        <v>339</v>
      </c>
      <c r="DY197" s="27" t="str">
        <f>VLOOKUP($A197,'[1]Raw Data'!$A$3:$FB$285,124,FALSE)</f>
        <v/>
      </c>
      <c r="DZ197" s="27" t="s">
        <v>884</v>
      </c>
      <c r="EA197" s="27" t="str">
        <f>VLOOKUP($A197,'[1]Raw Data'!$A$3:$FB$285,125,FALSE)</f>
        <v/>
      </c>
      <c r="EB197" s="27" t="s">
        <v>341</v>
      </c>
      <c r="EC197" s="27" t="str">
        <f>VLOOKUP($A197,'[1]Raw Data'!$A$3:$FB$285,126,FALSE)</f>
        <v/>
      </c>
      <c r="ED197" t="s">
        <v>478</v>
      </c>
      <c r="EE197" s="27" t="str">
        <f>VLOOKUP($A197,'[1]Raw Data'!$A$3:$FB$285,127,FALSE)</f>
        <v/>
      </c>
      <c r="EF197" s="27" t="s">
        <v>343</v>
      </c>
      <c r="EG197" s="27" t="str">
        <f>VLOOKUP($A197,'[1]Raw Data'!$A$3:$FB$285,128,FALSE)</f>
        <v/>
      </c>
      <c r="EH197" t="s">
        <v>344</v>
      </c>
      <c r="EI197" s="27" t="str">
        <f>VLOOKUP($A197,'[1]Raw Data'!$A$3:$FB$285,129,FALSE)</f>
        <v/>
      </c>
      <c r="EM197" s="27" t="str">
        <f>VLOOKUP($A197,'[1]Raw Data'!$A$3:$FB$285,130,FALSE)</f>
        <v/>
      </c>
      <c r="EN197" s="27" t="str">
        <f>VLOOKUP($A197,'[1]Raw Data'!$A$3:$FB$285,131,FALSE)</f>
        <v/>
      </c>
      <c r="EO197" s="27" t="str">
        <f>VLOOKUP($A197,'[1]Raw Data'!$A$3:$FB$285,132,FALSE)</f>
        <v/>
      </c>
      <c r="EP197" s="27" t="str">
        <f>VLOOKUP($A197,'[1]Raw Data'!$A$3:$FB$285,133,FALSE)</f>
        <v/>
      </c>
      <c r="EQ197" s="27" t="str">
        <f>VLOOKUP($A197,'[1]Raw Data'!$A$3:$FB$285,134,FALSE)</f>
        <v/>
      </c>
      <c r="ER197" s="27" t="str">
        <f>VLOOKUP($A197,'[1]Raw Data'!$A$3:$FB$285,135,FALSE)</f>
        <v/>
      </c>
      <c r="ES197" s="27" t="str">
        <f>VLOOKUP($A197,'[1]Raw Data'!$A$3:$FB$285,136,FALSE)</f>
        <v/>
      </c>
      <c r="ET197" s="27" t="str">
        <f>VLOOKUP($A197,'[1]Raw Data'!$A$3:$FB$285,137,FALSE)</f>
        <v/>
      </c>
      <c r="EU197" s="27" t="str">
        <f>VLOOKUP($A197,'[1]Raw Data'!$A$3:$FB$285,138,FALSE)</f>
        <v/>
      </c>
      <c r="EV197" s="27" t="str">
        <f>VLOOKUP($A197,'[1]Raw Data'!$A$3:$FB$285,139,FALSE)</f>
        <v/>
      </c>
      <c r="EW197" s="38">
        <f>VLOOKUP($A197,[1]Training!$A$2:$I$284,5,FALSE)</f>
        <v>336.76923076923077</v>
      </c>
      <c r="EX197" s="31">
        <f>VLOOKUP($A197,[1]Training!$A$2:$I$284,6,FALSE)</f>
        <v>110</v>
      </c>
      <c r="EY197" s="38">
        <f>VLOOKUP($A197,[1]Training!$A$2:$I$284,8,FALSE)</f>
        <v>398</v>
      </c>
      <c r="EZ197" s="31">
        <f>VLOOKUP($A197,[1]Training!$A$2:$I$284,9,FALSE)</f>
        <v>0</v>
      </c>
      <c r="FA197" s="27">
        <v>1</v>
      </c>
      <c r="FB197" s="27">
        <v>2</v>
      </c>
      <c r="FC197" s="27" t="str">
        <f>VLOOKUP($A197,'[1]Raw Data'!$A$3:$FB$285,148,FALSE)</f>
        <v/>
      </c>
      <c r="FE197" s="27" t="str">
        <f>VLOOKUP($A197,'[1]Raw Data'!$A$3:$FB$285,149,FALSE)</f>
        <v>District Coordinator</v>
      </c>
      <c r="FF197" s="27" t="s">
        <v>885</v>
      </c>
      <c r="FG197" s="27" t="str">
        <f>VLOOKUP($A197,'[1]Raw Data'!$A$3:$FB$285,150,FALSE)</f>
        <v/>
      </c>
      <c r="FH197" s="27" t="str">
        <f>VLOOKUP($A197,'[1]Raw Data'!$A$3:$FB$285,156,FALSE)</f>
        <v/>
      </c>
      <c r="FJ197" s="27" t="str">
        <f>VLOOKUP($A197,'[1]Raw Data'!$A$3:$FB$285,157,FALSE)</f>
        <v>District Technical Officer</v>
      </c>
      <c r="FK197" s="27" t="s">
        <v>886</v>
      </c>
      <c r="FL197" s="27" t="str">
        <f>VLOOKUP($A197,'[1]Raw Data'!$A$3:$FB$285,158,FALSE)</f>
        <v/>
      </c>
      <c r="FM197" s="27" t="str">
        <f>VLOOKUP($A197,'[1]Raw Data'!$A$3:$FB$285,152,FALSE)</f>
        <v/>
      </c>
      <c r="FO197" s="27" t="str">
        <f>VLOOKUP($A197,'[1]Raw Data'!$A$3:$FB$285,153,FALSE)</f>
        <v>DIstrict Information Management Officer</v>
      </c>
      <c r="FP197" s="27" t="s">
        <v>887</v>
      </c>
      <c r="FQ197" s="27" t="str">
        <f>VLOOKUP($A197,'[1]Raw Data'!$A$3:$FB$285,154,FALSE)</f>
        <v/>
      </c>
    </row>
    <row r="198" spans="1:173" ht="24" x14ac:dyDescent="0.45">
      <c r="A198" s="27">
        <v>38004</v>
      </c>
      <c r="B198" s="36" t="str">
        <f ca="1">IFERROR(__xludf.DUMMYFUNCTION("""COMPUTED_VALUE"""),"Bhimad Nagarpalika")</f>
        <v>Bhimad Nagarpalika</v>
      </c>
      <c r="C198" s="37" t="str">
        <f>VLOOKUP(A198,'[1]Palika and District in Nepali '!$D$1:$F$283,3,FALSE)</f>
        <v>भिमाद नगरपालिका</v>
      </c>
      <c r="D198" s="36" t="str">
        <f ca="1">IFERROR(__xludf.DUMMYFUNCTION("""COMPUTED_VALUE"""),"Tanahun")</f>
        <v>Tanahun</v>
      </c>
      <c r="E198" s="36"/>
      <c r="F198" s="27">
        <f>VLOOKUP(A198,'[1]Raw Data'!$A$3:$FB$285,4,FALSE)</f>
        <v>1439</v>
      </c>
      <c r="G198" s="27">
        <f>VLOOKUP(A198,'[1]Raw Data'!$A$3:$FB$285,5,FALSE)</f>
        <v>1241</v>
      </c>
      <c r="H198" s="27">
        <f>VLOOKUP(A198,'[1]Raw Data'!$A$3:$FB$285,6,FALSE)</f>
        <v>2680</v>
      </c>
      <c r="I198" s="27">
        <f>VLOOKUP($A198,'[1]Raw Data'!$A$3:$FB$285,8,FALSE)</f>
        <v>3.88</v>
      </c>
      <c r="J198" s="27">
        <f>VLOOKUP($A198,'[1]Raw Data'!$A$3:$FB$285,9,FALSE)</f>
        <v>2.69</v>
      </c>
      <c r="K198" s="27">
        <f>VLOOKUP($A198,'[1]Raw Data'!$A$3:$FB$285,11,FALSE)</f>
        <v>91.3</v>
      </c>
      <c r="L198" s="27">
        <f>VLOOKUP($A198,'[1]Raw Data'!$A$3:$FB$285,12,FALSE)</f>
        <v>88.78</v>
      </c>
      <c r="M198" s="27">
        <f>VLOOKUP($A198,'[1]Raw Data'!$A$3:$FB$285,14,FALSE)</f>
        <v>3.7</v>
      </c>
      <c r="N198" s="27">
        <f>VLOOKUP($A198,'[1]Raw Data'!$A$3:$FB$285,15,FALSE)</f>
        <v>3.44</v>
      </c>
      <c r="O198" s="27">
        <f>VLOOKUP($A198,'[1]Raw Data'!$A$3:$FB$285,17,FALSE)</f>
        <v>7.0000000000000007E-2</v>
      </c>
      <c r="P198" s="27">
        <f>VLOOKUP($A198,'[1]Raw Data'!$A$3:$FB$285,18,FALSE)</f>
        <v>1.46</v>
      </c>
      <c r="Q198" s="27">
        <f>VLOOKUP($A198,'[1]Raw Data'!$A$3:$FB$285,20,FALSE)</f>
        <v>0.9</v>
      </c>
      <c r="R198" s="27">
        <f>VLOOKUP($A198,'[1]Raw Data'!$A$3:$FB$285,21,FALSE)</f>
        <v>2.38</v>
      </c>
      <c r="S198" s="27">
        <f>VLOOKUP($A198,'[1]Raw Data'!$A$3:$FB$285,23,FALSE)</f>
        <v>0</v>
      </c>
      <c r="T198" s="27">
        <f>VLOOKUP($A198,'[1]Raw Data'!$A$3:$FB$285,24,FALSE)</f>
        <v>0</v>
      </c>
      <c r="U198" s="27">
        <f>VLOOKUP($A198,'[1]Raw Data'!$A$3:$FB$285,26,FALSE)</f>
        <v>0.04</v>
      </c>
      <c r="V198" s="27">
        <f>VLOOKUP($A198,'[1]Raw Data'!$A$3:$FB$285,27,FALSE)</f>
        <v>0.37</v>
      </c>
      <c r="W198" s="27">
        <f>VLOOKUP($A198,'[1]Raw Data'!$A$3:$FB$285,29,FALSE)</f>
        <v>0</v>
      </c>
      <c r="X198" s="27">
        <f>VLOOKUP($A198,'[1]Raw Data'!$A$3:$FB$285,30,FALSE)</f>
        <v>0</v>
      </c>
      <c r="Y198" s="27">
        <f>VLOOKUP($A198,'[1]Raw Data'!$A$3:$FB$285,32,FALSE)</f>
        <v>0.04</v>
      </c>
      <c r="Z198" s="27">
        <f>VLOOKUP($A198,'[1]Raw Data'!$A$3:$FB$285,33,FALSE)</f>
        <v>0.32</v>
      </c>
      <c r="AA198" s="27">
        <f>VLOOKUP($A198,'[1]Raw Data'!$A$3:$FB$285,35,FALSE)</f>
        <v>0.04</v>
      </c>
      <c r="AB198" s="27">
        <f>VLOOKUP($A198,'[1]Raw Data'!$A$3:$FB$285,36,FALSE)</f>
        <v>0.47</v>
      </c>
      <c r="AC198" s="27">
        <f>VLOOKUP($A198,'[1]Raw Data'!$A$3:$FB$285,38,FALSE)</f>
        <v>0.04</v>
      </c>
      <c r="AD198" s="27">
        <f>VLOOKUP($A198,'[1]Raw Data'!$A$3:$FB$285,39,FALSE)</f>
        <v>0.08</v>
      </c>
      <c r="AE198" s="27">
        <f>VLOOKUP($A198,'[1]Raw Data'!$A$3:$FB$285,41,FALSE)</f>
        <v>0</v>
      </c>
      <c r="AF198" s="27">
        <f>VLOOKUP($A198,'[1]Raw Data'!$A$3:$FB$285,42,FALSE)</f>
        <v>0</v>
      </c>
      <c r="AG198" s="27">
        <f>VLOOKUP($A198,'[1]Raw Data'!$A$3:$FB$285,44,FALSE)</f>
        <v>0</v>
      </c>
      <c r="AH198" s="27">
        <f>VLOOKUP($A198,'[1]Raw Data'!$A$3:$FB$285,45,FALSE)</f>
        <v>0</v>
      </c>
      <c r="AI198" s="27">
        <f>VLOOKUP($A198,'[1]Raw Data'!$A$3:$FB$285,46,FALSE)</f>
        <v>1125</v>
      </c>
      <c r="AJ198" s="27">
        <f>VLOOKUP($A198,'[1]Raw Data'!$A$3:$FB$285,47,FALSE)</f>
        <v>957</v>
      </c>
      <c r="AK198" s="27">
        <f>VLOOKUP($A198,'[1]Raw Data'!$A$3:$FB$285,48,FALSE)</f>
        <v>957</v>
      </c>
      <c r="AL198" s="27">
        <f>VLOOKUP($A198,'[1]Raw Data'!$A$3:$FB$285,49,FALSE)</f>
        <v>19</v>
      </c>
      <c r="AM198" s="27">
        <f>VLOOKUP($A198,'[1]Raw Data'!$A$3:$FB$285,50,FALSE)</f>
        <v>0</v>
      </c>
      <c r="AN198" s="27" t="str">
        <f>VLOOKUP($A198,'[1]Raw Data'!$A$3:$FB$285,51,FALSE)</f>
        <v/>
      </c>
      <c r="AO198" s="27" t="str">
        <f>VLOOKUP($A198,'[1]Raw Data'!$A$3:$FB$285,52,FALSE)</f>
        <v/>
      </c>
      <c r="AP198" s="27">
        <f>VLOOKUP($A198,'[1]Raw Data'!$A$3:$FB$285,53,FALSE)</f>
        <v>168</v>
      </c>
      <c r="AQ198" s="27" t="str">
        <f>VLOOKUP($A198,'[1]Raw Data'!$A$3:$FB$285,54,FALSE)</f>
        <v/>
      </c>
      <c r="AR198" s="27" t="str">
        <f>VLOOKUP($A198,'[1]Raw Data'!$A$3:$FB$285,55,FALSE)</f>
        <v/>
      </c>
      <c r="AS198" s="27" t="str">
        <f>VLOOKUP($A198,'[1]Raw Data'!$A$3:$FB$285,56,FALSE)</f>
        <v/>
      </c>
      <c r="AT198" s="27" t="str">
        <f>VLOOKUP($A198,'[1]Raw Data'!$A$3:$FB$285,57,FALSE)</f>
        <v/>
      </c>
      <c r="AU198" s="27" t="str">
        <f>VLOOKUP($A198,'[1]Raw Data'!$A$3:$FB$285,58,FALSE)</f>
        <v/>
      </c>
      <c r="AV198" s="27" t="str">
        <f>VLOOKUP($A198,'[1]Raw Data'!$A$3:$FB$285,59,FALSE)</f>
        <v/>
      </c>
      <c r="AW198" s="27" t="str">
        <f>VLOOKUP($A198,'[1]Raw Data'!$A$3:$FB$285,60,FALSE)</f>
        <v/>
      </c>
      <c r="AX198" s="27" t="str">
        <f>VLOOKUP(A198,'[1]PO''s List'!A196:E478,4,FALSE)</f>
        <v/>
      </c>
      <c r="AZ198" s="27" t="str">
        <f>VLOOKUP(A198,'[1]PO''s List'!$A$3:$E$285,5,FALSE)</f>
        <v>DSCBD(Education)</v>
      </c>
      <c r="BB198" s="27">
        <f>VLOOKUP($A198,'[1]Raw Data'!$A$3:$FB$285,63,FALSE)</f>
        <v>28188</v>
      </c>
      <c r="BC198" s="27" t="str">
        <f>VLOOKUP($A198,'[1]Raw Data'!$A$3:$FB$285,64,FALSE)</f>
        <v/>
      </c>
      <c r="BD198" s="27" t="str">
        <f t="shared" ref="BD198:BD261" si="27">IF(BC198="Y","छ", IF(BC198="N","छैन",""))</f>
        <v/>
      </c>
      <c r="BE198" s="27" t="str">
        <f>VLOOKUP($A198,'[1]Raw Data'!$A$3:$FB$285,65,FALSE)</f>
        <v/>
      </c>
      <c r="BF198" s="27">
        <f>VLOOKUP($A198,'[1]Raw Data'!$A$3:$FB$285,66,FALSE)</f>
        <v>27634</v>
      </c>
      <c r="BG198" s="27" t="str">
        <f>VLOOKUP($A198,'[1]Raw Data'!$A$3:$FB$285,67,FALSE)</f>
        <v/>
      </c>
      <c r="BH198" s="27" t="str">
        <f t="shared" ref="BH198:BH261" si="28">IF(BG198="Y","छ", IF(BG198="N","छैन",""))</f>
        <v/>
      </c>
      <c r="BI198" s="27" t="str">
        <f>VLOOKUP($A198,'[1]Raw Data'!$A$3:$FB$285,68,FALSE)</f>
        <v/>
      </c>
      <c r="BJ198" s="27">
        <f>VLOOKUP($A198,'[1]Raw Data'!$A$3:$FB$285,69,FALSE)</f>
        <v>3000</v>
      </c>
      <c r="BK198" s="27" t="str">
        <f>VLOOKUP($A198,'[1]Raw Data'!$A$3:$FB$285,70,FALSE)</f>
        <v/>
      </c>
      <c r="BL198" s="27" t="str">
        <f t="shared" ref="BL198:BL261" si="29">IF(BK198="Y","छ", IF(BK198="N","छैन",""))</f>
        <v/>
      </c>
      <c r="BM198" s="27" t="str">
        <f>VLOOKUP($A198,'[1]Raw Data'!$A$3:$FB$285,71,FALSE)</f>
        <v/>
      </c>
      <c r="BN198" s="27">
        <f>VLOOKUP($A198,'[1]Raw Data'!$A$3:$FB$285,72,FALSE)</f>
        <v>3424</v>
      </c>
      <c r="BO198" s="27" t="str">
        <f>VLOOKUP($A198,'[1]Raw Data'!$A$3:$FB$285,73,FALSE)</f>
        <v/>
      </c>
      <c r="BP198" s="27" t="str">
        <f t="shared" ref="BP198:BP261" si="30">IF(BO198="Y","छ", IF(BO198="N","छैन",""))</f>
        <v/>
      </c>
      <c r="BQ198" s="27" t="str">
        <f>VLOOKUP($A198,'[1]Raw Data'!$A$3:$FB$285,74,FALSE)</f>
        <v/>
      </c>
      <c r="BR198" s="27" t="str">
        <f>VLOOKUP($A198,'[1]Raw Data'!$A$3:$FB$285,75,FALSE)</f>
        <v/>
      </c>
      <c r="BS198" s="27" t="str">
        <f>VLOOKUP($A198,'[1]Raw Data'!$A$3:$FB$285,76,FALSE)</f>
        <v/>
      </c>
      <c r="BT198" s="27" t="str">
        <f t="shared" ref="BT198:BT261" si="31">IF(BS198="Y","छ", IF(BS198="N","छैन",""))</f>
        <v/>
      </c>
      <c r="BU198" s="27" t="str">
        <f>VLOOKUP($A198,'[1]Raw Data'!$A$3:$FB$285,77,FALSE)</f>
        <v/>
      </c>
      <c r="BV198" s="27">
        <f>VLOOKUP($A198,'[1]Raw Data'!$A$3:$FB$285,78,FALSE)</f>
        <v>93070</v>
      </c>
      <c r="BW198" s="27" t="str">
        <f>VLOOKUP($A198,'[1]Raw Data'!$A$3:$FB$285,79,FALSE)</f>
        <v/>
      </c>
      <c r="BX198" s="27" t="str">
        <f t="shared" ref="BX198:BX261" si="32">IF(BW198="Y","छ", IF(BW198="N","छैन",""))</f>
        <v/>
      </c>
      <c r="BY198" s="27" t="str">
        <f>VLOOKUP($A198,'[1]Raw Data'!$A$3:$FB$285,80,FALSE)</f>
        <v/>
      </c>
      <c r="BZ198" s="27">
        <f>VLOOKUP($A198,'[1]Raw Data'!$A$3:$FB$285,81,FALSE)</f>
        <v>309232</v>
      </c>
      <c r="CA198" s="27" t="str">
        <f>VLOOKUP($A198,'[1]Raw Data'!$A$3:$FB$285,82,FALSE)</f>
        <v/>
      </c>
      <c r="CB198" s="27" t="str">
        <f t="shared" ref="CB198:CB261" si="33">IF(CA198="Y","छ", IF(CA198="N","छैन",""))</f>
        <v/>
      </c>
      <c r="CC198" s="27" t="str">
        <f>VLOOKUP($A198,'[1]Raw Data'!$A$3:$FB$285,83,FALSE)</f>
        <v/>
      </c>
      <c r="CD198" s="27">
        <f>VLOOKUP($A198,'[1]Raw Data'!$A$3:$FB$285,84,FALSE)</f>
        <v>3809</v>
      </c>
      <c r="CE198" s="27" t="str">
        <f>VLOOKUP($A198,'[1]Raw Data'!$A$3:$FB$285,85,FALSE)</f>
        <v/>
      </c>
      <c r="CF198" s="27" t="str">
        <f t="shared" ref="CF198:CF261" si="34">IF(CE198="Y","छ", IF(CE198="N","छैन",""))</f>
        <v/>
      </c>
      <c r="CG198" s="27" t="str">
        <f>VLOOKUP($A198,'[1]Raw Data'!$A$3:$FB$285,86,FALSE)</f>
        <v/>
      </c>
      <c r="CH198" s="27">
        <f>VLOOKUP($A198,'[1]Raw Data'!$A$3:$FB$285,87,FALSE)</f>
        <v>571542</v>
      </c>
      <c r="CI198" s="27" t="str">
        <f>VLOOKUP($A198,'[1]Raw Data'!$A$3:$FB$285,88,FALSE)</f>
        <v/>
      </c>
      <c r="CJ198" s="27" t="str">
        <f t="shared" ref="CJ198:CJ261" si="35">IF(CI198="Y","छ", IF(CI198="N","छैन",""))</f>
        <v/>
      </c>
      <c r="CK198" s="27" t="str">
        <f>VLOOKUP($A198,'[1]Raw Data'!$A$3:$FB$285,89,FALSE)</f>
        <v/>
      </c>
      <c r="CL198" s="27" t="str">
        <f>VLOOKUP($A198,'[1]Raw Data'!$A$3:$FB$285,91,FALSE)</f>
        <v/>
      </c>
      <c r="CM198" s="27" t="str">
        <f>VLOOKUP($A198,'[1]Raw Data'!$A$3:$FB$285,93,FALSE)</f>
        <v/>
      </c>
      <c r="CN198" s="27" t="str">
        <f>VLOOKUP($A198,'[1]Raw Data'!$A$3:$FB$285,94,FALSE)</f>
        <v/>
      </c>
      <c r="CO198" s="27" t="str">
        <f>VLOOKUP($A198,'[1]Raw Data'!$A$3:$FB$285,95,FALSE)</f>
        <v/>
      </c>
      <c r="CP198" s="27" t="str">
        <f>VLOOKUP($A198,'[1]Raw Data'!$A$3:$FB$285,96,FALSE)</f>
        <v/>
      </c>
      <c r="CQ198" s="27" t="str">
        <f>VLOOKUP($A198,'[1]Raw Data'!$A$3:$FB$285,97,FALSE)</f>
        <v/>
      </c>
      <c r="CR198" s="27" t="str">
        <f>VLOOKUP($A198,'[1]Raw Data'!$A$3:$FB$285,98,FALSE)</f>
        <v/>
      </c>
      <c r="CS198" s="27" t="str">
        <f>VLOOKUP($A198,'[1]Raw Data'!$A$3:$FB$285,99,FALSE)</f>
        <v/>
      </c>
      <c r="CT198" s="27" t="str">
        <f>VLOOKUP($A198,'[1]Raw Data'!$A$3:$FB$285,101,FALSE)</f>
        <v/>
      </c>
      <c r="CV198" s="27" t="str">
        <f>VLOOKUP($A198,'[1]Raw Data'!$A$3:$FB$285,102,FALSE)</f>
        <v>Mayor</v>
      </c>
      <c r="CW198" s="27" t="s">
        <v>834</v>
      </c>
      <c r="CX198" s="27" t="str">
        <f>VLOOKUP($A198,'[1]Raw Data'!$A$3:$FB$285,103,FALSE)</f>
        <v/>
      </c>
      <c r="CY198" s="27" t="str">
        <f>VLOOKUP($A198,'[1]Raw Data'!$A$3:$FB$285,105,FALSE)</f>
        <v/>
      </c>
      <c r="DA198" s="27" t="str">
        <f>VLOOKUP($A198,'[1]Raw Data'!$A$3:$FB$285,106,FALSE)</f>
        <v>Deputy Mayor</v>
      </c>
      <c r="DB198" s="27" t="s">
        <v>888</v>
      </c>
      <c r="DC198" s="27" t="str">
        <f>VLOOKUP($A198,'[1]Raw Data'!$A$3:$FB$285,107,FALSE)</f>
        <v/>
      </c>
      <c r="DD198" s="27" t="str">
        <f>VLOOKUP($A198,'[1]Raw Data'!$A$3:$FB$285,109,FALSE)</f>
        <v/>
      </c>
      <c r="DF198" s="27" t="str">
        <f>VLOOKUP($A198,'[1]Raw Data'!$A$3:$FB$285,110,FALSE)</f>
        <v>Chief Adminstration Officer</v>
      </c>
      <c r="DG198" s="27" t="s">
        <v>880</v>
      </c>
      <c r="DH198" s="27">
        <f>VLOOKUP($A198,'[1]Raw Data'!$A$3:$FB$285,111,FALSE)</f>
        <v>9856063718</v>
      </c>
      <c r="DI198" s="27" t="str">
        <f>VLOOKUP($A198,'[1]Raw Data'!$A$3:$FB$285,121,FALSE)</f>
        <v>Roshan Tiwari</v>
      </c>
      <c r="DJ198" s="27" t="s">
        <v>1434</v>
      </c>
      <c r="DK198" s="27" t="str">
        <f>VLOOKUP($A198,'[1]Raw Data'!$A$3:$FB$285,122,FALSE)</f>
        <v>Focal Person</v>
      </c>
      <c r="DL198" s="27" t="s">
        <v>881</v>
      </c>
      <c r="DM198" s="27">
        <f>VLOOKUP($A198,'[1]Raw Data'!$A$3:$FB$285,123,FALSE)</f>
        <v>9846285221</v>
      </c>
      <c r="DN198" s="27" t="str">
        <f>VLOOKUP($A198,'[1]Raw Data'!$A$3:$FB$285,113,FALSE)</f>
        <v>Dipendra Kumar Rohita</v>
      </c>
      <c r="DO198" s="27" t="s">
        <v>1431</v>
      </c>
      <c r="DP198" s="27" t="str">
        <f>VLOOKUP($A198,'[1]Raw Data'!$A$3:$FB$285,114,FALSE)</f>
        <v>NRA Chief-District</v>
      </c>
      <c r="DQ198" s="27" t="s">
        <v>882</v>
      </c>
      <c r="DR198" s="27" t="str">
        <f>VLOOKUP($A198,'[1]Raw Data'!$A$3:$FB$285,115,FALSE)</f>
        <v/>
      </c>
      <c r="DS198" s="27" t="str">
        <f>VLOOKUP($A198,'[1]Raw Data'!$A$3:$FB$285,117,FALSE)</f>
        <v/>
      </c>
      <c r="DU198" s="27" t="str">
        <f>VLOOKUP($A198,'[1]Raw Data'!$A$3:$FB$285,118,FALSE)</f>
        <v>DUDBC.DLPIU Chief</v>
      </c>
      <c r="DV198" s="27" t="s">
        <v>883</v>
      </c>
      <c r="DW198" s="27" t="str">
        <f>VLOOKUP($A198,'[1]Raw Data'!$A$3:$FB$285,119,FALSE)</f>
        <v/>
      </c>
      <c r="DX198" s="27" t="s">
        <v>339</v>
      </c>
      <c r="DY198" s="27" t="str">
        <f>VLOOKUP($A198,'[1]Raw Data'!$A$3:$FB$285,124,FALSE)</f>
        <v/>
      </c>
      <c r="DZ198" s="27" t="s">
        <v>884</v>
      </c>
      <c r="EA198" s="27" t="str">
        <f>VLOOKUP($A198,'[1]Raw Data'!$A$3:$FB$285,125,FALSE)</f>
        <v/>
      </c>
      <c r="EB198" s="27" t="s">
        <v>341</v>
      </c>
      <c r="EC198" s="27" t="str">
        <f>VLOOKUP($A198,'[1]Raw Data'!$A$3:$FB$285,126,FALSE)</f>
        <v/>
      </c>
      <c r="ED198" t="s">
        <v>478</v>
      </c>
      <c r="EE198" s="27" t="str">
        <f>VLOOKUP($A198,'[1]Raw Data'!$A$3:$FB$285,127,FALSE)</f>
        <v/>
      </c>
      <c r="EF198" s="27" t="s">
        <v>343</v>
      </c>
      <c r="EG198" s="27" t="str">
        <f>VLOOKUP($A198,'[1]Raw Data'!$A$3:$FB$285,128,FALSE)</f>
        <v/>
      </c>
      <c r="EH198" t="s">
        <v>344</v>
      </c>
      <c r="EI198" s="27" t="str">
        <f>VLOOKUP($A198,'[1]Raw Data'!$A$3:$FB$285,129,FALSE)</f>
        <v/>
      </c>
      <c r="EM198" s="27" t="str">
        <f>VLOOKUP($A198,'[1]Raw Data'!$A$3:$FB$285,130,FALSE)</f>
        <v/>
      </c>
      <c r="EN198" s="27" t="str">
        <f>VLOOKUP($A198,'[1]Raw Data'!$A$3:$FB$285,131,FALSE)</f>
        <v/>
      </c>
      <c r="EO198" s="27" t="str">
        <f>VLOOKUP($A198,'[1]Raw Data'!$A$3:$FB$285,132,FALSE)</f>
        <v/>
      </c>
      <c r="EP198" s="27" t="str">
        <f>VLOOKUP($A198,'[1]Raw Data'!$A$3:$FB$285,133,FALSE)</f>
        <v/>
      </c>
      <c r="EQ198" s="27" t="str">
        <f>VLOOKUP($A198,'[1]Raw Data'!$A$3:$FB$285,134,FALSE)</f>
        <v/>
      </c>
      <c r="ER198" s="27" t="str">
        <f>VLOOKUP($A198,'[1]Raw Data'!$A$3:$FB$285,135,FALSE)</f>
        <v/>
      </c>
      <c r="ES198" s="27" t="str">
        <f>VLOOKUP($A198,'[1]Raw Data'!$A$3:$FB$285,136,FALSE)</f>
        <v/>
      </c>
      <c r="ET198" s="27" t="str">
        <f>VLOOKUP($A198,'[1]Raw Data'!$A$3:$FB$285,137,FALSE)</f>
        <v/>
      </c>
      <c r="EU198" s="27" t="str">
        <f>VLOOKUP($A198,'[1]Raw Data'!$A$3:$FB$285,138,FALSE)</f>
        <v/>
      </c>
      <c r="EV198" s="27" t="str">
        <f>VLOOKUP($A198,'[1]Raw Data'!$A$3:$FB$285,139,FALSE)</f>
        <v/>
      </c>
      <c r="EW198" s="38">
        <f>VLOOKUP($A198,[1]Training!$A$2:$I$284,5,FALSE)</f>
        <v>86.538461538461533</v>
      </c>
      <c r="EX198" s="31">
        <f>VLOOKUP($A198,[1]Training!$A$2:$I$284,6,FALSE)</f>
        <v>87</v>
      </c>
      <c r="EY198" s="38">
        <f>VLOOKUP($A198,[1]Training!$A$2:$I$284,8,FALSE)</f>
        <v>102.27272727272727</v>
      </c>
      <c r="EZ198" s="31">
        <f>VLOOKUP($A198,[1]Training!$A$2:$I$284,9,FALSE)</f>
        <v>0</v>
      </c>
      <c r="FA198" s="27">
        <v>1</v>
      </c>
      <c r="FB198" s="27">
        <v>2</v>
      </c>
      <c r="FC198" s="27" t="str">
        <f>VLOOKUP($A198,'[1]Raw Data'!$A$3:$FB$285,148,FALSE)</f>
        <v/>
      </c>
      <c r="FE198" s="27" t="str">
        <f>VLOOKUP($A198,'[1]Raw Data'!$A$3:$FB$285,149,FALSE)</f>
        <v>District Coordinator</v>
      </c>
      <c r="FF198" s="27" t="s">
        <v>885</v>
      </c>
      <c r="FG198" s="27" t="str">
        <f>VLOOKUP($A198,'[1]Raw Data'!$A$3:$FB$285,150,FALSE)</f>
        <v/>
      </c>
      <c r="FH198" s="27" t="str">
        <f>VLOOKUP($A198,'[1]Raw Data'!$A$3:$FB$285,156,FALSE)</f>
        <v/>
      </c>
      <c r="FJ198" s="27" t="str">
        <f>VLOOKUP($A198,'[1]Raw Data'!$A$3:$FB$285,157,FALSE)</f>
        <v>District Technical Officer</v>
      </c>
      <c r="FK198" s="27" t="s">
        <v>886</v>
      </c>
      <c r="FL198" s="27" t="str">
        <f>VLOOKUP($A198,'[1]Raw Data'!$A$3:$FB$285,158,FALSE)</f>
        <v/>
      </c>
      <c r="FM198" s="27" t="str">
        <f>VLOOKUP($A198,'[1]Raw Data'!$A$3:$FB$285,152,FALSE)</f>
        <v/>
      </c>
      <c r="FO198" s="27" t="str">
        <f>VLOOKUP($A198,'[1]Raw Data'!$A$3:$FB$285,153,FALSE)</f>
        <v>DIstrict Information Management Officer</v>
      </c>
      <c r="FP198" s="27" t="s">
        <v>887</v>
      </c>
      <c r="FQ198" s="27" t="str">
        <f>VLOOKUP($A198,'[1]Raw Data'!$A$3:$FB$285,154,FALSE)</f>
        <v/>
      </c>
    </row>
    <row r="199" spans="1:173" ht="24" x14ac:dyDescent="0.45">
      <c r="A199" s="27">
        <v>38005</v>
      </c>
      <c r="B199" s="36" t="str">
        <f ca="1">IFERROR(__xludf.DUMMYFUNCTION("""COMPUTED_VALUE"""),"Byas Nagarpalika")</f>
        <v>Byas Nagarpalika</v>
      </c>
      <c r="C199" s="37" t="str">
        <f>VLOOKUP(A199,'[1]Palika and District in Nepali '!$D$1:$F$283,3,FALSE)</f>
        <v>व्यास नगरपालिका</v>
      </c>
      <c r="D199" s="36" t="str">
        <f ca="1">IFERROR(__xludf.DUMMYFUNCTION("""COMPUTED_VALUE"""),"Tanahun")</f>
        <v>Tanahun</v>
      </c>
      <c r="E199" s="36"/>
      <c r="F199" s="27">
        <f>VLOOKUP(A199,'[1]Raw Data'!$A$3:$FB$285,4,FALSE)</f>
        <v>2417</v>
      </c>
      <c r="G199" s="27">
        <f>VLOOKUP(A199,'[1]Raw Data'!$A$3:$FB$285,5,FALSE)</f>
        <v>2209</v>
      </c>
      <c r="H199" s="27">
        <f>VLOOKUP(A199,'[1]Raw Data'!$A$3:$FB$285,6,FALSE)</f>
        <v>4626</v>
      </c>
      <c r="I199" s="27">
        <f>VLOOKUP($A199,'[1]Raw Data'!$A$3:$FB$285,8,FALSE)</f>
        <v>3.03</v>
      </c>
      <c r="J199" s="27">
        <f>VLOOKUP($A199,'[1]Raw Data'!$A$3:$FB$285,9,FALSE)</f>
        <v>2.69</v>
      </c>
      <c r="K199" s="27">
        <f>VLOOKUP($A199,'[1]Raw Data'!$A$3:$FB$285,11,FALSE)</f>
        <v>83.94</v>
      </c>
      <c r="L199" s="27">
        <f>VLOOKUP($A199,'[1]Raw Data'!$A$3:$FB$285,12,FALSE)</f>
        <v>88.78</v>
      </c>
      <c r="M199" s="27">
        <f>VLOOKUP($A199,'[1]Raw Data'!$A$3:$FB$285,14,FALSE)</f>
        <v>5.27</v>
      </c>
      <c r="N199" s="27">
        <f>VLOOKUP($A199,'[1]Raw Data'!$A$3:$FB$285,15,FALSE)</f>
        <v>3.44</v>
      </c>
      <c r="O199" s="27">
        <f>VLOOKUP($A199,'[1]Raw Data'!$A$3:$FB$285,17,FALSE)</f>
        <v>1.75</v>
      </c>
      <c r="P199" s="27">
        <f>VLOOKUP($A199,'[1]Raw Data'!$A$3:$FB$285,18,FALSE)</f>
        <v>1.46</v>
      </c>
      <c r="Q199" s="27">
        <f>VLOOKUP($A199,'[1]Raw Data'!$A$3:$FB$285,20,FALSE)</f>
        <v>4.0199999999999996</v>
      </c>
      <c r="R199" s="27">
        <f>VLOOKUP($A199,'[1]Raw Data'!$A$3:$FB$285,21,FALSE)</f>
        <v>2.38</v>
      </c>
      <c r="S199" s="27">
        <f>VLOOKUP($A199,'[1]Raw Data'!$A$3:$FB$285,23,FALSE)</f>
        <v>0</v>
      </c>
      <c r="T199" s="27">
        <f>VLOOKUP($A199,'[1]Raw Data'!$A$3:$FB$285,24,FALSE)</f>
        <v>0</v>
      </c>
      <c r="U199" s="27">
        <f>VLOOKUP($A199,'[1]Raw Data'!$A$3:$FB$285,26,FALSE)</f>
        <v>0.5</v>
      </c>
      <c r="V199" s="27">
        <f>VLOOKUP($A199,'[1]Raw Data'!$A$3:$FB$285,27,FALSE)</f>
        <v>0.37</v>
      </c>
      <c r="W199" s="27">
        <f>VLOOKUP($A199,'[1]Raw Data'!$A$3:$FB$285,29,FALSE)</f>
        <v>0</v>
      </c>
      <c r="X199" s="27">
        <f>VLOOKUP($A199,'[1]Raw Data'!$A$3:$FB$285,30,FALSE)</f>
        <v>0</v>
      </c>
      <c r="Y199" s="27">
        <f>VLOOKUP($A199,'[1]Raw Data'!$A$3:$FB$285,32,FALSE)</f>
        <v>0.67</v>
      </c>
      <c r="Z199" s="27">
        <f>VLOOKUP($A199,'[1]Raw Data'!$A$3:$FB$285,33,FALSE)</f>
        <v>0.32</v>
      </c>
      <c r="AA199" s="27">
        <f>VLOOKUP($A199,'[1]Raw Data'!$A$3:$FB$285,35,FALSE)</f>
        <v>0.69</v>
      </c>
      <c r="AB199" s="27">
        <f>VLOOKUP($A199,'[1]Raw Data'!$A$3:$FB$285,36,FALSE)</f>
        <v>0.47</v>
      </c>
      <c r="AC199" s="27">
        <f>VLOOKUP($A199,'[1]Raw Data'!$A$3:$FB$285,38,FALSE)</f>
        <v>0.13</v>
      </c>
      <c r="AD199" s="27">
        <f>VLOOKUP($A199,'[1]Raw Data'!$A$3:$FB$285,39,FALSE)</f>
        <v>0.08</v>
      </c>
      <c r="AE199" s="27">
        <f>VLOOKUP($A199,'[1]Raw Data'!$A$3:$FB$285,41,FALSE)</f>
        <v>0</v>
      </c>
      <c r="AF199" s="27">
        <f>VLOOKUP($A199,'[1]Raw Data'!$A$3:$FB$285,42,FALSE)</f>
        <v>0</v>
      </c>
      <c r="AG199" s="27">
        <f>VLOOKUP($A199,'[1]Raw Data'!$A$3:$FB$285,44,FALSE)</f>
        <v>0</v>
      </c>
      <c r="AH199" s="27">
        <f>VLOOKUP($A199,'[1]Raw Data'!$A$3:$FB$285,45,FALSE)</f>
        <v>0</v>
      </c>
      <c r="AI199" s="27">
        <f>VLOOKUP($A199,'[1]Raw Data'!$A$3:$FB$285,46,FALSE)</f>
        <v>2008</v>
      </c>
      <c r="AJ199" s="27">
        <f>VLOOKUP($A199,'[1]Raw Data'!$A$3:$FB$285,47,FALSE)</f>
        <v>2231</v>
      </c>
      <c r="AK199" s="27">
        <f>VLOOKUP($A199,'[1]Raw Data'!$A$3:$FB$285,48,FALSE)</f>
        <v>2231</v>
      </c>
      <c r="AL199" s="27">
        <f>VLOOKUP($A199,'[1]Raw Data'!$A$3:$FB$285,49,FALSE)</f>
        <v>480</v>
      </c>
      <c r="AM199" s="27">
        <f>VLOOKUP($A199,'[1]Raw Data'!$A$3:$FB$285,50,FALSE)</f>
        <v>0</v>
      </c>
      <c r="AN199" s="27" t="str">
        <f>VLOOKUP($A199,'[1]Raw Data'!$A$3:$FB$285,51,FALSE)</f>
        <v/>
      </c>
      <c r="AO199" s="27" t="str">
        <f>VLOOKUP($A199,'[1]Raw Data'!$A$3:$FB$285,52,FALSE)</f>
        <v/>
      </c>
      <c r="AP199" s="27">
        <f>VLOOKUP($A199,'[1]Raw Data'!$A$3:$FB$285,53,FALSE)</f>
        <v>146</v>
      </c>
      <c r="AQ199" s="27" t="str">
        <f>VLOOKUP($A199,'[1]Raw Data'!$A$3:$FB$285,54,FALSE)</f>
        <v/>
      </c>
      <c r="AR199" s="27" t="str">
        <f>VLOOKUP($A199,'[1]Raw Data'!$A$3:$FB$285,55,FALSE)</f>
        <v/>
      </c>
      <c r="AS199" s="27" t="str">
        <f>VLOOKUP($A199,'[1]Raw Data'!$A$3:$FB$285,56,FALSE)</f>
        <v/>
      </c>
      <c r="AT199" s="27" t="str">
        <f>VLOOKUP($A199,'[1]Raw Data'!$A$3:$FB$285,57,FALSE)</f>
        <v/>
      </c>
      <c r="AU199" s="27" t="str">
        <f>VLOOKUP($A199,'[1]Raw Data'!$A$3:$FB$285,58,FALSE)</f>
        <v/>
      </c>
      <c r="AV199" s="27" t="str">
        <f>VLOOKUP($A199,'[1]Raw Data'!$A$3:$FB$285,59,FALSE)</f>
        <v/>
      </c>
      <c r="AW199" s="27" t="str">
        <f>VLOOKUP($A199,'[1]Raw Data'!$A$3:$FB$285,60,FALSE)</f>
        <v/>
      </c>
      <c r="AX199" s="27" t="str">
        <f>VLOOKUP(A199,'[1]PO''s List'!A197:E479,4,FALSE)</f>
        <v/>
      </c>
      <c r="AZ199" s="27" t="str">
        <f>VLOOKUP(A199,'[1]PO''s List'!$A$3:$E$285,5,FALSE)</f>
        <v/>
      </c>
      <c r="BB199" s="27">
        <f>VLOOKUP($A199,'[1]Raw Data'!$A$3:$FB$285,63,FALSE)</f>
        <v>69395</v>
      </c>
      <c r="BC199" s="27" t="str">
        <f>VLOOKUP($A199,'[1]Raw Data'!$A$3:$FB$285,64,FALSE)</f>
        <v/>
      </c>
      <c r="BD199" s="27" t="str">
        <f t="shared" si="27"/>
        <v/>
      </c>
      <c r="BE199" s="27" t="str">
        <f>VLOOKUP($A199,'[1]Raw Data'!$A$3:$FB$285,65,FALSE)</f>
        <v/>
      </c>
      <c r="BF199" s="27">
        <f>VLOOKUP($A199,'[1]Raw Data'!$A$3:$FB$285,66,FALSE)</f>
        <v>62750</v>
      </c>
      <c r="BG199" s="27" t="str">
        <f>VLOOKUP($A199,'[1]Raw Data'!$A$3:$FB$285,67,FALSE)</f>
        <v/>
      </c>
      <c r="BH199" s="27" t="str">
        <f t="shared" si="28"/>
        <v/>
      </c>
      <c r="BI199" s="27" t="str">
        <f>VLOOKUP($A199,'[1]Raw Data'!$A$3:$FB$285,68,FALSE)</f>
        <v/>
      </c>
      <c r="BJ199" s="27">
        <f>VLOOKUP($A199,'[1]Raw Data'!$A$3:$FB$285,69,FALSE)</f>
        <v>7337</v>
      </c>
      <c r="BK199" s="27" t="str">
        <f>VLOOKUP($A199,'[1]Raw Data'!$A$3:$FB$285,70,FALSE)</f>
        <v/>
      </c>
      <c r="BL199" s="27" t="str">
        <f t="shared" si="29"/>
        <v/>
      </c>
      <c r="BM199" s="27" t="str">
        <f>VLOOKUP($A199,'[1]Raw Data'!$A$3:$FB$285,71,FALSE)</f>
        <v/>
      </c>
      <c r="BN199" s="27">
        <f>VLOOKUP($A199,'[1]Raw Data'!$A$3:$FB$285,72,FALSE)</f>
        <v>8198</v>
      </c>
      <c r="BO199" s="27" t="str">
        <f>VLOOKUP($A199,'[1]Raw Data'!$A$3:$FB$285,73,FALSE)</f>
        <v/>
      </c>
      <c r="BP199" s="27" t="str">
        <f t="shared" si="30"/>
        <v/>
      </c>
      <c r="BQ199" s="27" t="str">
        <f>VLOOKUP($A199,'[1]Raw Data'!$A$3:$FB$285,74,FALSE)</f>
        <v/>
      </c>
      <c r="BR199" s="27" t="str">
        <f>VLOOKUP($A199,'[1]Raw Data'!$A$3:$FB$285,75,FALSE)</f>
        <v/>
      </c>
      <c r="BS199" s="27" t="str">
        <f>VLOOKUP($A199,'[1]Raw Data'!$A$3:$FB$285,76,FALSE)</f>
        <v/>
      </c>
      <c r="BT199" s="27" t="str">
        <f t="shared" si="31"/>
        <v/>
      </c>
      <c r="BU199" s="27" t="str">
        <f>VLOOKUP($A199,'[1]Raw Data'!$A$3:$FB$285,77,FALSE)</f>
        <v/>
      </c>
      <c r="BV199" s="27">
        <f>VLOOKUP($A199,'[1]Raw Data'!$A$3:$FB$285,78,FALSE)</f>
        <v>213507</v>
      </c>
      <c r="BW199" s="27" t="str">
        <f>VLOOKUP($A199,'[1]Raw Data'!$A$3:$FB$285,79,FALSE)</f>
        <v/>
      </c>
      <c r="BX199" s="27" t="str">
        <f t="shared" si="32"/>
        <v/>
      </c>
      <c r="BY199" s="27" t="str">
        <f>VLOOKUP($A199,'[1]Raw Data'!$A$3:$FB$285,80,FALSE)</f>
        <v/>
      </c>
      <c r="BZ199" s="27">
        <f>VLOOKUP($A199,'[1]Raw Data'!$A$3:$FB$285,81,FALSE)</f>
        <v>770599</v>
      </c>
      <c r="CA199" s="27" t="str">
        <f>VLOOKUP($A199,'[1]Raw Data'!$A$3:$FB$285,82,FALSE)</f>
        <v/>
      </c>
      <c r="CB199" s="27" t="str">
        <f t="shared" si="33"/>
        <v/>
      </c>
      <c r="CC199" s="27" t="str">
        <f>VLOOKUP($A199,'[1]Raw Data'!$A$3:$FB$285,83,FALSE)</f>
        <v/>
      </c>
      <c r="CD199" s="27">
        <f>VLOOKUP($A199,'[1]Raw Data'!$A$3:$FB$285,84,FALSE)</f>
        <v>8738</v>
      </c>
      <c r="CE199" s="27" t="str">
        <f>VLOOKUP($A199,'[1]Raw Data'!$A$3:$FB$285,85,FALSE)</f>
        <v/>
      </c>
      <c r="CF199" s="27" t="str">
        <f t="shared" si="34"/>
        <v/>
      </c>
      <c r="CG199" s="27" t="str">
        <f>VLOOKUP($A199,'[1]Raw Data'!$A$3:$FB$285,86,FALSE)</f>
        <v/>
      </c>
      <c r="CH199" s="27">
        <f>VLOOKUP($A199,'[1]Raw Data'!$A$3:$FB$285,87,FALSE)</f>
        <v>1949817</v>
      </c>
      <c r="CI199" s="27" t="str">
        <f>VLOOKUP($A199,'[1]Raw Data'!$A$3:$FB$285,88,FALSE)</f>
        <v/>
      </c>
      <c r="CJ199" s="27" t="str">
        <f t="shared" si="35"/>
        <v/>
      </c>
      <c r="CK199" s="27" t="str">
        <f>VLOOKUP($A199,'[1]Raw Data'!$A$3:$FB$285,89,FALSE)</f>
        <v/>
      </c>
      <c r="CL199" s="27" t="str">
        <f>VLOOKUP($A199,'[1]Raw Data'!$A$3:$FB$285,91,FALSE)</f>
        <v/>
      </c>
      <c r="CM199" s="27" t="str">
        <f>VLOOKUP($A199,'[1]Raw Data'!$A$3:$FB$285,93,FALSE)</f>
        <v/>
      </c>
      <c r="CN199" s="27" t="str">
        <f>VLOOKUP($A199,'[1]Raw Data'!$A$3:$FB$285,94,FALSE)</f>
        <v/>
      </c>
      <c r="CO199" s="27" t="str">
        <f>VLOOKUP($A199,'[1]Raw Data'!$A$3:$FB$285,95,FALSE)</f>
        <v/>
      </c>
      <c r="CP199" s="27" t="str">
        <f>VLOOKUP($A199,'[1]Raw Data'!$A$3:$FB$285,96,FALSE)</f>
        <v/>
      </c>
      <c r="CQ199" s="27" t="str">
        <f>VLOOKUP($A199,'[1]Raw Data'!$A$3:$FB$285,97,FALSE)</f>
        <v/>
      </c>
      <c r="CR199" s="27" t="str">
        <f>VLOOKUP($A199,'[1]Raw Data'!$A$3:$FB$285,98,FALSE)</f>
        <v/>
      </c>
      <c r="CS199" s="27" t="str">
        <f>VLOOKUP($A199,'[1]Raw Data'!$A$3:$FB$285,99,FALSE)</f>
        <v/>
      </c>
      <c r="CT199" s="27" t="str">
        <f>VLOOKUP($A199,'[1]Raw Data'!$A$3:$FB$285,101,FALSE)</f>
        <v/>
      </c>
      <c r="CV199" s="27" t="str">
        <f>VLOOKUP($A199,'[1]Raw Data'!$A$3:$FB$285,102,FALSE)</f>
        <v>Mayor</v>
      </c>
      <c r="CW199" s="27" t="s">
        <v>834</v>
      </c>
      <c r="CX199" s="27" t="str">
        <f>VLOOKUP($A199,'[1]Raw Data'!$A$3:$FB$285,103,FALSE)</f>
        <v/>
      </c>
      <c r="CY199" s="27" t="str">
        <f>VLOOKUP($A199,'[1]Raw Data'!$A$3:$FB$285,105,FALSE)</f>
        <v/>
      </c>
      <c r="DA199" s="27" t="str">
        <f>VLOOKUP($A199,'[1]Raw Data'!$A$3:$FB$285,106,FALSE)</f>
        <v>Deputy Mayor</v>
      </c>
      <c r="DB199" s="27" t="s">
        <v>888</v>
      </c>
      <c r="DC199" s="27" t="str">
        <f>VLOOKUP($A199,'[1]Raw Data'!$A$3:$FB$285,107,FALSE)</f>
        <v/>
      </c>
      <c r="DD199" s="27" t="str">
        <f>VLOOKUP($A199,'[1]Raw Data'!$A$3:$FB$285,109,FALSE)</f>
        <v/>
      </c>
      <c r="DF199" s="27" t="str">
        <f>VLOOKUP($A199,'[1]Raw Data'!$A$3:$FB$285,110,FALSE)</f>
        <v>Chief Adminstration Officer</v>
      </c>
      <c r="DG199" s="27" t="s">
        <v>880</v>
      </c>
      <c r="DH199" s="27">
        <f>VLOOKUP($A199,'[1]Raw Data'!$A$3:$FB$285,111,FALSE)</f>
        <v>9856063718</v>
      </c>
      <c r="DI199" s="27" t="str">
        <f>VLOOKUP($A199,'[1]Raw Data'!$A$3:$FB$285,121,FALSE)</f>
        <v>Sunil Rana</v>
      </c>
      <c r="DJ199" s="27" t="s">
        <v>1435</v>
      </c>
      <c r="DK199" s="27" t="str">
        <f>VLOOKUP($A199,'[1]Raw Data'!$A$3:$FB$285,122,FALSE)</f>
        <v>Focal Person</v>
      </c>
      <c r="DL199" s="27" t="s">
        <v>881</v>
      </c>
      <c r="DM199" s="27">
        <f>VLOOKUP($A199,'[1]Raw Data'!$A$3:$FB$285,123,FALSE)</f>
        <v>9804174409</v>
      </c>
      <c r="DN199" s="27" t="str">
        <f>VLOOKUP($A199,'[1]Raw Data'!$A$3:$FB$285,113,FALSE)</f>
        <v>Dipendra Kumar Rohita</v>
      </c>
      <c r="DO199" s="27" t="s">
        <v>1431</v>
      </c>
      <c r="DP199" s="27" t="str">
        <f>VLOOKUP($A199,'[1]Raw Data'!$A$3:$FB$285,114,FALSE)</f>
        <v>NRA Chief-District</v>
      </c>
      <c r="DQ199" s="27" t="s">
        <v>882</v>
      </c>
      <c r="DR199" s="27" t="str">
        <f>VLOOKUP($A199,'[1]Raw Data'!$A$3:$FB$285,115,FALSE)</f>
        <v/>
      </c>
      <c r="DS199" s="27" t="str">
        <f>VLOOKUP($A199,'[1]Raw Data'!$A$3:$FB$285,117,FALSE)</f>
        <v/>
      </c>
      <c r="DU199" s="27" t="str">
        <f>VLOOKUP($A199,'[1]Raw Data'!$A$3:$FB$285,118,FALSE)</f>
        <v>DUDBC.DLPIU Chief</v>
      </c>
      <c r="DV199" s="27" t="s">
        <v>883</v>
      </c>
      <c r="DW199" s="27" t="str">
        <f>VLOOKUP($A199,'[1]Raw Data'!$A$3:$FB$285,119,FALSE)</f>
        <v/>
      </c>
      <c r="DX199" s="27" t="s">
        <v>339</v>
      </c>
      <c r="DY199" s="27" t="str">
        <f>VLOOKUP($A199,'[1]Raw Data'!$A$3:$FB$285,124,FALSE)</f>
        <v/>
      </c>
      <c r="DZ199" s="27" t="s">
        <v>884</v>
      </c>
      <c r="EA199" s="27" t="str">
        <f>VLOOKUP($A199,'[1]Raw Data'!$A$3:$FB$285,125,FALSE)</f>
        <v/>
      </c>
      <c r="EB199" s="27" t="s">
        <v>341</v>
      </c>
      <c r="EC199" s="27" t="str">
        <f>VLOOKUP($A199,'[1]Raw Data'!$A$3:$FB$285,126,FALSE)</f>
        <v/>
      </c>
      <c r="ED199" t="s">
        <v>478</v>
      </c>
      <c r="EE199" s="27" t="str">
        <f>VLOOKUP($A199,'[1]Raw Data'!$A$3:$FB$285,127,FALSE)</f>
        <v/>
      </c>
      <c r="EF199" s="27" t="s">
        <v>343</v>
      </c>
      <c r="EG199" s="27" t="str">
        <f>VLOOKUP($A199,'[1]Raw Data'!$A$3:$FB$285,128,FALSE)</f>
        <v/>
      </c>
      <c r="EH199" t="s">
        <v>344</v>
      </c>
      <c r="EI199" s="27" t="str">
        <f>VLOOKUP($A199,'[1]Raw Data'!$A$3:$FB$285,129,FALSE)</f>
        <v/>
      </c>
      <c r="EM199" s="27" t="str">
        <f>VLOOKUP($A199,'[1]Raw Data'!$A$3:$FB$285,130,FALSE)</f>
        <v/>
      </c>
      <c r="EN199" s="27" t="str">
        <f>VLOOKUP($A199,'[1]Raw Data'!$A$3:$FB$285,131,FALSE)</f>
        <v/>
      </c>
      <c r="EO199" s="27" t="str">
        <f>VLOOKUP($A199,'[1]Raw Data'!$A$3:$FB$285,132,FALSE)</f>
        <v/>
      </c>
      <c r="EP199" s="27" t="str">
        <f>VLOOKUP($A199,'[1]Raw Data'!$A$3:$FB$285,133,FALSE)</f>
        <v/>
      </c>
      <c r="EQ199" s="27" t="str">
        <f>VLOOKUP($A199,'[1]Raw Data'!$A$3:$FB$285,134,FALSE)</f>
        <v/>
      </c>
      <c r="ER199" s="27" t="str">
        <f>VLOOKUP($A199,'[1]Raw Data'!$A$3:$FB$285,135,FALSE)</f>
        <v/>
      </c>
      <c r="ES199" s="27" t="str">
        <f>VLOOKUP($A199,'[1]Raw Data'!$A$3:$FB$285,136,FALSE)</f>
        <v/>
      </c>
      <c r="ET199" s="27" t="str">
        <f>VLOOKUP($A199,'[1]Raw Data'!$A$3:$FB$285,137,FALSE)</f>
        <v/>
      </c>
      <c r="EU199" s="27" t="str">
        <f>VLOOKUP($A199,'[1]Raw Data'!$A$3:$FB$285,138,FALSE)</f>
        <v/>
      </c>
      <c r="EV199" s="27" t="str">
        <f>VLOOKUP($A199,'[1]Raw Data'!$A$3:$FB$285,139,FALSE)</f>
        <v/>
      </c>
      <c r="EW199" s="38">
        <f>VLOOKUP($A199,[1]Training!$A$2:$I$284,5,FALSE)</f>
        <v>154.46153846153845</v>
      </c>
      <c r="EX199" s="31">
        <f>VLOOKUP($A199,[1]Training!$A$2:$I$284,6,FALSE)</f>
        <v>138</v>
      </c>
      <c r="EY199" s="38">
        <f>VLOOKUP($A199,[1]Training!$A$2:$I$284,8,FALSE)</f>
        <v>182.54545454545453</v>
      </c>
      <c r="EZ199" s="31">
        <f>VLOOKUP($A199,[1]Training!$A$2:$I$284,9,FALSE)</f>
        <v>0</v>
      </c>
      <c r="FA199" s="27">
        <v>1</v>
      </c>
      <c r="FB199" s="27">
        <v>2</v>
      </c>
      <c r="FC199" s="27" t="str">
        <f>VLOOKUP($A199,'[1]Raw Data'!$A$3:$FB$285,148,FALSE)</f>
        <v/>
      </c>
      <c r="FE199" s="27" t="str">
        <f>VLOOKUP($A199,'[1]Raw Data'!$A$3:$FB$285,149,FALSE)</f>
        <v>District Coordinator</v>
      </c>
      <c r="FF199" s="27" t="s">
        <v>885</v>
      </c>
      <c r="FG199" s="27" t="str">
        <f>VLOOKUP($A199,'[1]Raw Data'!$A$3:$FB$285,150,FALSE)</f>
        <v/>
      </c>
      <c r="FH199" s="27" t="str">
        <f>VLOOKUP($A199,'[1]Raw Data'!$A$3:$FB$285,156,FALSE)</f>
        <v/>
      </c>
      <c r="FJ199" s="27" t="str">
        <f>VLOOKUP($A199,'[1]Raw Data'!$A$3:$FB$285,157,FALSE)</f>
        <v>District Technical Officer</v>
      </c>
      <c r="FK199" s="27" t="s">
        <v>886</v>
      </c>
      <c r="FL199" s="27" t="str">
        <f>VLOOKUP($A199,'[1]Raw Data'!$A$3:$FB$285,158,FALSE)</f>
        <v/>
      </c>
      <c r="FM199" s="27" t="str">
        <f>VLOOKUP($A199,'[1]Raw Data'!$A$3:$FB$285,152,FALSE)</f>
        <v/>
      </c>
      <c r="FO199" s="27" t="str">
        <f>VLOOKUP($A199,'[1]Raw Data'!$A$3:$FB$285,153,FALSE)</f>
        <v>DIstrict Information Management Officer</v>
      </c>
      <c r="FP199" s="27" t="s">
        <v>887</v>
      </c>
      <c r="FQ199" s="27" t="str">
        <f>VLOOKUP($A199,'[1]Raw Data'!$A$3:$FB$285,154,FALSE)</f>
        <v/>
      </c>
    </row>
    <row r="200" spans="1:173" ht="24" x14ac:dyDescent="0.45">
      <c r="A200" s="27">
        <v>38006</v>
      </c>
      <c r="B200" s="36" t="str">
        <f ca="1">IFERROR(__xludf.DUMMYFUNCTION("""COMPUTED_VALUE"""),"Devghat Gaunpalika")</f>
        <v>Devghat Gaunpalika</v>
      </c>
      <c r="C200" s="37" t="str">
        <f>VLOOKUP(A200,'[1]Palika and District in Nepali '!$D$1:$F$283,3,FALSE)</f>
        <v>देवघाट नगरपालिका</v>
      </c>
      <c r="D200" s="36" t="str">
        <f ca="1">IFERROR(__xludf.DUMMYFUNCTION("""COMPUTED_VALUE"""),"Tanahun")</f>
        <v>Tanahun</v>
      </c>
      <c r="E200" s="36"/>
      <c r="F200" s="27">
        <f>VLOOKUP(A200,'[1]Raw Data'!$A$3:$FB$285,4,FALSE)</f>
        <v>324</v>
      </c>
      <c r="G200" s="27">
        <f>VLOOKUP(A200,'[1]Raw Data'!$A$3:$FB$285,5,FALSE)</f>
        <v>636</v>
      </c>
      <c r="H200" s="27">
        <f>VLOOKUP(A200,'[1]Raw Data'!$A$3:$FB$285,6,FALSE)</f>
        <v>960</v>
      </c>
      <c r="I200" s="27">
        <f>VLOOKUP($A200,'[1]Raw Data'!$A$3:$FB$285,8,FALSE)</f>
        <v>2.29</v>
      </c>
      <c r="J200" s="27">
        <f>VLOOKUP($A200,'[1]Raw Data'!$A$3:$FB$285,9,FALSE)</f>
        <v>2.69</v>
      </c>
      <c r="K200" s="27">
        <f>VLOOKUP($A200,'[1]Raw Data'!$A$3:$FB$285,11,FALSE)</f>
        <v>81.88</v>
      </c>
      <c r="L200" s="27">
        <f>VLOOKUP($A200,'[1]Raw Data'!$A$3:$FB$285,12,FALSE)</f>
        <v>88.78</v>
      </c>
      <c r="M200" s="27">
        <f>VLOOKUP($A200,'[1]Raw Data'!$A$3:$FB$285,14,FALSE)</f>
        <v>10.83</v>
      </c>
      <c r="N200" s="27">
        <f>VLOOKUP($A200,'[1]Raw Data'!$A$3:$FB$285,15,FALSE)</f>
        <v>3.44</v>
      </c>
      <c r="O200" s="27">
        <f>VLOOKUP($A200,'[1]Raw Data'!$A$3:$FB$285,17,FALSE)</f>
        <v>1.04</v>
      </c>
      <c r="P200" s="27">
        <f>VLOOKUP($A200,'[1]Raw Data'!$A$3:$FB$285,18,FALSE)</f>
        <v>1.46</v>
      </c>
      <c r="Q200" s="27">
        <f>VLOOKUP($A200,'[1]Raw Data'!$A$3:$FB$285,20,FALSE)</f>
        <v>1.77</v>
      </c>
      <c r="R200" s="27">
        <f>VLOOKUP($A200,'[1]Raw Data'!$A$3:$FB$285,21,FALSE)</f>
        <v>2.38</v>
      </c>
      <c r="S200" s="27">
        <f>VLOOKUP($A200,'[1]Raw Data'!$A$3:$FB$285,23,FALSE)</f>
        <v>0</v>
      </c>
      <c r="T200" s="27">
        <f>VLOOKUP($A200,'[1]Raw Data'!$A$3:$FB$285,24,FALSE)</f>
        <v>0</v>
      </c>
      <c r="U200" s="27">
        <f>VLOOKUP($A200,'[1]Raw Data'!$A$3:$FB$285,26,FALSE)</f>
        <v>1.88</v>
      </c>
      <c r="V200" s="27">
        <f>VLOOKUP($A200,'[1]Raw Data'!$A$3:$FB$285,27,FALSE)</f>
        <v>0.37</v>
      </c>
      <c r="W200" s="27">
        <f>VLOOKUP($A200,'[1]Raw Data'!$A$3:$FB$285,29,FALSE)</f>
        <v>0</v>
      </c>
      <c r="X200" s="27">
        <f>VLOOKUP($A200,'[1]Raw Data'!$A$3:$FB$285,30,FALSE)</f>
        <v>0</v>
      </c>
      <c r="Y200" s="27">
        <f>VLOOKUP($A200,'[1]Raw Data'!$A$3:$FB$285,32,FALSE)</f>
        <v>0.1</v>
      </c>
      <c r="Z200" s="27">
        <f>VLOOKUP($A200,'[1]Raw Data'!$A$3:$FB$285,33,FALSE)</f>
        <v>0.32</v>
      </c>
      <c r="AA200" s="27">
        <f>VLOOKUP($A200,'[1]Raw Data'!$A$3:$FB$285,35,FALSE)</f>
        <v>0</v>
      </c>
      <c r="AB200" s="27">
        <f>VLOOKUP($A200,'[1]Raw Data'!$A$3:$FB$285,36,FALSE)</f>
        <v>0.47</v>
      </c>
      <c r="AC200" s="27">
        <f>VLOOKUP($A200,'[1]Raw Data'!$A$3:$FB$285,38,FALSE)</f>
        <v>0.21</v>
      </c>
      <c r="AD200" s="27">
        <f>VLOOKUP($A200,'[1]Raw Data'!$A$3:$FB$285,39,FALSE)</f>
        <v>0.08</v>
      </c>
      <c r="AE200" s="27">
        <f>VLOOKUP($A200,'[1]Raw Data'!$A$3:$FB$285,41,FALSE)</f>
        <v>0</v>
      </c>
      <c r="AF200" s="27">
        <f>VLOOKUP($A200,'[1]Raw Data'!$A$3:$FB$285,42,FALSE)</f>
        <v>0</v>
      </c>
      <c r="AG200" s="27">
        <f>VLOOKUP($A200,'[1]Raw Data'!$A$3:$FB$285,44,FALSE)</f>
        <v>0</v>
      </c>
      <c r="AH200" s="27">
        <f>VLOOKUP($A200,'[1]Raw Data'!$A$3:$FB$285,45,FALSE)</f>
        <v>0</v>
      </c>
      <c r="AI200" s="27">
        <f>VLOOKUP($A200,'[1]Raw Data'!$A$3:$FB$285,46,FALSE)</f>
        <v>607</v>
      </c>
      <c r="AJ200" s="27">
        <f>VLOOKUP($A200,'[1]Raw Data'!$A$3:$FB$285,47,FALSE)</f>
        <v>193</v>
      </c>
      <c r="AK200" s="27">
        <f>VLOOKUP($A200,'[1]Raw Data'!$A$3:$FB$285,48,FALSE)</f>
        <v>193</v>
      </c>
      <c r="AL200" s="27">
        <f>VLOOKUP($A200,'[1]Raw Data'!$A$3:$FB$285,49,FALSE)</f>
        <v>60</v>
      </c>
      <c r="AM200" s="27">
        <f>VLOOKUP($A200,'[1]Raw Data'!$A$3:$FB$285,50,FALSE)</f>
        <v>0</v>
      </c>
      <c r="AN200" s="27" t="str">
        <f>VLOOKUP($A200,'[1]Raw Data'!$A$3:$FB$285,51,FALSE)</f>
        <v/>
      </c>
      <c r="AO200" s="27" t="str">
        <f>VLOOKUP($A200,'[1]Raw Data'!$A$3:$FB$285,52,FALSE)</f>
        <v/>
      </c>
      <c r="AP200" s="27">
        <f>VLOOKUP($A200,'[1]Raw Data'!$A$3:$FB$285,53,FALSE)</f>
        <v>25</v>
      </c>
      <c r="AQ200" s="27" t="str">
        <f>VLOOKUP($A200,'[1]Raw Data'!$A$3:$FB$285,54,FALSE)</f>
        <v/>
      </c>
      <c r="AR200" s="27" t="str">
        <f>VLOOKUP($A200,'[1]Raw Data'!$A$3:$FB$285,55,FALSE)</f>
        <v/>
      </c>
      <c r="AS200" s="27" t="str">
        <f>VLOOKUP($A200,'[1]Raw Data'!$A$3:$FB$285,56,FALSE)</f>
        <v/>
      </c>
      <c r="AT200" s="27" t="str">
        <f>VLOOKUP($A200,'[1]Raw Data'!$A$3:$FB$285,57,FALSE)</f>
        <v/>
      </c>
      <c r="AU200" s="27" t="str">
        <f>VLOOKUP($A200,'[1]Raw Data'!$A$3:$FB$285,58,FALSE)</f>
        <v/>
      </c>
      <c r="AV200" s="27" t="str">
        <f>VLOOKUP($A200,'[1]Raw Data'!$A$3:$FB$285,59,FALSE)</f>
        <v/>
      </c>
      <c r="AW200" s="27" t="str">
        <f>VLOOKUP($A200,'[1]Raw Data'!$A$3:$FB$285,60,FALSE)</f>
        <v/>
      </c>
      <c r="AX200" s="27" t="str">
        <f>VLOOKUP(A200,'[1]PO''s List'!A198:E480,4,FALSE)</f>
        <v/>
      </c>
      <c r="AZ200" s="27" t="str">
        <f>VLOOKUP(A200,'[1]PO''s List'!$A$3:$E$285,5,FALSE)</f>
        <v/>
      </c>
      <c r="BB200" s="27">
        <f>VLOOKUP($A200,'[1]Raw Data'!$A$3:$FB$285,63,FALSE)</f>
        <v>6076</v>
      </c>
      <c r="BC200" s="27" t="str">
        <f>VLOOKUP($A200,'[1]Raw Data'!$A$3:$FB$285,64,FALSE)</f>
        <v/>
      </c>
      <c r="BD200" s="27" t="str">
        <f t="shared" si="27"/>
        <v/>
      </c>
      <c r="BE200" s="27" t="str">
        <f>VLOOKUP($A200,'[1]Raw Data'!$A$3:$FB$285,65,FALSE)</f>
        <v/>
      </c>
      <c r="BF200" s="27">
        <f>VLOOKUP($A200,'[1]Raw Data'!$A$3:$FB$285,66,FALSE)</f>
        <v>5096</v>
      </c>
      <c r="BG200" s="27" t="str">
        <f>VLOOKUP($A200,'[1]Raw Data'!$A$3:$FB$285,67,FALSE)</f>
        <v/>
      </c>
      <c r="BH200" s="27" t="str">
        <f t="shared" si="28"/>
        <v/>
      </c>
      <c r="BI200" s="27" t="str">
        <f>VLOOKUP($A200,'[1]Raw Data'!$A$3:$FB$285,68,FALSE)</f>
        <v/>
      </c>
      <c r="BJ200" s="27">
        <f>VLOOKUP($A200,'[1]Raw Data'!$A$3:$FB$285,69,FALSE)</f>
        <v>640</v>
      </c>
      <c r="BK200" s="27" t="str">
        <f>VLOOKUP($A200,'[1]Raw Data'!$A$3:$FB$285,70,FALSE)</f>
        <v/>
      </c>
      <c r="BL200" s="27" t="str">
        <f t="shared" si="29"/>
        <v/>
      </c>
      <c r="BM200" s="27" t="str">
        <f>VLOOKUP($A200,'[1]Raw Data'!$A$3:$FB$285,71,FALSE)</f>
        <v/>
      </c>
      <c r="BN200" s="27">
        <f>VLOOKUP($A200,'[1]Raw Data'!$A$3:$FB$285,72,FALSE)</f>
        <v>704</v>
      </c>
      <c r="BO200" s="27" t="str">
        <f>VLOOKUP($A200,'[1]Raw Data'!$A$3:$FB$285,73,FALSE)</f>
        <v/>
      </c>
      <c r="BP200" s="27" t="str">
        <f t="shared" si="30"/>
        <v/>
      </c>
      <c r="BQ200" s="27" t="str">
        <f>VLOOKUP($A200,'[1]Raw Data'!$A$3:$FB$285,74,FALSE)</f>
        <v/>
      </c>
      <c r="BR200" s="27" t="str">
        <f>VLOOKUP($A200,'[1]Raw Data'!$A$3:$FB$285,75,FALSE)</f>
        <v/>
      </c>
      <c r="BS200" s="27" t="str">
        <f>VLOOKUP($A200,'[1]Raw Data'!$A$3:$FB$285,76,FALSE)</f>
        <v/>
      </c>
      <c r="BT200" s="27" t="str">
        <f t="shared" si="31"/>
        <v/>
      </c>
      <c r="BU200" s="27" t="str">
        <f>VLOOKUP($A200,'[1]Raw Data'!$A$3:$FB$285,77,FALSE)</f>
        <v/>
      </c>
      <c r="BV200" s="27">
        <f>VLOOKUP($A200,'[1]Raw Data'!$A$3:$FB$285,78,FALSE)</f>
        <v>18073</v>
      </c>
      <c r="BW200" s="27" t="str">
        <f>VLOOKUP($A200,'[1]Raw Data'!$A$3:$FB$285,79,FALSE)</f>
        <v/>
      </c>
      <c r="BX200" s="27" t="str">
        <f t="shared" si="32"/>
        <v/>
      </c>
      <c r="BY200" s="27" t="str">
        <f>VLOOKUP($A200,'[1]Raw Data'!$A$3:$FB$285,80,FALSE)</f>
        <v/>
      </c>
      <c r="BZ200" s="27">
        <f>VLOOKUP($A200,'[1]Raw Data'!$A$3:$FB$285,81,FALSE)</f>
        <v>68916</v>
      </c>
      <c r="CA200" s="27" t="str">
        <f>VLOOKUP($A200,'[1]Raw Data'!$A$3:$FB$285,82,FALSE)</f>
        <v/>
      </c>
      <c r="CB200" s="27" t="str">
        <f t="shared" si="33"/>
        <v/>
      </c>
      <c r="CC200" s="27" t="str">
        <f>VLOOKUP($A200,'[1]Raw Data'!$A$3:$FB$285,83,FALSE)</f>
        <v/>
      </c>
      <c r="CD200" s="27">
        <f>VLOOKUP($A200,'[1]Raw Data'!$A$3:$FB$285,84,FALSE)</f>
        <v>743</v>
      </c>
      <c r="CE200" s="27" t="str">
        <f>VLOOKUP($A200,'[1]Raw Data'!$A$3:$FB$285,85,FALSE)</f>
        <v/>
      </c>
      <c r="CF200" s="27" t="str">
        <f t="shared" si="34"/>
        <v/>
      </c>
      <c r="CG200" s="27" t="str">
        <f>VLOOKUP($A200,'[1]Raw Data'!$A$3:$FB$285,86,FALSE)</f>
        <v/>
      </c>
      <c r="CH200" s="27">
        <f>VLOOKUP($A200,'[1]Raw Data'!$A$3:$FB$285,87,FALSE)</f>
        <v>297073</v>
      </c>
      <c r="CI200" s="27" t="str">
        <f>VLOOKUP($A200,'[1]Raw Data'!$A$3:$FB$285,88,FALSE)</f>
        <v/>
      </c>
      <c r="CJ200" s="27" t="str">
        <f t="shared" si="35"/>
        <v/>
      </c>
      <c r="CK200" s="27" t="str">
        <f>VLOOKUP($A200,'[1]Raw Data'!$A$3:$FB$285,89,FALSE)</f>
        <v/>
      </c>
      <c r="CL200" s="27" t="str">
        <f>VLOOKUP($A200,'[1]Raw Data'!$A$3:$FB$285,91,FALSE)</f>
        <v/>
      </c>
      <c r="CM200" s="27" t="str">
        <f>VLOOKUP($A200,'[1]Raw Data'!$A$3:$FB$285,93,FALSE)</f>
        <v/>
      </c>
      <c r="CN200" s="27" t="str">
        <f>VLOOKUP($A200,'[1]Raw Data'!$A$3:$FB$285,94,FALSE)</f>
        <v/>
      </c>
      <c r="CO200" s="27" t="str">
        <f>VLOOKUP($A200,'[1]Raw Data'!$A$3:$FB$285,95,FALSE)</f>
        <v/>
      </c>
      <c r="CP200" s="27" t="str">
        <f>VLOOKUP($A200,'[1]Raw Data'!$A$3:$FB$285,96,FALSE)</f>
        <v/>
      </c>
      <c r="CQ200" s="27" t="str">
        <f>VLOOKUP($A200,'[1]Raw Data'!$A$3:$FB$285,97,FALSE)</f>
        <v/>
      </c>
      <c r="CR200" s="27" t="str">
        <f>VLOOKUP($A200,'[1]Raw Data'!$A$3:$FB$285,98,FALSE)</f>
        <v/>
      </c>
      <c r="CS200" s="27" t="str">
        <f>VLOOKUP($A200,'[1]Raw Data'!$A$3:$FB$285,99,FALSE)</f>
        <v/>
      </c>
      <c r="CT200" s="27" t="str">
        <f>VLOOKUP($A200,'[1]Raw Data'!$A$3:$FB$285,101,FALSE)</f>
        <v/>
      </c>
      <c r="CV200" s="27" t="str">
        <f>VLOOKUP($A200,'[1]Raw Data'!$A$3:$FB$285,102,FALSE)</f>
        <v>Chairman</v>
      </c>
      <c r="CW200" s="27" t="s">
        <v>878</v>
      </c>
      <c r="CX200" s="27" t="str">
        <f>VLOOKUP($A200,'[1]Raw Data'!$A$3:$FB$285,103,FALSE)</f>
        <v/>
      </c>
      <c r="CY200" s="27" t="str">
        <f>VLOOKUP($A200,'[1]Raw Data'!$A$3:$FB$285,105,FALSE)</f>
        <v/>
      </c>
      <c r="DA200" s="27" t="str">
        <f>VLOOKUP($A200,'[1]Raw Data'!$A$3:$FB$285,106,FALSE)</f>
        <v>Deputy Chairman</v>
      </c>
      <c r="DB200" s="27" t="s">
        <v>879</v>
      </c>
      <c r="DC200" s="27" t="str">
        <f>VLOOKUP($A200,'[1]Raw Data'!$A$3:$FB$285,107,FALSE)</f>
        <v/>
      </c>
      <c r="DD200" s="27" t="str">
        <f>VLOOKUP($A200,'[1]Raw Data'!$A$3:$FB$285,109,FALSE)</f>
        <v/>
      </c>
      <c r="DF200" s="27" t="str">
        <f>VLOOKUP($A200,'[1]Raw Data'!$A$3:$FB$285,110,FALSE)</f>
        <v>Chief Adminstration Officer</v>
      </c>
      <c r="DG200" s="27" t="s">
        <v>880</v>
      </c>
      <c r="DH200" s="27">
        <f>VLOOKUP($A200,'[1]Raw Data'!$A$3:$FB$285,111,FALSE)</f>
        <v>9856063718</v>
      </c>
      <c r="DI200" s="27" t="str">
        <f>VLOOKUP($A200,'[1]Raw Data'!$A$3:$FB$285,121,FALSE)</f>
        <v/>
      </c>
      <c r="DK200" s="27" t="str">
        <f>VLOOKUP($A200,'[1]Raw Data'!$A$3:$FB$285,122,FALSE)</f>
        <v>Focal Person</v>
      </c>
      <c r="DL200" s="27" t="s">
        <v>881</v>
      </c>
      <c r="DM200" s="27" t="str">
        <f>VLOOKUP($A200,'[1]Raw Data'!$A$3:$FB$285,123,FALSE)</f>
        <v/>
      </c>
      <c r="DN200" s="27" t="str">
        <f>VLOOKUP($A200,'[1]Raw Data'!$A$3:$FB$285,113,FALSE)</f>
        <v>Dipendra Kumar Rohita</v>
      </c>
      <c r="DO200" s="27" t="s">
        <v>1431</v>
      </c>
      <c r="DP200" s="27" t="str">
        <f>VLOOKUP($A200,'[1]Raw Data'!$A$3:$FB$285,114,FALSE)</f>
        <v>NRA Chief-District</v>
      </c>
      <c r="DQ200" s="27" t="s">
        <v>882</v>
      </c>
      <c r="DR200" s="27" t="str">
        <f>VLOOKUP($A200,'[1]Raw Data'!$A$3:$FB$285,115,FALSE)</f>
        <v/>
      </c>
      <c r="DS200" s="27" t="str">
        <f>VLOOKUP($A200,'[1]Raw Data'!$A$3:$FB$285,117,FALSE)</f>
        <v/>
      </c>
      <c r="DU200" s="27" t="str">
        <f>VLOOKUP($A200,'[1]Raw Data'!$A$3:$FB$285,118,FALSE)</f>
        <v>DUDBC.DLPIU Chief</v>
      </c>
      <c r="DV200" s="27" t="s">
        <v>883</v>
      </c>
      <c r="DW200" s="27" t="str">
        <f>VLOOKUP($A200,'[1]Raw Data'!$A$3:$FB$285,119,FALSE)</f>
        <v/>
      </c>
      <c r="DX200" s="27" t="s">
        <v>339</v>
      </c>
      <c r="DY200" s="27" t="str">
        <f>VLOOKUP($A200,'[1]Raw Data'!$A$3:$FB$285,124,FALSE)</f>
        <v/>
      </c>
      <c r="DZ200" s="27" t="s">
        <v>884</v>
      </c>
      <c r="EA200" s="27" t="str">
        <f>VLOOKUP($A200,'[1]Raw Data'!$A$3:$FB$285,125,FALSE)</f>
        <v/>
      </c>
      <c r="EB200" s="27" t="s">
        <v>341</v>
      </c>
      <c r="EC200" s="27" t="str">
        <f>VLOOKUP($A200,'[1]Raw Data'!$A$3:$FB$285,126,FALSE)</f>
        <v/>
      </c>
      <c r="ED200" t="s">
        <v>478</v>
      </c>
      <c r="EE200" s="27" t="str">
        <f>VLOOKUP($A200,'[1]Raw Data'!$A$3:$FB$285,127,FALSE)</f>
        <v/>
      </c>
      <c r="EF200" s="27" t="s">
        <v>343</v>
      </c>
      <c r="EG200" s="27" t="str">
        <f>VLOOKUP($A200,'[1]Raw Data'!$A$3:$FB$285,128,FALSE)</f>
        <v/>
      </c>
      <c r="EH200" t="s">
        <v>344</v>
      </c>
      <c r="EI200" s="27" t="str">
        <f>VLOOKUP($A200,'[1]Raw Data'!$A$3:$FB$285,129,FALSE)</f>
        <v/>
      </c>
      <c r="EM200" s="27" t="str">
        <f>VLOOKUP($A200,'[1]Raw Data'!$A$3:$FB$285,130,FALSE)</f>
        <v/>
      </c>
      <c r="EN200" s="27" t="str">
        <f>VLOOKUP($A200,'[1]Raw Data'!$A$3:$FB$285,131,FALSE)</f>
        <v/>
      </c>
      <c r="EO200" s="27" t="str">
        <f>VLOOKUP($A200,'[1]Raw Data'!$A$3:$FB$285,132,FALSE)</f>
        <v/>
      </c>
      <c r="EP200" s="27" t="str">
        <f>VLOOKUP($A200,'[1]Raw Data'!$A$3:$FB$285,133,FALSE)</f>
        <v/>
      </c>
      <c r="EQ200" s="27" t="str">
        <f>VLOOKUP($A200,'[1]Raw Data'!$A$3:$FB$285,134,FALSE)</f>
        <v/>
      </c>
      <c r="ER200" s="27" t="str">
        <f>VLOOKUP($A200,'[1]Raw Data'!$A$3:$FB$285,135,FALSE)</f>
        <v/>
      </c>
      <c r="ES200" s="27" t="str">
        <f>VLOOKUP($A200,'[1]Raw Data'!$A$3:$FB$285,136,FALSE)</f>
        <v/>
      </c>
      <c r="ET200" s="27" t="str">
        <f>VLOOKUP($A200,'[1]Raw Data'!$A$3:$FB$285,137,FALSE)</f>
        <v/>
      </c>
      <c r="EU200" s="27" t="str">
        <f>VLOOKUP($A200,'[1]Raw Data'!$A$3:$FB$285,138,FALSE)</f>
        <v/>
      </c>
      <c r="EV200" s="27" t="str">
        <f>VLOOKUP($A200,'[1]Raw Data'!$A$3:$FB$285,139,FALSE)</f>
        <v/>
      </c>
      <c r="EW200" s="38">
        <f>VLOOKUP($A200,[1]Training!$A$2:$I$284,5,FALSE)</f>
        <v>46.692307692307693</v>
      </c>
      <c r="EX200" s="31">
        <f>VLOOKUP($A200,[1]Training!$A$2:$I$284,6,FALSE)</f>
        <v>25</v>
      </c>
      <c r="EY200" s="38">
        <f>VLOOKUP($A200,[1]Training!$A$2:$I$284,8,FALSE)</f>
        <v>55.18181818181818</v>
      </c>
      <c r="EZ200" s="31">
        <f>VLOOKUP($A200,[1]Training!$A$2:$I$284,9,FALSE)</f>
        <v>0</v>
      </c>
      <c r="FA200" s="27">
        <v>1</v>
      </c>
      <c r="FB200" s="27">
        <v>2</v>
      </c>
      <c r="FC200" s="27" t="str">
        <f>VLOOKUP($A200,'[1]Raw Data'!$A$3:$FB$285,148,FALSE)</f>
        <v/>
      </c>
      <c r="FE200" s="27" t="str">
        <f>VLOOKUP($A200,'[1]Raw Data'!$A$3:$FB$285,149,FALSE)</f>
        <v>District Coordinator</v>
      </c>
      <c r="FF200" s="27" t="s">
        <v>885</v>
      </c>
      <c r="FG200" s="27" t="str">
        <f>VLOOKUP($A200,'[1]Raw Data'!$A$3:$FB$285,150,FALSE)</f>
        <v/>
      </c>
      <c r="FH200" s="27" t="str">
        <f>VLOOKUP($A200,'[1]Raw Data'!$A$3:$FB$285,156,FALSE)</f>
        <v/>
      </c>
      <c r="FJ200" s="27" t="str">
        <f>VLOOKUP($A200,'[1]Raw Data'!$A$3:$FB$285,157,FALSE)</f>
        <v>District Technical Officer</v>
      </c>
      <c r="FK200" s="27" t="s">
        <v>886</v>
      </c>
      <c r="FL200" s="27" t="str">
        <f>VLOOKUP($A200,'[1]Raw Data'!$A$3:$FB$285,158,FALSE)</f>
        <v/>
      </c>
      <c r="FM200" s="27" t="str">
        <f>VLOOKUP($A200,'[1]Raw Data'!$A$3:$FB$285,152,FALSE)</f>
        <v/>
      </c>
      <c r="FO200" s="27" t="str">
        <f>VLOOKUP($A200,'[1]Raw Data'!$A$3:$FB$285,153,FALSE)</f>
        <v>DIstrict Information Management Officer</v>
      </c>
      <c r="FP200" s="27" t="s">
        <v>887</v>
      </c>
      <c r="FQ200" s="27" t="str">
        <f>VLOOKUP($A200,'[1]Raw Data'!$A$3:$FB$285,154,FALSE)</f>
        <v/>
      </c>
    </row>
    <row r="201" spans="1:173" ht="24" x14ac:dyDescent="0.45">
      <c r="A201" s="27">
        <v>38007</v>
      </c>
      <c r="B201" s="36" t="str">
        <f ca="1">IFERROR(__xludf.DUMMYFUNCTION("""COMPUTED_VALUE"""),"Ghiring Gaunpalika")</f>
        <v>Ghiring Gaunpalika</v>
      </c>
      <c r="C201" s="37" t="str">
        <f>VLOOKUP(A201,'[1]Palika and District in Nepali '!$D$1:$F$283,3,FALSE)</f>
        <v>घिरिंङ गाउँपालिका</v>
      </c>
      <c r="D201" s="36" t="str">
        <f ca="1">IFERROR(__xludf.DUMMYFUNCTION("""COMPUTED_VALUE"""),"Tanahun")</f>
        <v>Tanahun</v>
      </c>
      <c r="E201" s="36"/>
      <c r="F201" s="27">
        <f>VLOOKUP(A201,'[1]Raw Data'!$A$3:$FB$285,4,FALSE)</f>
        <v>655</v>
      </c>
      <c r="G201" s="27">
        <f>VLOOKUP(A201,'[1]Raw Data'!$A$3:$FB$285,5,FALSE)</f>
        <v>314</v>
      </c>
      <c r="H201" s="27">
        <f>VLOOKUP(A201,'[1]Raw Data'!$A$3:$FB$285,6,FALSE)</f>
        <v>969</v>
      </c>
      <c r="I201" s="27">
        <f>VLOOKUP($A201,'[1]Raw Data'!$A$3:$FB$285,8,FALSE)</f>
        <v>0.72</v>
      </c>
      <c r="J201" s="27">
        <f>VLOOKUP($A201,'[1]Raw Data'!$A$3:$FB$285,9,FALSE)</f>
        <v>2.69</v>
      </c>
      <c r="K201" s="27">
        <f>VLOOKUP($A201,'[1]Raw Data'!$A$3:$FB$285,11,FALSE)</f>
        <v>96.28</v>
      </c>
      <c r="L201" s="27">
        <f>VLOOKUP($A201,'[1]Raw Data'!$A$3:$FB$285,12,FALSE)</f>
        <v>88.78</v>
      </c>
      <c r="M201" s="27">
        <f>VLOOKUP($A201,'[1]Raw Data'!$A$3:$FB$285,14,FALSE)</f>
        <v>0.52</v>
      </c>
      <c r="N201" s="27">
        <f>VLOOKUP($A201,'[1]Raw Data'!$A$3:$FB$285,15,FALSE)</f>
        <v>3.44</v>
      </c>
      <c r="O201" s="27">
        <f>VLOOKUP($A201,'[1]Raw Data'!$A$3:$FB$285,17,FALSE)</f>
        <v>1.86</v>
      </c>
      <c r="P201" s="27">
        <f>VLOOKUP($A201,'[1]Raw Data'!$A$3:$FB$285,18,FALSE)</f>
        <v>1.46</v>
      </c>
      <c r="Q201" s="27">
        <f>VLOOKUP($A201,'[1]Raw Data'!$A$3:$FB$285,20,FALSE)</f>
        <v>0.62</v>
      </c>
      <c r="R201" s="27">
        <f>VLOOKUP($A201,'[1]Raw Data'!$A$3:$FB$285,21,FALSE)</f>
        <v>2.38</v>
      </c>
      <c r="S201" s="27">
        <f>VLOOKUP($A201,'[1]Raw Data'!$A$3:$FB$285,23,FALSE)</f>
        <v>0</v>
      </c>
      <c r="T201" s="27">
        <f>VLOOKUP($A201,'[1]Raw Data'!$A$3:$FB$285,24,FALSE)</f>
        <v>0</v>
      </c>
      <c r="U201" s="27">
        <f>VLOOKUP($A201,'[1]Raw Data'!$A$3:$FB$285,26,FALSE)</f>
        <v>0</v>
      </c>
      <c r="V201" s="27">
        <f>VLOOKUP($A201,'[1]Raw Data'!$A$3:$FB$285,27,FALSE)</f>
        <v>0.37</v>
      </c>
      <c r="W201" s="27">
        <f>VLOOKUP($A201,'[1]Raw Data'!$A$3:$FB$285,29,FALSE)</f>
        <v>0</v>
      </c>
      <c r="X201" s="27">
        <f>VLOOKUP($A201,'[1]Raw Data'!$A$3:$FB$285,30,FALSE)</f>
        <v>0</v>
      </c>
      <c r="Y201" s="27">
        <f>VLOOKUP($A201,'[1]Raw Data'!$A$3:$FB$285,32,FALSE)</f>
        <v>0</v>
      </c>
      <c r="Z201" s="27">
        <f>VLOOKUP($A201,'[1]Raw Data'!$A$3:$FB$285,33,FALSE)</f>
        <v>0.32</v>
      </c>
      <c r="AA201" s="27">
        <f>VLOOKUP($A201,'[1]Raw Data'!$A$3:$FB$285,35,FALSE)</f>
        <v>0</v>
      </c>
      <c r="AB201" s="27">
        <f>VLOOKUP($A201,'[1]Raw Data'!$A$3:$FB$285,36,FALSE)</f>
        <v>0.47</v>
      </c>
      <c r="AC201" s="27">
        <f>VLOOKUP($A201,'[1]Raw Data'!$A$3:$FB$285,38,FALSE)</f>
        <v>0</v>
      </c>
      <c r="AD201" s="27">
        <f>VLOOKUP($A201,'[1]Raw Data'!$A$3:$FB$285,39,FALSE)</f>
        <v>0.08</v>
      </c>
      <c r="AE201" s="27">
        <f>VLOOKUP($A201,'[1]Raw Data'!$A$3:$FB$285,41,FALSE)</f>
        <v>0</v>
      </c>
      <c r="AF201" s="27">
        <f>VLOOKUP($A201,'[1]Raw Data'!$A$3:$FB$285,42,FALSE)</f>
        <v>0</v>
      </c>
      <c r="AG201" s="27">
        <f>VLOOKUP($A201,'[1]Raw Data'!$A$3:$FB$285,44,FALSE)</f>
        <v>0</v>
      </c>
      <c r="AH201" s="27">
        <f>VLOOKUP($A201,'[1]Raw Data'!$A$3:$FB$285,45,FALSE)</f>
        <v>0</v>
      </c>
      <c r="AI201" s="27">
        <f>VLOOKUP($A201,'[1]Raw Data'!$A$3:$FB$285,46,FALSE)</f>
        <v>298</v>
      </c>
      <c r="AJ201" s="27">
        <f>VLOOKUP($A201,'[1]Raw Data'!$A$3:$FB$285,47,FALSE)</f>
        <v>257</v>
      </c>
      <c r="AK201" s="27">
        <f>VLOOKUP($A201,'[1]Raw Data'!$A$3:$FB$285,48,FALSE)</f>
        <v>257</v>
      </c>
      <c r="AL201" s="27">
        <f>VLOOKUP($A201,'[1]Raw Data'!$A$3:$FB$285,49,FALSE)</f>
        <v>30</v>
      </c>
      <c r="AM201" s="27">
        <f>VLOOKUP($A201,'[1]Raw Data'!$A$3:$FB$285,50,FALSE)</f>
        <v>0</v>
      </c>
      <c r="AN201" s="27" t="str">
        <f>VLOOKUP($A201,'[1]Raw Data'!$A$3:$FB$285,51,FALSE)</f>
        <v/>
      </c>
      <c r="AO201" s="27" t="str">
        <f>VLOOKUP($A201,'[1]Raw Data'!$A$3:$FB$285,52,FALSE)</f>
        <v/>
      </c>
      <c r="AP201" s="27">
        <f>VLOOKUP($A201,'[1]Raw Data'!$A$3:$FB$285,53,FALSE)</f>
        <v>1</v>
      </c>
      <c r="AQ201" s="27" t="str">
        <f>VLOOKUP($A201,'[1]Raw Data'!$A$3:$FB$285,54,FALSE)</f>
        <v/>
      </c>
      <c r="AR201" s="27" t="str">
        <f>VLOOKUP($A201,'[1]Raw Data'!$A$3:$FB$285,55,FALSE)</f>
        <v/>
      </c>
      <c r="AS201" s="27" t="str">
        <f>VLOOKUP($A201,'[1]Raw Data'!$A$3:$FB$285,56,FALSE)</f>
        <v/>
      </c>
      <c r="AT201" s="27" t="str">
        <f>VLOOKUP($A201,'[1]Raw Data'!$A$3:$FB$285,57,FALSE)</f>
        <v/>
      </c>
      <c r="AU201" s="27" t="str">
        <f>VLOOKUP($A201,'[1]Raw Data'!$A$3:$FB$285,58,FALSE)</f>
        <v/>
      </c>
      <c r="AV201" s="27" t="str">
        <f>VLOOKUP($A201,'[1]Raw Data'!$A$3:$FB$285,59,FALSE)</f>
        <v/>
      </c>
      <c r="AW201" s="27" t="str">
        <f>VLOOKUP($A201,'[1]Raw Data'!$A$3:$FB$285,60,FALSE)</f>
        <v/>
      </c>
      <c r="AX201" s="27" t="str">
        <f>VLOOKUP(A201,'[1]PO''s List'!A199:E481,4,FALSE)</f>
        <v/>
      </c>
      <c r="AZ201" s="27" t="str">
        <f>VLOOKUP(A201,'[1]PO''s List'!$A$3:$E$285,5,FALSE)</f>
        <v/>
      </c>
      <c r="BB201" s="27">
        <f>VLOOKUP($A201,'[1]Raw Data'!$A$3:$FB$285,63,FALSE)</f>
        <v>7209</v>
      </c>
      <c r="BC201" s="27" t="str">
        <f>VLOOKUP($A201,'[1]Raw Data'!$A$3:$FB$285,64,FALSE)</f>
        <v/>
      </c>
      <c r="BD201" s="27" t="str">
        <f t="shared" si="27"/>
        <v/>
      </c>
      <c r="BE201" s="27" t="str">
        <f>VLOOKUP($A201,'[1]Raw Data'!$A$3:$FB$285,65,FALSE)</f>
        <v/>
      </c>
      <c r="BF201" s="27">
        <f>VLOOKUP($A201,'[1]Raw Data'!$A$3:$FB$285,66,FALSE)</f>
        <v>7645</v>
      </c>
      <c r="BG201" s="27" t="str">
        <f>VLOOKUP($A201,'[1]Raw Data'!$A$3:$FB$285,67,FALSE)</f>
        <v/>
      </c>
      <c r="BH201" s="27" t="str">
        <f t="shared" si="28"/>
        <v/>
      </c>
      <c r="BI201" s="27" t="str">
        <f>VLOOKUP($A201,'[1]Raw Data'!$A$3:$FB$285,68,FALSE)</f>
        <v/>
      </c>
      <c r="BJ201" s="27">
        <f>VLOOKUP($A201,'[1]Raw Data'!$A$3:$FB$285,69,FALSE)</f>
        <v>772</v>
      </c>
      <c r="BK201" s="27" t="str">
        <f>VLOOKUP($A201,'[1]Raw Data'!$A$3:$FB$285,70,FALSE)</f>
        <v/>
      </c>
      <c r="BL201" s="27" t="str">
        <f t="shared" si="29"/>
        <v/>
      </c>
      <c r="BM201" s="27" t="str">
        <f>VLOOKUP($A201,'[1]Raw Data'!$A$3:$FB$285,71,FALSE)</f>
        <v/>
      </c>
      <c r="BN201" s="27">
        <f>VLOOKUP($A201,'[1]Raw Data'!$A$3:$FB$285,72,FALSE)</f>
        <v>898</v>
      </c>
      <c r="BO201" s="27" t="str">
        <f>VLOOKUP($A201,'[1]Raw Data'!$A$3:$FB$285,73,FALSE)</f>
        <v/>
      </c>
      <c r="BP201" s="27" t="str">
        <f t="shared" si="30"/>
        <v/>
      </c>
      <c r="BQ201" s="27" t="str">
        <f>VLOOKUP($A201,'[1]Raw Data'!$A$3:$FB$285,74,FALSE)</f>
        <v/>
      </c>
      <c r="BR201" s="27" t="str">
        <f>VLOOKUP($A201,'[1]Raw Data'!$A$3:$FB$285,75,FALSE)</f>
        <v/>
      </c>
      <c r="BS201" s="27" t="str">
        <f>VLOOKUP($A201,'[1]Raw Data'!$A$3:$FB$285,76,FALSE)</f>
        <v/>
      </c>
      <c r="BT201" s="27" t="str">
        <f t="shared" si="31"/>
        <v/>
      </c>
      <c r="BU201" s="27" t="str">
        <f>VLOOKUP($A201,'[1]Raw Data'!$A$3:$FB$285,77,FALSE)</f>
        <v/>
      </c>
      <c r="BV201" s="27">
        <f>VLOOKUP($A201,'[1]Raw Data'!$A$3:$FB$285,78,FALSE)</f>
        <v>25093</v>
      </c>
      <c r="BW201" s="27" t="str">
        <f>VLOOKUP($A201,'[1]Raw Data'!$A$3:$FB$285,79,FALSE)</f>
        <v/>
      </c>
      <c r="BX201" s="27" t="str">
        <f t="shared" si="32"/>
        <v/>
      </c>
      <c r="BY201" s="27" t="str">
        <f>VLOOKUP($A201,'[1]Raw Data'!$A$3:$FB$285,80,FALSE)</f>
        <v/>
      </c>
      <c r="BZ201" s="27">
        <f>VLOOKUP($A201,'[1]Raw Data'!$A$3:$FB$285,81,FALSE)</f>
        <v>77509</v>
      </c>
      <c r="CA201" s="27" t="str">
        <f>VLOOKUP($A201,'[1]Raw Data'!$A$3:$FB$285,82,FALSE)</f>
        <v/>
      </c>
      <c r="CB201" s="27" t="str">
        <f t="shared" si="33"/>
        <v/>
      </c>
      <c r="CC201" s="27" t="str">
        <f>VLOOKUP($A201,'[1]Raw Data'!$A$3:$FB$285,83,FALSE)</f>
        <v/>
      </c>
      <c r="CD201" s="27">
        <f>VLOOKUP($A201,'[1]Raw Data'!$A$3:$FB$285,84,FALSE)</f>
        <v>1025</v>
      </c>
      <c r="CE201" s="27" t="str">
        <f>VLOOKUP($A201,'[1]Raw Data'!$A$3:$FB$285,85,FALSE)</f>
        <v/>
      </c>
      <c r="CF201" s="27" t="str">
        <f t="shared" si="34"/>
        <v/>
      </c>
      <c r="CG201" s="27" t="str">
        <f>VLOOKUP($A201,'[1]Raw Data'!$A$3:$FB$285,86,FALSE)</f>
        <v/>
      </c>
      <c r="CH201" s="27">
        <f>VLOOKUP($A201,'[1]Raw Data'!$A$3:$FB$285,87,FALSE)</f>
        <v>22884</v>
      </c>
      <c r="CI201" s="27" t="str">
        <f>VLOOKUP($A201,'[1]Raw Data'!$A$3:$FB$285,88,FALSE)</f>
        <v/>
      </c>
      <c r="CJ201" s="27" t="str">
        <f t="shared" si="35"/>
        <v/>
      </c>
      <c r="CK201" s="27" t="str">
        <f>VLOOKUP($A201,'[1]Raw Data'!$A$3:$FB$285,89,FALSE)</f>
        <v/>
      </c>
      <c r="CL201" s="27" t="str">
        <f>VLOOKUP($A201,'[1]Raw Data'!$A$3:$FB$285,91,FALSE)</f>
        <v/>
      </c>
      <c r="CM201" s="27" t="str">
        <f>VLOOKUP($A201,'[1]Raw Data'!$A$3:$FB$285,93,FALSE)</f>
        <v/>
      </c>
      <c r="CN201" s="27" t="str">
        <f>VLOOKUP($A201,'[1]Raw Data'!$A$3:$FB$285,94,FALSE)</f>
        <v/>
      </c>
      <c r="CO201" s="27" t="str">
        <f>VLOOKUP($A201,'[1]Raw Data'!$A$3:$FB$285,95,FALSE)</f>
        <v/>
      </c>
      <c r="CP201" s="27" t="str">
        <f>VLOOKUP($A201,'[1]Raw Data'!$A$3:$FB$285,96,FALSE)</f>
        <v/>
      </c>
      <c r="CQ201" s="27" t="str">
        <f>VLOOKUP($A201,'[1]Raw Data'!$A$3:$FB$285,97,FALSE)</f>
        <v/>
      </c>
      <c r="CR201" s="27" t="str">
        <f>VLOOKUP($A201,'[1]Raw Data'!$A$3:$FB$285,98,FALSE)</f>
        <v/>
      </c>
      <c r="CS201" s="27" t="str">
        <f>VLOOKUP($A201,'[1]Raw Data'!$A$3:$FB$285,99,FALSE)</f>
        <v/>
      </c>
      <c r="CT201" s="27" t="str">
        <f>VLOOKUP($A201,'[1]Raw Data'!$A$3:$FB$285,101,FALSE)</f>
        <v/>
      </c>
      <c r="CV201" s="27" t="str">
        <f>VLOOKUP($A201,'[1]Raw Data'!$A$3:$FB$285,102,FALSE)</f>
        <v>Chairman</v>
      </c>
      <c r="CW201" s="27" t="s">
        <v>878</v>
      </c>
      <c r="CX201" s="27" t="str">
        <f>VLOOKUP($A201,'[1]Raw Data'!$A$3:$FB$285,103,FALSE)</f>
        <v/>
      </c>
      <c r="CY201" s="27" t="str">
        <f>VLOOKUP($A201,'[1]Raw Data'!$A$3:$FB$285,105,FALSE)</f>
        <v/>
      </c>
      <c r="DA201" s="27" t="str">
        <f>VLOOKUP($A201,'[1]Raw Data'!$A$3:$FB$285,106,FALSE)</f>
        <v>Deputy Chairman</v>
      </c>
      <c r="DB201" s="27" t="s">
        <v>879</v>
      </c>
      <c r="DC201" s="27" t="str">
        <f>VLOOKUP($A201,'[1]Raw Data'!$A$3:$FB$285,107,FALSE)</f>
        <v/>
      </c>
      <c r="DD201" s="27" t="str">
        <f>VLOOKUP($A201,'[1]Raw Data'!$A$3:$FB$285,109,FALSE)</f>
        <v/>
      </c>
      <c r="DF201" s="27" t="str">
        <f>VLOOKUP($A201,'[1]Raw Data'!$A$3:$FB$285,110,FALSE)</f>
        <v>Chief Adminstration Officer</v>
      </c>
      <c r="DG201" s="27" t="s">
        <v>880</v>
      </c>
      <c r="DH201" s="27">
        <f>VLOOKUP($A201,'[1]Raw Data'!$A$3:$FB$285,111,FALSE)</f>
        <v>9856063718</v>
      </c>
      <c r="DI201" s="27" t="str">
        <f>VLOOKUP($A201,'[1]Raw Data'!$A$3:$FB$285,121,FALSE)</f>
        <v>Regan Thapa</v>
      </c>
      <c r="DJ201" s="27" t="s">
        <v>1436</v>
      </c>
      <c r="DK201" s="27" t="str">
        <f>VLOOKUP($A201,'[1]Raw Data'!$A$3:$FB$285,122,FALSE)</f>
        <v>Focal Person</v>
      </c>
      <c r="DL201" s="27" t="s">
        <v>881</v>
      </c>
      <c r="DM201" s="27">
        <f>VLOOKUP($A201,'[1]Raw Data'!$A$3:$FB$285,123,FALSE)</f>
        <v>9856000075</v>
      </c>
      <c r="DN201" s="27" t="str">
        <f>VLOOKUP($A201,'[1]Raw Data'!$A$3:$FB$285,113,FALSE)</f>
        <v>Dipendra Kumar Rohita</v>
      </c>
      <c r="DO201" s="27" t="s">
        <v>1431</v>
      </c>
      <c r="DP201" s="27" t="str">
        <f>VLOOKUP($A201,'[1]Raw Data'!$A$3:$FB$285,114,FALSE)</f>
        <v>NRA Chief-District</v>
      </c>
      <c r="DQ201" s="27" t="s">
        <v>882</v>
      </c>
      <c r="DR201" s="27" t="str">
        <f>VLOOKUP($A201,'[1]Raw Data'!$A$3:$FB$285,115,FALSE)</f>
        <v/>
      </c>
      <c r="DS201" s="27" t="str">
        <f>VLOOKUP($A201,'[1]Raw Data'!$A$3:$FB$285,117,FALSE)</f>
        <v/>
      </c>
      <c r="DU201" s="27" t="str">
        <f>VLOOKUP($A201,'[1]Raw Data'!$A$3:$FB$285,118,FALSE)</f>
        <v>DUDBC.DLPIU Chief</v>
      </c>
      <c r="DV201" s="27" t="s">
        <v>883</v>
      </c>
      <c r="DW201" s="27" t="str">
        <f>VLOOKUP($A201,'[1]Raw Data'!$A$3:$FB$285,119,FALSE)</f>
        <v/>
      </c>
      <c r="DX201" s="27" t="s">
        <v>339</v>
      </c>
      <c r="DY201" s="27" t="str">
        <f>VLOOKUP($A201,'[1]Raw Data'!$A$3:$FB$285,124,FALSE)</f>
        <v/>
      </c>
      <c r="DZ201" s="27" t="s">
        <v>884</v>
      </c>
      <c r="EA201" s="27" t="str">
        <f>VLOOKUP($A201,'[1]Raw Data'!$A$3:$FB$285,125,FALSE)</f>
        <v/>
      </c>
      <c r="EB201" s="27" t="s">
        <v>341</v>
      </c>
      <c r="EC201" s="27" t="str">
        <f>VLOOKUP($A201,'[1]Raw Data'!$A$3:$FB$285,126,FALSE)</f>
        <v/>
      </c>
      <c r="ED201" t="s">
        <v>478</v>
      </c>
      <c r="EE201" s="27" t="str">
        <f>VLOOKUP($A201,'[1]Raw Data'!$A$3:$FB$285,127,FALSE)</f>
        <v/>
      </c>
      <c r="EF201" s="27" t="s">
        <v>343</v>
      </c>
      <c r="EG201" s="27" t="str">
        <f>VLOOKUP($A201,'[1]Raw Data'!$A$3:$FB$285,128,FALSE)</f>
        <v/>
      </c>
      <c r="EH201" t="s">
        <v>344</v>
      </c>
      <c r="EI201" s="27" t="str">
        <f>VLOOKUP($A201,'[1]Raw Data'!$A$3:$FB$285,129,FALSE)</f>
        <v/>
      </c>
      <c r="EM201" s="27" t="str">
        <f>VLOOKUP($A201,'[1]Raw Data'!$A$3:$FB$285,130,FALSE)</f>
        <v/>
      </c>
      <c r="EN201" s="27" t="str">
        <f>VLOOKUP($A201,'[1]Raw Data'!$A$3:$FB$285,131,FALSE)</f>
        <v/>
      </c>
      <c r="EO201" s="27" t="str">
        <f>VLOOKUP($A201,'[1]Raw Data'!$A$3:$FB$285,132,FALSE)</f>
        <v/>
      </c>
      <c r="EP201" s="27" t="str">
        <f>VLOOKUP($A201,'[1]Raw Data'!$A$3:$FB$285,133,FALSE)</f>
        <v/>
      </c>
      <c r="EQ201" s="27" t="str">
        <f>VLOOKUP($A201,'[1]Raw Data'!$A$3:$FB$285,134,FALSE)</f>
        <v/>
      </c>
      <c r="ER201" s="27" t="str">
        <f>VLOOKUP($A201,'[1]Raw Data'!$A$3:$FB$285,135,FALSE)</f>
        <v/>
      </c>
      <c r="ES201" s="27" t="str">
        <f>VLOOKUP($A201,'[1]Raw Data'!$A$3:$FB$285,136,FALSE)</f>
        <v/>
      </c>
      <c r="ET201" s="27" t="str">
        <f>VLOOKUP($A201,'[1]Raw Data'!$A$3:$FB$285,137,FALSE)</f>
        <v/>
      </c>
      <c r="EU201" s="27" t="str">
        <f>VLOOKUP($A201,'[1]Raw Data'!$A$3:$FB$285,138,FALSE)</f>
        <v/>
      </c>
      <c r="EV201" s="27" t="str">
        <f>VLOOKUP($A201,'[1]Raw Data'!$A$3:$FB$285,139,FALSE)</f>
        <v/>
      </c>
      <c r="EW201" s="38">
        <f>VLOOKUP($A201,[1]Training!$A$2:$I$284,5,FALSE)</f>
        <v>22.923076923076923</v>
      </c>
      <c r="EX201" s="31">
        <f>VLOOKUP($A201,[1]Training!$A$2:$I$284,6,FALSE)</f>
        <v>25</v>
      </c>
      <c r="EY201" s="38">
        <f>VLOOKUP($A201,[1]Training!$A$2:$I$284,8,FALSE)</f>
        <v>27.09090909090909</v>
      </c>
      <c r="EZ201" s="31">
        <f>VLOOKUP($A201,[1]Training!$A$2:$I$284,9,FALSE)</f>
        <v>0</v>
      </c>
      <c r="FA201" s="27">
        <v>1</v>
      </c>
      <c r="FB201" s="27">
        <v>2</v>
      </c>
      <c r="FC201" s="27" t="str">
        <f>VLOOKUP($A201,'[1]Raw Data'!$A$3:$FB$285,148,FALSE)</f>
        <v/>
      </c>
      <c r="FE201" s="27" t="str">
        <f>VLOOKUP($A201,'[1]Raw Data'!$A$3:$FB$285,149,FALSE)</f>
        <v>District Coordinator</v>
      </c>
      <c r="FF201" s="27" t="s">
        <v>885</v>
      </c>
      <c r="FG201" s="27" t="str">
        <f>VLOOKUP($A201,'[1]Raw Data'!$A$3:$FB$285,150,FALSE)</f>
        <v/>
      </c>
      <c r="FH201" s="27" t="str">
        <f>VLOOKUP($A201,'[1]Raw Data'!$A$3:$FB$285,156,FALSE)</f>
        <v/>
      </c>
      <c r="FJ201" s="27" t="str">
        <f>VLOOKUP($A201,'[1]Raw Data'!$A$3:$FB$285,157,FALSE)</f>
        <v>District Technical Officer</v>
      </c>
      <c r="FK201" s="27" t="s">
        <v>886</v>
      </c>
      <c r="FL201" s="27" t="str">
        <f>VLOOKUP($A201,'[1]Raw Data'!$A$3:$FB$285,158,FALSE)</f>
        <v/>
      </c>
      <c r="FM201" s="27" t="str">
        <f>VLOOKUP($A201,'[1]Raw Data'!$A$3:$FB$285,152,FALSE)</f>
        <v/>
      </c>
      <c r="FO201" s="27" t="str">
        <f>VLOOKUP($A201,'[1]Raw Data'!$A$3:$FB$285,153,FALSE)</f>
        <v>DIstrict Information Management Officer</v>
      </c>
      <c r="FP201" s="27" t="s">
        <v>887</v>
      </c>
      <c r="FQ201" s="27" t="str">
        <f>VLOOKUP($A201,'[1]Raw Data'!$A$3:$FB$285,154,FALSE)</f>
        <v/>
      </c>
    </row>
    <row r="202" spans="1:173" ht="24" x14ac:dyDescent="0.45">
      <c r="A202" s="27">
        <v>38008</v>
      </c>
      <c r="B202" s="36" t="str">
        <f ca="1">IFERROR(__xludf.DUMMYFUNCTION("""COMPUTED_VALUE"""),"Myagde Gaunpalika")</f>
        <v>Myagde Gaunpalika</v>
      </c>
      <c r="C202" s="37" t="str">
        <f>VLOOKUP(A202,'[1]Palika and District in Nepali '!$D$1:$F$283,3,FALSE)</f>
        <v>म्याग्दे गाउँपालिका</v>
      </c>
      <c r="D202" s="36" t="str">
        <f ca="1">IFERROR(__xludf.DUMMYFUNCTION("""COMPUTED_VALUE"""),"Tanahun")</f>
        <v>Tanahun</v>
      </c>
      <c r="E202" s="36"/>
      <c r="F202" s="27">
        <f>VLOOKUP(A202,'[1]Raw Data'!$A$3:$FB$285,4,FALSE)</f>
        <v>452</v>
      </c>
      <c r="G202" s="27">
        <f>VLOOKUP(A202,'[1]Raw Data'!$A$3:$FB$285,5,FALSE)</f>
        <v>1425</v>
      </c>
      <c r="H202" s="27">
        <f>VLOOKUP(A202,'[1]Raw Data'!$A$3:$FB$285,6,FALSE)</f>
        <v>1877</v>
      </c>
      <c r="I202" s="27">
        <f>VLOOKUP($A202,'[1]Raw Data'!$A$3:$FB$285,8,FALSE)</f>
        <v>1.81</v>
      </c>
      <c r="J202" s="27">
        <f>VLOOKUP($A202,'[1]Raw Data'!$A$3:$FB$285,9,FALSE)</f>
        <v>2.69</v>
      </c>
      <c r="K202" s="27">
        <f>VLOOKUP($A202,'[1]Raw Data'!$A$3:$FB$285,11,FALSE)</f>
        <v>93.02</v>
      </c>
      <c r="L202" s="27">
        <f>VLOOKUP($A202,'[1]Raw Data'!$A$3:$FB$285,12,FALSE)</f>
        <v>88.78</v>
      </c>
      <c r="M202" s="27">
        <f>VLOOKUP($A202,'[1]Raw Data'!$A$3:$FB$285,14,FALSE)</f>
        <v>2.2400000000000002</v>
      </c>
      <c r="N202" s="27">
        <f>VLOOKUP($A202,'[1]Raw Data'!$A$3:$FB$285,15,FALSE)</f>
        <v>3.44</v>
      </c>
      <c r="O202" s="27">
        <f>VLOOKUP($A202,'[1]Raw Data'!$A$3:$FB$285,17,FALSE)</f>
        <v>0.69</v>
      </c>
      <c r="P202" s="27">
        <f>VLOOKUP($A202,'[1]Raw Data'!$A$3:$FB$285,18,FALSE)</f>
        <v>1.46</v>
      </c>
      <c r="Q202" s="27">
        <f>VLOOKUP($A202,'[1]Raw Data'!$A$3:$FB$285,20,FALSE)</f>
        <v>1.86</v>
      </c>
      <c r="R202" s="27">
        <f>VLOOKUP($A202,'[1]Raw Data'!$A$3:$FB$285,21,FALSE)</f>
        <v>2.38</v>
      </c>
      <c r="S202" s="27">
        <f>VLOOKUP($A202,'[1]Raw Data'!$A$3:$FB$285,23,FALSE)</f>
        <v>0</v>
      </c>
      <c r="T202" s="27">
        <f>VLOOKUP($A202,'[1]Raw Data'!$A$3:$FB$285,24,FALSE)</f>
        <v>0</v>
      </c>
      <c r="U202" s="27">
        <f>VLOOKUP($A202,'[1]Raw Data'!$A$3:$FB$285,26,FALSE)</f>
        <v>0.05</v>
      </c>
      <c r="V202" s="27">
        <f>VLOOKUP($A202,'[1]Raw Data'!$A$3:$FB$285,27,FALSE)</f>
        <v>0.37</v>
      </c>
      <c r="W202" s="27">
        <f>VLOOKUP($A202,'[1]Raw Data'!$A$3:$FB$285,29,FALSE)</f>
        <v>0</v>
      </c>
      <c r="X202" s="27">
        <f>VLOOKUP($A202,'[1]Raw Data'!$A$3:$FB$285,30,FALSE)</f>
        <v>0</v>
      </c>
      <c r="Y202" s="27">
        <f>VLOOKUP($A202,'[1]Raw Data'!$A$3:$FB$285,32,FALSE)</f>
        <v>0.16</v>
      </c>
      <c r="Z202" s="27">
        <f>VLOOKUP($A202,'[1]Raw Data'!$A$3:$FB$285,33,FALSE)</f>
        <v>0.32</v>
      </c>
      <c r="AA202" s="27">
        <f>VLOOKUP($A202,'[1]Raw Data'!$A$3:$FB$285,35,FALSE)</f>
        <v>0.16</v>
      </c>
      <c r="AB202" s="27">
        <f>VLOOKUP($A202,'[1]Raw Data'!$A$3:$FB$285,36,FALSE)</f>
        <v>0.47</v>
      </c>
      <c r="AC202" s="27">
        <f>VLOOKUP($A202,'[1]Raw Data'!$A$3:$FB$285,38,FALSE)</f>
        <v>0</v>
      </c>
      <c r="AD202" s="27">
        <f>VLOOKUP($A202,'[1]Raw Data'!$A$3:$FB$285,39,FALSE)</f>
        <v>0.08</v>
      </c>
      <c r="AE202" s="27">
        <f>VLOOKUP($A202,'[1]Raw Data'!$A$3:$FB$285,41,FALSE)</f>
        <v>0</v>
      </c>
      <c r="AF202" s="27">
        <f>VLOOKUP($A202,'[1]Raw Data'!$A$3:$FB$285,42,FALSE)</f>
        <v>0</v>
      </c>
      <c r="AG202" s="27">
        <f>VLOOKUP($A202,'[1]Raw Data'!$A$3:$FB$285,44,FALSE)</f>
        <v>0</v>
      </c>
      <c r="AH202" s="27">
        <f>VLOOKUP($A202,'[1]Raw Data'!$A$3:$FB$285,45,FALSE)</f>
        <v>0</v>
      </c>
      <c r="AI202" s="27">
        <f>VLOOKUP($A202,'[1]Raw Data'!$A$3:$FB$285,46,FALSE)</f>
        <v>1336</v>
      </c>
      <c r="AJ202" s="27">
        <f>VLOOKUP($A202,'[1]Raw Data'!$A$3:$FB$285,47,FALSE)</f>
        <v>855</v>
      </c>
      <c r="AK202" s="27">
        <f>VLOOKUP($A202,'[1]Raw Data'!$A$3:$FB$285,48,FALSE)</f>
        <v>855</v>
      </c>
      <c r="AL202" s="27">
        <f>VLOOKUP($A202,'[1]Raw Data'!$A$3:$FB$285,49,FALSE)</f>
        <v>119</v>
      </c>
      <c r="AM202" s="27">
        <f>VLOOKUP($A202,'[1]Raw Data'!$A$3:$FB$285,50,FALSE)</f>
        <v>0</v>
      </c>
      <c r="AN202" s="27" t="str">
        <f>VLOOKUP($A202,'[1]Raw Data'!$A$3:$FB$285,51,FALSE)</f>
        <v/>
      </c>
      <c r="AO202" s="27" t="str">
        <f>VLOOKUP($A202,'[1]Raw Data'!$A$3:$FB$285,52,FALSE)</f>
        <v/>
      </c>
      <c r="AP202" s="27">
        <f>VLOOKUP($A202,'[1]Raw Data'!$A$3:$FB$285,53,FALSE)</f>
        <v>38</v>
      </c>
      <c r="AQ202" s="27" t="str">
        <f>VLOOKUP($A202,'[1]Raw Data'!$A$3:$FB$285,54,FALSE)</f>
        <v/>
      </c>
      <c r="AR202" s="27" t="str">
        <f>VLOOKUP($A202,'[1]Raw Data'!$A$3:$FB$285,55,FALSE)</f>
        <v/>
      </c>
      <c r="AS202" s="27" t="str">
        <f>VLOOKUP($A202,'[1]Raw Data'!$A$3:$FB$285,56,FALSE)</f>
        <v/>
      </c>
      <c r="AT202" s="27" t="str">
        <f>VLOOKUP($A202,'[1]Raw Data'!$A$3:$FB$285,57,FALSE)</f>
        <v/>
      </c>
      <c r="AU202" s="27" t="str">
        <f>VLOOKUP($A202,'[1]Raw Data'!$A$3:$FB$285,58,FALSE)</f>
        <v/>
      </c>
      <c r="AV202" s="27" t="str">
        <f>VLOOKUP($A202,'[1]Raw Data'!$A$3:$FB$285,59,FALSE)</f>
        <v/>
      </c>
      <c r="AW202" s="27" t="str">
        <f>VLOOKUP($A202,'[1]Raw Data'!$A$3:$FB$285,60,FALSE)</f>
        <v/>
      </c>
      <c r="AX202" s="27" t="str">
        <f>VLOOKUP(A202,'[1]PO''s List'!A200:E482,4,FALSE)</f>
        <v/>
      </c>
      <c r="AZ202" s="27" t="str">
        <f>VLOOKUP(A202,'[1]PO''s List'!$A$3:$E$285,5,FALSE)</f>
        <v/>
      </c>
      <c r="BB202" s="27">
        <f>VLOOKUP($A202,'[1]Raw Data'!$A$3:$FB$285,63,FALSE)</f>
        <v>24875</v>
      </c>
      <c r="BC202" s="27" t="str">
        <f>VLOOKUP($A202,'[1]Raw Data'!$A$3:$FB$285,64,FALSE)</f>
        <v/>
      </c>
      <c r="BD202" s="27" t="str">
        <f t="shared" si="27"/>
        <v/>
      </c>
      <c r="BE202" s="27" t="str">
        <f>VLOOKUP($A202,'[1]Raw Data'!$A$3:$FB$285,65,FALSE)</f>
        <v/>
      </c>
      <c r="BF202" s="27">
        <f>VLOOKUP($A202,'[1]Raw Data'!$A$3:$FB$285,66,FALSE)</f>
        <v>25092</v>
      </c>
      <c r="BG202" s="27" t="str">
        <f>VLOOKUP($A202,'[1]Raw Data'!$A$3:$FB$285,67,FALSE)</f>
        <v/>
      </c>
      <c r="BH202" s="27" t="str">
        <f t="shared" si="28"/>
        <v/>
      </c>
      <c r="BI202" s="27" t="str">
        <f>VLOOKUP($A202,'[1]Raw Data'!$A$3:$FB$285,68,FALSE)</f>
        <v/>
      </c>
      <c r="BJ202" s="27">
        <f>VLOOKUP($A202,'[1]Raw Data'!$A$3:$FB$285,69,FALSE)</f>
        <v>2653</v>
      </c>
      <c r="BK202" s="27" t="str">
        <f>VLOOKUP($A202,'[1]Raw Data'!$A$3:$FB$285,70,FALSE)</f>
        <v/>
      </c>
      <c r="BL202" s="27" t="str">
        <f t="shared" si="29"/>
        <v/>
      </c>
      <c r="BM202" s="27" t="str">
        <f>VLOOKUP($A202,'[1]Raw Data'!$A$3:$FB$285,71,FALSE)</f>
        <v/>
      </c>
      <c r="BN202" s="27">
        <f>VLOOKUP($A202,'[1]Raw Data'!$A$3:$FB$285,72,FALSE)</f>
        <v>3048</v>
      </c>
      <c r="BO202" s="27" t="str">
        <f>VLOOKUP($A202,'[1]Raw Data'!$A$3:$FB$285,73,FALSE)</f>
        <v/>
      </c>
      <c r="BP202" s="27" t="str">
        <f t="shared" si="30"/>
        <v/>
      </c>
      <c r="BQ202" s="27" t="str">
        <f>VLOOKUP($A202,'[1]Raw Data'!$A$3:$FB$285,74,FALSE)</f>
        <v/>
      </c>
      <c r="BR202" s="27" t="str">
        <f>VLOOKUP($A202,'[1]Raw Data'!$A$3:$FB$285,75,FALSE)</f>
        <v/>
      </c>
      <c r="BS202" s="27" t="str">
        <f>VLOOKUP($A202,'[1]Raw Data'!$A$3:$FB$285,76,FALSE)</f>
        <v/>
      </c>
      <c r="BT202" s="27" t="str">
        <f t="shared" si="31"/>
        <v/>
      </c>
      <c r="BU202" s="27" t="str">
        <f>VLOOKUP($A202,'[1]Raw Data'!$A$3:$FB$285,77,FALSE)</f>
        <v/>
      </c>
      <c r="BV202" s="27">
        <f>VLOOKUP($A202,'[1]Raw Data'!$A$3:$FB$285,78,FALSE)</f>
        <v>83482</v>
      </c>
      <c r="BW202" s="27" t="str">
        <f>VLOOKUP($A202,'[1]Raw Data'!$A$3:$FB$285,79,FALSE)</f>
        <v/>
      </c>
      <c r="BX202" s="27" t="str">
        <f t="shared" si="32"/>
        <v/>
      </c>
      <c r="BY202" s="27" t="str">
        <f>VLOOKUP($A202,'[1]Raw Data'!$A$3:$FB$285,80,FALSE)</f>
        <v/>
      </c>
      <c r="BZ202" s="27">
        <f>VLOOKUP($A202,'[1]Raw Data'!$A$3:$FB$285,81,FALSE)</f>
        <v>270660</v>
      </c>
      <c r="CA202" s="27" t="str">
        <f>VLOOKUP($A202,'[1]Raw Data'!$A$3:$FB$285,82,FALSE)</f>
        <v/>
      </c>
      <c r="CB202" s="27" t="str">
        <f t="shared" si="33"/>
        <v/>
      </c>
      <c r="CC202" s="27" t="str">
        <f>VLOOKUP($A202,'[1]Raw Data'!$A$3:$FB$285,83,FALSE)</f>
        <v/>
      </c>
      <c r="CD202" s="27">
        <f>VLOOKUP($A202,'[1]Raw Data'!$A$3:$FB$285,84,FALSE)</f>
        <v>3413</v>
      </c>
      <c r="CE202" s="27" t="str">
        <f>VLOOKUP($A202,'[1]Raw Data'!$A$3:$FB$285,85,FALSE)</f>
        <v/>
      </c>
      <c r="CF202" s="27" t="str">
        <f t="shared" si="34"/>
        <v/>
      </c>
      <c r="CG202" s="27" t="str">
        <f>VLOOKUP($A202,'[1]Raw Data'!$A$3:$FB$285,86,FALSE)</f>
        <v/>
      </c>
      <c r="CH202" s="27">
        <f>VLOOKUP($A202,'[1]Raw Data'!$A$3:$FB$285,87,FALSE)</f>
        <v>318872</v>
      </c>
      <c r="CI202" s="27" t="str">
        <f>VLOOKUP($A202,'[1]Raw Data'!$A$3:$FB$285,88,FALSE)</f>
        <v/>
      </c>
      <c r="CJ202" s="27" t="str">
        <f t="shared" si="35"/>
        <v/>
      </c>
      <c r="CK202" s="27" t="str">
        <f>VLOOKUP($A202,'[1]Raw Data'!$A$3:$FB$285,89,FALSE)</f>
        <v/>
      </c>
      <c r="CL202" s="27" t="str">
        <f>VLOOKUP($A202,'[1]Raw Data'!$A$3:$FB$285,91,FALSE)</f>
        <v/>
      </c>
      <c r="CM202" s="27" t="str">
        <f>VLOOKUP($A202,'[1]Raw Data'!$A$3:$FB$285,93,FALSE)</f>
        <v/>
      </c>
      <c r="CN202" s="27" t="str">
        <f>VLOOKUP($A202,'[1]Raw Data'!$A$3:$FB$285,94,FALSE)</f>
        <v/>
      </c>
      <c r="CO202" s="27" t="str">
        <f>VLOOKUP($A202,'[1]Raw Data'!$A$3:$FB$285,95,FALSE)</f>
        <v/>
      </c>
      <c r="CP202" s="27" t="str">
        <f>VLOOKUP($A202,'[1]Raw Data'!$A$3:$FB$285,96,FALSE)</f>
        <v/>
      </c>
      <c r="CQ202" s="27" t="str">
        <f>VLOOKUP($A202,'[1]Raw Data'!$A$3:$FB$285,97,FALSE)</f>
        <v/>
      </c>
      <c r="CR202" s="27" t="str">
        <f>VLOOKUP($A202,'[1]Raw Data'!$A$3:$FB$285,98,FALSE)</f>
        <v/>
      </c>
      <c r="CS202" s="27" t="str">
        <f>VLOOKUP($A202,'[1]Raw Data'!$A$3:$FB$285,99,FALSE)</f>
        <v/>
      </c>
      <c r="CT202" s="27" t="str">
        <f>VLOOKUP($A202,'[1]Raw Data'!$A$3:$FB$285,101,FALSE)</f>
        <v/>
      </c>
      <c r="CV202" s="27" t="str">
        <f>VLOOKUP($A202,'[1]Raw Data'!$A$3:$FB$285,102,FALSE)</f>
        <v>Chairman</v>
      </c>
      <c r="CW202" s="27" t="s">
        <v>878</v>
      </c>
      <c r="CX202" s="27" t="str">
        <f>VLOOKUP($A202,'[1]Raw Data'!$A$3:$FB$285,103,FALSE)</f>
        <v/>
      </c>
      <c r="CY202" s="27" t="str">
        <f>VLOOKUP($A202,'[1]Raw Data'!$A$3:$FB$285,105,FALSE)</f>
        <v/>
      </c>
      <c r="DA202" s="27" t="str">
        <f>VLOOKUP($A202,'[1]Raw Data'!$A$3:$FB$285,106,FALSE)</f>
        <v>Deputy Chairman</v>
      </c>
      <c r="DB202" s="27" t="s">
        <v>879</v>
      </c>
      <c r="DC202" s="27" t="str">
        <f>VLOOKUP($A202,'[1]Raw Data'!$A$3:$FB$285,107,FALSE)</f>
        <v/>
      </c>
      <c r="DD202" s="27" t="str">
        <f>VLOOKUP($A202,'[1]Raw Data'!$A$3:$FB$285,109,FALSE)</f>
        <v/>
      </c>
      <c r="DF202" s="27" t="str">
        <f>VLOOKUP($A202,'[1]Raw Data'!$A$3:$FB$285,110,FALSE)</f>
        <v>Chief Adminstration Officer</v>
      </c>
      <c r="DG202" s="27" t="s">
        <v>880</v>
      </c>
      <c r="DH202" s="27">
        <f>VLOOKUP($A202,'[1]Raw Data'!$A$3:$FB$285,111,FALSE)</f>
        <v>9856063718</v>
      </c>
      <c r="DI202" s="27" t="str">
        <f>VLOOKUP($A202,'[1]Raw Data'!$A$3:$FB$285,121,FALSE)</f>
        <v>Pujan Shrestha</v>
      </c>
      <c r="DJ202" s="27" t="s">
        <v>1437</v>
      </c>
      <c r="DK202" s="27" t="str">
        <f>VLOOKUP($A202,'[1]Raw Data'!$A$3:$FB$285,122,FALSE)</f>
        <v>Focal Person</v>
      </c>
      <c r="DL202" s="27" t="s">
        <v>881</v>
      </c>
      <c r="DM202" s="27">
        <f>VLOOKUP($A202,'[1]Raw Data'!$A$3:$FB$285,123,FALSE)</f>
        <v>9841392912</v>
      </c>
      <c r="DN202" s="27" t="str">
        <f>VLOOKUP($A202,'[1]Raw Data'!$A$3:$FB$285,113,FALSE)</f>
        <v>Dipendra Kumar Rohita</v>
      </c>
      <c r="DO202" s="27" t="s">
        <v>1431</v>
      </c>
      <c r="DP202" s="27" t="str">
        <f>VLOOKUP($A202,'[1]Raw Data'!$A$3:$FB$285,114,FALSE)</f>
        <v>NRA Chief-District</v>
      </c>
      <c r="DQ202" s="27" t="s">
        <v>882</v>
      </c>
      <c r="DR202" s="27" t="str">
        <f>VLOOKUP($A202,'[1]Raw Data'!$A$3:$FB$285,115,FALSE)</f>
        <v/>
      </c>
      <c r="DS202" s="27" t="str">
        <f>VLOOKUP($A202,'[1]Raw Data'!$A$3:$FB$285,117,FALSE)</f>
        <v/>
      </c>
      <c r="DU202" s="27" t="str">
        <f>VLOOKUP($A202,'[1]Raw Data'!$A$3:$FB$285,118,FALSE)</f>
        <v>DUDBC.DLPIU Chief</v>
      </c>
      <c r="DV202" s="27" t="s">
        <v>883</v>
      </c>
      <c r="DW202" s="27" t="str">
        <f>VLOOKUP($A202,'[1]Raw Data'!$A$3:$FB$285,119,FALSE)</f>
        <v/>
      </c>
      <c r="DX202" s="27" t="s">
        <v>339</v>
      </c>
      <c r="DY202" s="27" t="str">
        <f>VLOOKUP($A202,'[1]Raw Data'!$A$3:$FB$285,124,FALSE)</f>
        <v/>
      </c>
      <c r="DZ202" s="27" t="s">
        <v>884</v>
      </c>
      <c r="EA202" s="27" t="str">
        <f>VLOOKUP($A202,'[1]Raw Data'!$A$3:$FB$285,125,FALSE)</f>
        <v/>
      </c>
      <c r="EB202" s="27" t="s">
        <v>341</v>
      </c>
      <c r="EC202" s="27" t="str">
        <f>VLOOKUP($A202,'[1]Raw Data'!$A$3:$FB$285,126,FALSE)</f>
        <v/>
      </c>
      <c r="ED202" t="s">
        <v>478</v>
      </c>
      <c r="EE202" s="27" t="str">
        <f>VLOOKUP($A202,'[1]Raw Data'!$A$3:$FB$285,127,FALSE)</f>
        <v/>
      </c>
      <c r="EF202" s="27" t="s">
        <v>343</v>
      </c>
      <c r="EG202" s="27" t="str">
        <f>VLOOKUP($A202,'[1]Raw Data'!$A$3:$FB$285,128,FALSE)</f>
        <v/>
      </c>
      <c r="EH202" t="s">
        <v>344</v>
      </c>
      <c r="EI202" s="27" t="str">
        <f>VLOOKUP($A202,'[1]Raw Data'!$A$3:$FB$285,129,FALSE)</f>
        <v/>
      </c>
      <c r="EM202" s="27" t="str">
        <f>VLOOKUP($A202,'[1]Raw Data'!$A$3:$FB$285,130,FALSE)</f>
        <v/>
      </c>
      <c r="EN202" s="27" t="str">
        <f>VLOOKUP($A202,'[1]Raw Data'!$A$3:$FB$285,131,FALSE)</f>
        <v/>
      </c>
      <c r="EO202" s="27" t="str">
        <f>VLOOKUP($A202,'[1]Raw Data'!$A$3:$FB$285,132,FALSE)</f>
        <v/>
      </c>
      <c r="EP202" s="27" t="str">
        <f>VLOOKUP($A202,'[1]Raw Data'!$A$3:$FB$285,133,FALSE)</f>
        <v/>
      </c>
      <c r="EQ202" s="27" t="str">
        <f>VLOOKUP($A202,'[1]Raw Data'!$A$3:$FB$285,134,FALSE)</f>
        <v/>
      </c>
      <c r="ER202" s="27" t="str">
        <f>VLOOKUP($A202,'[1]Raw Data'!$A$3:$FB$285,135,FALSE)</f>
        <v/>
      </c>
      <c r="ES202" s="27" t="str">
        <f>VLOOKUP($A202,'[1]Raw Data'!$A$3:$FB$285,136,FALSE)</f>
        <v/>
      </c>
      <c r="ET202" s="27" t="str">
        <f>VLOOKUP($A202,'[1]Raw Data'!$A$3:$FB$285,137,FALSE)</f>
        <v/>
      </c>
      <c r="EU202" s="27" t="str">
        <f>VLOOKUP($A202,'[1]Raw Data'!$A$3:$FB$285,138,FALSE)</f>
        <v/>
      </c>
      <c r="EV202" s="27" t="str">
        <f>VLOOKUP($A202,'[1]Raw Data'!$A$3:$FB$285,139,FALSE)</f>
        <v/>
      </c>
      <c r="EW202" s="38">
        <f>VLOOKUP($A202,[1]Training!$A$2:$I$284,5,FALSE)</f>
        <v>102.76923076923077</v>
      </c>
      <c r="EX202" s="31">
        <f>VLOOKUP($A202,[1]Training!$A$2:$I$284,6,FALSE)</f>
        <v>55</v>
      </c>
      <c r="EY202" s="38">
        <f>VLOOKUP($A202,[1]Training!$A$2:$I$284,8,FALSE)</f>
        <v>121.45454545454545</v>
      </c>
      <c r="EZ202" s="31">
        <f>VLOOKUP($A202,[1]Training!$A$2:$I$284,9,FALSE)</f>
        <v>0</v>
      </c>
      <c r="FA202" s="27">
        <v>1</v>
      </c>
      <c r="FB202" s="27">
        <v>2</v>
      </c>
      <c r="FC202" s="27" t="str">
        <f>VLOOKUP($A202,'[1]Raw Data'!$A$3:$FB$285,148,FALSE)</f>
        <v/>
      </c>
      <c r="FE202" s="27" t="str">
        <f>VLOOKUP($A202,'[1]Raw Data'!$A$3:$FB$285,149,FALSE)</f>
        <v>District Coordinator</v>
      </c>
      <c r="FF202" s="27" t="s">
        <v>885</v>
      </c>
      <c r="FG202" s="27" t="str">
        <f>VLOOKUP($A202,'[1]Raw Data'!$A$3:$FB$285,150,FALSE)</f>
        <v/>
      </c>
      <c r="FH202" s="27" t="str">
        <f>VLOOKUP($A202,'[1]Raw Data'!$A$3:$FB$285,156,FALSE)</f>
        <v/>
      </c>
      <c r="FJ202" s="27" t="str">
        <f>VLOOKUP($A202,'[1]Raw Data'!$A$3:$FB$285,157,FALSE)</f>
        <v>District Technical Officer</v>
      </c>
      <c r="FK202" s="27" t="s">
        <v>886</v>
      </c>
      <c r="FL202" s="27" t="str">
        <f>VLOOKUP($A202,'[1]Raw Data'!$A$3:$FB$285,158,FALSE)</f>
        <v/>
      </c>
      <c r="FM202" s="27" t="str">
        <f>VLOOKUP($A202,'[1]Raw Data'!$A$3:$FB$285,152,FALSE)</f>
        <v/>
      </c>
      <c r="FO202" s="27" t="str">
        <f>VLOOKUP($A202,'[1]Raw Data'!$A$3:$FB$285,153,FALSE)</f>
        <v>DIstrict Information Management Officer</v>
      </c>
      <c r="FP202" s="27" t="s">
        <v>887</v>
      </c>
      <c r="FQ202" s="27" t="str">
        <f>VLOOKUP($A202,'[1]Raw Data'!$A$3:$FB$285,154,FALSE)</f>
        <v/>
      </c>
    </row>
    <row r="203" spans="1:173" ht="24" x14ac:dyDescent="0.45">
      <c r="A203" s="27">
        <v>38009</v>
      </c>
      <c r="B203" s="36" t="str">
        <f ca="1">IFERROR(__xludf.DUMMYFUNCTION("""COMPUTED_VALUE"""),"Rhishing Gaunpalika")</f>
        <v>Rhishing Gaunpalika</v>
      </c>
      <c r="C203" s="37" t="str">
        <f>VLOOKUP(A203,'[1]Palika and District in Nepali '!$D$1:$F$283,3,FALSE)</f>
        <v>रिसिंङ गाउँपालिका</v>
      </c>
      <c r="D203" s="36" t="str">
        <f ca="1">IFERROR(__xludf.DUMMYFUNCTION("""COMPUTED_VALUE"""),"Tanahun")</f>
        <v>Tanahun</v>
      </c>
      <c r="E203" s="36"/>
      <c r="F203" s="27">
        <f>VLOOKUP(A203,'[1]Raw Data'!$A$3:$FB$285,4,FALSE)</f>
        <v>1162</v>
      </c>
      <c r="G203" s="27">
        <f>VLOOKUP(A203,'[1]Raw Data'!$A$3:$FB$285,5,FALSE)</f>
        <v>609</v>
      </c>
      <c r="H203" s="27">
        <f>VLOOKUP(A203,'[1]Raw Data'!$A$3:$FB$285,6,FALSE)</f>
        <v>1771</v>
      </c>
      <c r="I203" s="27">
        <f>VLOOKUP($A203,'[1]Raw Data'!$A$3:$FB$285,8,FALSE)</f>
        <v>0.28000000000000003</v>
      </c>
      <c r="J203" s="27">
        <f>VLOOKUP($A203,'[1]Raw Data'!$A$3:$FB$285,9,FALSE)</f>
        <v>2.69</v>
      </c>
      <c r="K203" s="27">
        <f>VLOOKUP($A203,'[1]Raw Data'!$A$3:$FB$285,11,FALSE)</f>
        <v>96.89</v>
      </c>
      <c r="L203" s="27">
        <f>VLOOKUP($A203,'[1]Raw Data'!$A$3:$FB$285,12,FALSE)</f>
        <v>88.78</v>
      </c>
      <c r="M203" s="27">
        <f>VLOOKUP($A203,'[1]Raw Data'!$A$3:$FB$285,14,FALSE)</f>
        <v>1.41</v>
      </c>
      <c r="N203" s="27">
        <f>VLOOKUP($A203,'[1]Raw Data'!$A$3:$FB$285,15,FALSE)</f>
        <v>3.44</v>
      </c>
      <c r="O203" s="27">
        <f>VLOOKUP($A203,'[1]Raw Data'!$A$3:$FB$285,17,FALSE)</f>
        <v>0.28000000000000003</v>
      </c>
      <c r="P203" s="27">
        <f>VLOOKUP($A203,'[1]Raw Data'!$A$3:$FB$285,18,FALSE)</f>
        <v>1.46</v>
      </c>
      <c r="Q203" s="27">
        <f>VLOOKUP($A203,'[1]Raw Data'!$A$3:$FB$285,20,FALSE)</f>
        <v>0.4</v>
      </c>
      <c r="R203" s="27">
        <f>VLOOKUP($A203,'[1]Raw Data'!$A$3:$FB$285,21,FALSE)</f>
        <v>2.38</v>
      </c>
      <c r="S203" s="27">
        <f>VLOOKUP($A203,'[1]Raw Data'!$A$3:$FB$285,23,FALSE)</f>
        <v>0</v>
      </c>
      <c r="T203" s="27">
        <f>VLOOKUP($A203,'[1]Raw Data'!$A$3:$FB$285,24,FALSE)</f>
        <v>0</v>
      </c>
      <c r="U203" s="27">
        <f>VLOOKUP($A203,'[1]Raw Data'!$A$3:$FB$285,26,FALSE)</f>
        <v>0.23</v>
      </c>
      <c r="V203" s="27">
        <f>VLOOKUP($A203,'[1]Raw Data'!$A$3:$FB$285,27,FALSE)</f>
        <v>0.37</v>
      </c>
      <c r="W203" s="27">
        <f>VLOOKUP($A203,'[1]Raw Data'!$A$3:$FB$285,29,FALSE)</f>
        <v>0</v>
      </c>
      <c r="X203" s="27">
        <f>VLOOKUP($A203,'[1]Raw Data'!$A$3:$FB$285,30,FALSE)</f>
        <v>0</v>
      </c>
      <c r="Y203" s="27">
        <f>VLOOKUP($A203,'[1]Raw Data'!$A$3:$FB$285,32,FALSE)</f>
        <v>0</v>
      </c>
      <c r="Z203" s="27">
        <f>VLOOKUP($A203,'[1]Raw Data'!$A$3:$FB$285,33,FALSE)</f>
        <v>0.32</v>
      </c>
      <c r="AA203" s="27">
        <f>VLOOKUP($A203,'[1]Raw Data'!$A$3:$FB$285,35,FALSE)</f>
        <v>0.23</v>
      </c>
      <c r="AB203" s="27">
        <f>VLOOKUP($A203,'[1]Raw Data'!$A$3:$FB$285,36,FALSE)</f>
        <v>0.47</v>
      </c>
      <c r="AC203" s="27">
        <f>VLOOKUP($A203,'[1]Raw Data'!$A$3:$FB$285,38,FALSE)</f>
        <v>0.28000000000000003</v>
      </c>
      <c r="AD203" s="27">
        <f>VLOOKUP($A203,'[1]Raw Data'!$A$3:$FB$285,39,FALSE)</f>
        <v>0.08</v>
      </c>
      <c r="AE203" s="27">
        <f>VLOOKUP($A203,'[1]Raw Data'!$A$3:$FB$285,41,FALSE)</f>
        <v>0</v>
      </c>
      <c r="AF203" s="27">
        <f>VLOOKUP($A203,'[1]Raw Data'!$A$3:$FB$285,42,FALSE)</f>
        <v>0</v>
      </c>
      <c r="AG203" s="27">
        <f>VLOOKUP($A203,'[1]Raw Data'!$A$3:$FB$285,44,FALSE)</f>
        <v>0</v>
      </c>
      <c r="AH203" s="27">
        <f>VLOOKUP($A203,'[1]Raw Data'!$A$3:$FB$285,45,FALSE)</f>
        <v>0</v>
      </c>
      <c r="AI203" s="27">
        <f>VLOOKUP($A203,'[1]Raw Data'!$A$3:$FB$285,46,FALSE)</f>
        <v>531</v>
      </c>
      <c r="AJ203" s="27">
        <f>VLOOKUP($A203,'[1]Raw Data'!$A$3:$FB$285,47,FALSE)</f>
        <v>545</v>
      </c>
      <c r="AK203" s="27">
        <f>VLOOKUP($A203,'[1]Raw Data'!$A$3:$FB$285,48,FALSE)</f>
        <v>545</v>
      </c>
      <c r="AL203" s="27">
        <f>VLOOKUP($A203,'[1]Raw Data'!$A$3:$FB$285,49,FALSE)</f>
        <v>52</v>
      </c>
      <c r="AM203" s="27">
        <f>VLOOKUP($A203,'[1]Raw Data'!$A$3:$FB$285,50,FALSE)</f>
        <v>0</v>
      </c>
      <c r="AN203" s="27" t="str">
        <f>VLOOKUP($A203,'[1]Raw Data'!$A$3:$FB$285,51,FALSE)</f>
        <v/>
      </c>
      <c r="AO203" s="27" t="str">
        <f>VLOOKUP($A203,'[1]Raw Data'!$A$3:$FB$285,52,FALSE)</f>
        <v/>
      </c>
      <c r="AP203" s="27">
        <f>VLOOKUP($A203,'[1]Raw Data'!$A$3:$FB$285,53,FALSE)</f>
        <v>36</v>
      </c>
      <c r="AQ203" s="27" t="str">
        <f>VLOOKUP($A203,'[1]Raw Data'!$A$3:$FB$285,54,FALSE)</f>
        <v/>
      </c>
      <c r="AR203" s="27" t="str">
        <f>VLOOKUP($A203,'[1]Raw Data'!$A$3:$FB$285,55,FALSE)</f>
        <v/>
      </c>
      <c r="AS203" s="27" t="str">
        <f>VLOOKUP($A203,'[1]Raw Data'!$A$3:$FB$285,56,FALSE)</f>
        <v/>
      </c>
      <c r="AT203" s="27" t="str">
        <f>VLOOKUP($A203,'[1]Raw Data'!$A$3:$FB$285,57,FALSE)</f>
        <v/>
      </c>
      <c r="AU203" s="27" t="str">
        <f>VLOOKUP($A203,'[1]Raw Data'!$A$3:$FB$285,58,FALSE)</f>
        <v/>
      </c>
      <c r="AV203" s="27" t="str">
        <f>VLOOKUP($A203,'[1]Raw Data'!$A$3:$FB$285,59,FALSE)</f>
        <v/>
      </c>
      <c r="AW203" s="27" t="str">
        <f>VLOOKUP($A203,'[1]Raw Data'!$A$3:$FB$285,60,FALSE)</f>
        <v/>
      </c>
      <c r="AX203" s="27" t="str">
        <f>VLOOKUP(A203,'[1]PO''s List'!A201:E483,4,FALSE)</f>
        <v/>
      </c>
      <c r="AZ203" s="27" t="str">
        <f>VLOOKUP(A203,'[1]PO''s List'!$A$3:$E$285,5,FALSE)</f>
        <v/>
      </c>
      <c r="BB203" s="27">
        <f>VLOOKUP($A203,'[1]Raw Data'!$A$3:$FB$285,63,FALSE)</f>
        <v>16243</v>
      </c>
      <c r="BC203" s="27" t="str">
        <f>VLOOKUP($A203,'[1]Raw Data'!$A$3:$FB$285,64,FALSE)</f>
        <v/>
      </c>
      <c r="BD203" s="27" t="str">
        <f t="shared" si="27"/>
        <v/>
      </c>
      <c r="BE203" s="27" t="str">
        <f>VLOOKUP($A203,'[1]Raw Data'!$A$3:$FB$285,65,FALSE)</f>
        <v/>
      </c>
      <c r="BF203" s="27">
        <f>VLOOKUP($A203,'[1]Raw Data'!$A$3:$FB$285,66,FALSE)</f>
        <v>15735</v>
      </c>
      <c r="BG203" s="27" t="str">
        <f>VLOOKUP($A203,'[1]Raw Data'!$A$3:$FB$285,67,FALSE)</f>
        <v/>
      </c>
      <c r="BH203" s="27" t="str">
        <f t="shared" si="28"/>
        <v/>
      </c>
      <c r="BI203" s="27" t="str">
        <f>VLOOKUP($A203,'[1]Raw Data'!$A$3:$FB$285,68,FALSE)</f>
        <v/>
      </c>
      <c r="BJ203" s="27">
        <f>VLOOKUP($A203,'[1]Raw Data'!$A$3:$FB$285,69,FALSE)</f>
        <v>1727</v>
      </c>
      <c r="BK203" s="27" t="str">
        <f>VLOOKUP($A203,'[1]Raw Data'!$A$3:$FB$285,70,FALSE)</f>
        <v/>
      </c>
      <c r="BL203" s="27" t="str">
        <f t="shared" si="29"/>
        <v/>
      </c>
      <c r="BM203" s="27" t="str">
        <f>VLOOKUP($A203,'[1]Raw Data'!$A$3:$FB$285,71,FALSE)</f>
        <v/>
      </c>
      <c r="BN203" s="27">
        <f>VLOOKUP($A203,'[1]Raw Data'!$A$3:$FB$285,72,FALSE)</f>
        <v>1965</v>
      </c>
      <c r="BO203" s="27" t="str">
        <f>VLOOKUP($A203,'[1]Raw Data'!$A$3:$FB$285,73,FALSE)</f>
        <v/>
      </c>
      <c r="BP203" s="27" t="str">
        <f t="shared" si="30"/>
        <v/>
      </c>
      <c r="BQ203" s="27" t="str">
        <f>VLOOKUP($A203,'[1]Raw Data'!$A$3:$FB$285,74,FALSE)</f>
        <v/>
      </c>
      <c r="BR203" s="27" t="str">
        <f>VLOOKUP($A203,'[1]Raw Data'!$A$3:$FB$285,75,FALSE)</f>
        <v/>
      </c>
      <c r="BS203" s="27" t="str">
        <f>VLOOKUP($A203,'[1]Raw Data'!$A$3:$FB$285,76,FALSE)</f>
        <v/>
      </c>
      <c r="BT203" s="27" t="str">
        <f t="shared" si="31"/>
        <v/>
      </c>
      <c r="BU203" s="27" t="str">
        <f>VLOOKUP($A203,'[1]Raw Data'!$A$3:$FB$285,77,FALSE)</f>
        <v/>
      </c>
      <c r="BV203" s="27">
        <f>VLOOKUP($A203,'[1]Raw Data'!$A$3:$FB$285,78,FALSE)</f>
        <v>53084</v>
      </c>
      <c r="BW203" s="27" t="str">
        <f>VLOOKUP($A203,'[1]Raw Data'!$A$3:$FB$285,79,FALSE)</f>
        <v/>
      </c>
      <c r="BX203" s="27" t="str">
        <f t="shared" si="32"/>
        <v/>
      </c>
      <c r="BY203" s="27" t="str">
        <f>VLOOKUP($A203,'[1]Raw Data'!$A$3:$FB$285,80,FALSE)</f>
        <v/>
      </c>
      <c r="BZ203" s="27">
        <f>VLOOKUP($A203,'[1]Raw Data'!$A$3:$FB$285,81,FALSE)</f>
        <v>178534</v>
      </c>
      <c r="CA203" s="27" t="str">
        <f>VLOOKUP($A203,'[1]Raw Data'!$A$3:$FB$285,82,FALSE)</f>
        <v/>
      </c>
      <c r="CB203" s="27" t="str">
        <f t="shared" si="33"/>
        <v/>
      </c>
      <c r="CC203" s="27" t="str">
        <f>VLOOKUP($A203,'[1]Raw Data'!$A$3:$FB$285,83,FALSE)</f>
        <v/>
      </c>
      <c r="CD203" s="27">
        <f>VLOOKUP($A203,'[1]Raw Data'!$A$3:$FB$285,84,FALSE)</f>
        <v>2173</v>
      </c>
      <c r="CE203" s="27" t="str">
        <f>VLOOKUP($A203,'[1]Raw Data'!$A$3:$FB$285,85,FALSE)</f>
        <v/>
      </c>
      <c r="CF203" s="27" t="str">
        <f t="shared" si="34"/>
        <v/>
      </c>
      <c r="CG203" s="27" t="str">
        <f>VLOOKUP($A203,'[1]Raw Data'!$A$3:$FB$285,86,FALSE)</f>
        <v/>
      </c>
      <c r="CH203" s="27">
        <f>VLOOKUP($A203,'[1]Raw Data'!$A$3:$FB$285,87,FALSE)</f>
        <v>350430</v>
      </c>
      <c r="CI203" s="27" t="str">
        <f>VLOOKUP($A203,'[1]Raw Data'!$A$3:$FB$285,88,FALSE)</f>
        <v/>
      </c>
      <c r="CJ203" s="27" t="str">
        <f t="shared" si="35"/>
        <v/>
      </c>
      <c r="CK203" s="27" t="str">
        <f>VLOOKUP($A203,'[1]Raw Data'!$A$3:$FB$285,89,FALSE)</f>
        <v/>
      </c>
      <c r="CL203" s="27" t="str">
        <f>VLOOKUP($A203,'[1]Raw Data'!$A$3:$FB$285,91,FALSE)</f>
        <v/>
      </c>
      <c r="CM203" s="27" t="str">
        <f>VLOOKUP($A203,'[1]Raw Data'!$A$3:$FB$285,93,FALSE)</f>
        <v/>
      </c>
      <c r="CN203" s="27" t="str">
        <f>VLOOKUP($A203,'[1]Raw Data'!$A$3:$FB$285,94,FALSE)</f>
        <v/>
      </c>
      <c r="CO203" s="27" t="str">
        <f>VLOOKUP($A203,'[1]Raw Data'!$A$3:$FB$285,95,FALSE)</f>
        <v/>
      </c>
      <c r="CP203" s="27" t="str">
        <f>VLOOKUP($A203,'[1]Raw Data'!$A$3:$FB$285,96,FALSE)</f>
        <v/>
      </c>
      <c r="CQ203" s="27" t="str">
        <f>VLOOKUP($A203,'[1]Raw Data'!$A$3:$FB$285,97,FALSE)</f>
        <v/>
      </c>
      <c r="CR203" s="27" t="str">
        <f>VLOOKUP($A203,'[1]Raw Data'!$A$3:$FB$285,98,FALSE)</f>
        <v/>
      </c>
      <c r="CS203" s="27" t="str">
        <f>VLOOKUP($A203,'[1]Raw Data'!$A$3:$FB$285,99,FALSE)</f>
        <v/>
      </c>
      <c r="CT203" s="27" t="str">
        <f>VLOOKUP($A203,'[1]Raw Data'!$A$3:$FB$285,101,FALSE)</f>
        <v/>
      </c>
      <c r="CV203" s="27" t="str">
        <f>VLOOKUP($A203,'[1]Raw Data'!$A$3:$FB$285,102,FALSE)</f>
        <v>Chairman</v>
      </c>
      <c r="CW203" s="27" t="s">
        <v>878</v>
      </c>
      <c r="CX203" s="27" t="str">
        <f>VLOOKUP($A203,'[1]Raw Data'!$A$3:$FB$285,103,FALSE)</f>
        <v/>
      </c>
      <c r="CY203" s="27" t="str">
        <f>VLOOKUP($A203,'[1]Raw Data'!$A$3:$FB$285,105,FALSE)</f>
        <v/>
      </c>
      <c r="DA203" s="27" t="str">
        <f>VLOOKUP($A203,'[1]Raw Data'!$A$3:$FB$285,106,FALSE)</f>
        <v>Deputy Chairman</v>
      </c>
      <c r="DB203" s="27" t="s">
        <v>879</v>
      </c>
      <c r="DC203" s="27" t="str">
        <f>VLOOKUP($A203,'[1]Raw Data'!$A$3:$FB$285,107,FALSE)</f>
        <v/>
      </c>
      <c r="DD203" s="27" t="str">
        <f>VLOOKUP($A203,'[1]Raw Data'!$A$3:$FB$285,109,FALSE)</f>
        <v/>
      </c>
      <c r="DF203" s="27" t="str">
        <f>VLOOKUP($A203,'[1]Raw Data'!$A$3:$FB$285,110,FALSE)</f>
        <v>Chief Adminstration Officer</v>
      </c>
      <c r="DG203" s="27" t="s">
        <v>880</v>
      </c>
      <c r="DH203" s="27">
        <f>VLOOKUP($A203,'[1]Raw Data'!$A$3:$FB$285,111,FALSE)</f>
        <v>9856063718</v>
      </c>
      <c r="DI203" s="27" t="str">
        <f>VLOOKUP($A203,'[1]Raw Data'!$A$3:$FB$285,121,FALSE)</f>
        <v>Safal Paudel</v>
      </c>
      <c r="DJ203" s="27" t="s">
        <v>1438</v>
      </c>
      <c r="DK203" s="27" t="str">
        <f>VLOOKUP($A203,'[1]Raw Data'!$A$3:$FB$285,122,FALSE)</f>
        <v>Focal Person</v>
      </c>
      <c r="DL203" s="27" t="s">
        <v>881</v>
      </c>
      <c r="DM203" s="27">
        <f>VLOOKUP($A203,'[1]Raw Data'!$A$3:$FB$285,123,FALSE)</f>
        <v>9856016932</v>
      </c>
      <c r="DN203" s="27" t="str">
        <f>VLOOKUP($A203,'[1]Raw Data'!$A$3:$FB$285,113,FALSE)</f>
        <v>Dipendra Kumar Rohita</v>
      </c>
      <c r="DO203" s="27" t="s">
        <v>1431</v>
      </c>
      <c r="DP203" s="27" t="str">
        <f>VLOOKUP($A203,'[1]Raw Data'!$A$3:$FB$285,114,FALSE)</f>
        <v>NRA Chief-District</v>
      </c>
      <c r="DQ203" s="27" t="s">
        <v>882</v>
      </c>
      <c r="DR203" s="27" t="str">
        <f>VLOOKUP($A203,'[1]Raw Data'!$A$3:$FB$285,115,FALSE)</f>
        <v/>
      </c>
      <c r="DS203" s="27" t="str">
        <f>VLOOKUP($A203,'[1]Raw Data'!$A$3:$FB$285,117,FALSE)</f>
        <v/>
      </c>
      <c r="DU203" s="27" t="str">
        <f>VLOOKUP($A203,'[1]Raw Data'!$A$3:$FB$285,118,FALSE)</f>
        <v>DUDBC.DLPIU Chief</v>
      </c>
      <c r="DV203" s="27" t="s">
        <v>883</v>
      </c>
      <c r="DW203" s="27" t="str">
        <f>VLOOKUP($A203,'[1]Raw Data'!$A$3:$FB$285,119,FALSE)</f>
        <v/>
      </c>
      <c r="DX203" s="27" t="s">
        <v>339</v>
      </c>
      <c r="DY203" s="27" t="str">
        <f>VLOOKUP($A203,'[1]Raw Data'!$A$3:$FB$285,124,FALSE)</f>
        <v/>
      </c>
      <c r="DZ203" s="27" t="s">
        <v>884</v>
      </c>
      <c r="EA203" s="27" t="str">
        <f>VLOOKUP($A203,'[1]Raw Data'!$A$3:$FB$285,125,FALSE)</f>
        <v/>
      </c>
      <c r="EB203" s="27" t="s">
        <v>341</v>
      </c>
      <c r="EC203" s="27" t="str">
        <f>VLOOKUP($A203,'[1]Raw Data'!$A$3:$FB$285,126,FALSE)</f>
        <v/>
      </c>
      <c r="ED203" t="s">
        <v>478</v>
      </c>
      <c r="EE203" s="27" t="str">
        <f>VLOOKUP($A203,'[1]Raw Data'!$A$3:$FB$285,127,FALSE)</f>
        <v/>
      </c>
      <c r="EF203" s="27" t="s">
        <v>343</v>
      </c>
      <c r="EG203" s="27" t="str">
        <f>VLOOKUP($A203,'[1]Raw Data'!$A$3:$FB$285,128,FALSE)</f>
        <v/>
      </c>
      <c r="EH203" t="s">
        <v>344</v>
      </c>
      <c r="EI203" s="27" t="str">
        <f>VLOOKUP($A203,'[1]Raw Data'!$A$3:$FB$285,129,FALSE)</f>
        <v/>
      </c>
      <c r="EM203" s="27" t="str">
        <f>VLOOKUP($A203,'[1]Raw Data'!$A$3:$FB$285,130,FALSE)</f>
        <v/>
      </c>
      <c r="EN203" s="27" t="str">
        <f>VLOOKUP($A203,'[1]Raw Data'!$A$3:$FB$285,131,FALSE)</f>
        <v/>
      </c>
      <c r="EO203" s="27" t="str">
        <f>VLOOKUP($A203,'[1]Raw Data'!$A$3:$FB$285,132,FALSE)</f>
        <v/>
      </c>
      <c r="EP203" s="27" t="str">
        <f>VLOOKUP($A203,'[1]Raw Data'!$A$3:$FB$285,133,FALSE)</f>
        <v/>
      </c>
      <c r="EQ203" s="27" t="str">
        <f>VLOOKUP($A203,'[1]Raw Data'!$A$3:$FB$285,134,FALSE)</f>
        <v/>
      </c>
      <c r="ER203" s="27" t="str">
        <f>VLOOKUP($A203,'[1]Raw Data'!$A$3:$FB$285,135,FALSE)</f>
        <v/>
      </c>
      <c r="ES203" s="27" t="str">
        <f>VLOOKUP($A203,'[1]Raw Data'!$A$3:$FB$285,136,FALSE)</f>
        <v/>
      </c>
      <c r="ET203" s="27" t="str">
        <f>VLOOKUP($A203,'[1]Raw Data'!$A$3:$FB$285,137,FALSE)</f>
        <v/>
      </c>
      <c r="EU203" s="27" t="str">
        <f>VLOOKUP($A203,'[1]Raw Data'!$A$3:$FB$285,138,FALSE)</f>
        <v/>
      </c>
      <c r="EV203" s="27" t="str">
        <f>VLOOKUP($A203,'[1]Raw Data'!$A$3:$FB$285,139,FALSE)</f>
        <v/>
      </c>
      <c r="EW203" s="38">
        <f>VLOOKUP($A203,[1]Training!$A$2:$I$284,5,FALSE)</f>
        <v>40.846153846153847</v>
      </c>
      <c r="EX203" s="31">
        <f>VLOOKUP($A203,[1]Training!$A$2:$I$284,6,FALSE)</f>
        <v>25</v>
      </c>
      <c r="EY203" s="38">
        <f>VLOOKUP($A203,[1]Training!$A$2:$I$284,8,FALSE)</f>
        <v>48.272727272727273</v>
      </c>
      <c r="EZ203" s="31">
        <f>VLOOKUP($A203,[1]Training!$A$2:$I$284,9,FALSE)</f>
        <v>0</v>
      </c>
      <c r="FA203" s="27">
        <v>1</v>
      </c>
      <c r="FB203" s="27">
        <v>2</v>
      </c>
      <c r="FC203" s="27" t="str">
        <f>VLOOKUP($A203,'[1]Raw Data'!$A$3:$FB$285,148,FALSE)</f>
        <v/>
      </c>
      <c r="FE203" s="27" t="str">
        <f>VLOOKUP($A203,'[1]Raw Data'!$A$3:$FB$285,149,FALSE)</f>
        <v>District Coordinator</v>
      </c>
      <c r="FF203" s="27" t="s">
        <v>885</v>
      </c>
      <c r="FG203" s="27" t="str">
        <f>VLOOKUP($A203,'[1]Raw Data'!$A$3:$FB$285,150,FALSE)</f>
        <v/>
      </c>
      <c r="FH203" s="27" t="str">
        <f>VLOOKUP($A203,'[1]Raw Data'!$A$3:$FB$285,156,FALSE)</f>
        <v/>
      </c>
      <c r="FJ203" s="27" t="str">
        <f>VLOOKUP($A203,'[1]Raw Data'!$A$3:$FB$285,157,FALSE)</f>
        <v>District Technical Officer</v>
      </c>
      <c r="FK203" s="27" t="s">
        <v>886</v>
      </c>
      <c r="FL203" s="27" t="str">
        <f>VLOOKUP($A203,'[1]Raw Data'!$A$3:$FB$285,158,FALSE)</f>
        <v/>
      </c>
      <c r="FM203" s="27" t="str">
        <f>VLOOKUP($A203,'[1]Raw Data'!$A$3:$FB$285,152,FALSE)</f>
        <v/>
      </c>
      <c r="FO203" s="27" t="str">
        <f>VLOOKUP($A203,'[1]Raw Data'!$A$3:$FB$285,153,FALSE)</f>
        <v>DIstrict Information Management Officer</v>
      </c>
      <c r="FP203" s="27" t="s">
        <v>887</v>
      </c>
      <c r="FQ203" s="27" t="str">
        <f>VLOOKUP($A203,'[1]Raw Data'!$A$3:$FB$285,154,FALSE)</f>
        <v/>
      </c>
    </row>
    <row r="204" spans="1:173" ht="24" x14ac:dyDescent="0.45">
      <c r="A204" s="27">
        <v>38010</v>
      </c>
      <c r="B204" s="36" t="str">
        <f ca="1">IFERROR(__xludf.DUMMYFUNCTION("""COMPUTED_VALUE"""),"Shuklagandaki Nagarpalika")</f>
        <v>Shuklagandaki Nagarpalika</v>
      </c>
      <c r="C204" s="37" t="str">
        <f>VLOOKUP(A204,'[1]Palika and District in Nepali '!$D$1:$F$283,3,FALSE)</f>
        <v>शुक्लागण्डकी नगरपालिका</v>
      </c>
      <c r="D204" s="36" t="str">
        <f ca="1">IFERROR(__xludf.DUMMYFUNCTION("""COMPUTED_VALUE"""),"Tanahun")</f>
        <v>Tanahun</v>
      </c>
      <c r="E204" s="36"/>
      <c r="F204" s="27">
        <f>VLOOKUP(A204,'[1]Raw Data'!$A$3:$FB$285,4,FALSE)</f>
        <v>871</v>
      </c>
      <c r="G204" s="27">
        <f>VLOOKUP(A204,'[1]Raw Data'!$A$3:$FB$285,5,FALSE)</f>
        <v>1966</v>
      </c>
      <c r="H204" s="27">
        <f>VLOOKUP(A204,'[1]Raw Data'!$A$3:$FB$285,6,FALSE)</f>
        <v>2837</v>
      </c>
      <c r="I204" s="27">
        <f>VLOOKUP($A204,'[1]Raw Data'!$A$3:$FB$285,8,FALSE)</f>
        <v>7.3</v>
      </c>
      <c r="J204" s="27">
        <f>VLOOKUP($A204,'[1]Raw Data'!$A$3:$FB$285,9,FALSE)</f>
        <v>2.69</v>
      </c>
      <c r="K204" s="27">
        <f>VLOOKUP($A204,'[1]Raw Data'!$A$3:$FB$285,11,FALSE)</f>
        <v>88.54</v>
      </c>
      <c r="L204" s="27">
        <f>VLOOKUP($A204,'[1]Raw Data'!$A$3:$FB$285,12,FALSE)</f>
        <v>88.78</v>
      </c>
      <c r="M204" s="27">
        <f>VLOOKUP($A204,'[1]Raw Data'!$A$3:$FB$285,14,FALSE)</f>
        <v>2.4300000000000002</v>
      </c>
      <c r="N204" s="27">
        <f>VLOOKUP($A204,'[1]Raw Data'!$A$3:$FB$285,15,FALSE)</f>
        <v>3.44</v>
      </c>
      <c r="O204" s="27">
        <f>VLOOKUP($A204,'[1]Raw Data'!$A$3:$FB$285,17,FALSE)</f>
        <v>0.04</v>
      </c>
      <c r="P204" s="27">
        <f>VLOOKUP($A204,'[1]Raw Data'!$A$3:$FB$285,18,FALSE)</f>
        <v>1.46</v>
      </c>
      <c r="Q204" s="27">
        <f>VLOOKUP($A204,'[1]Raw Data'!$A$3:$FB$285,20,FALSE)</f>
        <v>1.0900000000000001</v>
      </c>
      <c r="R204" s="27">
        <f>VLOOKUP($A204,'[1]Raw Data'!$A$3:$FB$285,21,FALSE)</f>
        <v>2.38</v>
      </c>
      <c r="S204" s="27">
        <f>VLOOKUP($A204,'[1]Raw Data'!$A$3:$FB$285,23,FALSE)</f>
        <v>0</v>
      </c>
      <c r="T204" s="27">
        <f>VLOOKUP($A204,'[1]Raw Data'!$A$3:$FB$285,24,FALSE)</f>
        <v>0</v>
      </c>
      <c r="U204" s="27">
        <f>VLOOKUP($A204,'[1]Raw Data'!$A$3:$FB$285,26,FALSE)</f>
        <v>0.04</v>
      </c>
      <c r="V204" s="27">
        <f>VLOOKUP($A204,'[1]Raw Data'!$A$3:$FB$285,27,FALSE)</f>
        <v>0.37</v>
      </c>
      <c r="W204" s="27">
        <f>VLOOKUP($A204,'[1]Raw Data'!$A$3:$FB$285,29,FALSE)</f>
        <v>0</v>
      </c>
      <c r="X204" s="27">
        <f>VLOOKUP($A204,'[1]Raw Data'!$A$3:$FB$285,30,FALSE)</f>
        <v>0</v>
      </c>
      <c r="Y204" s="27">
        <f>VLOOKUP($A204,'[1]Raw Data'!$A$3:$FB$285,32,FALSE)</f>
        <v>0.11</v>
      </c>
      <c r="Z204" s="27">
        <f>VLOOKUP($A204,'[1]Raw Data'!$A$3:$FB$285,33,FALSE)</f>
        <v>0.32</v>
      </c>
      <c r="AA204" s="27">
        <f>VLOOKUP($A204,'[1]Raw Data'!$A$3:$FB$285,35,FALSE)</f>
        <v>0.46</v>
      </c>
      <c r="AB204" s="27">
        <f>VLOOKUP($A204,'[1]Raw Data'!$A$3:$FB$285,36,FALSE)</f>
        <v>0.47</v>
      </c>
      <c r="AC204" s="27">
        <f>VLOOKUP($A204,'[1]Raw Data'!$A$3:$FB$285,38,FALSE)</f>
        <v>0</v>
      </c>
      <c r="AD204" s="27">
        <f>VLOOKUP($A204,'[1]Raw Data'!$A$3:$FB$285,39,FALSE)</f>
        <v>0.08</v>
      </c>
      <c r="AE204" s="27">
        <f>VLOOKUP($A204,'[1]Raw Data'!$A$3:$FB$285,41,FALSE)</f>
        <v>0</v>
      </c>
      <c r="AF204" s="27">
        <f>VLOOKUP($A204,'[1]Raw Data'!$A$3:$FB$285,42,FALSE)</f>
        <v>0</v>
      </c>
      <c r="AG204" s="27">
        <f>VLOOKUP($A204,'[1]Raw Data'!$A$3:$FB$285,44,FALSE)</f>
        <v>0</v>
      </c>
      <c r="AH204" s="27">
        <f>VLOOKUP($A204,'[1]Raw Data'!$A$3:$FB$285,45,FALSE)</f>
        <v>0</v>
      </c>
      <c r="AI204" s="27">
        <f>VLOOKUP($A204,'[1]Raw Data'!$A$3:$FB$285,46,FALSE)</f>
        <v>1859</v>
      </c>
      <c r="AJ204" s="27">
        <f>VLOOKUP($A204,'[1]Raw Data'!$A$3:$FB$285,47,FALSE)</f>
        <v>1907</v>
      </c>
      <c r="AK204" s="27">
        <f>VLOOKUP($A204,'[1]Raw Data'!$A$3:$FB$285,48,FALSE)</f>
        <v>1907</v>
      </c>
      <c r="AL204" s="27">
        <f>VLOOKUP($A204,'[1]Raw Data'!$A$3:$FB$285,49,FALSE)</f>
        <v>219</v>
      </c>
      <c r="AM204" s="27">
        <f>VLOOKUP($A204,'[1]Raw Data'!$A$3:$FB$285,50,FALSE)</f>
        <v>0</v>
      </c>
      <c r="AN204" s="27" t="str">
        <f>VLOOKUP($A204,'[1]Raw Data'!$A$3:$FB$285,51,FALSE)</f>
        <v/>
      </c>
      <c r="AO204" s="27" t="str">
        <f>VLOOKUP($A204,'[1]Raw Data'!$A$3:$FB$285,52,FALSE)</f>
        <v/>
      </c>
      <c r="AP204" s="27">
        <f>VLOOKUP($A204,'[1]Raw Data'!$A$3:$FB$285,53,FALSE)</f>
        <v>24</v>
      </c>
      <c r="AQ204" s="27" t="str">
        <f>VLOOKUP($A204,'[1]Raw Data'!$A$3:$FB$285,54,FALSE)</f>
        <v/>
      </c>
      <c r="AR204" s="27" t="str">
        <f>VLOOKUP($A204,'[1]Raw Data'!$A$3:$FB$285,55,FALSE)</f>
        <v/>
      </c>
      <c r="AS204" s="27" t="str">
        <f>VLOOKUP($A204,'[1]Raw Data'!$A$3:$FB$285,56,FALSE)</f>
        <v/>
      </c>
      <c r="AT204" s="27" t="str">
        <f>VLOOKUP($A204,'[1]Raw Data'!$A$3:$FB$285,57,FALSE)</f>
        <v/>
      </c>
      <c r="AU204" s="27" t="str">
        <f>VLOOKUP($A204,'[1]Raw Data'!$A$3:$FB$285,58,FALSE)</f>
        <v/>
      </c>
      <c r="AV204" s="27" t="str">
        <f>VLOOKUP($A204,'[1]Raw Data'!$A$3:$FB$285,59,FALSE)</f>
        <v/>
      </c>
      <c r="AW204" s="27" t="str">
        <f>VLOOKUP($A204,'[1]Raw Data'!$A$3:$FB$285,60,FALSE)</f>
        <v/>
      </c>
      <c r="AX204" s="27" t="str">
        <f>VLOOKUP(A204,'[1]PO''s List'!A202:E484,4,FALSE)</f>
        <v/>
      </c>
      <c r="AZ204" s="27" t="str">
        <f>VLOOKUP(A204,'[1]PO''s List'!$A$3:$E$285,5,FALSE)</f>
        <v/>
      </c>
      <c r="BB204" s="27">
        <f>VLOOKUP($A204,'[1]Raw Data'!$A$3:$FB$285,63,FALSE)</f>
        <v>224973</v>
      </c>
      <c r="BC204" s="27" t="str">
        <f>VLOOKUP($A204,'[1]Raw Data'!$A$3:$FB$285,64,FALSE)</f>
        <v/>
      </c>
      <c r="BD204" s="27" t="str">
        <f t="shared" si="27"/>
        <v/>
      </c>
      <c r="BE204" s="27" t="str">
        <f>VLOOKUP($A204,'[1]Raw Data'!$A$3:$FB$285,65,FALSE)</f>
        <v/>
      </c>
      <c r="BF204" s="27">
        <f>VLOOKUP($A204,'[1]Raw Data'!$A$3:$FB$285,66,FALSE)</f>
        <v>12953</v>
      </c>
      <c r="BG204" s="27" t="str">
        <f>VLOOKUP($A204,'[1]Raw Data'!$A$3:$FB$285,67,FALSE)</f>
        <v/>
      </c>
      <c r="BH204" s="27" t="str">
        <f t="shared" si="28"/>
        <v/>
      </c>
      <c r="BI204" s="27" t="str">
        <f>VLOOKUP($A204,'[1]Raw Data'!$A$3:$FB$285,68,FALSE)</f>
        <v/>
      </c>
      <c r="BJ204" s="27">
        <f>VLOOKUP($A204,'[1]Raw Data'!$A$3:$FB$285,69,FALSE)</f>
        <v>22066</v>
      </c>
      <c r="BK204" s="27" t="str">
        <f>VLOOKUP($A204,'[1]Raw Data'!$A$3:$FB$285,70,FALSE)</f>
        <v/>
      </c>
      <c r="BL204" s="27" t="str">
        <f t="shared" si="29"/>
        <v/>
      </c>
      <c r="BM204" s="27" t="str">
        <f>VLOOKUP($A204,'[1]Raw Data'!$A$3:$FB$285,71,FALSE)</f>
        <v/>
      </c>
      <c r="BN204" s="27">
        <f>VLOOKUP($A204,'[1]Raw Data'!$A$3:$FB$285,72,FALSE)</f>
        <v>18274</v>
      </c>
      <c r="BO204" s="27" t="str">
        <f>VLOOKUP($A204,'[1]Raw Data'!$A$3:$FB$285,73,FALSE)</f>
        <v/>
      </c>
      <c r="BP204" s="27" t="str">
        <f t="shared" si="30"/>
        <v/>
      </c>
      <c r="BQ204" s="27" t="str">
        <f>VLOOKUP($A204,'[1]Raw Data'!$A$3:$FB$285,74,FALSE)</f>
        <v/>
      </c>
      <c r="BR204" s="27" t="str">
        <f>VLOOKUP($A204,'[1]Raw Data'!$A$3:$FB$285,75,FALSE)</f>
        <v/>
      </c>
      <c r="BS204" s="27" t="str">
        <f>VLOOKUP($A204,'[1]Raw Data'!$A$3:$FB$285,76,FALSE)</f>
        <v/>
      </c>
      <c r="BT204" s="27" t="str">
        <f t="shared" si="31"/>
        <v/>
      </c>
      <c r="BU204" s="27" t="str">
        <f>VLOOKUP($A204,'[1]Raw Data'!$A$3:$FB$285,77,FALSE)</f>
        <v/>
      </c>
      <c r="BV204" s="27">
        <f>VLOOKUP($A204,'[1]Raw Data'!$A$3:$FB$285,78,FALSE)</f>
        <v>133293</v>
      </c>
      <c r="BW204" s="27" t="str">
        <f>VLOOKUP($A204,'[1]Raw Data'!$A$3:$FB$285,79,FALSE)</f>
        <v/>
      </c>
      <c r="BX204" s="27" t="str">
        <f t="shared" si="32"/>
        <v/>
      </c>
      <c r="BY204" s="27" t="str">
        <f>VLOOKUP($A204,'[1]Raw Data'!$A$3:$FB$285,80,FALSE)</f>
        <v/>
      </c>
      <c r="BZ204" s="27">
        <f>VLOOKUP($A204,'[1]Raw Data'!$A$3:$FB$285,81,FALSE)</f>
        <v>2840115</v>
      </c>
      <c r="CA204" s="27" t="str">
        <f>VLOOKUP($A204,'[1]Raw Data'!$A$3:$FB$285,82,FALSE)</f>
        <v/>
      </c>
      <c r="CB204" s="27" t="str">
        <f t="shared" si="33"/>
        <v/>
      </c>
      <c r="CC204" s="27" t="str">
        <f>VLOOKUP($A204,'[1]Raw Data'!$A$3:$FB$285,83,FALSE)</f>
        <v/>
      </c>
      <c r="CD204" s="27">
        <f>VLOOKUP($A204,'[1]Raw Data'!$A$3:$FB$285,84,FALSE)</f>
        <v>5445</v>
      </c>
      <c r="CE204" s="27" t="str">
        <f>VLOOKUP($A204,'[1]Raw Data'!$A$3:$FB$285,85,FALSE)</f>
        <v/>
      </c>
      <c r="CF204" s="27" t="str">
        <f t="shared" si="34"/>
        <v/>
      </c>
      <c r="CG204" s="27" t="str">
        <f>VLOOKUP($A204,'[1]Raw Data'!$A$3:$FB$285,86,FALSE)</f>
        <v/>
      </c>
      <c r="CH204" s="27">
        <f>VLOOKUP($A204,'[1]Raw Data'!$A$3:$FB$285,87,FALSE)</f>
        <v>26606208</v>
      </c>
      <c r="CI204" s="27" t="str">
        <f>VLOOKUP($A204,'[1]Raw Data'!$A$3:$FB$285,88,FALSE)</f>
        <v/>
      </c>
      <c r="CJ204" s="27" t="str">
        <f t="shared" si="35"/>
        <v/>
      </c>
      <c r="CK204" s="27" t="str">
        <f>VLOOKUP($A204,'[1]Raw Data'!$A$3:$FB$285,89,FALSE)</f>
        <v/>
      </c>
      <c r="CL204" s="27" t="str">
        <f>VLOOKUP($A204,'[1]Raw Data'!$A$3:$FB$285,91,FALSE)</f>
        <v/>
      </c>
      <c r="CM204" s="27" t="str">
        <f>VLOOKUP($A204,'[1]Raw Data'!$A$3:$FB$285,93,FALSE)</f>
        <v/>
      </c>
      <c r="CN204" s="27" t="str">
        <f>VLOOKUP($A204,'[1]Raw Data'!$A$3:$FB$285,94,FALSE)</f>
        <v/>
      </c>
      <c r="CO204" s="27" t="str">
        <f>VLOOKUP($A204,'[1]Raw Data'!$A$3:$FB$285,95,FALSE)</f>
        <v/>
      </c>
      <c r="CP204" s="27" t="str">
        <f>VLOOKUP($A204,'[1]Raw Data'!$A$3:$FB$285,96,FALSE)</f>
        <v/>
      </c>
      <c r="CQ204" s="27" t="str">
        <f>VLOOKUP($A204,'[1]Raw Data'!$A$3:$FB$285,97,FALSE)</f>
        <v/>
      </c>
      <c r="CR204" s="27" t="str">
        <f>VLOOKUP($A204,'[1]Raw Data'!$A$3:$FB$285,98,FALSE)</f>
        <v/>
      </c>
      <c r="CS204" s="27" t="str">
        <f>VLOOKUP($A204,'[1]Raw Data'!$A$3:$FB$285,99,FALSE)</f>
        <v/>
      </c>
      <c r="CT204" s="27" t="str">
        <f>VLOOKUP($A204,'[1]Raw Data'!$A$3:$FB$285,101,FALSE)</f>
        <v/>
      </c>
      <c r="CV204" s="27" t="str">
        <f>VLOOKUP($A204,'[1]Raw Data'!$A$3:$FB$285,102,FALSE)</f>
        <v>Mayor</v>
      </c>
      <c r="CW204" s="27" t="s">
        <v>834</v>
      </c>
      <c r="CX204" s="27" t="str">
        <f>VLOOKUP($A204,'[1]Raw Data'!$A$3:$FB$285,103,FALSE)</f>
        <v/>
      </c>
      <c r="CY204" s="27" t="str">
        <f>VLOOKUP($A204,'[1]Raw Data'!$A$3:$FB$285,105,FALSE)</f>
        <v/>
      </c>
      <c r="DA204" s="27" t="str">
        <f>VLOOKUP($A204,'[1]Raw Data'!$A$3:$FB$285,106,FALSE)</f>
        <v>Deputy Mayor</v>
      </c>
      <c r="DB204" s="27" t="s">
        <v>888</v>
      </c>
      <c r="DC204" s="27" t="str">
        <f>VLOOKUP($A204,'[1]Raw Data'!$A$3:$FB$285,107,FALSE)</f>
        <v/>
      </c>
      <c r="DD204" s="27" t="str">
        <f>VLOOKUP($A204,'[1]Raw Data'!$A$3:$FB$285,109,FALSE)</f>
        <v/>
      </c>
      <c r="DF204" s="27" t="str">
        <f>VLOOKUP($A204,'[1]Raw Data'!$A$3:$FB$285,110,FALSE)</f>
        <v>Chief Adminstration Officer</v>
      </c>
      <c r="DG204" s="27" t="s">
        <v>880</v>
      </c>
      <c r="DH204" s="27">
        <f>VLOOKUP($A204,'[1]Raw Data'!$A$3:$FB$285,111,FALSE)</f>
        <v>9856063718</v>
      </c>
      <c r="DI204" s="27" t="str">
        <f>VLOOKUP($A204,'[1]Raw Data'!$A$3:$FB$285,121,FALSE)</f>
        <v>Chitra Prasad Poudel</v>
      </c>
      <c r="DJ204" s="27" t="s">
        <v>1439</v>
      </c>
      <c r="DK204" s="27" t="str">
        <f>VLOOKUP($A204,'[1]Raw Data'!$A$3:$FB$285,122,FALSE)</f>
        <v>Focal Person</v>
      </c>
      <c r="DL204" s="27" t="s">
        <v>881</v>
      </c>
      <c r="DM204" s="27">
        <f>VLOOKUP($A204,'[1]Raw Data'!$A$3:$FB$285,123,FALSE)</f>
        <v>9851273064</v>
      </c>
      <c r="DN204" s="27" t="str">
        <f>VLOOKUP($A204,'[1]Raw Data'!$A$3:$FB$285,113,FALSE)</f>
        <v>Dipendra Kumar Rohita</v>
      </c>
      <c r="DO204" s="27" t="s">
        <v>1431</v>
      </c>
      <c r="DP204" s="27" t="str">
        <f>VLOOKUP($A204,'[1]Raw Data'!$A$3:$FB$285,114,FALSE)</f>
        <v>NRA Chief-District</v>
      </c>
      <c r="DQ204" s="27" t="s">
        <v>882</v>
      </c>
      <c r="DR204" s="27" t="str">
        <f>VLOOKUP($A204,'[1]Raw Data'!$A$3:$FB$285,115,FALSE)</f>
        <v/>
      </c>
      <c r="DS204" s="27" t="str">
        <f>VLOOKUP($A204,'[1]Raw Data'!$A$3:$FB$285,117,FALSE)</f>
        <v/>
      </c>
      <c r="DU204" s="27" t="str">
        <f>VLOOKUP($A204,'[1]Raw Data'!$A$3:$FB$285,118,FALSE)</f>
        <v>DUDBC.DLPIU Chief</v>
      </c>
      <c r="DV204" s="27" t="s">
        <v>883</v>
      </c>
      <c r="DW204" s="27" t="str">
        <f>VLOOKUP($A204,'[1]Raw Data'!$A$3:$FB$285,119,FALSE)</f>
        <v/>
      </c>
      <c r="DX204" s="27" t="s">
        <v>339</v>
      </c>
      <c r="DY204" s="27" t="str">
        <f>VLOOKUP($A204,'[1]Raw Data'!$A$3:$FB$285,124,FALSE)</f>
        <v/>
      </c>
      <c r="DZ204" s="27" t="s">
        <v>884</v>
      </c>
      <c r="EA204" s="27" t="str">
        <f>VLOOKUP($A204,'[1]Raw Data'!$A$3:$FB$285,125,FALSE)</f>
        <v/>
      </c>
      <c r="EB204" s="27" t="s">
        <v>341</v>
      </c>
      <c r="EC204" s="27" t="str">
        <f>VLOOKUP($A204,'[1]Raw Data'!$A$3:$FB$285,126,FALSE)</f>
        <v/>
      </c>
      <c r="ED204" t="s">
        <v>478</v>
      </c>
      <c r="EE204" s="27" t="str">
        <f>VLOOKUP($A204,'[1]Raw Data'!$A$3:$FB$285,127,FALSE)</f>
        <v/>
      </c>
      <c r="EF204" s="27" t="s">
        <v>343</v>
      </c>
      <c r="EG204" s="27" t="str">
        <f>VLOOKUP($A204,'[1]Raw Data'!$A$3:$FB$285,128,FALSE)</f>
        <v/>
      </c>
      <c r="EH204" t="s">
        <v>344</v>
      </c>
      <c r="EI204" s="27" t="str">
        <f>VLOOKUP($A204,'[1]Raw Data'!$A$3:$FB$285,129,FALSE)</f>
        <v/>
      </c>
      <c r="EM204" s="27" t="str">
        <f>VLOOKUP($A204,'[1]Raw Data'!$A$3:$FB$285,130,FALSE)</f>
        <v/>
      </c>
      <c r="EN204" s="27" t="str">
        <f>VLOOKUP($A204,'[1]Raw Data'!$A$3:$FB$285,131,FALSE)</f>
        <v/>
      </c>
      <c r="EO204" s="27" t="str">
        <f>VLOOKUP($A204,'[1]Raw Data'!$A$3:$FB$285,132,FALSE)</f>
        <v/>
      </c>
      <c r="EP204" s="27" t="str">
        <f>VLOOKUP($A204,'[1]Raw Data'!$A$3:$FB$285,133,FALSE)</f>
        <v/>
      </c>
      <c r="EQ204" s="27" t="str">
        <f>VLOOKUP($A204,'[1]Raw Data'!$A$3:$FB$285,134,FALSE)</f>
        <v/>
      </c>
      <c r="ER204" s="27" t="str">
        <f>VLOOKUP($A204,'[1]Raw Data'!$A$3:$FB$285,135,FALSE)</f>
        <v/>
      </c>
      <c r="ES204" s="27" t="str">
        <f>VLOOKUP($A204,'[1]Raw Data'!$A$3:$FB$285,136,FALSE)</f>
        <v/>
      </c>
      <c r="ET204" s="27" t="str">
        <f>VLOOKUP($A204,'[1]Raw Data'!$A$3:$FB$285,137,FALSE)</f>
        <v/>
      </c>
      <c r="EU204" s="27" t="str">
        <f>VLOOKUP($A204,'[1]Raw Data'!$A$3:$FB$285,138,FALSE)</f>
        <v/>
      </c>
      <c r="EV204" s="27" t="str">
        <f>VLOOKUP($A204,'[1]Raw Data'!$A$3:$FB$285,139,FALSE)</f>
        <v/>
      </c>
      <c r="EW204" s="38">
        <f>VLOOKUP($A204,[1]Training!$A$2:$I$284,5,FALSE)</f>
        <v>143</v>
      </c>
      <c r="EX204" s="31">
        <f>VLOOKUP($A204,[1]Training!$A$2:$I$284,6,FALSE)</f>
        <v>68</v>
      </c>
      <c r="EY204" s="38">
        <f>VLOOKUP($A204,[1]Training!$A$2:$I$284,8,FALSE)</f>
        <v>169</v>
      </c>
      <c r="EZ204" s="31">
        <f>VLOOKUP($A204,[1]Training!$A$2:$I$284,9,FALSE)</f>
        <v>0</v>
      </c>
      <c r="FA204" s="27">
        <v>1</v>
      </c>
      <c r="FB204" s="27">
        <v>2</v>
      </c>
      <c r="FC204" s="27" t="str">
        <f>VLOOKUP($A204,'[1]Raw Data'!$A$3:$FB$285,148,FALSE)</f>
        <v/>
      </c>
      <c r="FE204" s="27" t="str">
        <f>VLOOKUP($A204,'[1]Raw Data'!$A$3:$FB$285,149,FALSE)</f>
        <v>District Coordinator</v>
      </c>
      <c r="FF204" s="27" t="s">
        <v>885</v>
      </c>
      <c r="FG204" s="27" t="str">
        <f>VLOOKUP($A204,'[1]Raw Data'!$A$3:$FB$285,150,FALSE)</f>
        <v/>
      </c>
      <c r="FH204" s="27" t="str">
        <f>VLOOKUP($A204,'[1]Raw Data'!$A$3:$FB$285,156,FALSE)</f>
        <v/>
      </c>
      <c r="FJ204" s="27" t="str">
        <f>VLOOKUP($A204,'[1]Raw Data'!$A$3:$FB$285,157,FALSE)</f>
        <v>District Technical Officer</v>
      </c>
      <c r="FK204" s="27" t="s">
        <v>886</v>
      </c>
      <c r="FL204" s="27" t="str">
        <f>VLOOKUP($A204,'[1]Raw Data'!$A$3:$FB$285,158,FALSE)</f>
        <v/>
      </c>
      <c r="FM204" s="27" t="str">
        <f>VLOOKUP($A204,'[1]Raw Data'!$A$3:$FB$285,152,FALSE)</f>
        <v/>
      </c>
      <c r="FO204" s="27" t="str">
        <f>VLOOKUP($A204,'[1]Raw Data'!$A$3:$FB$285,153,FALSE)</f>
        <v>DIstrict Information Management Officer</v>
      </c>
      <c r="FP204" s="27" t="s">
        <v>887</v>
      </c>
      <c r="FQ204" s="27" t="str">
        <f>VLOOKUP($A204,'[1]Raw Data'!$A$3:$FB$285,154,FALSE)</f>
        <v/>
      </c>
    </row>
    <row r="205" spans="1:173" ht="24" x14ac:dyDescent="0.45">
      <c r="A205" s="27">
        <v>39001</v>
      </c>
      <c r="B205" s="36" t="str">
        <f ca="1">IFERROR(__xludf.DUMMYFUNCTION("""COMPUTED_VALUE"""),"Aandhikhola Gaunpalika")</f>
        <v>Aandhikhola Gaunpalika</v>
      </c>
      <c r="C205" s="37" t="str">
        <f>VLOOKUP(A205,'[1]Palika and District in Nepali '!$D$1:$F$283,3,FALSE)</f>
        <v>आंधीखोला गाउँपालिका</v>
      </c>
      <c r="D205" s="36" t="str">
        <f ca="1">IFERROR(__xludf.DUMMYFUNCTION("""COMPUTED_VALUE"""),"Syangja")</f>
        <v>Syangja</v>
      </c>
      <c r="E205" s="36"/>
      <c r="F205" s="27">
        <f>VLOOKUP(A205,'[1]Raw Data'!$A$3:$FB$285,4,FALSE)</f>
        <v>636</v>
      </c>
      <c r="G205" s="27">
        <f>VLOOKUP(A205,'[1]Raw Data'!$A$3:$FB$285,5,FALSE)</f>
        <v>879</v>
      </c>
      <c r="H205" s="27">
        <f>VLOOKUP(A205,'[1]Raw Data'!$A$3:$FB$285,6,FALSE)</f>
        <v>1515</v>
      </c>
      <c r="I205" s="27">
        <f>VLOOKUP($A205,'[1]Raw Data'!$A$3:$FB$285,8,FALSE)</f>
        <v>0.53</v>
      </c>
      <c r="J205" s="27">
        <f>VLOOKUP($A205,'[1]Raw Data'!$A$3:$FB$285,9,FALSE)</f>
        <v>1.88</v>
      </c>
      <c r="K205" s="27">
        <f>VLOOKUP($A205,'[1]Raw Data'!$A$3:$FB$285,11,FALSE)</f>
        <v>98.41</v>
      </c>
      <c r="L205" s="27">
        <f>VLOOKUP($A205,'[1]Raw Data'!$A$3:$FB$285,12,FALSE)</f>
        <v>89.38</v>
      </c>
      <c r="M205" s="27">
        <f>VLOOKUP($A205,'[1]Raw Data'!$A$3:$FB$285,14,FALSE)</f>
        <v>0.59</v>
      </c>
      <c r="N205" s="27">
        <f>VLOOKUP($A205,'[1]Raw Data'!$A$3:$FB$285,15,FALSE)</f>
        <v>0.66</v>
      </c>
      <c r="O205" s="27">
        <f>VLOOKUP($A205,'[1]Raw Data'!$A$3:$FB$285,17,FALSE)</f>
        <v>0</v>
      </c>
      <c r="P205" s="27">
        <f>VLOOKUP($A205,'[1]Raw Data'!$A$3:$FB$285,18,FALSE)</f>
        <v>2.4700000000000002</v>
      </c>
      <c r="Q205" s="27">
        <f>VLOOKUP($A205,'[1]Raw Data'!$A$3:$FB$285,20,FALSE)</f>
        <v>0.4</v>
      </c>
      <c r="R205" s="27">
        <f>VLOOKUP($A205,'[1]Raw Data'!$A$3:$FB$285,21,FALSE)</f>
        <v>0.93</v>
      </c>
      <c r="S205" s="27">
        <f>VLOOKUP($A205,'[1]Raw Data'!$A$3:$FB$285,23,FALSE)</f>
        <v>0</v>
      </c>
      <c r="T205" s="27">
        <f>VLOOKUP($A205,'[1]Raw Data'!$A$3:$FB$285,24,FALSE)</f>
        <v>0</v>
      </c>
      <c r="U205" s="27">
        <f>VLOOKUP($A205,'[1]Raw Data'!$A$3:$FB$285,26,FALSE)</f>
        <v>0</v>
      </c>
      <c r="V205" s="27">
        <f>VLOOKUP($A205,'[1]Raw Data'!$A$3:$FB$285,27,FALSE)</f>
        <v>0.06</v>
      </c>
      <c r="W205" s="27">
        <f>VLOOKUP($A205,'[1]Raw Data'!$A$3:$FB$285,29,FALSE)</f>
        <v>0</v>
      </c>
      <c r="X205" s="27">
        <f>VLOOKUP($A205,'[1]Raw Data'!$A$3:$FB$285,30,FALSE)</f>
        <v>0</v>
      </c>
      <c r="Y205" s="27">
        <f>VLOOKUP($A205,'[1]Raw Data'!$A$3:$FB$285,32,FALSE)</f>
        <v>0</v>
      </c>
      <c r="Z205" s="27">
        <f>VLOOKUP($A205,'[1]Raw Data'!$A$3:$FB$285,33,FALSE)</f>
        <v>0.14000000000000001</v>
      </c>
      <c r="AA205" s="27">
        <f>VLOOKUP($A205,'[1]Raw Data'!$A$3:$FB$285,35,FALSE)</f>
        <v>0</v>
      </c>
      <c r="AB205" s="27">
        <f>VLOOKUP($A205,'[1]Raw Data'!$A$3:$FB$285,36,FALSE)</f>
        <v>4.37</v>
      </c>
      <c r="AC205" s="27">
        <f>VLOOKUP($A205,'[1]Raw Data'!$A$3:$FB$285,38,FALSE)</f>
        <v>7.0000000000000007E-2</v>
      </c>
      <c r="AD205" s="27">
        <f>VLOOKUP($A205,'[1]Raw Data'!$A$3:$FB$285,39,FALSE)</f>
        <v>0.14000000000000001</v>
      </c>
      <c r="AE205" s="27">
        <f>VLOOKUP($A205,'[1]Raw Data'!$A$3:$FB$285,41,FALSE)</f>
        <v>0</v>
      </c>
      <c r="AF205" s="27">
        <f>VLOOKUP($A205,'[1]Raw Data'!$A$3:$FB$285,42,FALSE)</f>
        <v>0</v>
      </c>
      <c r="AG205" s="27">
        <f>VLOOKUP($A205,'[1]Raw Data'!$A$3:$FB$285,44,FALSE)</f>
        <v>0</v>
      </c>
      <c r="AH205" s="27">
        <f>VLOOKUP($A205,'[1]Raw Data'!$A$3:$FB$285,45,FALSE)</f>
        <v>0</v>
      </c>
      <c r="AI205" s="27">
        <f>VLOOKUP($A205,'[1]Raw Data'!$A$3:$FB$285,46,FALSE)</f>
        <v>843</v>
      </c>
      <c r="AJ205" s="27">
        <f>VLOOKUP($A205,'[1]Raw Data'!$A$3:$FB$285,47,FALSE)</f>
        <v>901</v>
      </c>
      <c r="AK205" s="27">
        <f>VLOOKUP($A205,'[1]Raw Data'!$A$3:$FB$285,48,FALSE)</f>
        <v>901</v>
      </c>
      <c r="AL205" s="27">
        <f>VLOOKUP($A205,'[1]Raw Data'!$A$3:$FB$285,49,FALSE)</f>
        <v>94</v>
      </c>
      <c r="AM205" s="27">
        <f>VLOOKUP($A205,'[1]Raw Data'!$A$3:$FB$285,50,FALSE)</f>
        <v>0</v>
      </c>
      <c r="AN205" s="27" t="str">
        <f>VLOOKUP($A205,'[1]Raw Data'!$A$3:$FB$285,51,FALSE)</f>
        <v/>
      </c>
      <c r="AO205" s="27" t="str">
        <f>VLOOKUP($A205,'[1]Raw Data'!$A$3:$FB$285,52,FALSE)</f>
        <v/>
      </c>
      <c r="AP205" s="27">
        <f>VLOOKUP($A205,'[1]Raw Data'!$A$3:$FB$285,53,FALSE)</f>
        <v>71</v>
      </c>
      <c r="AQ205" s="27" t="str">
        <f>VLOOKUP($A205,'[1]Raw Data'!$A$3:$FB$285,54,FALSE)</f>
        <v/>
      </c>
      <c r="AR205" s="27" t="str">
        <f>VLOOKUP($A205,'[1]Raw Data'!$A$3:$FB$285,55,FALSE)</f>
        <v/>
      </c>
      <c r="AS205" s="27" t="str">
        <f>VLOOKUP($A205,'[1]Raw Data'!$A$3:$FB$285,56,FALSE)</f>
        <v/>
      </c>
      <c r="AT205" s="27" t="str">
        <f>VLOOKUP($A205,'[1]Raw Data'!$A$3:$FB$285,57,FALSE)</f>
        <v/>
      </c>
      <c r="AU205" s="27" t="str">
        <f>VLOOKUP($A205,'[1]Raw Data'!$A$3:$FB$285,58,FALSE)</f>
        <v/>
      </c>
      <c r="AV205" s="27" t="str">
        <f>VLOOKUP($A205,'[1]Raw Data'!$A$3:$FB$285,59,FALSE)</f>
        <v/>
      </c>
      <c r="AW205" s="27" t="str">
        <f>VLOOKUP($A205,'[1]Raw Data'!$A$3:$FB$285,60,FALSE)</f>
        <v/>
      </c>
      <c r="AX205" s="27" t="str">
        <f>VLOOKUP(A205,'[1]PO''s List'!A203:E485,4,FALSE)</f>
        <v/>
      </c>
      <c r="AZ205" s="27" t="str">
        <f>VLOOKUP(A205,'[1]PO''s List'!$A$3:$E$285,5,FALSE)</f>
        <v/>
      </c>
      <c r="BB205" s="27">
        <f>VLOOKUP($A205,'[1]Raw Data'!$A$3:$FB$285,63,FALSE)</f>
        <v>26285</v>
      </c>
      <c r="BC205" s="27" t="str">
        <f>VLOOKUP($A205,'[1]Raw Data'!$A$3:$FB$285,64,FALSE)</f>
        <v/>
      </c>
      <c r="BD205" s="27" t="str">
        <f t="shared" si="27"/>
        <v/>
      </c>
      <c r="BE205" s="27" t="str">
        <f>VLOOKUP($A205,'[1]Raw Data'!$A$3:$FB$285,65,FALSE)</f>
        <v/>
      </c>
      <c r="BF205" s="27">
        <f>VLOOKUP($A205,'[1]Raw Data'!$A$3:$FB$285,66,FALSE)</f>
        <v>26691</v>
      </c>
      <c r="BG205" s="27" t="str">
        <f>VLOOKUP($A205,'[1]Raw Data'!$A$3:$FB$285,67,FALSE)</f>
        <v/>
      </c>
      <c r="BH205" s="27" t="str">
        <f t="shared" si="28"/>
        <v/>
      </c>
      <c r="BI205" s="27" t="str">
        <f>VLOOKUP($A205,'[1]Raw Data'!$A$3:$FB$285,68,FALSE)</f>
        <v/>
      </c>
      <c r="BJ205" s="27">
        <f>VLOOKUP($A205,'[1]Raw Data'!$A$3:$FB$285,69,FALSE)</f>
        <v>2803</v>
      </c>
      <c r="BK205" s="27" t="str">
        <f>VLOOKUP($A205,'[1]Raw Data'!$A$3:$FB$285,70,FALSE)</f>
        <v/>
      </c>
      <c r="BL205" s="27" t="str">
        <f t="shared" si="29"/>
        <v/>
      </c>
      <c r="BM205" s="27" t="str">
        <f>VLOOKUP($A205,'[1]Raw Data'!$A$3:$FB$285,71,FALSE)</f>
        <v/>
      </c>
      <c r="BN205" s="27">
        <f>VLOOKUP($A205,'[1]Raw Data'!$A$3:$FB$285,72,FALSE)</f>
        <v>3223</v>
      </c>
      <c r="BO205" s="27" t="str">
        <f>VLOOKUP($A205,'[1]Raw Data'!$A$3:$FB$285,73,FALSE)</f>
        <v/>
      </c>
      <c r="BP205" s="27" t="str">
        <f t="shared" si="30"/>
        <v/>
      </c>
      <c r="BQ205" s="27" t="str">
        <f>VLOOKUP($A205,'[1]Raw Data'!$A$3:$FB$285,74,FALSE)</f>
        <v/>
      </c>
      <c r="BR205" s="27" t="str">
        <f>VLOOKUP($A205,'[1]Raw Data'!$A$3:$FB$285,75,FALSE)</f>
        <v/>
      </c>
      <c r="BS205" s="27" t="str">
        <f>VLOOKUP($A205,'[1]Raw Data'!$A$3:$FB$285,76,FALSE)</f>
        <v/>
      </c>
      <c r="BT205" s="27" t="str">
        <f t="shared" si="31"/>
        <v/>
      </c>
      <c r="BU205" s="27" t="str">
        <f>VLOOKUP($A205,'[1]Raw Data'!$A$3:$FB$285,77,FALSE)</f>
        <v/>
      </c>
      <c r="BV205" s="27">
        <f>VLOOKUP($A205,'[1]Raw Data'!$A$3:$FB$285,78,FALSE)</f>
        <v>87968</v>
      </c>
      <c r="BW205" s="27" t="str">
        <f>VLOOKUP($A205,'[1]Raw Data'!$A$3:$FB$285,79,FALSE)</f>
        <v/>
      </c>
      <c r="BX205" s="27" t="str">
        <f t="shared" si="32"/>
        <v/>
      </c>
      <c r="BY205" s="27" t="str">
        <f>VLOOKUP($A205,'[1]Raw Data'!$A$3:$FB$285,80,FALSE)</f>
        <v/>
      </c>
      <c r="BZ205" s="27">
        <f>VLOOKUP($A205,'[1]Raw Data'!$A$3:$FB$285,81,FALSE)</f>
        <v>284650</v>
      </c>
      <c r="CA205" s="27" t="str">
        <f>VLOOKUP($A205,'[1]Raw Data'!$A$3:$FB$285,82,FALSE)</f>
        <v/>
      </c>
      <c r="CB205" s="27" t="str">
        <f t="shared" si="33"/>
        <v/>
      </c>
      <c r="CC205" s="27" t="str">
        <f>VLOOKUP($A205,'[1]Raw Data'!$A$3:$FB$285,83,FALSE)</f>
        <v/>
      </c>
      <c r="CD205" s="27">
        <f>VLOOKUP($A205,'[1]Raw Data'!$A$3:$FB$285,84,FALSE)</f>
        <v>3592</v>
      </c>
      <c r="CE205" s="27" t="str">
        <f>VLOOKUP($A205,'[1]Raw Data'!$A$3:$FB$285,85,FALSE)</f>
        <v/>
      </c>
      <c r="CF205" s="27" t="str">
        <f t="shared" si="34"/>
        <v/>
      </c>
      <c r="CG205" s="27" t="str">
        <f>VLOOKUP($A205,'[1]Raw Data'!$A$3:$FB$285,86,FALSE)</f>
        <v/>
      </c>
      <c r="CH205" s="27">
        <f>VLOOKUP($A205,'[1]Raw Data'!$A$3:$FB$285,87,FALSE)</f>
        <v>200837</v>
      </c>
      <c r="CI205" s="27" t="str">
        <f>VLOOKUP($A205,'[1]Raw Data'!$A$3:$FB$285,88,FALSE)</f>
        <v/>
      </c>
      <c r="CJ205" s="27" t="str">
        <f t="shared" si="35"/>
        <v/>
      </c>
      <c r="CK205" s="27" t="str">
        <f>VLOOKUP($A205,'[1]Raw Data'!$A$3:$FB$285,89,FALSE)</f>
        <v/>
      </c>
      <c r="CL205" s="27" t="str">
        <f>VLOOKUP($A205,'[1]Raw Data'!$A$3:$FB$285,91,FALSE)</f>
        <v/>
      </c>
      <c r="CM205" s="27" t="str">
        <f>VLOOKUP($A205,'[1]Raw Data'!$A$3:$FB$285,93,FALSE)</f>
        <v/>
      </c>
      <c r="CN205" s="27" t="str">
        <f>VLOOKUP($A205,'[1]Raw Data'!$A$3:$FB$285,94,FALSE)</f>
        <v/>
      </c>
      <c r="CO205" s="27" t="str">
        <f>VLOOKUP($A205,'[1]Raw Data'!$A$3:$FB$285,95,FALSE)</f>
        <v/>
      </c>
      <c r="CP205" s="27" t="str">
        <f>VLOOKUP($A205,'[1]Raw Data'!$A$3:$FB$285,96,FALSE)</f>
        <v/>
      </c>
      <c r="CQ205" s="27" t="str">
        <f>VLOOKUP($A205,'[1]Raw Data'!$A$3:$FB$285,97,FALSE)</f>
        <v/>
      </c>
      <c r="CR205" s="27" t="str">
        <f>VLOOKUP($A205,'[1]Raw Data'!$A$3:$FB$285,98,FALSE)</f>
        <v/>
      </c>
      <c r="CS205" s="27" t="str">
        <f>VLOOKUP($A205,'[1]Raw Data'!$A$3:$FB$285,99,FALSE)</f>
        <v/>
      </c>
      <c r="CT205" s="27" t="str">
        <f>VLOOKUP($A205,'[1]Raw Data'!$A$3:$FB$285,101,FALSE)</f>
        <v/>
      </c>
      <c r="CV205" s="27" t="str">
        <f>VLOOKUP($A205,'[1]Raw Data'!$A$3:$FB$285,102,FALSE)</f>
        <v xml:space="preserve">Chairman </v>
      </c>
      <c r="CW205" s="27" t="s">
        <v>878</v>
      </c>
      <c r="CX205" s="27" t="str">
        <f>VLOOKUP($A205,'[1]Raw Data'!$A$3:$FB$285,103,FALSE)</f>
        <v/>
      </c>
      <c r="CY205" s="27" t="str">
        <f>VLOOKUP($A205,'[1]Raw Data'!$A$3:$FB$285,105,FALSE)</f>
        <v/>
      </c>
      <c r="DA205" s="27" t="str">
        <f>VLOOKUP($A205,'[1]Raw Data'!$A$3:$FB$285,106,FALSE)</f>
        <v>Deputy Chairman</v>
      </c>
      <c r="DB205" s="27" t="s">
        <v>879</v>
      </c>
      <c r="DC205" s="27" t="str">
        <f>VLOOKUP($A205,'[1]Raw Data'!$A$3:$FB$285,107,FALSE)</f>
        <v/>
      </c>
      <c r="DD205" s="27" t="str">
        <f>VLOOKUP($A205,'[1]Raw Data'!$A$3:$FB$285,109,FALSE)</f>
        <v/>
      </c>
      <c r="DF205" s="27" t="str">
        <f>VLOOKUP($A205,'[1]Raw Data'!$A$3:$FB$285,110,FALSE)</f>
        <v>Chief Adminstration Officer</v>
      </c>
      <c r="DG205" s="27" t="s">
        <v>880</v>
      </c>
      <c r="DH205" s="27" t="str">
        <f>VLOOKUP($A205,'[1]Raw Data'!$A$3:$FB$285,111,FALSE)</f>
        <v/>
      </c>
      <c r="DI205" s="27" t="str">
        <f>VLOOKUP($A205,'[1]Raw Data'!$A$3:$FB$285,121,FALSE)</f>
        <v>Sagar Acharya</v>
      </c>
      <c r="DJ205" s="27" t="s">
        <v>1440</v>
      </c>
      <c r="DK205" s="27" t="str">
        <f>VLOOKUP($A205,'[1]Raw Data'!$A$3:$FB$285,122,FALSE)</f>
        <v>Focal Person</v>
      </c>
      <c r="DL205" s="27" t="s">
        <v>881</v>
      </c>
      <c r="DM205" s="27">
        <f>VLOOKUP($A205,'[1]Raw Data'!$A$3:$FB$285,123,FALSE)</f>
        <v>9846398345</v>
      </c>
      <c r="DN205" s="27" t="str">
        <f>VLOOKUP($A205,'[1]Raw Data'!$A$3:$FB$285,113,FALSE)</f>
        <v>Prabin Dhakal</v>
      </c>
      <c r="DO205" s="27" t="s">
        <v>1441</v>
      </c>
      <c r="DP205" s="27" t="str">
        <f>VLOOKUP($A205,'[1]Raw Data'!$A$3:$FB$285,114,FALSE)</f>
        <v>NRA Chief-District</v>
      </c>
      <c r="DQ205" s="27" t="s">
        <v>882</v>
      </c>
      <c r="DR205" s="27">
        <f>VLOOKUP($A205,'[1]Raw Data'!$A$3:$FB$285,115,FALSE)</f>
        <v>9856040060</v>
      </c>
      <c r="DS205" s="27" t="str">
        <f>VLOOKUP($A205,'[1]Raw Data'!$A$3:$FB$285,117,FALSE)</f>
        <v/>
      </c>
      <c r="DU205" s="27" t="str">
        <f>VLOOKUP($A205,'[1]Raw Data'!$A$3:$FB$285,118,FALSE)</f>
        <v>DUDBC.DLPIU Chief</v>
      </c>
      <c r="DV205" s="27" t="s">
        <v>883</v>
      </c>
      <c r="DW205" s="27" t="str">
        <f>VLOOKUP($A205,'[1]Raw Data'!$A$3:$FB$285,119,FALSE)</f>
        <v/>
      </c>
      <c r="DX205" s="27" t="s">
        <v>339</v>
      </c>
      <c r="DY205" s="27" t="str">
        <f>VLOOKUP($A205,'[1]Raw Data'!$A$3:$FB$285,124,FALSE)</f>
        <v/>
      </c>
      <c r="DZ205" s="27" t="s">
        <v>884</v>
      </c>
      <c r="EA205" s="27" t="str">
        <f>VLOOKUP($A205,'[1]Raw Data'!$A$3:$FB$285,125,FALSE)</f>
        <v/>
      </c>
      <c r="EB205" s="27" t="s">
        <v>341</v>
      </c>
      <c r="EC205" s="27" t="str">
        <f>VLOOKUP($A205,'[1]Raw Data'!$A$3:$FB$285,126,FALSE)</f>
        <v/>
      </c>
      <c r="ED205" t="s">
        <v>478</v>
      </c>
      <c r="EE205" s="27" t="str">
        <f>VLOOKUP($A205,'[1]Raw Data'!$A$3:$FB$285,127,FALSE)</f>
        <v/>
      </c>
      <c r="EF205" s="27" t="s">
        <v>343</v>
      </c>
      <c r="EG205" s="27" t="str">
        <f>VLOOKUP($A205,'[1]Raw Data'!$A$3:$FB$285,128,FALSE)</f>
        <v/>
      </c>
      <c r="EH205" t="s">
        <v>344</v>
      </c>
      <c r="EI205" s="27" t="str">
        <f>VLOOKUP($A205,'[1]Raw Data'!$A$3:$FB$285,129,FALSE)</f>
        <v/>
      </c>
      <c r="EM205" s="27" t="str">
        <f>VLOOKUP($A205,'[1]Raw Data'!$A$3:$FB$285,130,FALSE)</f>
        <v/>
      </c>
      <c r="EN205" s="27" t="str">
        <f>VLOOKUP($A205,'[1]Raw Data'!$A$3:$FB$285,131,FALSE)</f>
        <v/>
      </c>
      <c r="EO205" s="27" t="str">
        <f>VLOOKUP($A205,'[1]Raw Data'!$A$3:$FB$285,132,FALSE)</f>
        <v/>
      </c>
      <c r="EP205" s="27" t="str">
        <f>VLOOKUP($A205,'[1]Raw Data'!$A$3:$FB$285,133,FALSE)</f>
        <v/>
      </c>
      <c r="EQ205" s="27" t="str">
        <f>VLOOKUP($A205,'[1]Raw Data'!$A$3:$FB$285,134,FALSE)</f>
        <v/>
      </c>
      <c r="ER205" s="27" t="str">
        <f>VLOOKUP($A205,'[1]Raw Data'!$A$3:$FB$285,135,FALSE)</f>
        <v/>
      </c>
      <c r="ES205" s="27" t="str">
        <f>VLOOKUP($A205,'[1]Raw Data'!$A$3:$FB$285,136,FALSE)</f>
        <v/>
      </c>
      <c r="ET205" s="27" t="str">
        <f>VLOOKUP($A205,'[1]Raw Data'!$A$3:$FB$285,137,FALSE)</f>
        <v/>
      </c>
      <c r="EU205" s="27" t="str">
        <f>VLOOKUP($A205,'[1]Raw Data'!$A$3:$FB$285,138,FALSE)</f>
        <v/>
      </c>
      <c r="EV205" s="27" t="str">
        <f>VLOOKUP($A205,'[1]Raw Data'!$A$3:$FB$285,139,FALSE)</f>
        <v/>
      </c>
      <c r="EW205" s="38">
        <f>VLOOKUP($A205,[1]Training!$A$2:$I$284,5,FALSE)</f>
        <v>64.84615384615384</v>
      </c>
      <c r="EX205" s="31">
        <f>VLOOKUP($A205,[1]Training!$A$2:$I$284,6,FALSE)</f>
        <v>25</v>
      </c>
      <c r="EY205" s="38">
        <f>VLOOKUP($A205,[1]Training!$A$2:$I$284,8,FALSE)</f>
        <v>76.63636363636364</v>
      </c>
      <c r="EZ205" s="31">
        <f>VLOOKUP($A205,[1]Training!$A$2:$I$284,9,FALSE)</f>
        <v>0</v>
      </c>
      <c r="FA205" s="27">
        <v>1</v>
      </c>
      <c r="FB205" s="27">
        <v>2</v>
      </c>
      <c r="FC205" s="27" t="str">
        <f>VLOOKUP($A205,'[1]Raw Data'!$A$3:$FB$285,148,FALSE)</f>
        <v/>
      </c>
      <c r="FE205" s="27" t="str">
        <f>VLOOKUP($A205,'[1]Raw Data'!$A$3:$FB$285,149,FALSE)</f>
        <v>District Coordinator</v>
      </c>
      <c r="FF205" s="27" t="s">
        <v>885</v>
      </c>
      <c r="FG205" s="27" t="str">
        <f>VLOOKUP($A205,'[1]Raw Data'!$A$3:$FB$285,150,FALSE)</f>
        <v/>
      </c>
      <c r="FH205" s="27" t="str">
        <f>VLOOKUP($A205,'[1]Raw Data'!$A$3:$FB$285,156,FALSE)</f>
        <v/>
      </c>
      <c r="FJ205" s="27" t="str">
        <f>VLOOKUP($A205,'[1]Raw Data'!$A$3:$FB$285,157,FALSE)</f>
        <v>District Technical Officer</v>
      </c>
      <c r="FK205" s="27" t="s">
        <v>886</v>
      </c>
      <c r="FL205" s="27" t="str">
        <f>VLOOKUP($A205,'[1]Raw Data'!$A$3:$FB$285,158,FALSE)</f>
        <v/>
      </c>
      <c r="FM205" s="27" t="str">
        <f>VLOOKUP($A205,'[1]Raw Data'!$A$3:$FB$285,152,FALSE)</f>
        <v/>
      </c>
      <c r="FO205" s="27" t="str">
        <f>VLOOKUP($A205,'[1]Raw Data'!$A$3:$FB$285,153,FALSE)</f>
        <v>DIstrict Information Management Officer</v>
      </c>
      <c r="FP205" s="27" t="s">
        <v>887</v>
      </c>
      <c r="FQ205" s="27" t="str">
        <f>VLOOKUP($A205,'[1]Raw Data'!$A$3:$FB$285,154,FALSE)</f>
        <v/>
      </c>
    </row>
    <row r="206" spans="1:173" ht="24" x14ac:dyDescent="0.45">
      <c r="A206" s="27">
        <v>39002</v>
      </c>
      <c r="B206" s="36" t="str">
        <f ca="1">IFERROR(__xludf.DUMMYFUNCTION("""COMPUTED_VALUE"""),"Arjunchaupari Gaunpalika")</f>
        <v>Arjunchaupari Gaunpalika</v>
      </c>
      <c r="C206" s="37" t="str">
        <f>VLOOKUP(A206,'[1]Palika and District in Nepali '!$D$1:$F$283,3,FALSE)</f>
        <v>अर्जुनछाउपरी गाउँपालिका</v>
      </c>
      <c r="D206" s="36" t="str">
        <f ca="1">IFERROR(__xludf.DUMMYFUNCTION("""COMPUTED_VALUE"""),"Syangja")</f>
        <v>Syangja</v>
      </c>
      <c r="E206" s="36"/>
      <c r="F206" s="27">
        <f>VLOOKUP(A206,'[1]Raw Data'!$A$3:$FB$285,4,FALSE)</f>
        <v>222</v>
      </c>
      <c r="G206" s="27">
        <f>VLOOKUP(A206,'[1]Raw Data'!$A$3:$FB$285,5,FALSE)</f>
        <v>581</v>
      </c>
      <c r="H206" s="27">
        <f>VLOOKUP(A206,'[1]Raw Data'!$A$3:$FB$285,6,FALSE)</f>
        <v>803</v>
      </c>
      <c r="I206" s="27">
        <f>VLOOKUP($A206,'[1]Raw Data'!$A$3:$FB$285,8,FALSE)</f>
        <v>1.25</v>
      </c>
      <c r="J206" s="27">
        <f>VLOOKUP($A206,'[1]Raw Data'!$A$3:$FB$285,9,FALSE)</f>
        <v>1.88</v>
      </c>
      <c r="K206" s="27">
        <f>VLOOKUP($A206,'[1]Raw Data'!$A$3:$FB$285,11,FALSE)</f>
        <v>97.14</v>
      </c>
      <c r="L206" s="27">
        <f>VLOOKUP($A206,'[1]Raw Data'!$A$3:$FB$285,12,FALSE)</f>
        <v>89.38</v>
      </c>
      <c r="M206" s="27">
        <f>VLOOKUP($A206,'[1]Raw Data'!$A$3:$FB$285,14,FALSE)</f>
        <v>0.25</v>
      </c>
      <c r="N206" s="27">
        <f>VLOOKUP($A206,'[1]Raw Data'!$A$3:$FB$285,15,FALSE)</f>
        <v>0.66</v>
      </c>
      <c r="O206" s="27">
        <f>VLOOKUP($A206,'[1]Raw Data'!$A$3:$FB$285,17,FALSE)</f>
        <v>0</v>
      </c>
      <c r="P206" s="27">
        <f>VLOOKUP($A206,'[1]Raw Data'!$A$3:$FB$285,18,FALSE)</f>
        <v>2.4700000000000002</v>
      </c>
      <c r="Q206" s="27">
        <f>VLOOKUP($A206,'[1]Raw Data'!$A$3:$FB$285,20,FALSE)</f>
        <v>0.12</v>
      </c>
      <c r="R206" s="27">
        <f>VLOOKUP($A206,'[1]Raw Data'!$A$3:$FB$285,21,FALSE)</f>
        <v>0.93</v>
      </c>
      <c r="S206" s="27">
        <f>VLOOKUP($A206,'[1]Raw Data'!$A$3:$FB$285,23,FALSE)</f>
        <v>0</v>
      </c>
      <c r="T206" s="27">
        <f>VLOOKUP($A206,'[1]Raw Data'!$A$3:$FB$285,24,FALSE)</f>
        <v>0</v>
      </c>
      <c r="U206" s="27">
        <f>VLOOKUP($A206,'[1]Raw Data'!$A$3:$FB$285,26,FALSE)</f>
        <v>0</v>
      </c>
      <c r="V206" s="27">
        <f>VLOOKUP($A206,'[1]Raw Data'!$A$3:$FB$285,27,FALSE)</f>
        <v>0.06</v>
      </c>
      <c r="W206" s="27">
        <f>VLOOKUP($A206,'[1]Raw Data'!$A$3:$FB$285,29,FALSE)</f>
        <v>0</v>
      </c>
      <c r="X206" s="27">
        <f>VLOOKUP($A206,'[1]Raw Data'!$A$3:$FB$285,30,FALSE)</f>
        <v>0</v>
      </c>
      <c r="Y206" s="27">
        <f>VLOOKUP($A206,'[1]Raw Data'!$A$3:$FB$285,32,FALSE)</f>
        <v>0.37</v>
      </c>
      <c r="Z206" s="27">
        <f>VLOOKUP($A206,'[1]Raw Data'!$A$3:$FB$285,33,FALSE)</f>
        <v>0.14000000000000001</v>
      </c>
      <c r="AA206" s="27">
        <f>VLOOKUP($A206,'[1]Raw Data'!$A$3:$FB$285,35,FALSE)</f>
        <v>0.87</v>
      </c>
      <c r="AB206" s="27">
        <f>VLOOKUP($A206,'[1]Raw Data'!$A$3:$FB$285,36,FALSE)</f>
        <v>4.37</v>
      </c>
      <c r="AC206" s="27">
        <f>VLOOKUP($A206,'[1]Raw Data'!$A$3:$FB$285,38,FALSE)</f>
        <v>0</v>
      </c>
      <c r="AD206" s="27">
        <f>VLOOKUP($A206,'[1]Raw Data'!$A$3:$FB$285,39,FALSE)</f>
        <v>0.14000000000000001</v>
      </c>
      <c r="AE206" s="27">
        <f>VLOOKUP($A206,'[1]Raw Data'!$A$3:$FB$285,41,FALSE)</f>
        <v>0</v>
      </c>
      <c r="AF206" s="27">
        <f>VLOOKUP($A206,'[1]Raw Data'!$A$3:$FB$285,42,FALSE)</f>
        <v>0</v>
      </c>
      <c r="AG206" s="27">
        <f>VLOOKUP($A206,'[1]Raw Data'!$A$3:$FB$285,44,FALSE)</f>
        <v>0</v>
      </c>
      <c r="AH206" s="27">
        <f>VLOOKUP($A206,'[1]Raw Data'!$A$3:$FB$285,45,FALSE)</f>
        <v>0</v>
      </c>
      <c r="AI206" s="27">
        <f>VLOOKUP($A206,'[1]Raw Data'!$A$3:$FB$285,46,FALSE)</f>
        <v>531</v>
      </c>
      <c r="AJ206" s="27">
        <f>VLOOKUP($A206,'[1]Raw Data'!$A$3:$FB$285,47,FALSE)</f>
        <v>253</v>
      </c>
      <c r="AK206" s="27">
        <f>VLOOKUP($A206,'[1]Raw Data'!$A$3:$FB$285,48,FALSE)</f>
        <v>253</v>
      </c>
      <c r="AL206" s="27">
        <f>VLOOKUP($A206,'[1]Raw Data'!$A$3:$FB$285,49,FALSE)</f>
        <v>95</v>
      </c>
      <c r="AM206" s="27">
        <f>VLOOKUP($A206,'[1]Raw Data'!$A$3:$FB$285,50,FALSE)</f>
        <v>0</v>
      </c>
      <c r="AN206" s="27" t="str">
        <f>VLOOKUP($A206,'[1]Raw Data'!$A$3:$FB$285,51,FALSE)</f>
        <v/>
      </c>
      <c r="AO206" s="27" t="str">
        <f>VLOOKUP($A206,'[1]Raw Data'!$A$3:$FB$285,52,FALSE)</f>
        <v/>
      </c>
      <c r="AP206" s="27">
        <f>VLOOKUP($A206,'[1]Raw Data'!$A$3:$FB$285,53,FALSE)</f>
        <v>65</v>
      </c>
      <c r="AQ206" s="27" t="str">
        <f>VLOOKUP($A206,'[1]Raw Data'!$A$3:$FB$285,54,FALSE)</f>
        <v/>
      </c>
      <c r="AR206" s="27" t="str">
        <f>VLOOKUP($A206,'[1]Raw Data'!$A$3:$FB$285,55,FALSE)</f>
        <v/>
      </c>
      <c r="AS206" s="27" t="str">
        <f>VLOOKUP($A206,'[1]Raw Data'!$A$3:$FB$285,56,FALSE)</f>
        <v/>
      </c>
      <c r="AT206" s="27" t="str">
        <f>VLOOKUP($A206,'[1]Raw Data'!$A$3:$FB$285,57,FALSE)</f>
        <v/>
      </c>
      <c r="AU206" s="27" t="str">
        <f>VLOOKUP($A206,'[1]Raw Data'!$A$3:$FB$285,58,FALSE)</f>
        <v/>
      </c>
      <c r="AV206" s="27" t="str">
        <f>VLOOKUP($A206,'[1]Raw Data'!$A$3:$FB$285,59,FALSE)</f>
        <v/>
      </c>
      <c r="AW206" s="27" t="str">
        <f>VLOOKUP($A206,'[1]Raw Data'!$A$3:$FB$285,60,FALSE)</f>
        <v/>
      </c>
      <c r="AX206" s="27" t="str">
        <f>VLOOKUP(A206,'[1]PO''s List'!A204:E486,4,FALSE)</f>
        <v/>
      </c>
      <c r="AZ206" s="27" t="str">
        <f>VLOOKUP(A206,'[1]PO''s List'!$A$3:$E$285,5,FALSE)</f>
        <v/>
      </c>
      <c r="BB206" s="27">
        <f>VLOOKUP($A206,'[1]Raw Data'!$A$3:$FB$285,63,FALSE)</f>
        <v>6635</v>
      </c>
      <c r="BC206" s="27" t="str">
        <f>VLOOKUP($A206,'[1]Raw Data'!$A$3:$FB$285,64,FALSE)</f>
        <v/>
      </c>
      <c r="BD206" s="27" t="str">
        <f t="shared" si="27"/>
        <v/>
      </c>
      <c r="BE206" s="27" t="str">
        <f>VLOOKUP($A206,'[1]Raw Data'!$A$3:$FB$285,65,FALSE)</f>
        <v/>
      </c>
      <c r="BF206" s="27">
        <f>VLOOKUP($A206,'[1]Raw Data'!$A$3:$FB$285,66,FALSE)</f>
        <v>4804</v>
      </c>
      <c r="BG206" s="27" t="str">
        <f>VLOOKUP($A206,'[1]Raw Data'!$A$3:$FB$285,67,FALSE)</f>
        <v/>
      </c>
      <c r="BH206" s="27" t="str">
        <f t="shared" si="28"/>
        <v/>
      </c>
      <c r="BI206" s="27" t="str">
        <f>VLOOKUP($A206,'[1]Raw Data'!$A$3:$FB$285,68,FALSE)</f>
        <v/>
      </c>
      <c r="BJ206" s="27">
        <f>VLOOKUP($A206,'[1]Raw Data'!$A$3:$FB$285,69,FALSE)</f>
        <v>689</v>
      </c>
      <c r="BK206" s="27" t="str">
        <f>VLOOKUP($A206,'[1]Raw Data'!$A$3:$FB$285,70,FALSE)</f>
        <v/>
      </c>
      <c r="BL206" s="27" t="str">
        <f t="shared" si="29"/>
        <v/>
      </c>
      <c r="BM206" s="27" t="str">
        <f>VLOOKUP($A206,'[1]Raw Data'!$A$3:$FB$285,71,FALSE)</f>
        <v/>
      </c>
      <c r="BN206" s="27">
        <f>VLOOKUP($A206,'[1]Raw Data'!$A$3:$FB$285,72,FALSE)</f>
        <v>725</v>
      </c>
      <c r="BO206" s="27" t="str">
        <f>VLOOKUP($A206,'[1]Raw Data'!$A$3:$FB$285,73,FALSE)</f>
        <v/>
      </c>
      <c r="BP206" s="27" t="str">
        <f t="shared" si="30"/>
        <v/>
      </c>
      <c r="BQ206" s="27" t="str">
        <f>VLOOKUP($A206,'[1]Raw Data'!$A$3:$FB$285,74,FALSE)</f>
        <v/>
      </c>
      <c r="BR206" s="27" t="str">
        <f>VLOOKUP($A206,'[1]Raw Data'!$A$3:$FB$285,75,FALSE)</f>
        <v/>
      </c>
      <c r="BS206" s="27" t="str">
        <f>VLOOKUP($A206,'[1]Raw Data'!$A$3:$FB$285,76,FALSE)</f>
        <v/>
      </c>
      <c r="BT206" s="27" t="str">
        <f t="shared" si="31"/>
        <v/>
      </c>
      <c r="BU206" s="27" t="str">
        <f>VLOOKUP($A206,'[1]Raw Data'!$A$3:$FB$285,77,FALSE)</f>
        <v/>
      </c>
      <c r="BV206" s="27">
        <f>VLOOKUP($A206,'[1]Raw Data'!$A$3:$FB$285,78,FALSE)</f>
        <v>15894</v>
      </c>
      <c r="BW206" s="27" t="str">
        <f>VLOOKUP($A206,'[1]Raw Data'!$A$3:$FB$285,79,FALSE)</f>
        <v/>
      </c>
      <c r="BX206" s="27" t="str">
        <f t="shared" si="32"/>
        <v/>
      </c>
      <c r="BY206" s="27" t="str">
        <f>VLOOKUP($A206,'[1]Raw Data'!$A$3:$FB$285,80,FALSE)</f>
        <v/>
      </c>
      <c r="BZ206" s="27">
        <f>VLOOKUP($A206,'[1]Raw Data'!$A$3:$FB$285,81,FALSE)</f>
        <v>74463</v>
      </c>
      <c r="CA206" s="27" t="str">
        <f>VLOOKUP($A206,'[1]Raw Data'!$A$3:$FB$285,82,FALSE)</f>
        <v/>
      </c>
      <c r="CB206" s="27" t="str">
        <f t="shared" si="33"/>
        <v/>
      </c>
      <c r="CC206" s="27" t="str">
        <f>VLOOKUP($A206,'[1]Raw Data'!$A$3:$FB$285,83,FALSE)</f>
        <v/>
      </c>
      <c r="CD206" s="27">
        <f>VLOOKUP($A206,'[1]Raw Data'!$A$3:$FB$285,84,FALSE)</f>
        <v>644</v>
      </c>
      <c r="CE206" s="27" t="str">
        <f>VLOOKUP($A206,'[1]Raw Data'!$A$3:$FB$285,85,FALSE)</f>
        <v/>
      </c>
      <c r="CF206" s="27" t="str">
        <f t="shared" si="34"/>
        <v/>
      </c>
      <c r="CG206" s="27" t="str">
        <f>VLOOKUP($A206,'[1]Raw Data'!$A$3:$FB$285,86,FALSE)</f>
        <v/>
      </c>
      <c r="CH206" s="27">
        <f>VLOOKUP($A206,'[1]Raw Data'!$A$3:$FB$285,87,FALSE)</f>
        <v>158774</v>
      </c>
      <c r="CI206" s="27" t="str">
        <f>VLOOKUP($A206,'[1]Raw Data'!$A$3:$FB$285,88,FALSE)</f>
        <v/>
      </c>
      <c r="CJ206" s="27" t="str">
        <f t="shared" si="35"/>
        <v/>
      </c>
      <c r="CK206" s="27" t="str">
        <f>VLOOKUP($A206,'[1]Raw Data'!$A$3:$FB$285,89,FALSE)</f>
        <v/>
      </c>
      <c r="CL206" s="27" t="str">
        <f>VLOOKUP($A206,'[1]Raw Data'!$A$3:$FB$285,91,FALSE)</f>
        <v/>
      </c>
      <c r="CM206" s="27" t="str">
        <f>VLOOKUP($A206,'[1]Raw Data'!$A$3:$FB$285,93,FALSE)</f>
        <v/>
      </c>
      <c r="CN206" s="27" t="str">
        <f>VLOOKUP($A206,'[1]Raw Data'!$A$3:$FB$285,94,FALSE)</f>
        <v/>
      </c>
      <c r="CO206" s="27" t="str">
        <f>VLOOKUP($A206,'[1]Raw Data'!$A$3:$FB$285,95,FALSE)</f>
        <v/>
      </c>
      <c r="CP206" s="27" t="str">
        <f>VLOOKUP($A206,'[1]Raw Data'!$A$3:$FB$285,96,FALSE)</f>
        <v/>
      </c>
      <c r="CQ206" s="27" t="str">
        <f>VLOOKUP($A206,'[1]Raw Data'!$A$3:$FB$285,97,FALSE)</f>
        <v/>
      </c>
      <c r="CR206" s="27" t="str">
        <f>VLOOKUP($A206,'[1]Raw Data'!$A$3:$FB$285,98,FALSE)</f>
        <v/>
      </c>
      <c r="CS206" s="27" t="str">
        <f>VLOOKUP($A206,'[1]Raw Data'!$A$3:$FB$285,99,FALSE)</f>
        <v/>
      </c>
      <c r="CT206" s="27" t="str">
        <f>VLOOKUP($A206,'[1]Raw Data'!$A$3:$FB$285,101,FALSE)</f>
        <v/>
      </c>
      <c r="CV206" s="27" t="str">
        <f>VLOOKUP($A206,'[1]Raw Data'!$A$3:$FB$285,102,FALSE)</f>
        <v xml:space="preserve">Chairman </v>
      </c>
      <c r="CW206" s="27" t="s">
        <v>878</v>
      </c>
      <c r="CX206" s="27" t="str">
        <f>VLOOKUP($A206,'[1]Raw Data'!$A$3:$FB$285,103,FALSE)</f>
        <v/>
      </c>
      <c r="CY206" s="27" t="str">
        <f>VLOOKUP($A206,'[1]Raw Data'!$A$3:$FB$285,105,FALSE)</f>
        <v/>
      </c>
      <c r="DA206" s="27" t="str">
        <f>VLOOKUP($A206,'[1]Raw Data'!$A$3:$FB$285,106,FALSE)</f>
        <v>Deputy Chairman</v>
      </c>
      <c r="DB206" s="27" t="s">
        <v>879</v>
      </c>
      <c r="DC206" s="27" t="str">
        <f>VLOOKUP($A206,'[1]Raw Data'!$A$3:$FB$285,107,FALSE)</f>
        <v/>
      </c>
      <c r="DD206" s="27" t="str">
        <f>VLOOKUP($A206,'[1]Raw Data'!$A$3:$FB$285,109,FALSE)</f>
        <v/>
      </c>
      <c r="DF206" s="27" t="str">
        <f>VLOOKUP($A206,'[1]Raw Data'!$A$3:$FB$285,110,FALSE)</f>
        <v>Chief Adminstration Officer</v>
      </c>
      <c r="DG206" s="27" t="s">
        <v>880</v>
      </c>
      <c r="DH206" s="27" t="str">
        <f>VLOOKUP($A206,'[1]Raw Data'!$A$3:$FB$285,111,FALSE)</f>
        <v/>
      </c>
      <c r="DI206" s="27" t="str">
        <f>VLOOKUP($A206,'[1]Raw Data'!$A$3:$FB$285,121,FALSE)</f>
        <v>Ishwor Kafle</v>
      </c>
      <c r="DJ206" s="27" t="s">
        <v>1442</v>
      </c>
      <c r="DK206" s="27" t="str">
        <f>VLOOKUP($A206,'[1]Raw Data'!$A$3:$FB$285,122,FALSE)</f>
        <v>Focal Person</v>
      </c>
      <c r="DL206" s="27" t="s">
        <v>881</v>
      </c>
      <c r="DM206" s="27">
        <f>VLOOKUP($A206,'[1]Raw Data'!$A$3:$FB$285,123,FALSE)</f>
        <v>9846836774</v>
      </c>
      <c r="DN206" s="27" t="str">
        <f>VLOOKUP($A206,'[1]Raw Data'!$A$3:$FB$285,113,FALSE)</f>
        <v>Prabin Dhakal</v>
      </c>
      <c r="DO206" s="27" t="s">
        <v>1441</v>
      </c>
      <c r="DP206" s="27" t="str">
        <f>VLOOKUP($A206,'[1]Raw Data'!$A$3:$FB$285,114,FALSE)</f>
        <v>NRA Chief-District</v>
      </c>
      <c r="DQ206" s="27" t="s">
        <v>882</v>
      </c>
      <c r="DR206" s="27">
        <f>VLOOKUP($A206,'[1]Raw Data'!$A$3:$FB$285,115,FALSE)</f>
        <v>9856040060</v>
      </c>
      <c r="DS206" s="27" t="str">
        <f>VLOOKUP($A206,'[1]Raw Data'!$A$3:$FB$285,117,FALSE)</f>
        <v/>
      </c>
      <c r="DU206" s="27" t="str">
        <f>VLOOKUP($A206,'[1]Raw Data'!$A$3:$FB$285,118,FALSE)</f>
        <v>DUDBC.DLPIU Chief</v>
      </c>
      <c r="DV206" s="27" t="s">
        <v>883</v>
      </c>
      <c r="DW206" s="27" t="str">
        <f>VLOOKUP($A206,'[1]Raw Data'!$A$3:$FB$285,119,FALSE)</f>
        <v/>
      </c>
      <c r="DX206" s="27" t="s">
        <v>339</v>
      </c>
      <c r="DY206" s="27" t="str">
        <f>VLOOKUP($A206,'[1]Raw Data'!$A$3:$FB$285,124,FALSE)</f>
        <v/>
      </c>
      <c r="DZ206" s="27" t="s">
        <v>884</v>
      </c>
      <c r="EA206" s="27" t="str">
        <f>VLOOKUP($A206,'[1]Raw Data'!$A$3:$FB$285,125,FALSE)</f>
        <v/>
      </c>
      <c r="EB206" s="27" t="s">
        <v>341</v>
      </c>
      <c r="EC206" s="27" t="str">
        <f>VLOOKUP($A206,'[1]Raw Data'!$A$3:$FB$285,126,FALSE)</f>
        <v/>
      </c>
      <c r="ED206" t="s">
        <v>478</v>
      </c>
      <c r="EE206" s="27" t="str">
        <f>VLOOKUP($A206,'[1]Raw Data'!$A$3:$FB$285,127,FALSE)</f>
        <v/>
      </c>
      <c r="EF206" s="27" t="s">
        <v>343</v>
      </c>
      <c r="EG206" s="27" t="str">
        <f>VLOOKUP($A206,'[1]Raw Data'!$A$3:$FB$285,128,FALSE)</f>
        <v/>
      </c>
      <c r="EH206" t="s">
        <v>344</v>
      </c>
      <c r="EI206" s="27" t="str">
        <f>VLOOKUP($A206,'[1]Raw Data'!$A$3:$FB$285,129,FALSE)</f>
        <v/>
      </c>
      <c r="EM206" s="27" t="str">
        <f>VLOOKUP($A206,'[1]Raw Data'!$A$3:$FB$285,130,FALSE)</f>
        <v/>
      </c>
      <c r="EN206" s="27" t="str">
        <f>VLOOKUP($A206,'[1]Raw Data'!$A$3:$FB$285,131,FALSE)</f>
        <v/>
      </c>
      <c r="EO206" s="27" t="str">
        <f>VLOOKUP($A206,'[1]Raw Data'!$A$3:$FB$285,132,FALSE)</f>
        <v/>
      </c>
      <c r="EP206" s="27" t="str">
        <f>VLOOKUP($A206,'[1]Raw Data'!$A$3:$FB$285,133,FALSE)</f>
        <v/>
      </c>
      <c r="EQ206" s="27" t="str">
        <f>VLOOKUP($A206,'[1]Raw Data'!$A$3:$FB$285,134,FALSE)</f>
        <v/>
      </c>
      <c r="ER206" s="27" t="str">
        <f>VLOOKUP($A206,'[1]Raw Data'!$A$3:$FB$285,135,FALSE)</f>
        <v/>
      </c>
      <c r="ES206" s="27" t="str">
        <f>VLOOKUP($A206,'[1]Raw Data'!$A$3:$FB$285,136,FALSE)</f>
        <v/>
      </c>
      <c r="ET206" s="27" t="str">
        <f>VLOOKUP($A206,'[1]Raw Data'!$A$3:$FB$285,137,FALSE)</f>
        <v/>
      </c>
      <c r="EU206" s="27" t="str">
        <f>VLOOKUP($A206,'[1]Raw Data'!$A$3:$FB$285,138,FALSE)</f>
        <v/>
      </c>
      <c r="EV206" s="27" t="str">
        <f>VLOOKUP($A206,'[1]Raw Data'!$A$3:$FB$285,139,FALSE)</f>
        <v/>
      </c>
      <c r="EW206" s="38">
        <f>VLOOKUP($A206,[1]Training!$A$2:$I$284,5,FALSE)</f>
        <v>40.846153846153847</v>
      </c>
      <c r="EX206" s="31">
        <f>VLOOKUP($A206,[1]Training!$A$2:$I$284,6,FALSE)</f>
        <v>25</v>
      </c>
      <c r="EY206" s="38">
        <f>VLOOKUP($A206,[1]Training!$A$2:$I$284,8,FALSE)</f>
        <v>48.272727272727273</v>
      </c>
      <c r="EZ206" s="31">
        <f>VLOOKUP($A206,[1]Training!$A$2:$I$284,9,FALSE)</f>
        <v>0</v>
      </c>
      <c r="FA206" s="27">
        <v>1</v>
      </c>
      <c r="FB206" s="27">
        <v>2</v>
      </c>
      <c r="FC206" s="27" t="str">
        <f>VLOOKUP($A206,'[1]Raw Data'!$A$3:$FB$285,148,FALSE)</f>
        <v/>
      </c>
      <c r="FE206" s="27" t="str">
        <f>VLOOKUP($A206,'[1]Raw Data'!$A$3:$FB$285,149,FALSE)</f>
        <v>District Coordinator</v>
      </c>
      <c r="FF206" s="27" t="s">
        <v>885</v>
      </c>
      <c r="FG206" s="27" t="str">
        <f>VLOOKUP($A206,'[1]Raw Data'!$A$3:$FB$285,150,FALSE)</f>
        <v/>
      </c>
      <c r="FH206" s="27" t="str">
        <f>VLOOKUP($A206,'[1]Raw Data'!$A$3:$FB$285,156,FALSE)</f>
        <v/>
      </c>
      <c r="FJ206" s="27" t="str">
        <f>VLOOKUP($A206,'[1]Raw Data'!$A$3:$FB$285,157,FALSE)</f>
        <v>District Technical Officer</v>
      </c>
      <c r="FK206" s="27" t="s">
        <v>886</v>
      </c>
      <c r="FL206" s="27" t="str">
        <f>VLOOKUP($A206,'[1]Raw Data'!$A$3:$FB$285,158,FALSE)</f>
        <v/>
      </c>
      <c r="FM206" s="27" t="str">
        <f>VLOOKUP($A206,'[1]Raw Data'!$A$3:$FB$285,152,FALSE)</f>
        <v/>
      </c>
      <c r="FO206" s="27" t="str">
        <f>VLOOKUP($A206,'[1]Raw Data'!$A$3:$FB$285,153,FALSE)</f>
        <v>DIstrict Information Management Officer</v>
      </c>
      <c r="FP206" s="27" t="s">
        <v>887</v>
      </c>
      <c r="FQ206" s="27" t="str">
        <f>VLOOKUP($A206,'[1]Raw Data'!$A$3:$FB$285,154,FALSE)</f>
        <v/>
      </c>
    </row>
    <row r="207" spans="1:173" ht="24" x14ac:dyDescent="0.45">
      <c r="A207" s="27">
        <v>39003</v>
      </c>
      <c r="B207" s="36" t="str">
        <f ca="1">IFERROR(__xludf.DUMMYFUNCTION("""COMPUTED_VALUE"""),"Bhirkot Nagarpalika")</f>
        <v>Bhirkot Nagarpalika</v>
      </c>
      <c r="C207" s="37" t="str">
        <f>VLOOKUP(A207,'[1]Palika and District in Nepali '!$D$1:$F$283,3,FALSE)</f>
        <v>भीरकोट नगरपालिका</v>
      </c>
      <c r="D207" s="36" t="str">
        <f ca="1">IFERROR(__xludf.DUMMYFUNCTION("""COMPUTED_VALUE"""),"Syangja")</f>
        <v>Syangja</v>
      </c>
      <c r="E207" s="36"/>
      <c r="F207" s="27">
        <f>VLOOKUP(A207,'[1]Raw Data'!$A$3:$FB$285,4,FALSE)</f>
        <v>985</v>
      </c>
      <c r="G207" s="27">
        <f>VLOOKUP(A207,'[1]Raw Data'!$A$3:$FB$285,5,FALSE)</f>
        <v>1114</v>
      </c>
      <c r="H207" s="27">
        <f>VLOOKUP(A207,'[1]Raw Data'!$A$3:$FB$285,6,FALSE)</f>
        <v>2099</v>
      </c>
      <c r="I207" s="27">
        <f>VLOOKUP($A207,'[1]Raw Data'!$A$3:$FB$285,8,FALSE)</f>
        <v>5.0999999999999996</v>
      </c>
      <c r="J207" s="27">
        <f>VLOOKUP($A207,'[1]Raw Data'!$A$3:$FB$285,9,FALSE)</f>
        <v>1.88</v>
      </c>
      <c r="K207" s="27">
        <f>VLOOKUP($A207,'[1]Raw Data'!$A$3:$FB$285,11,FALSE)</f>
        <v>90.28</v>
      </c>
      <c r="L207" s="27">
        <f>VLOOKUP($A207,'[1]Raw Data'!$A$3:$FB$285,12,FALSE)</f>
        <v>89.38</v>
      </c>
      <c r="M207" s="27">
        <f>VLOOKUP($A207,'[1]Raw Data'!$A$3:$FB$285,14,FALSE)</f>
        <v>0.33</v>
      </c>
      <c r="N207" s="27">
        <f>VLOOKUP($A207,'[1]Raw Data'!$A$3:$FB$285,15,FALSE)</f>
        <v>0.66</v>
      </c>
      <c r="O207" s="27">
        <f>VLOOKUP($A207,'[1]Raw Data'!$A$3:$FB$285,17,FALSE)</f>
        <v>0.14000000000000001</v>
      </c>
      <c r="P207" s="27">
        <f>VLOOKUP($A207,'[1]Raw Data'!$A$3:$FB$285,18,FALSE)</f>
        <v>2.4700000000000002</v>
      </c>
      <c r="Q207" s="27">
        <f>VLOOKUP($A207,'[1]Raw Data'!$A$3:$FB$285,20,FALSE)</f>
        <v>1</v>
      </c>
      <c r="R207" s="27">
        <f>VLOOKUP($A207,'[1]Raw Data'!$A$3:$FB$285,21,FALSE)</f>
        <v>0.93</v>
      </c>
      <c r="S207" s="27">
        <f>VLOOKUP($A207,'[1]Raw Data'!$A$3:$FB$285,23,FALSE)</f>
        <v>0</v>
      </c>
      <c r="T207" s="27">
        <f>VLOOKUP($A207,'[1]Raw Data'!$A$3:$FB$285,24,FALSE)</f>
        <v>0</v>
      </c>
      <c r="U207" s="27">
        <f>VLOOKUP($A207,'[1]Raw Data'!$A$3:$FB$285,26,FALSE)</f>
        <v>0</v>
      </c>
      <c r="V207" s="27">
        <f>VLOOKUP($A207,'[1]Raw Data'!$A$3:$FB$285,27,FALSE)</f>
        <v>0.06</v>
      </c>
      <c r="W207" s="27">
        <f>VLOOKUP($A207,'[1]Raw Data'!$A$3:$FB$285,29,FALSE)</f>
        <v>0</v>
      </c>
      <c r="X207" s="27">
        <f>VLOOKUP($A207,'[1]Raw Data'!$A$3:$FB$285,30,FALSE)</f>
        <v>0</v>
      </c>
      <c r="Y207" s="27">
        <f>VLOOKUP($A207,'[1]Raw Data'!$A$3:$FB$285,32,FALSE)</f>
        <v>0.24</v>
      </c>
      <c r="Z207" s="27">
        <f>VLOOKUP($A207,'[1]Raw Data'!$A$3:$FB$285,33,FALSE)</f>
        <v>0.14000000000000001</v>
      </c>
      <c r="AA207" s="27">
        <f>VLOOKUP($A207,'[1]Raw Data'!$A$3:$FB$285,35,FALSE)</f>
        <v>2.67</v>
      </c>
      <c r="AB207" s="27">
        <f>VLOOKUP($A207,'[1]Raw Data'!$A$3:$FB$285,36,FALSE)</f>
        <v>4.37</v>
      </c>
      <c r="AC207" s="27">
        <f>VLOOKUP($A207,'[1]Raw Data'!$A$3:$FB$285,38,FALSE)</f>
        <v>0.24</v>
      </c>
      <c r="AD207" s="27">
        <f>VLOOKUP($A207,'[1]Raw Data'!$A$3:$FB$285,39,FALSE)</f>
        <v>0.14000000000000001</v>
      </c>
      <c r="AE207" s="27">
        <f>VLOOKUP($A207,'[1]Raw Data'!$A$3:$FB$285,41,FALSE)</f>
        <v>0</v>
      </c>
      <c r="AF207" s="27">
        <f>VLOOKUP($A207,'[1]Raw Data'!$A$3:$FB$285,42,FALSE)</f>
        <v>0</v>
      </c>
      <c r="AG207" s="27">
        <f>VLOOKUP($A207,'[1]Raw Data'!$A$3:$FB$285,44,FALSE)</f>
        <v>0</v>
      </c>
      <c r="AH207" s="27">
        <f>VLOOKUP($A207,'[1]Raw Data'!$A$3:$FB$285,45,FALSE)</f>
        <v>0</v>
      </c>
      <c r="AI207" s="27">
        <f>VLOOKUP($A207,'[1]Raw Data'!$A$3:$FB$285,46,FALSE)</f>
        <v>1041</v>
      </c>
      <c r="AJ207" s="27">
        <f>VLOOKUP($A207,'[1]Raw Data'!$A$3:$FB$285,47,FALSE)</f>
        <v>498</v>
      </c>
      <c r="AK207" s="27">
        <f>VLOOKUP($A207,'[1]Raw Data'!$A$3:$FB$285,48,FALSE)</f>
        <v>498</v>
      </c>
      <c r="AL207" s="27">
        <f>VLOOKUP($A207,'[1]Raw Data'!$A$3:$FB$285,49,FALSE)</f>
        <v>53</v>
      </c>
      <c r="AM207" s="27">
        <f>VLOOKUP($A207,'[1]Raw Data'!$A$3:$FB$285,50,FALSE)</f>
        <v>0</v>
      </c>
      <c r="AN207" s="27" t="str">
        <f>VLOOKUP($A207,'[1]Raw Data'!$A$3:$FB$285,51,FALSE)</f>
        <v/>
      </c>
      <c r="AO207" s="27" t="str">
        <f>VLOOKUP($A207,'[1]Raw Data'!$A$3:$FB$285,52,FALSE)</f>
        <v/>
      </c>
      <c r="AP207" s="27">
        <f>VLOOKUP($A207,'[1]Raw Data'!$A$3:$FB$285,53,FALSE)</f>
        <v>24</v>
      </c>
      <c r="AQ207" s="27" t="str">
        <f>VLOOKUP($A207,'[1]Raw Data'!$A$3:$FB$285,54,FALSE)</f>
        <v/>
      </c>
      <c r="AR207" s="27" t="str">
        <f>VLOOKUP($A207,'[1]Raw Data'!$A$3:$FB$285,55,FALSE)</f>
        <v/>
      </c>
      <c r="AS207" s="27" t="str">
        <f>VLOOKUP($A207,'[1]Raw Data'!$A$3:$FB$285,56,FALSE)</f>
        <v/>
      </c>
      <c r="AT207" s="27" t="str">
        <f>VLOOKUP($A207,'[1]Raw Data'!$A$3:$FB$285,57,FALSE)</f>
        <v/>
      </c>
      <c r="AU207" s="27" t="str">
        <f>VLOOKUP($A207,'[1]Raw Data'!$A$3:$FB$285,58,FALSE)</f>
        <v/>
      </c>
      <c r="AV207" s="27" t="str">
        <f>VLOOKUP($A207,'[1]Raw Data'!$A$3:$FB$285,59,FALSE)</f>
        <v/>
      </c>
      <c r="AW207" s="27" t="str">
        <f>VLOOKUP($A207,'[1]Raw Data'!$A$3:$FB$285,60,FALSE)</f>
        <v/>
      </c>
      <c r="AX207" s="27" t="str">
        <f>VLOOKUP(A207,'[1]PO''s List'!A205:E487,4,FALSE)</f>
        <v/>
      </c>
      <c r="AZ207" s="27" t="str">
        <f>VLOOKUP(A207,'[1]PO''s List'!$A$3:$E$285,5,FALSE)</f>
        <v/>
      </c>
      <c r="BB207" s="27">
        <f>VLOOKUP($A207,'[1]Raw Data'!$A$3:$FB$285,63,FALSE)</f>
        <v>14664</v>
      </c>
      <c r="BC207" s="27" t="str">
        <f>VLOOKUP($A207,'[1]Raw Data'!$A$3:$FB$285,64,FALSE)</f>
        <v/>
      </c>
      <c r="BD207" s="27" t="str">
        <f t="shared" si="27"/>
        <v/>
      </c>
      <c r="BE207" s="27" t="str">
        <f>VLOOKUP($A207,'[1]Raw Data'!$A$3:$FB$285,65,FALSE)</f>
        <v/>
      </c>
      <c r="BF207" s="27">
        <f>VLOOKUP($A207,'[1]Raw Data'!$A$3:$FB$285,66,FALSE)</f>
        <v>14039</v>
      </c>
      <c r="BG207" s="27" t="str">
        <f>VLOOKUP($A207,'[1]Raw Data'!$A$3:$FB$285,67,FALSE)</f>
        <v/>
      </c>
      <c r="BH207" s="27" t="str">
        <f t="shared" si="28"/>
        <v/>
      </c>
      <c r="BI207" s="27" t="str">
        <f>VLOOKUP($A207,'[1]Raw Data'!$A$3:$FB$285,68,FALSE)</f>
        <v/>
      </c>
      <c r="BJ207" s="27">
        <f>VLOOKUP($A207,'[1]Raw Data'!$A$3:$FB$285,69,FALSE)</f>
        <v>1559</v>
      </c>
      <c r="BK207" s="27" t="str">
        <f>VLOOKUP($A207,'[1]Raw Data'!$A$3:$FB$285,70,FALSE)</f>
        <v/>
      </c>
      <c r="BL207" s="27" t="str">
        <f t="shared" si="29"/>
        <v/>
      </c>
      <c r="BM207" s="27" t="str">
        <f>VLOOKUP($A207,'[1]Raw Data'!$A$3:$FB$285,71,FALSE)</f>
        <v/>
      </c>
      <c r="BN207" s="27">
        <f>VLOOKUP($A207,'[1]Raw Data'!$A$3:$FB$285,72,FALSE)</f>
        <v>1773</v>
      </c>
      <c r="BO207" s="27" t="str">
        <f>VLOOKUP($A207,'[1]Raw Data'!$A$3:$FB$285,73,FALSE)</f>
        <v/>
      </c>
      <c r="BP207" s="27" t="str">
        <f t="shared" si="30"/>
        <v/>
      </c>
      <c r="BQ207" s="27" t="str">
        <f>VLOOKUP($A207,'[1]Raw Data'!$A$3:$FB$285,74,FALSE)</f>
        <v/>
      </c>
      <c r="BR207" s="27" t="str">
        <f>VLOOKUP($A207,'[1]Raw Data'!$A$3:$FB$285,75,FALSE)</f>
        <v/>
      </c>
      <c r="BS207" s="27" t="str">
        <f>VLOOKUP($A207,'[1]Raw Data'!$A$3:$FB$285,76,FALSE)</f>
        <v/>
      </c>
      <c r="BT207" s="27" t="str">
        <f t="shared" si="31"/>
        <v/>
      </c>
      <c r="BU207" s="27" t="str">
        <f>VLOOKUP($A207,'[1]Raw Data'!$A$3:$FB$285,77,FALSE)</f>
        <v/>
      </c>
      <c r="BV207" s="27">
        <f>VLOOKUP($A207,'[1]Raw Data'!$A$3:$FB$285,78,FALSE)</f>
        <v>48397</v>
      </c>
      <c r="BW207" s="27" t="str">
        <f>VLOOKUP($A207,'[1]Raw Data'!$A$3:$FB$285,79,FALSE)</f>
        <v/>
      </c>
      <c r="BX207" s="27" t="str">
        <f t="shared" si="32"/>
        <v/>
      </c>
      <c r="BY207" s="27" t="str">
        <f>VLOOKUP($A207,'[1]Raw Data'!$A$3:$FB$285,80,FALSE)</f>
        <v/>
      </c>
      <c r="BZ207" s="27">
        <f>VLOOKUP($A207,'[1]Raw Data'!$A$3:$FB$285,81,FALSE)</f>
        <v>162766</v>
      </c>
      <c r="CA207" s="27" t="str">
        <f>VLOOKUP($A207,'[1]Raw Data'!$A$3:$FB$285,82,FALSE)</f>
        <v/>
      </c>
      <c r="CB207" s="27" t="str">
        <f t="shared" si="33"/>
        <v/>
      </c>
      <c r="CC207" s="27" t="str">
        <f>VLOOKUP($A207,'[1]Raw Data'!$A$3:$FB$285,83,FALSE)</f>
        <v/>
      </c>
      <c r="CD207" s="27">
        <f>VLOOKUP($A207,'[1]Raw Data'!$A$3:$FB$285,84,FALSE)</f>
        <v>1987</v>
      </c>
      <c r="CE207" s="27" t="str">
        <f>VLOOKUP($A207,'[1]Raw Data'!$A$3:$FB$285,85,FALSE)</f>
        <v/>
      </c>
      <c r="CF207" s="27" t="str">
        <f t="shared" si="34"/>
        <v/>
      </c>
      <c r="CG207" s="27" t="str">
        <f>VLOOKUP($A207,'[1]Raw Data'!$A$3:$FB$285,86,FALSE)</f>
        <v/>
      </c>
      <c r="CH207" s="27">
        <f>VLOOKUP($A207,'[1]Raw Data'!$A$3:$FB$285,87,FALSE)</f>
        <v>481218</v>
      </c>
      <c r="CI207" s="27" t="str">
        <f>VLOOKUP($A207,'[1]Raw Data'!$A$3:$FB$285,88,FALSE)</f>
        <v/>
      </c>
      <c r="CJ207" s="27" t="str">
        <f t="shared" si="35"/>
        <v/>
      </c>
      <c r="CK207" s="27" t="str">
        <f>VLOOKUP($A207,'[1]Raw Data'!$A$3:$FB$285,89,FALSE)</f>
        <v/>
      </c>
      <c r="CL207" s="27" t="str">
        <f>VLOOKUP($A207,'[1]Raw Data'!$A$3:$FB$285,91,FALSE)</f>
        <v/>
      </c>
      <c r="CM207" s="27" t="str">
        <f>VLOOKUP($A207,'[1]Raw Data'!$A$3:$FB$285,93,FALSE)</f>
        <v/>
      </c>
      <c r="CN207" s="27" t="str">
        <f>VLOOKUP($A207,'[1]Raw Data'!$A$3:$FB$285,94,FALSE)</f>
        <v/>
      </c>
      <c r="CO207" s="27" t="str">
        <f>VLOOKUP($A207,'[1]Raw Data'!$A$3:$FB$285,95,FALSE)</f>
        <v/>
      </c>
      <c r="CP207" s="27" t="str">
        <f>VLOOKUP($A207,'[1]Raw Data'!$A$3:$FB$285,96,FALSE)</f>
        <v/>
      </c>
      <c r="CQ207" s="27" t="str">
        <f>VLOOKUP($A207,'[1]Raw Data'!$A$3:$FB$285,97,FALSE)</f>
        <v/>
      </c>
      <c r="CR207" s="27" t="str">
        <f>VLOOKUP($A207,'[1]Raw Data'!$A$3:$FB$285,98,FALSE)</f>
        <v/>
      </c>
      <c r="CS207" s="27" t="str">
        <f>VLOOKUP($A207,'[1]Raw Data'!$A$3:$FB$285,99,FALSE)</f>
        <v/>
      </c>
      <c r="CT207" s="27" t="str">
        <f>VLOOKUP($A207,'[1]Raw Data'!$A$3:$FB$285,101,FALSE)</f>
        <v/>
      </c>
      <c r="CV207" s="27" t="str">
        <f>VLOOKUP($A207,'[1]Raw Data'!$A$3:$FB$285,102,FALSE)</f>
        <v>Mayor</v>
      </c>
      <c r="CW207" s="27" t="s">
        <v>834</v>
      </c>
      <c r="CX207" s="27" t="str">
        <f>VLOOKUP($A207,'[1]Raw Data'!$A$3:$FB$285,103,FALSE)</f>
        <v/>
      </c>
      <c r="CY207" s="27" t="str">
        <f>VLOOKUP($A207,'[1]Raw Data'!$A$3:$FB$285,105,FALSE)</f>
        <v/>
      </c>
      <c r="DA207" s="27" t="str">
        <f>VLOOKUP($A207,'[1]Raw Data'!$A$3:$FB$285,106,FALSE)</f>
        <v>Deputy Mayor</v>
      </c>
      <c r="DB207" s="27" t="s">
        <v>888</v>
      </c>
      <c r="DC207" s="27" t="str">
        <f>VLOOKUP($A207,'[1]Raw Data'!$A$3:$FB$285,107,FALSE)</f>
        <v/>
      </c>
      <c r="DD207" s="27" t="str">
        <f>VLOOKUP($A207,'[1]Raw Data'!$A$3:$FB$285,109,FALSE)</f>
        <v/>
      </c>
      <c r="DF207" s="27" t="str">
        <f>VLOOKUP($A207,'[1]Raw Data'!$A$3:$FB$285,110,FALSE)</f>
        <v>Chief Adminstration Officer</v>
      </c>
      <c r="DG207" s="27" t="s">
        <v>880</v>
      </c>
      <c r="DH207" s="27" t="str">
        <f>VLOOKUP($A207,'[1]Raw Data'!$A$3:$FB$285,111,FALSE)</f>
        <v/>
      </c>
      <c r="DI207" s="27" t="str">
        <f>VLOOKUP($A207,'[1]Raw Data'!$A$3:$FB$285,121,FALSE)</f>
        <v>Om Prakash Chaulagain</v>
      </c>
      <c r="DJ207" s="27" t="s">
        <v>1443</v>
      </c>
      <c r="DK207" s="27" t="str">
        <f>VLOOKUP($A207,'[1]Raw Data'!$A$3:$FB$285,122,FALSE)</f>
        <v>Focal Person</v>
      </c>
      <c r="DL207" s="27" t="s">
        <v>881</v>
      </c>
      <c r="DM207" s="27">
        <f>VLOOKUP($A207,'[1]Raw Data'!$A$3:$FB$285,123,FALSE)</f>
        <v>9848335252</v>
      </c>
      <c r="DN207" s="27" t="str">
        <f>VLOOKUP($A207,'[1]Raw Data'!$A$3:$FB$285,113,FALSE)</f>
        <v>Prabin Dhakal</v>
      </c>
      <c r="DO207" s="27" t="s">
        <v>1441</v>
      </c>
      <c r="DP207" s="27" t="str">
        <f>VLOOKUP($A207,'[1]Raw Data'!$A$3:$FB$285,114,FALSE)</f>
        <v>NRA Chief-District</v>
      </c>
      <c r="DQ207" s="27" t="s">
        <v>882</v>
      </c>
      <c r="DR207" s="27">
        <f>VLOOKUP($A207,'[1]Raw Data'!$A$3:$FB$285,115,FALSE)</f>
        <v>9856040060</v>
      </c>
      <c r="DS207" s="27" t="str">
        <f>VLOOKUP($A207,'[1]Raw Data'!$A$3:$FB$285,117,FALSE)</f>
        <v/>
      </c>
      <c r="DU207" s="27" t="str">
        <f>VLOOKUP($A207,'[1]Raw Data'!$A$3:$FB$285,118,FALSE)</f>
        <v>DUDBC.DLPIU Chief</v>
      </c>
      <c r="DV207" s="27" t="s">
        <v>883</v>
      </c>
      <c r="DW207" s="27" t="str">
        <f>VLOOKUP($A207,'[1]Raw Data'!$A$3:$FB$285,119,FALSE)</f>
        <v/>
      </c>
      <c r="DX207" s="27" t="s">
        <v>339</v>
      </c>
      <c r="DY207" s="27" t="str">
        <f>VLOOKUP($A207,'[1]Raw Data'!$A$3:$FB$285,124,FALSE)</f>
        <v/>
      </c>
      <c r="DZ207" s="27" t="s">
        <v>884</v>
      </c>
      <c r="EA207" s="27" t="str">
        <f>VLOOKUP($A207,'[1]Raw Data'!$A$3:$FB$285,125,FALSE)</f>
        <v/>
      </c>
      <c r="EB207" s="27" t="s">
        <v>341</v>
      </c>
      <c r="EC207" s="27" t="str">
        <f>VLOOKUP($A207,'[1]Raw Data'!$A$3:$FB$285,126,FALSE)</f>
        <v/>
      </c>
      <c r="ED207" t="s">
        <v>478</v>
      </c>
      <c r="EE207" s="27" t="str">
        <f>VLOOKUP($A207,'[1]Raw Data'!$A$3:$FB$285,127,FALSE)</f>
        <v/>
      </c>
      <c r="EF207" s="27" t="s">
        <v>343</v>
      </c>
      <c r="EG207" s="27" t="str">
        <f>VLOOKUP($A207,'[1]Raw Data'!$A$3:$FB$285,128,FALSE)</f>
        <v/>
      </c>
      <c r="EH207" t="s">
        <v>344</v>
      </c>
      <c r="EI207" s="27" t="str">
        <f>VLOOKUP($A207,'[1]Raw Data'!$A$3:$FB$285,129,FALSE)</f>
        <v/>
      </c>
      <c r="EM207" s="27" t="str">
        <f>VLOOKUP($A207,'[1]Raw Data'!$A$3:$FB$285,130,FALSE)</f>
        <v/>
      </c>
      <c r="EN207" s="27" t="str">
        <f>VLOOKUP($A207,'[1]Raw Data'!$A$3:$FB$285,131,FALSE)</f>
        <v/>
      </c>
      <c r="EO207" s="27" t="str">
        <f>VLOOKUP($A207,'[1]Raw Data'!$A$3:$FB$285,132,FALSE)</f>
        <v/>
      </c>
      <c r="EP207" s="27" t="str">
        <f>VLOOKUP($A207,'[1]Raw Data'!$A$3:$FB$285,133,FALSE)</f>
        <v/>
      </c>
      <c r="EQ207" s="27" t="str">
        <f>VLOOKUP($A207,'[1]Raw Data'!$A$3:$FB$285,134,FALSE)</f>
        <v/>
      </c>
      <c r="ER207" s="27" t="str">
        <f>VLOOKUP($A207,'[1]Raw Data'!$A$3:$FB$285,135,FALSE)</f>
        <v/>
      </c>
      <c r="ES207" s="27" t="str">
        <f>VLOOKUP($A207,'[1]Raw Data'!$A$3:$FB$285,136,FALSE)</f>
        <v/>
      </c>
      <c r="ET207" s="27" t="str">
        <f>VLOOKUP($A207,'[1]Raw Data'!$A$3:$FB$285,137,FALSE)</f>
        <v/>
      </c>
      <c r="EU207" s="27" t="str">
        <f>VLOOKUP($A207,'[1]Raw Data'!$A$3:$FB$285,138,FALSE)</f>
        <v/>
      </c>
      <c r="EV207" s="27" t="str">
        <f>VLOOKUP($A207,'[1]Raw Data'!$A$3:$FB$285,139,FALSE)</f>
        <v/>
      </c>
      <c r="EW207" s="38">
        <f>VLOOKUP($A207,[1]Training!$A$2:$I$284,5,FALSE)</f>
        <v>80.07692307692308</v>
      </c>
      <c r="EX207" s="31">
        <f>VLOOKUP($A207,[1]Training!$A$2:$I$284,6,FALSE)</f>
        <v>25</v>
      </c>
      <c r="EY207" s="38">
        <f>VLOOKUP($A207,[1]Training!$A$2:$I$284,8,FALSE)</f>
        <v>94.63636363636364</v>
      </c>
      <c r="EZ207" s="31">
        <f>VLOOKUP($A207,[1]Training!$A$2:$I$284,9,FALSE)</f>
        <v>0</v>
      </c>
      <c r="FA207" s="27">
        <v>1</v>
      </c>
      <c r="FB207" s="27">
        <v>2</v>
      </c>
      <c r="FC207" s="27" t="str">
        <f>VLOOKUP($A207,'[1]Raw Data'!$A$3:$FB$285,148,FALSE)</f>
        <v/>
      </c>
      <c r="FE207" s="27" t="str">
        <f>VLOOKUP($A207,'[1]Raw Data'!$A$3:$FB$285,149,FALSE)</f>
        <v>District Coordinator</v>
      </c>
      <c r="FF207" s="27" t="s">
        <v>885</v>
      </c>
      <c r="FG207" s="27" t="str">
        <f>VLOOKUP($A207,'[1]Raw Data'!$A$3:$FB$285,150,FALSE)</f>
        <v/>
      </c>
      <c r="FH207" s="27" t="str">
        <f>VLOOKUP($A207,'[1]Raw Data'!$A$3:$FB$285,156,FALSE)</f>
        <v/>
      </c>
      <c r="FJ207" s="27" t="str">
        <f>VLOOKUP($A207,'[1]Raw Data'!$A$3:$FB$285,157,FALSE)</f>
        <v>District Technical Officer</v>
      </c>
      <c r="FK207" s="27" t="s">
        <v>886</v>
      </c>
      <c r="FL207" s="27" t="str">
        <f>VLOOKUP($A207,'[1]Raw Data'!$A$3:$FB$285,158,FALSE)</f>
        <v/>
      </c>
      <c r="FM207" s="27" t="str">
        <f>VLOOKUP($A207,'[1]Raw Data'!$A$3:$FB$285,152,FALSE)</f>
        <v/>
      </c>
      <c r="FO207" s="27" t="str">
        <f>VLOOKUP($A207,'[1]Raw Data'!$A$3:$FB$285,153,FALSE)</f>
        <v>DIstrict Information Management Officer</v>
      </c>
      <c r="FP207" s="27" t="s">
        <v>887</v>
      </c>
      <c r="FQ207" s="27" t="str">
        <f>VLOOKUP($A207,'[1]Raw Data'!$A$3:$FB$285,154,FALSE)</f>
        <v/>
      </c>
    </row>
    <row r="208" spans="1:173" ht="24" x14ac:dyDescent="0.45">
      <c r="A208" s="27">
        <v>39004</v>
      </c>
      <c r="B208" s="36" t="str">
        <f ca="1">IFERROR(__xludf.DUMMYFUNCTION("""COMPUTED_VALUE"""),"Biruwa Gaunpalika")</f>
        <v>Biruwa Gaunpalika</v>
      </c>
      <c r="C208" s="37" t="str">
        <f>VLOOKUP(A208,'[1]Palika and District in Nepali '!$D$1:$F$283,3,FALSE)</f>
        <v>बिरूवा गाउँपालिका</v>
      </c>
      <c r="D208" s="36" t="str">
        <f ca="1">IFERROR(__xludf.DUMMYFUNCTION("""COMPUTED_VALUE"""),"Syangja")</f>
        <v>Syangja</v>
      </c>
      <c r="E208" s="36"/>
      <c r="F208" s="27">
        <f>VLOOKUP(A208,'[1]Raw Data'!$A$3:$FB$285,4,FALSE)</f>
        <v>346</v>
      </c>
      <c r="G208" s="27">
        <f>VLOOKUP(A208,'[1]Raw Data'!$A$3:$FB$285,5,FALSE)</f>
        <v>678</v>
      </c>
      <c r="H208" s="27">
        <f>VLOOKUP(A208,'[1]Raw Data'!$A$3:$FB$285,6,FALSE)</f>
        <v>1024</v>
      </c>
      <c r="I208" s="27">
        <f>VLOOKUP($A208,'[1]Raw Data'!$A$3:$FB$285,8,FALSE)</f>
        <v>1.95</v>
      </c>
      <c r="J208" s="27">
        <f>VLOOKUP($A208,'[1]Raw Data'!$A$3:$FB$285,9,FALSE)</f>
        <v>1.88</v>
      </c>
      <c r="K208" s="27">
        <f>VLOOKUP($A208,'[1]Raw Data'!$A$3:$FB$285,11,FALSE)</f>
        <v>96</v>
      </c>
      <c r="L208" s="27">
        <f>VLOOKUP($A208,'[1]Raw Data'!$A$3:$FB$285,12,FALSE)</f>
        <v>89.38</v>
      </c>
      <c r="M208" s="27">
        <f>VLOOKUP($A208,'[1]Raw Data'!$A$3:$FB$285,14,FALSE)</f>
        <v>0.28999999999999998</v>
      </c>
      <c r="N208" s="27">
        <f>VLOOKUP($A208,'[1]Raw Data'!$A$3:$FB$285,15,FALSE)</f>
        <v>0.66</v>
      </c>
      <c r="O208" s="27">
        <f>VLOOKUP($A208,'[1]Raw Data'!$A$3:$FB$285,17,FALSE)</f>
        <v>0</v>
      </c>
      <c r="P208" s="27">
        <f>VLOOKUP($A208,'[1]Raw Data'!$A$3:$FB$285,18,FALSE)</f>
        <v>2.4700000000000002</v>
      </c>
      <c r="Q208" s="27">
        <f>VLOOKUP($A208,'[1]Raw Data'!$A$3:$FB$285,20,FALSE)</f>
        <v>0.28999999999999998</v>
      </c>
      <c r="R208" s="27">
        <f>VLOOKUP($A208,'[1]Raw Data'!$A$3:$FB$285,21,FALSE)</f>
        <v>0.93</v>
      </c>
      <c r="S208" s="27">
        <f>VLOOKUP($A208,'[1]Raw Data'!$A$3:$FB$285,23,FALSE)</f>
        <v>0</v>
      </c>
      <c r="T208" s="27">
        <f>VLOOKUP($A208,'[1]Raw Data'!$A$3:$FB$285,24,FALSE)</f>
        <v>0</v>
      </c>
      <c r="U208" s="27">
        <f>VLOOKUP($A208,'[1]Raw Data'!$A$3:$FB$285,26,FALSE)</f>
        <v>0</v>
      </c>
      <c r="V208" s="27">
        <f>VLOOKUP($A208,'[1]Raw Data'!$A$3:$FB$285,27,FALSE)</f>
        <v>0.06</v>
      </c>
      <c r="W208" s="27">
        <f>VLOOKUP($A208,'[1]Raw Data'!$A$3:$FB$285,29,FALSE)</f>
        <v>0</v>
      </c>
      <c r="X208" s="27">
        <f>VLOOKUP($A208,'[1]Raw Data'!$A$3:$FB$285,30,FALSE)</f>
        <v>0</v>
      </c>
      <c r="Y208" s="27">
        <f>VLOOKUP($A208,'[1]Raw Data'!$A$3:$FB$285,32,FALSE)</f>
        <v>0</v>
      </c>
      <c r="Z208" s="27">
        <f>VLOOKUP($A208,'[1]Raw Data'!$A$3:$FB$285,33,FALSE)</f>
        <v>0.14000000000000001</v>
      </c>
      <c r="AA208" s="27">
        <f>VLOOKUP($A208,'[1]Raw Data'!$A$3:$FB$285,35,FALSE)</f>
        <v>1.37</v>
      </c>
      <c r="AB208" s="27">
        <f>VLOOKUP($A208,'[1]Raw Data'!$A$3:$FB$285,36,FALSE)</f>
        <v>4.37</v>
      </c>
      <c r="AC208" s="27">
        <f>VLOOKUP($A208,'[1]Raw Data'!$A$3:$FB$285,38,FALSE)</f>
        <v>0.1</v>
      </c>
      <c r="AD208" s="27">
        <f>VLOOKUP($A208,'[1]Raw Data'!$A$3:$FB$285,39,FALSE)</f>
        <v>0.14000000000000001</v>
      </c>
      <c r="AE208" s="27">
        <f>VLOOKUP($A208,'[1]Raw Data'!$A$3:$FB$285,41,FALSE)</f>
        <v>0</v>
      </c>
      <c r="AF208" s="27">
        <f>VLOOKUP($A208,'[1]Raw Data'!$A$3:$FB$285,42,FALSE)</f>
        <v>0</v>
      </c>
      <c r="AG208" s="27">
        <f>VLOOKUP($A208,'[1]Raw Data'!$A$3:$FB$285,44,FALSE)</f>
        <v>0</v>
      </c>
      <c r="AH208" s="27">
        <f>VLOOKUP($A208,'[1]Raw Data'!$A$3:$FB$285,45,FALSE)</f>
        <v>0</v>
      </c>
      <c r="AI208" s="27">
        <f>VLOOKUP($A208,'[1]Raw Data'!$A$3:$FB$285,46,FALSE)</f>
        <v>638</v>
      </c>
      <c r="AJ208" s="27">
        <f>VLOOKUP($A208,'[1]Raw Data'!$A$3:$FB$285,47,FALSE)</f>
        <v>348</v>
      </c>
      <c r="AK208" s="27">
        <f>VLOOKUP($A208,'[1]Raw Data'!$A$3:$FB$285,48,FALSE)</f>
        <v>348</v>
      </c>
      <c r="AL208" s="27">
        <f>VLOOKUP($A208,'[1]Raw Data'!$A$3:$FB$285,49,FALSE)</f>
        <v>21</v>
      </c>
      <c r="AM208" s="27">
        <f>VLOOKUP($A208,'[1]Raw Data'!$A$3:$FB$285,50,FALSE)</f>
        <v>0</v>
      </c>
      <c r="AN208" s="27" t="str">
        <f>VLOOKUP($A208,'[1]Raw Data'!$A$3:$FB$285,51,FALSE)</f>
        <v/>
      </c>
      <c r="AO208" s="27" t="str">
        <f>VLOOKUP($A208,'[1]Raw Data'!$A$3:$FB$285,52,FALSE)</f>
        <v/>
      </c>
      <c r="AP208" s="27">
        <f>VLOOKUP($A208,'[1]Raw Data'!$A$3:$FB$285,53,FALSE)</f>
        <v>40</v>
      </c>
      <c r="AQ208" s="27" t="str">
        <f>VLOOKUP($A208,'[1]Raw Data'!$A$3:$FB$285,54,FALSE)</f>
        <v/>
      </c>
      <c r="AR208" s="27" t="str">
        <f>VLOOKUP($A208,'[1]Raw Data'!$A$3:$FB$285,55,FALSE)</f>
        <v/>
      </c>
      <c r="AS208" s="27" t="str">
        <f>VLOOKUP($A208,'[1]Raw Data'!$A$3:$FB$285,56,FALSE)</f>
        <v/>
      </c>
      <c r="AT208" s="27" t="str">
        <f>VLOOKUP($A208,'[1]Raw Data'!$A$3:$FB$285,57,FALSE)</f>
        <v/>
      </c>
      <c r="AU208" s="27" t="str">
        <f>VLOOKUP($A208,'[1]Raw Data'!$A$3:$FB$285,58,FALSE)</f>
        <v/>
      </c>
      <c r="AV208" s="27" t="str">
        <f>VLOOKUP($A208,'[1]Raw Data'!$A$3:$FB$285,59,FALSE)</f>
        <v/>
      </c>
      <c r="AW208" s="27" t="str">
        <f>VLOOKUP($A208,'[1]Raw Data'!$A$3:$FB$285,60,FALSE)</f>
        <v/>
      </c>
      <c r="AX208" s="27" t="str">
        <f>VLOOKUP(A208,'[1]PO''s List'!A206:E488,4,FALSE)</f>
        <v/>
      </c>
      <c r="AZ208" s="27" t="str">
        <f>VLOOKUP(A208,'[1]PO''s List'!$A$3:$E$285,5,FALSE)</f>
        <v/>
      </c>
      <c r="BB208" s="27">
        <f>VLOOKUP($A208,'[1]Raw Data'!$A$3:$FB$285,63,FALSE)</f>
        <v>11229</v>
      </c>
      <c r="BC208" s="27" t="str">
        <f>VLOOKUP($A208,'[1]Raw Data'!$A$3:$FB$285,64,FALSE)</f>
        <v/>
      </c>
      <c r="BD208" s="27" t="str">
        <f t="shared" si="27"/>
        <v/>
      </c>
      <c r="BE208" s="27" t="str">
        <f>VLOOKUP($A208,'[1]Raw Data'!$A$3:$FB$285,65,FALSE)</f>
        <v/>
      </c>
      <c r="BF208" s="27">
        <f>VLOOKUP($A208,'[1]Raw Data'!$A$3:$FB$285,66,FALSE)</f>
        <v>9440</v>
      </c>
      <c r="BG208" s="27" t="str">
        <f>VLOOKUP($A208,'[1]Raw Data'!$A$3:$FB$285,67,FALSE)</f>
        <v/>
      </c>
      <c r="BH208" s="27" t="str">
        <f t="shared" si="28"/>
        <v/>
      </c>
      <c r="BI208" s="27" t="str">
        <f>VLOOKUP($A208,'[1]Raw Data'!$A$3:$FB$285,68,FALSE)</f>
        <v/>
      </c>
      <c r="BJ208" s="27">
        <f>VLOOKUP($A208,'[1]Raw Data'!$A$3:$FB$285,69,FALSE)</f>
        <v>1182</v>
      </c>
      <c r="BK208" s="27" t="str">
        <f>VLOOKUP($A208,'[1]Raw Data'!$A$3:$FB$285,70,FALSE)</f>
        <v/>
      </c>
      <c r="BL208" s="27" t="str">
        <f t="shared" si="29"/>
        <v/>
      </c>
      <c r="BM208" s="27" t="str">
        <f>VLOOKUP($A208,'[1]Raw Data'!$A$3:$FB$285,71,FALSE)</f>
        <v/>
      </c>
      <c r="BN208" s="27">
        <f>VLOOKUP($A208,'[1]Raw Data'!$A$3:$FB$285,72,FALSE)</f>
        <v>1303</v>
      </c>
      <c r="BO208" s="27" t="str">
        <f>VLOOKUP($A208,'[1]Raw Data'!$A$3:$FB$285,73,FALSE)</f>
        <v/>
      </c>
      <c r="BP208" s="27" t="str">
        <f t="shared" si="30"/>
        <v/>
      </c>
      <c r="BQ208" s="27" t="str">
        <f>VLOOKUP($A208,'[1]Raw Data'!$A$3:$FB$285,74,FALSE)</f>
        <v/>
      </c>
      <c r="BR208" s="27" t="str">
        <f>VLOOKUP($A208,'[1]Raw Data'!$A$3:$FB$285,75,FALSE)</f>
        <v/>
      </c>
      <c r="BS208" s="27" t="str">
        <f>VLOOKUP($A208,'[1]Raw Data'!$A$3:$FB$285,76,FALSE)</f>
        <v/>
      </c>
      <c r="BT208" s="27" t="str">
        <f t="shared" si="31"/>
        <v/>
      </c>
      <c r="BU208" s="27" t="str">
        <f>VLOOKUP($A208,'[1]Raw Data'!$A$3:$FB$285,77,FALSE)</f>
        <v/>
      </c>
      <c r="BV208" s="27">
        <f>VLOOKUP($A208,'[1]Raw Data'!$A$3:$FB$285,78,FALSE)</f>
        <v>33554</v>
      </c>
      <c r="BW208" s="27" t="str">
        <f>VLOOKUP($A208,'[1]Raw Data'!$A$3:$FB$285,79,FALSE)</f>
        <v/>
      </c>
      <c r="BX208" s="27" t="str">
        <f t="shared" si="32"/>
        <v/>
      </c>
      <c r="BY208" s="27" t="str">
        <f>VLOOKUP($A208,'[1]Raw Data'!$A$3:$FB$285,80,FALSE)</f>
        <v/>
      </c>
      <c r="BZ208" s="27">
        <f>VLOOKUP($A208,'[1]Raw Data'!$A$3:$FB$285,81,FALSE)</f>
        <v>127446</v>
      </c>
      <c r="CA208" s="27" t="str">
        <f>VLOOKUP($A208,'[1]Raw Data'!$A$3:$FB$285,82,FALSE)</f>
        <v/>
      </c>
      <c r="CB208" s="27" t="str">
        <f t="shared" si="33"/>
        <v/>
      </c>
      <c r="CC208" s="27" t="str">
        <f>VLOOKUP($A208,'[1]Raw Data'!$A$3:$FB$285,83,FALSE)</f>
        <v/>
      </c>
      <c r="CD208" s="27">
        <f>VLOOKUP($A208,'[1]Raw Data'!$A$3:$FB$285,84,FALSE)</f>
        <v>1380</v>
      </c>
      <c r="CE208" s="27" t="str">
        <f>VLOOKUP($A208,'[1]Raw Data'!$A$3:$FB$285,85,FALSE)</f>
        <v/>
      </c>
      <c r="CF208" s="27" t="str">
        <f t="shared" si="34"/>
        <v/>
      </c>
      <c r="CG208" s="27" t="str">
        <f>VLOOKUP($A208,'[1]Raw Data'!$A$3:$FB$285,86,FALSE)</f>
        <v/>
      </c>
      <c r="CH208" s="27">
        <f>VLOOKUP($A208,'[1]Raw Data'!$A$3:$FB$285,87,FALSE)</f>
        <v>559877</v>
      </c>
      <c r="CI208" s="27" t="str">
        <f>VLOOKUP($A208,'[1]Raw Data'!$A$3:$FB$285,88,FALSE)</f>
        <v/>
      </c>
      <c r="CJ208" s="27" t="str">
        <f t="shared" si="35"/>
        <v/>
      </c>
      <c r="CK208" s="27" t="str">
        <f>VLOOKUP($A208,'[1]Raw Data'!$A$3:$FB$285,89,FALSE)</f>
        <v/>
      </c>
      <c r="CL208" s="27" t="str">
        <f>VLOOKUP($A208,'[1]Raw Data'!$A$3:$FB$285,91,FALSE)</f>
        <v/>
      </c>
      <c r="CM208" s="27" t="str">
        <f>VLOOKUP($A208,'[1]Raw Data'!$A$3:$FB$285,93,FALSE)</f>
        <v/>
      </c>
      <c r="CN208" s="27" t="str">
        <f>VLOOKUP($A208,'[1]Raw Data'!$A$3:$FB$285,94,FALSE)</f>
        <v/>
      </c>
      <c r="CO208" s="27" t="str">
        <f>VLOOKUP($A208,'[1]Raw Data'!$A$3:$FB$285,95,FALSE)</f>
        <v/>
      </c>
      <c r="CP208" s="27" t="str">
        <f>VLOOKUP($A208,'[1]Raw Data'!$A$3:$FB$285,96,FALSE)</f>
        <v/>
      </c>
      <c r="CQ208" s="27" t="str">
        <f>VLOOKUP($A208,'[1]Raw Data'!$A$3:$FB$285,97,FALSE)</f>
        <v/>
      </c>
      <c r="CR208" s="27" t="str">
        <f>VLOOKUP($A208,'[1]Raw Data'!$A$3:$FB$285,98,FALSE)</f>
        <v/>
      </c>
      <c r="CS208" s="27" t="str">
        <f>VLOOKUP($A208,'[1]Raw Data'!$A$3:$FB$285,99,FALSE)</f>
        <v/>
      </c>
      <c r="CT208" s="27" t="str">
        <f>VLOOKUP($A208,'[1]Raw Data'!$A$3:$FB$285,101,FALSE)</f>
        <v/>
      </c>
      <c r="CV208" s="27" t="str">
        <f>VLOOKUP($A208,'[1]Raw Data'!$A$3:$FB$285,102,FALSE)</f>
        <v xml:space="preserve">Chairman </v>
      </c>
      <c r="CW208" s="27" t="s">
        <v>878</v>
      </c>
      <c r="CX208" s="27" t="str">
        <f>VLOOKUP($A208,'[1]Raw Data'!$A$3:$FB$285,103,FALSE)</f>
        <v/>
      </c>
      <c r="CY208" s="27" t="str">
        <f>VLOOKUP($A208,'[1]Raw Data'!$A$3:$FB$285,105,FALSE)</f>
        <v/>
      </c>
      <c r="DA208" s="27" t="str">
        <f>VLOOKUP($A208,'[1]Raw Data'!$A$3:$FB$285,106,FALSE)</f>
        <v>Deputy Chairman</v>
      </c>
      <c r="DB208" s="27" t="s">
        <v>879</v>
      </c>
      <c r="DC208" s="27" t="str">
        <f>VLOOKUP($A208,'[1]Raw Data'!$A$3:$FB$285,107,FALSE)</f>
        <v/>
      </c>
      <c r="DD208" s="27" t="str">
        <f>VLOOKUP($A208,'[1]Raw Data'!$A$3:$FB$285,109,FALSE)</f>
        <v/>
      </c>
      <c r="DF208" s="27" t="str">
        <f>VLOOKUP($A208,'[1]Raw Data'!$A$3:$FB$285,110,FALSE)</f>
        <v>Chief Adminstration Officer</v>
      </c>
      <c r="DG208" s="27" t="s">
        <v>880</v>
      </c>
      <c r="DH208" s="27" t="str">
        <f>VLOOKUP($A208,'[1]Raw Data'!$A$3:$FB$285,111,FALSE)</f>
        <v/>
      </c>
      <c r="DI208" s="27" t="str">
        <f>VLOOKUP($A208,'[1]Raw Data'!$A$3:$FB$285,121,FALSE)</f>
        <v>Gauri Sankar Mandal</v>
      </c>
      <c r="DJ208" s="27" t="s">
        <v>1444</v>
      </c>
      <c r="DK208" s="27" t="str">
        <f>VLOOKUP($A208,'[1]Raw Data'!$A$3:$FB$285,122,FALSE)</f>
        <v>Focal Person</v>
      </c>
      <c r="DL208" s="27" t="s">
        <v>881</v>
      </c>
      <c r="DM208" s="27">
        <f>VLOOKUP($A208,'[1]Raw Data'!$A$3:$FB$285,123,FALSE)</f>
        <v>9865330024</v>
      </c>
      <c r="DN208" s="27" t="str">
        <f>VLOOKUP($A208,'[1]Raw Data'!$A$3:$FB$285,113,FALSE)</f>
        <v>Prabin Dhakal</v>
      </c>
      <c r="DO208" s="27" t="s">
        <v>1441</v>
      </c>
      <c r="DP208" s="27" t="str">
        <f>VLOOKUP($A208,'[1]Raw Data'!$A$3:$FB$285,114,FALSE)</f>
        <v>NRA Chief-District</v>
      </c>
      <c r="DQ208" s="27" t="s">
        <v>882</v>
      </c>
      <c r="DR208" s="27">
        <f>VLOOKUP($A208,'[1]Raw Data'!$A$3:$FB$285,115,FALSE)</f>
        <v>9856040060</v>
      </c>
      <c r="DS208" s="27" t="str">
        <f>VLOOKUP($A208,'[1]Raw Data'!$A$3:$FB$285,117,FALSE)</f>
        <v/>
      </c>
      <c r="DU208" s="27" t="str">
        <f>VLOOKUP($A208,'[1]Raw Data'!$A$3:$FB$285,118,FALSE)</f>
        <v>DUDBC.DLPIU Chief</v>
      </c>
      <c r="DV208" s="27" t="s">
        <v>883</v>
      </c>
      <c r="DW208" s="27" t="str">
        <f>VLOOKUP($A208,'[1]Raw Data'!$A$3:$FB$285,119,FALSE)</f>
        <v/>
      </c>
      <c r="DX208" s="27" t="s">
        <v>339</v>
      </c>
      <c r="DY208" s="27" t="str">
        <f>VLOOKUP($A208,'[1]Raw Data'!$A$3:$FB$285,124,FALSE)</f>
        <v/>
      </c>
      <c r="DZ208" s="27" t="s">
        <v>884</v>
      </c>
      <c r="EA208" s="27" t="str">
        <f>VLOOKUP($A208,'[1]Raw Data'!$A$3:$FB$285,125,FALSE)</f>
        <v/>
      </c>
      <c r="EB208" s="27" t="s">
        <v>341</v>
      </c>
      <c r="EC208" s="27" t="str">
        <f>VLOOKUP($A208,'[1]Raw Data'!$A$3:$FB$285,126,FALSE)</f>
        <v/>
      </c>
      <c r="ED208" t="s">
        <v>478</v>
      </c>
      <c r="EE208" s="27" t="str">
        <f>VLOOKUP($A208,'[1]Raw Data'!$A$3:$FB$285,127,FALSE)</f>
        <v/>
      </c>
      <c r="EF208" s="27" t="s">
        <v>343</v>
      </c>
      <c r="EG208" s="27" t="str">
        <f>VLOOKUP($A208,'[1]Raw Data'!$A$3:$FB$285,128,FALSE)</f>
        <v/>
      </c>
      <c r="EH208" t="s">
        <v>344</v>
      </c>
      <c r="EI208" s="27" t="str">
        <f>VLOOKUP($A208,'[1]Raw Data'!$A$3:$FB$285,129,FALSE)</f>
        <v/>
      </c>
      <c r="EM208" s="27" t="str">
        <f>VLOOKUP($A208,'[1]Raw Data'!$A$3:$FB$285,130,FALSE)</f>
        <v/>
      </c>
      <c r="EN208" s="27" t="str">
        <f>VLOOKUP($A208,'[1]Raw Data'!$A$3:$FB$285,131,FALSE)</f>
        <v/>
      </c>
      <c r="EO208" s="27" t="str">
        <f>VLOOKUP($A208,'[1]Raw Data'!$A$3:$FB$285,132,FALSE)</f>
        <v/>
      </c>
      <c r="EP208" s="27" t="str">
        <f>VLOOKUP($A208,'[1]Raw Data'!$A$3:$FB$285,133,FALSE)</f>
        <v/>
      </c>
      <c r="EQ208" s="27" t="str">
        <f>VLOOKUP($A208,'[1]Raw Data'!$A$3:$FB$285,134,FALSE)</f>
        <v/>
      </c>
      <c r="ER208" s="27" t="str">
        <f>VLOOKUP($A208,'[1]Raw Data'!$A$3:$FB$285,135,FALSE)</f>
        <v/>
      </c>
      <c r="ES208" s="27" t="str">
        <f>VLOOKUP($A208,'[1]Raw Data'!$A$3:$FB$285,136,FALSE)</f>
        <v/>
      </c>
      <c r="ET208" s="27" t="str">
        <f>VLOOKUP($A208,'[1]Raw Data'!$A$3:$FB$285,137,FALSE)</f>
        <v/>
      </c>
      <c r="EU208" s="27" t="str">
        <f>VLOOKUP($A208,'[1]Raw Data'!$A$3:$FB$285,138,FALSE)</f>
        <v/>
      </c>
      <c r="EV208" s="27" t="str">
        <f>VLOOKUP($A208,'[1]Raw Data'!$A$3:$FB$285,139,FALSE)</f>
        <v/>
      </c>
      <c r="EW208" s="38">
        <f>VLOOKUP($A208,[1]Training!$A$2:$I$284,5,FALSE)</f>
        <v>49.07692307692308</v>
      </c>
      <c r="EX208" s="31">
        <f>VLOOKUP($A208,[1]Training!$A$2:$I$284,6,FALSE)</f>
        <v>50</v>
      </c>
      <c r="EY208" s="38">
        <f>VLOOKUP($A208,[1]Training!$A$2:$I$284,8,FALSE)</f>
        <v>58</v>
      </c>
      <c r="EZ208" s="31">
        <f>VLOOKUP($A208,[1]Training!$A$2:$I$284,9,FALSE)</f>
        <v>0</v>
      </c>
      <c r="FA208" s="27">
        <v>1</v>
      </c>
      <c r="FB208" s="27">
        <v>2</v>
      </c>
      <c r="FC208" s="27" t="str">
        <f>VLOOKUP($A208,'[1]Raw Data'!$A$3:$FB$285,148,FALSE)</f>
        <v/>
      </c>
      <c r="FE208" s="27" t="str">
        <f>VLOOKUP($A208,'[1]Raw Data'!$A$3:$FB$285,149,FALSE)</f>
        <v>District Coordinator</v>
      </c>
      <c r="FF208" s="27" t="s">
        <v>885</v>
      </c>
      <c r="FG208" s="27" t="str">
        <f>VLOOKUP($A208,'[1]Raw Data'!$A$3:$FB$285,150,FALSE)</f>
        <v/>
      </c>
      <c r="FH208" s="27" t="str">
        <f>VLOOKUP($A208,'[1]Raw Data'!$A$3:$FB$285,156,FALSE)</f>
        <v/>
      </c>
      <c r="FJ208" s="27" t="str">
        <f>VLOOKUP($A208,'[1]Raw Data'!$A$3:$FB$285,157,FALSE)</f>
        <v>District Technical Officer</v>
      </c>
      <c r="FK208" s="27" t="s">
        <v>886</v>
      </c>
      <c r="FL208" s="27" t="str">
        <f>VLOOKUP($A208,'[1]Raw Data'!$A$3:$FB$285,158,FALSE)</f>
        <v/>
      </c>
      <c r="FM208" s="27" t="str">
        <f>VLOOKUP($A208,'[1]Raw Data'!$A$3:$FB$285,152,FALSE)</f>
        <v/>
      </c>
      <c r="FO208" s="27" t="str">
        <f>VLOOKUP($A208,'[1]Raw Data'!$A$3:$FB$285,153,FALSE)</f>
        <v>DIstrict Information Management Officer</v>
      </c>
      <c r="FP208" s="27" t="s">
        <v>887</v>
      </c>
      <c r="FQ208" s="27" t="str">
        <f>VLOOKUP($A208,'[1]Raw Data'!$A$3:$FB$285,154,FALSE)</f>
        <v/>
      </c>
    </row>
    <row r="209" spans="1:173" ht="24" x14ac:dyDescent="0.45">
      <c r="A209" s="27">
        <v>39005</v>
      </c>
      <c r="B209" s="36" t="str">
        <f ca="1">IFERROR(__xludf.DUMMYFUNCTION("""COMPUTED_VALUE"""),"Chapakot Nagarpalika")</f>
        <v>Chapakot Nagarpalika</v>
      </c>
      <c r="C209" s="37" t="str">
        <f>VLOOKUP(A209,'[1]Palika and District in Nepali '!$D$1:$F$283,3,FALSE)</f>
        <v>चापाकोट नगरपालिका</v>
      </c>
      <c r="D209" s="36" t="str">
        <f ca="1">IFERROR(__xludf.DUMMYFUNCTION("""COMPUTED_VALUE"""),"Syangja")</f>
        <v>Syangja</v>
      </c>
      <c r="E209" s="36"/>
      <c r="F209" s="27">
        <f>VLOOKUP(A209,'[1]Raw Data'!$A$3:$FB$285,4,FALSE)</f>
        <v>988</v>
      </c>
      <c r="G209" s="27">
        <f>VLOOKUP(A209,'[1]Raw Data'!$A$3:$FB$285,5,FALSE)</f>
        <v>827</v>
      </c>
      <c r="H209" s="27">
        <f>VLOOKUP(A209,'[1]Raw Data'!$A$3:$FB$285,6,FALSE)</f>
        <v>1815</v>
      </c>
      <c r="I209" s="27">
        <f>VLOOKUP($A209,'[1]Raw Data'!$A$3:$FB$285,8,FALSE)</f>
        <v>0.55000000000000004</v>
      </c>
      <c r="J209" s="27">
        <f>VLOOKUP($A209,'[1]Raw Data'!$A$3:$FB$285,9,FALSE)</f>
        <v>1.88</v>
      </c>
      <c r="K209" s="27">
        <f>VLOOKUP($A209,'[1]Raw Data'!$A$3:$FB$285,11,FALSE)</f>
        <v>72.540000000000006</v>
      </c>
      <c r="L209" s="27">
        <f>VLOOKUP($A209,'[1]Raw Data'!$A$3:$FB$285,12,FALSE)</f>
        <v>89.38</v>
      </c>
      <c r="M209" s="27">
        <f>VLOOKUP($A209,'[1]Raw Data'!$A$3:$FB$285,14,FALSE)</f>
        <v>1.05</v>
      </c>
      <c r="N209" s="27">
        <f>VLOOKUP($A209,'[1]Raw Data'!$A$3:$FB$285,15,FALSE)</f>
        <v>0.66</v>
      </c>
      <c r="O209" s="27">
        <f>VLOOKUP($A209,'[1]Raw Data'!$A$3:$FB$285,17,FALSE)</f>
        <v>21.22</v>
      </c>
      <c r="P209" s="27">
        <f>VLOOKUP($A209,'[1]Raw Data'!$A$3:$FB$285,18,FALSE)</f>
        <v>2.4700000000000002</v>
      </c>
      <c r="Q209" s="27">
        <f>VLOOKUP($A209,'[1]Raw Data'!$A$3:$FB$285,20,FALSE)</f>
        <v>2.6</v>
      </c>
      <c r="R209" s="27">
        <f>VLOOKUP($A209,'[1]Raw Data'!$A$3:$FB$285,21,FALSE)</f>
        <v>0.93</v>
      </c>
      <c r="S209" s="27">
        <f>VLOOKUP($A209,'[1]Raw Data'!$A$3:$FB$285,23,FALSE)</f>
        <v>0</v>
      </c>
      <c r="T209" s="27">
        <f>VLOOKUP($A209,'[1]Raw Data'!$A$3:$FB$285,24,FALSE)</f>
        <v>0</v>
      </c>
      <c r="U209" s="27">
        <f>VLOOKUP($A209,'[1]Raw Data'!$A$3:$FB$285,26,FALSE)</f>
        <v>0</v>
      </c>
      <c r="V209" s="27">
        <f>VLOOKUP($A209,'[1]Raw Data'!$A$3:$FB$285,27,FALSE)</f>
        <v>0.06</v>
      </c>
      <c r="W209" s="27">
        <f>VLOOKUP($A209,'[1]Raw Data'!$A$3:$FB$285,29,FALSE)</f>
        <v>0</v>
      </c>
      <c r="X209" s="27">
        <f>VLOOKUP($A209,'[1]Raw Data'!$A$3:$FB$285,30,FALSE)</f>
        <v>0</v>
      </c>
      <c r="Y209" s="27">
        <f>VLOOKUP($A209,'[1]Raw Data'!$A$3:$FB$285,32,FALSE)</f>
        <v>0.5</v>
      </c>
      <c r="Z209" s="27">
        <f>VLOOKUP($A209,'[1]Raw Data'!$A$3:$FB$285,33,FALSE)</f>
        <v>0.14000000000000001</v>
      </c>
      <c r="AA209" s="27">
        <f>VLOOKUP($A209,'[1]Raw Data'!$A$3:$FB$285,35,FALSE)</f>
        <v>0.77</v>
      </c>
      <c r="AB209" s="27">
        <f>VLOOKUP($A209,'[1]Raw Data'!$A$3:$FB$285,36,FALSE)</f>
        <v>4.37</v>
      </c>
      <c r="AC209" s="27">
        <f>VLOOKUP($A209,'[1]Raw Data'!$A$3:$FB$285,38,FALSE)</f>
        <v>0.77</v>
      </c>
      <c r="AD209" s="27">
        <f>VLOOKUP($A209,'[1]Raw Data'!$A$3:$FB$285,39,FALSE)</f>
        <v>0.14000000000000001</v>
      </c>
      <c r="AE209" s="27">
        <f>VLOOKUP($A209,'[1]Raw Data'!$A$3:$FB$285,41,FALSE)</f>
        <v>0</v>
      </c>
      <c r="AF209" s="27">
        <f>VLOOKUP($A209,'[1]Raw Data'!$A$3:$FB$285,42,FALSE)</f>
        <v>0</v>
      </c>
      <c r="AG209" s="27">
        <f>VLOOKUP($A209,'[1]Raw Data'!$A$3:$FB$285,44,FALSE)</f>
        <v>0</v>
      </c>
      <c r="AH209" s="27">
        <f>VLOOKUP($A209,'[1]Raw Data'!$A$3:$FB$285,45,FALSE)</f>
        <v>0</v>
      </c>
      <c r="AI209" s="27">
        <f>VLOOKUP($A209,'[1]Raw Data'!$A$3:$FB$285,46,FALSE)</f>
        <v>804</v>
      </c>
      <c r="AJ209" s="27">
        <f>VLOOKUP($A209,'[1]Raw Data'!$A$3:$FB$285,47,FALSE)</f>
        <v>765</v>
      </c>
      <c r="AK209" s="27">
        <f>VLOOKUP($A209,'[1]Raw Data'!$A$3:$FB$285,48,FALSE)</f>
        <v>765</v>
      </c>
      <c r="AL209" s="27">
        <f>VLOOKUP($A209,'[1]Raw Data'!$A$3:$FB$285,49,FALSE)</f>
        <v>93</v>
      </c>
      <c r="AM209" s="27">
        <f>VLOOKUP($A209,'[1]Raw Data'!$A$3:$FB$285,50,FALSE)</f>
        <v>0</v>
      </c>
      <c r="AN209" s="27" t="str">
        <f>VLOOKUP($A209,'[1]Raw Data'!$A$3:$FB$285,51,FALSE)</f>
        <v/>
      </c>
      <c r="AO209" s="27" t="str">
        <f>VLOOKUP($A209,'[1]Raw Data'!$A$3:$FB$285,52,FALSE)</f>
        <v/>
      </c>
      <c r="AP209" s="27">
        <f>VLOOKUP($A209,'[1]Raw Data'!$A$3:$FB$285,53,FALSE)</f>
        <v>12</v>
      </c>
      <c r="AQ209" s="27" t="str">
        <f>VLOOKUP($A209,'[1]Raw Data'!$A$3:$FB$285,54,FALSE)</f>
        <v/>
      </c>
      <c r="AR209" s="27" t="str">
        <f>VLOOKUP($A209,'[1]Raw Data'!$A$3:$FB$285,55,FALSE)</f>
        <v/>
      </c>
      <c r="AS209" s="27" t="str">
        <f>VLOOKUP($A209,'[1]Raw Data'!$A$3:$FB$285,56,FALSE)</f>
        <v/>
      </c>
      <c r="AT209" s="27" t="str">
        <f>VLOOKUP($A209,'[1]Raw Data'!$A$3:$FB$285,57,FALSE)</f>
        <v/>
      </c>
      <c r="AU209" s="27" t="str">
        <f>VLOOKUP($A209,'[1]Raw Data'!$A$3:$FB$285,58,FALSE)</f>
        <v/>
      </c>
      <c r="AV209" s="27" t="str">
        <f>VLOOKUP($A209,'[1]Raw Data'!$A$3:$FB$285,59,FALSE)</f>
        <v/>
      </c>
      <c r="AW209" s="27" t="str">
        <f>VLOOKUP($A209,'[1]Raw Data'!$A$3:$FB$285,60,FALSE)</f>
        <v/>
      </c>
      <c r="AX209" s="27" t="str">
        <f>VLOOKUP(A209,'[1]PO''s List'!A207:E489,4,FALSE)</f>
        <v/>
      </c>
      <c r="AZ209" s="27" t="str">
        <f>VLOOKUP(A209,'[1]PO''s List'!$A$3:$E$285,5,FALSE)</f>
        <v/>
      </c>
      <c r="BB209" s="27">
        <f>VLOOKUP($A209,'[1]Raw Data'!$A$3:$FB$285,63,FALSE)</f>
        <v>15259</v>
      </c>
      <c r="BC209" s="27" t="str">
        <f>VLOOKUP($A209,'[1]Raw Data'!$A$3:$FB$285,64,FALSE)</f>
        <v/>
      </c>
      <c r="BD209" s="27" t="str">
        <f t="shared" si="27"/>
        <v/>
      </c>
      <c r="BE209" s="27" t="str">
        <f>VLOOKUP($A209,'[1]Raw Data'!$A$3:$FB$285,65,FALSE)</f>
        <v/>
      </c>
      <c r="BF209" s="27">
        <f>VLOOKUP($A209,'[1]Raw Data'!$A$3:$FB$285,66,FALSE)</f>
        <v>14519</v>
      </c>
      <c r="BG209" s="27" t="str">
        <f>VLOOKUP($A209,'[1]Raw Data'!$A$3:$FB$285,67,FALSE)</f>
        <v/>
      </c>
      <c r="BH209" s="27" t="str">
        <f t="shared" si="28"/>
        <v/>
      </c>
      <c r="BI209" s="27" t="str">
        <f>VLOOKUP($A209,'[1]Raw Data'!$A$3:$FB$285,68,FALSE)</f>
        <v/>
      </c>
      <c r="BJ209" s="27">
        <f>VLOOKUP($A209,'[1]Raw Data'!$A$3:$FB$285,69,FALSE)</f>
        <v>1619</v>
      </c>
      <c r="BK209" s="27" t="str">
        <f>VLOOKUP($A209,'[1]Raw Data'!$A$3:$FB$285,70,FALSE)</f>
        <v/>
      </c>
      <c r="BL209" s="27" t="str">
        <f t="shared" si="29"/>
        <v/>
      </c>
      <c r="BM209" s="27" t="str">
        <f>VLOOKUP($A209,'[1]Raw Data'!$A$3:$FB$285,71,FALSE)</f>
        <v/>
      </c>
      <c r="BN209" s="27">
        <f>VLOOKUP($A209,'[1]Raw Data'!$A$3:$FB$285,72,FALSE)</f>
        <v>1830</v>
      </c>
      <c r="BO209" s="27" t="str">
        <f>VLOOKUP($A209,'[1]Raw Data'!$A$3:$FB$285,73,FALSE)</f>
        <v/>
      </c>
      <c r="BP209" s="27" t="str">
        <f t="shared" si="30"/>
        <v/>
      </c>
      <c r="BQ209" s="27" t="str">
        <f>VLOOKUP($A209,'[1]Raw Data'!$A$3:$FB$285,74,FALSE)</f>
        <v/>
      </c>
      <c r="BR209" s="27" t="str">
        <f>VLOOKUP($A209,'[1]Raw Data'!$A$3:$FB$285,75,FALSE)</f>
        <v/>
      </c>
      <c r="BS209" s="27" t="str">
        <f>VLOOKUP($A209,'[1]Raw Data'!$A$3:$FB$285,76,FALSE)</f>
        <v/>
      </c>
      <c r="BT209" s="27" t="str">
        <f t="shared" si="31"/>
        <v/>
      </c>
      <c r="BU209" s="27" t="str">
        <f>VLOOKUP($A209,'[1]Raw Data'!$A$3:$FB$285,77,FALSE)</f>
        <v/>
      </c>
      <c r="BV209" s="27">
        <f>VLOOKUP($A209,'[1]Raw Data'!$A$3:$FB$285,78,FALSE)</f>
        <v>48455</v>
      </c>
      <c r="BW209" s="27" t="str">
        <f>VLOOKUP($A209,'[1]Raw Data'!$A$3:$FB$285,79,FALSE)</f>
        <v/>
      </c>
      <c r="BX209" s="27" t="str">
        <f t="shared" si="32"/>
        <v/>
      </c>
      <c r="BY209" s="27" t="str">
        <f>VLOOKUP($A209,'[1]Raw Data'!$A$3:$FB$285,80,FALSE)</f>
        <v/>
      </c>
      <c r="BZ209" s="27">
        <f>VLOOKUP($A209,'[1]Raw Data'!$A$3:$FB$285,81,FALSE)</f>
        <v>167338</v>
      </c>
      <c r="CA209" s="27" t="str">
        <f>VLOOKUP($A209,'[1]Raw Data'!$A$3:$FB$285,82,FALSE)</f>
        <v/>
      </c>
      <c r="CB209" s="27" t="str">
        <f t="shared" si="33"/>
        <v/>
      </c>
      <c r="CC209" s="27" t="str">
        <f>VLOOKUP($A209,'[1]Raw Data'!$A$3:$FB$285,83,FALSE)</f>
        <v/>
      </c>
      <c r="CD209" s="27">
        <f>VLOOKUP($A209,'[1]Raw Data'!$A$3:$FB$285,84,FALSE)</f>
        <v>1980</v>
      </c>
      <c r="CE209" s="27" t="str">
        <f>VLOOKUP($A209,'[1]Raw Data'!$A$3:$FB$285,85,FALSE)</f>
        <v/>
      </c>
      <c r="CF209" s="27" t="str">
        <f t="shared" si="34"/>
        <v/>
      </c>
      <c r="CG209" s="27" t="str">
        <f>VLOOKUP($A209,'[1]Raw Data'!$A$3:$FB$285,86,FALSE)</f>
        <v/>
      </c>
      <c r="CH209" s="27">
        <f>VLOOKUP($A209,'[1]Raw Data'!$A$3:$FB$285,87,FALSE)</f>
        <v>258901</v>
      </c>
      <c r="CI209" s="27" t="str">
        <f>VLOOKUP($A209,'[1]Raw Data'!$A$3:$FB$285,88,FALSE)</f>
        <v/>
      </c>
      <c r="CJ209" s="27" t="str">
        <f t="shared" si="35"/>
        <v/>
      </c>
      <c r="CK209" s="27" t="str">
        <f>VLOOKUP($A209,'[1]Raw Data'!$A$3:$FB$285,89,FALSE)</f>
        <v/>
      </c>
      <c r="CL209" s="27" t="str">
        <f>VLOOKUP($A209,'[1]Raw Data'!$A$3:$FB$285,91,FALSE)</f>
        <v/>
      </c>
      <c r="CM209" s="27" t="str">
        <f>VLOOKUP($A209,'[1]Raw Data'!$A$3:$FB$285,93,FALSE)</f>
        <v/>
      </c>
      <c r="CN209" s="27" t="str">
        <f>VLOOKUP($A209,'[1]Raw Data'!$A$3:$FB$285,94,FALSE)</f>
        <v/>
      </c>
      <c r="CO209" s="27" t="str">
        <f>VLOOKUP($A209,'[1]Raw Data'!$A$3:$FB$285,95,FALSE)</f>
        <v/>
      </c>
      <c r="CP209" s="27" t="str">
        <f>VLOOKUP($A209,'[1]Raw Data'!$A$3:$FB$285,96,FALSE)</f>
        <v/>
      </c>
      <c r="CQ209" s="27" t="str">
        <f>VLOOKUP($A209,'[1]Raw Data'!$A$3:$FB$285,97,FALSE)</f>
        <v/>
      </c>
      <c r="CR209" s="27" t="str">
        <f>VLOOKUP($A209,'[1]Raw Data'!$A$3:$FB$285,98,FALSE)</f>
        <v/>
      </c>
      <c r="CS209" s="27" t="str">
        <f>VLOOKUP($A209,'[1]Raw Data'!$A$3:$FB$285,99,FALSE)</f>
        <v/>
      </c>
      <c r="CT209" s="27" t="str">
        <f>VLOOKUP($A209,'[1]Raw Data'!$A$3:$FB$285,101,FALSE)</f>
        <v/>
      </c>
      <c r="CV209" s="27" t="str">
        <f>VLOOKUP($A209,'[1]Raw Data'!$A$3:$FB$285,102,FALSE)</f>
        <v>Mayor</v>
      </c>
      <c r="CW209" s="27" t="s">
        <v>834</v>
      </c>
      <c r="CX209" s="27" t="str">
        <f>VLOOKUP($A209,'[1]Raw Data'!$A$3:$FB$285,103,FALSE)</f>
        <v/>
      </c>
      <c r="CY209" s="27" t="str">
        <f>VLOOKUP($A209,'[1]Raw Data'!$A$3:$FB$285,105,FALSE)</f>
        <v/>
      </c>
      <c r="DA209" s="27" t="str">
        <f>VLOOKUP($A209,'[1]Raw Data'!$A$3:$FB$285,106,FALSE)</f>
        <v>Deputy Mayor</v>
      </c>
      <c r="DB209" s="27" t="s">
        <v>888</v>
      </c>
      <c r="DC209" s="27" t="str">
        <f>VLOOKUP($A209,'[1]Raw Data'!$A$3:$FB$285,107,FALSE)</f>
        <v/>
      </c>
      <c r="DD209" s="27" t="str">
        <f>VLOOKUP($A209,'[1]Raw Data'!$A$3:$FB$285,109,FALSE)</f>
        <v/>
      </c>
      <c r="DF209" s="27" t="str">
        <f>VLOOKUP($A209,'[1]Raw Data'!$A$3:$FB$285,110,FALSE)</f>
        <v>Chief Adminstration Officer</v>
      </c>
      <c r="DG209" s="27" t="s">
        <v>880</v>
      </c>
      <c r="DH209" s="27" t="str">
        <f>VLOOKUP($A209,'[1]Raw Data'!$A$3:$FB$285,111,FALSE)</f>
        <v/>
      </c>
      <c r="DI209" s="27" t="str">
        <f>VLOOKUP($A209,'[1]Raw Data'!$A$3:$FB$285,121,FALSE)</f>
        <v>Ramesh Banjara</v>
      </c>
      <c r="DJ209" s="27" t="s">
        <v>1445</v>
      </c>
      <c r="DK209" s="27" t="str">
        <f>VLOOKUP($A209,'[1]Raw Data'!$A$3:$FB$285,122,FALSE)</f>
        <v>Focal Person</v>
      </c>
      <c r="DL209" s="27" t="s">
        <v>881</v>
      </c>
      <c r="DM209" s="27">
        <f>VLOOKUP($A209,'[1]Raw Data'!$A$3:$FB$285,123,FALSE)</f>
        <v>9846622104</v>
      </c>
      <c r="DN209" s="27" t="str">
        <f>VLOOKUP($A209,'[1]Raw Data'!$A$3:$FB$285,113,FALSE)</f>
        <v>Prabin Dhakal</v>
      </c>
      <c r="DO209" s="27" t="s">
        <v>1441</v>
      </c>
      <c r="DP209" s="27" t="str">
        <f>VLOOKUP($A209,'[1]Raw Data'!$A$3:$FB$285,114,FALSE)</f>
        <v>NRA Chief-District</v>
      </c>
      <c r="DQ209" s="27" t="s">
        <v>882</v>
      </c>
      <c r="DR209" s="27">
        <f>VLOOKUP($A209,'[1]Raw Data'!$A$3:$FB$285,115,FALSE)</f>
        <v>9856040060</v>
      </c>
      <c r="DS209" s="27" t="str">
        <f>VLOOKUP($A209,'[1]Raw Data'!$A$3:$FB$285,117,FALSE)</f>
        <v/>
      </c>
      <c r="DU209" s="27" t="str">
        <f>VLOOKUP($A209,'[1]Raw Data'!$A$3:$FB$285,118,FALSE)</f>
        <v>DUDBC.DLPIU Chief</v>
      </c>
      <c r="DV209" s="27" t="s">
        <v>883</v>
      </c>
      <c r="DW209" s="27" t="str">
        <f>VLOOKUP($A209,'[1]Raw Data'!$A$3:$FB$285,119,FALSE)</f>
        <v/>
      </c>
      <c r="DX209" s="27" t="s">
        <v>339</v>
      </c>
      <c r="DY209" s="27" t="str">
        <f>VLOOKUP($A209,'[1]Raw Data'!$A$3:$FB$285,124,FALSE)</f>
        <v/>
      </c>
      <c r="DZ209" s="27" t="s">
        <v>884</v>
      </c>
      <c r="EA209" s="27" t="str">
        <f>VLOOKUP($A209,'[1]Raw Data'!$A$3:$FB$285,125,FALSE)</f>
        <v/>
      </c>
      <c r="EB209" s="27" t="s">
        <v>341</v>
      </c>
      <c r="EC209" s="27" t="str">
        <f>VLOOKUP($A209,'[1]Raw Data'!$A$3:$FB$285,126,FALSE)</f>
        <v/>
      </c>
      <c r="ED209" t="s">
        <v>478</v>
      </c>
      <c r="EE209" s="27" t="str">
        <f>VLOOKUP($A209,'[1]Raw Data'!$A$3:$FB$285,127,FALSE)</f>
        <v/>
      </c>
      <c r="EF209" s="27" t="s">
        <v>343</v>
      </c>
      <c r="EG209" s="27" t="str">
        <f>VLOOKUP($A209,'[1]Raw Data'!$A$3:$FB$285,128,FALSE)</f>
        <v/>
      </c>
      <c r="EH209" t="s">
        <v>344</v>
      </c>
      <c r="EI209" s="27" t="str">
        <f>VLOOKUP($A209,'[1]Raw Data'!$A$3:$FB$285,129,FALSE)</f>
        <v/>
      </c>
      <c r="EM209" s="27" t="str">
        <f>VLOOKUP($A209,'[1]Raw Data'!$A$3:$FB$285,130,FALSE)</f>
        <v/>
      </c>
      <c r="EN209" s="27" t="str">
        <f>VLOOKUP($A209,'[1]Raw Data'!$A$3:$FB$285,131,FALSE)</f>
        <v/>
      </c>
      <c r="EO209" s="27" t="str">
        <f>VLOOKUP($A209,'[1]Raw Data'!$A$3:$FB$285,132,FALSE)</f>
        <v/>
      </c>
      <c r="EP209" s="27" t="str">
        <f>VLOOKUP($A209,'[1]Raw Data'!$A$3:$FB$285,133,FALSE)</f>
        <v/>
      </c>
      <c r="EQ209" s="27" t="str">
        <f>VLOOKUP($A209,'[1]Raw Data'!$A$3:$FB$285,134,FALSE)</f>
        <v/>
      </c>
      <c r="ER209" s="27" t="str">
        <f>VLOOKUP($A209,'[1]Raw Data'!$A$3:$FB$285,135,FALSE)</f>
        <v/>
      </c>
      <c r="ES209" s="27" t="str">
        <f>VLOOKUP($A209,'[1]Raw Data'!$A$3:$FB$285,136,FALSE)</f>
        <v/>
      </c>
      <c r="ET209" s="27" t="str">
        <f>VLOOKUP($A209,'[1]Raw Data'!$A$3:$FB$285,137,FALSE)</f>
        <v/>
      </c>
      <c r="EU209" s="27" t="str">
        <f>VLOOKUP($A209,'[1]Raw Data'!$A$3:$FB$285,138,FALSE)</f>
        <v/>
      </c>
      <c r="EV209" s="27" t="str">
        <f>VLOOKUP($A209,'[1]Raw Data'!$A$3:$FB$285,139,FALSE)</f>
        <v/>
      </c>
      <c r="EW209" s="38">
        <f>VLOOKUP($A209,[1]Training!$A$2:$I$284,5,FALSE)</f>
        <v>61.846153846153847</v>
      </c>
      <c r="EX209" s="31">
        <f>VLOOKUP($A209,[1]Training!$A$2:$I$284,6,FALSE)</f>
        <v>50</v>
      </c>
      <c r="EY209" s="38">
        <f>VLOOKUP($A209,[1]Training!$A$2:$I$284,8,FALSE)</f>
        <v>73.090909090909093</v>
      </c>
      <c r="EZ209" s="31">
        <f>VLOOKUP($A209,[1]Training!$A$2:$I$284,9,FALSE)</f>
        <v>0</v>
      </c>
      <c r="FA209" s="27">
        <v>1</v>
      </c>
      <c r="FB209" s="27">
        <v>2</v>
      </c>
      <c r="FC209" s="27" t="str">
        <f>VLOOKUP($A209,'[1]Raw Data'!$A$3:$FB$285,148,FALSE)</f>
        <v/>
      </c>
      <c r="FE209" s="27" t="str">
        <f>VLOOKUP($A209,'[1]Raw Data'!$A$3:$FB$285,149,FALSE)</f>
        <v>District Coordinator</v>
      </c>
      <c r="FF209" s="27" t="s">
        <v>885</v>
      </c>
      <c r="FG209" s="27" t="str">
        <f>VLOOKUP($A209,'[1]Raw Data'!$A$3:$FB$285,150,FALSE)</f>
        <v/>
      </c>
      <c r="FH209" s="27" t="str">
        <f>VLOOKUP($A209,'[1]Raw Data'!$A$3:$FB$285,156,FALSE)</f>
        <v/>
      </c>
      <c r="FJ209" s="27" t="str">
        <f>VLOOKUP($A209,'[1]Raw Data'!$A$3:$FB$285,157,FALSE)</f>
        <v>District Technical Officer</v>
      </c>
      <c r="FK209" s="27" t="s">
        <v>886</v>
      </c>
      <c r="FL209" s="27" t="str">
        <f>VLOOKUP($A209,'[1]Raw Data'!$A$3:$FB$285,158,FALSE)</f>
        <v/>
      </c>
      <c r="FM209" s="27" t="str">
        <f>VLOOKUP($A209,'[1]Raw Data'!$A$3:$FB$285,152,FALSE)</f>
        <v/>
      </c>
      <c r="FO209" s="27" t="str">
        <f>VLOOKUP($A209,'[1]Raw Data'!$A$3:$FB$285,153,FALSE)</f>
        <v>DIstrict Information Management Officer</v>
      </c>
      <c r="FP209" s="27" t="s">
        <v>887</v>
      </c>
      <c r="FQ209" s="27" t="str">
        <f>VLOOKUP($A209,'[1]Raw Data'!$A$3:$FB$285,154,FALSE)</f>
        <v/>
      </c>
    </row>
    <row r="210" spans="1:173" ht="24" x14ac:dyDescent="0.45">
      <c r="A210" s="27">
        <v>39006</v>
      </c>
      <c r="B210" s="36" t="str">
        <f ca="1">IFERROR(__xludf.DUMMYFUNCTION("""COMPUTED_VALUE"""),"Galyang Nagarpalika")</f>
        <v>Galyang Nagarpalika</v>
      </c>
      <c r="C210" s="37" t="str">
        <f>VLOOKUP(A210,'[1]Palika and District in Nepali '!$D$1:$F$283,3,FALSE)</f>
        <v>गल्यांङ नगरपालिका</v>
      </c>
      <c r="D210" s="36" t="str">
        <f ca="1">IFERROR(__xludf.DUMMYFUNCTION("""COMPUTED_VALUE"""),"Syangja")</f>
        <v>Syangja</v>
      </c>
      <c r="E210" s="36"/>
      <c r="F210" s="27">
        <f>VLOOKUP(A210,'[1]Raw Data'!$A$3:$FB$285,4,FALSE)</f>
        <v>554</v>
      </c>
      <c r="G210" s="27">
        <f>VLOOKUP(A210,'[1]Raw Data'!$A$3:$FB$285,5,FALSE)</f>
        <v>740</v>
      </c>
      <c r="H210" s="27">
        <f>VLOOKUP(A210,'[1]Raw Data'!$A$3:$FB$285,6,FALSE)</f>
        <v>1294</v>
      </c>
      <c r="I210" s="27">
        <f>VLOOKUP($A210,'[1]Raw Data'!$A$3:$FB$285,8,FALSE)</f>
        <v>0.54</v>
      </c>
      <c r="J210" s="27">
        <f>VLOOKUP($A210,'[1]Raw Data'!$A$3:$FB$285,9,FALSE)</f>
        <v>1.88</v>
      </c>
      <c r="K210" s="27">
        <f>VLOOKUP($A210,'[1]Raw Data'!$A$3:$FB$285,11,FALSE)</f>
        <v>97.6</v>
      </c>
      <c r="L210" s="27">
        <f>VLOOKUP($A210,'[1]Raw Data'!$A$3:$FB$285,12,FALSE)</f>
        <v>89.38</v>
      </c>
      <c r="M210" s="27">
        <f>VLOOKUP($A210,'[1]Raw Data'!$A$3:$FB$285,14,FALSE)</f>
        <v>0.7</v>
      </c>
      <c r="N210" s="27">
        <f>VLOOKUP($A210,'[1]Raw Data'!$A$3:$FB$285,15,FALSE)</f>
        <v>0.66</v>
      </c>
      <c r="O210" s="27">
        <f>VLOOKUP($A210,'[1]Raw Data'!$A$3:$FB$285,17,FALSE)</f>
        <v>0.39</v>
      </c>
      <c r="P210" s="27">
        <f>VLOOKUP($A210,'[1]Raw Data'!$A$3:$FB$285,18,FALSE)</f>
        <v>2.4700000000000002</v>
      </c>
      <c r="Q210" s="27">
        <f>VLOOKUP($A210,'[1]Raw Data'!$A$3:$FB$285,20,FALSE)</f>
        <v>0.46</v>
      </c>
      <c r="R210" s="27">
        <f>VLOOKUP($A210,'[1]Raw Data'!$A$3:$FB$285,21,FALSE)</f>
        <v>0.93</v>
      </c>
      <c r="S210" s="27">
        <f>VLOOKUP($A210,'[1]Raw Data'!$A$3:$FB$285,23,FALSE)</f>
        <v>0</v>
      </c>
      <c r="T210" s="27">
        <f>VLOOKUP($A210,'[1]Raw Data'!$A$3:$FB$285,24,FALSE)</f>
        <v>0</v>
      </c>
      <c r="U210" s="27">
        <f>VLOOKUP($A210,'[1]Raw Data'!$A$3:$FB$285,26,FALSE)</f>
        <v>0.08</v>
      </c>
      <c r="V210" s="27">
        <f>VLOOKUP($A210,'[1]Raw Data'!$A$3:$FB$285,27,FALSE)</f>
        <v>0.06</v>
      </c>
      <c r="W210" s="27">
        <f>VLOOKUP($A210,'[1]Raw Data'!$A$3:$FB$285,29,FALSE)</f>
        <v>0</v>
      </c>
      <c r="X210" s="27">
        <f>VLOOKUP($A210,'[1]Raw Data'!$A$3:$FB$285,30,FALSE)</f>
        <v>0</v>
      </c>
      <c r="Y210" s="27">
        <f>VLOOKUP($A210,'[1]Raw Data'!$A$3:$FB$285,32,FALSE)</f>
        <v>0</v>
      </c>
      <c r="Z210" s="27">
        <f>VLOOKUP($A210,'[1]Raw Data'!$A$3:$FB$285,33,FALSE)</f>
        <v>0.14000000000000001</v>
      </c>
      <c r="AA210" s="27">
        <f>VLOOKUP($A210,'[1]Raw Data'!$A$3:$FB$285,35,FALSE)</f>
        <v>0.23</v>
      </c>
      <c r="AB210" s="27">
        <f>VLOOKUP($A210,'[1]Raw Data'!$A$3:$FB$285,36,FALSE)</f>
        <v>4.37</v>
      </c>
      <c r="AC210" s="27">
        <f>VLOOKUP($A210,'[1]Raw Data'!$A$3:$FB$285,38,FALSE)</f>
        <v>0</v>
      </c>
      <c r="AD210" s="27">
        <f>VLOOKUP($A210,'[1]Raw Data'!$A$3:$FB$285,39,FALSE)</f>
        <v>0.14000000000000001</v>
      </c>
      <c r="AE210" s="27">
        <f>VLOOKUP($A210,'[1]Raw Data'!$A$3:$FB$285,41,FALSE)</f>
        <v>0</v>
      </c>
      <c r="AF210" s="27">
        <f>VLOOKUP($A210,'[1]Raw Data'!$A$3:$FB$285,42,FALSE)</f>
        <v>0</v>
      </c>
      <c r="AG210" s="27">
        <f>VLOOKUP($A210,'[1]Raw Data'!$A$3:$FB$285,44,FALSE)</f>
        <v>0</v>
      </c>
      <c r="AH210" s="27">
        <f>VLOOKUP($A210,'[1]Raw Data'!$A$3:$FB$285,45,FALSE)</f>
        <v>0</v>
      </c>
      <c r="AI210" s="27">
        <f>VLOOKUP($A210,'[1]Raw Data'!$A$3:$FB$285,46,FALSE)</f>
        <v>634</v>
      </c>
      <c r="AJ210" s="27">
        <f>VLOOKUP($A210,'[1]Raw Data'!$A$3:$FB$285,47,FALSE)</f>
        <v>773</v>
      </c>
      <c r="AK210" s="27">
        <f>VLOOKUP($A210,'[1]Raw Data'!$A$3:$FB$285,48,FALSE)</f>
        <v>773</v>
      </c>
      <c r="AL210" s="27">
        <f>VLOOKUP($A210,'[1]Raw Data'!$A$3:$FB$285,49,FALSE)</f>
        <v>55</v>
      </c>
      <c r="AM210" s="27">
        <f>VLOOKUP($A210,'[1]Raw Data'!$A$3:$FB$285,50,FALSE)</f>
        <v>0</v>
      </c>
      <c r="AN210" s="27" t="str">
        <f>VLOOKUP($A210,'[1]Raw Data'!$A$3:$FB$285,51,FALSE)</f>
        <v/>
      </c>
      <c r="AO210" s="27" t="str">
        <f>VLOOKUP($A210,'[1]Raw Data'!$A$3:$FB$285,52,FALSE)</f>
        <v/>
      </c>
      <c r="AP210" s="27">
        <f>VLOOKUP($A210,'[1]Raw Data'!$A$3:$FB$285,53,FALSE)</f>
        <v>101</v>
      </c>
      <c r="AQ210" s="27" t="str">
        <f>VLOOKUP($A210,'[1]Raw Data'!$A$3:$FB$285,54,FALSE)</f>
        <v/>
      </c>
      <c r="AR210" s="27" t="str">
        <f>VLOOKUP($A210,'[1]Raw Data'!$A$3:$FB$285,55,FALSE)</f>
        <v/>
      </c>
      <c r="AS210" s="27" t="str">
        <f>VLOOKUP($A210,'[1]Raw Data'!$A$3:$FB$285,56,FALSE)</f>
        <v/>
      </c>
      <c r="AT210" s="27" t="str">
        <f>VLOOKUP($A210,'[1]Raw Data'!$A$3:$FB$285,57,FALSE)</f>
        <v/>
      </c>
      <c r="AU210" s="27" t="str">
        <f>VLOOKUP($A210,'[1]Raw Data'!$A$3:$FB$285,58,FALSE)</f>
        <v/>
      </c>
      <c r="AV210" s="27" t="str">
        <f>VLOOKUP($A210,'[1]Raw Data'!$A$3:$FB$285,59,FALSE)</f>
        <v/>
      </c>
      <c r="AW210" s="27" t="str">
        <f>VLOOKUP($A210,'[1]Raw Data'!$A$3:$FB$285,60,FALSE)</f>
        <v/>
      </c>
      <c r="AX210" s="27" t="str">
        <f>VLOOKUP(A210,'[1]PO''s List'!A208:E490,4,FALSE)</f>
        <v/>
      </c>
      <c r="AZ210" s="27" t="str">
        <f>VLOOKUP(A210,'[1]PO''s List'!$A$3:$E$285,5,FALSE)</f>
        <v/>
      </c>
      <c r="BB210" s="27">
        <f>VLOOKUP($A210,'[1]Raw Data'!$A$3:$FB$285,63,FALSE)</f>
        <v>22375</v>
      </c>
      <c r="BC210" s="27" t="str">
        <f>VLOOKUP($A210,'[1]Raw Data'!$A$3:$FB$285,64,FALSE)</f>
        <v/>
      </c>
      <c r="BD210" s="27" t="str">
        <f t="shared" si="27"/>
        <v/>
      </c>
      <c r="BE210" s="27" t="str">
        <f>VLOOKUP($A210,'[1]Raw Data'!$A$3:$FB$285,65,FALSE)</f>
        <v/>
      </c>
      <c r="BF210" s="27">
        <f>VLOOKUP($A210,'[1]Raw Data'!$A$3:$FB$285,66,FALSE)</f>
        <v>22198</v>
      </c>
      <c r="BG210" s="27" t="str">
        <f>VLOOKUP($A210,'[1]Raw Data'!$A$3:$FB$285,67,FALSE)</f>
        <v/>
      </c>
      <c r="BH210" s="27" t="str">
        <f t="shared" si="28"/>
        <v/>
      </c>
      <c r="BI210" s="27" t="str">
        <f>VLOOKUP($A210,'[1]Raw Data'!$A$3:$FB$285,68,FALSE)</f>
        <v/>
      </c>
      <c r="BJ210" s="27">
        <f>VLOOKUP($A210,'[1]Raw Data'!$A$3:$FB$285,69,FALSE)</f>
        <v>2384</v>
      </c>
      <c r="BK210" s="27" t="str">
        <f>VLOOKUP($A210,'[1]Raw Data'!$A$3:$FB$285,70,FALSE)</f>
        <v/>
      </c>
      <c r="BL210" s="27" t="str">
        <f t="shared" si="29"/>
        <v/>
      </c>
      <c r="BM210" s="27" t="str">
        <f>VLOOKUP($A210,'[1]Raw Data'!$A$3:$FB$285,71,FALSE)</f>
        <v/>
      </c>
      <c r="BN210" s="27">
        <f>VLOOKUP($A210,'[1]Raw Data'!$A$3:$FB$285,72,FALSE)</f>
        <v>2733</v>
      </c>
      <c r="BO210" s="27" t="str">
        <f>VLOOKUP($A210,'[1]Raw Data'!$A$3:$FB$285,73,FALSE)</f>
        <v/>
      </c>
      <c r="BP210" s="27" t="str">
        <f t="shared" si="30"/>
        <v/>
      </c>
      <c r="BQ210" s="27" t="str">
        <f>VLOOKUP($A210,'[1]Raw Data'!$A$3:$FB$285,74,FALSE)</f>
        <v/>
      </c>
      <c r="BR210" s="27" t="str">
        <f>VLOOKUP($A210,'[1]Raw Data'!$A$3:$FB$285,75,FALSE)</f>
        <v/>
      </c>
      <c r="BS210" s="27" t="str">
        <f>VLOOKUP($A210,'[1]Raw Data'!$A$3:$FB$285,76,FALSE)</f>
        <v/>
      </c>
      <c r="BT210" s="27" t="str">
        <f t="shared" si="31"/>
        <v/>
      </c>
      <c r="BU210" s="27" t="str">
        <f>VLOOKUP($A210,'[1]Raw Data'!$A$3:$FB$285,77,FALSE)</f>
        <v/>
      </c>
      <c r="BV210" s="27">
        <f>VLOOKUP($A210,'[1]Raw Data'!$A$3:$FB$285,78,FALSE)</f>
        <v>75206</v>
      </c>
      <c r="BW210" s="27" t="str">
        <f>VLOOKUP($A210,'[1]Raw Data'!$A$3:$FB$285,79,FALSE)</f>
        <v/>
      </c>
      <c r="BX210" s="27" t="str">
        <f t="shared" si="32"/>
        <v/>
      </c>
      <c r="BY210" s="27" t="str">
        <f>VLOOKUP($A210,'[1]Raw Data'!$A$3:$FB$285,80,FALSE)</f>
        <v/>
      </c>
      <c r="BZ210" s="27">
        <f>VLOOKUP($A210,'[1]Raw Data'!$A$3:$FB$285,81,FALSE)</f>
        <v>245741</v>
      </c>
      <c r="CA210" s="27" t="str">
        <f>VLOOKUP($A210,'[1]Raw Data'!$A$3:$FB$285,82,FALSE)</f>
        <v/>
      </c>
      <c r="CB210" s="27" t="str">
        <f t="shared" si="33"/>
        <v/>
      </c>
      <c r="CC210" s="27" t="str">
        <f>VLOOKUP($A210,'[1]Raw Data'!$A$3:$FB$285,83,FALSE)</f>
        <v/>
      </c>
      <c r="CD210" s="27">
        <f>VLOOKUP($A210,'[1]Raw Data'!$A$3:$FB$285,84,FALSE)</f>
        <v>3082</v>
      </c>
      <c r="CE210" s="27" t="str">
        <f>VLOOKUP($A210,'[1]Raw Data'!$A$3:$FB$285,85,FALSE)</f>
        <v/>
      </c>
      <c r="CF210" s="27" t="str">
        <f t="shared" si="34"/>
        <v/>
      </c>
      <c r="CG210" s="27" t="str">
        <f>VLOOKUP($A210,'[1]Raw Data'!$A$3:$FB$285,86,FALSE)</f>
        <v/>
      </c>
      <c r="CH210" s="27">
        <f>VLOOKUP($A210,'[1]Raw Data'!$A$3:$FB$285,87,FALSE)</f>
        <v>511120</v>
      </c>
      <c r="CI210" s="27" t="str">
        <f>VLOOKUP($A210,'[1]Raw Data'!$A$3:$FB$285,88,FALSE)</f>
        <v/>
      </c>
      <c r="CJ210" s="27" t="str">
        <f t="shared" si="35"/>
        <v/>
      </c>
      <c r="CK210" s="27" t="str">
        <f>VLOOKUP($A210,'[1]Raw Data'!$A$3:$FB$285,89,FALSE)</f>
        <v/>
      </c>
      <c r="CL210" s="27" t="str">
        <f>VLOOKUP($A210,'[1]Raw Data'!$A$3:$FB$285,91,FALSE)</f>
        <v/>
      </c>
      <c r="CM210" s="27" t="str">
        <f>VLOOKUP($A210,'[1]Raw Data'!$A$3:$FB$285,93,FALSE)</f>
        <v/>
      </c>
      <c r="CN210" s="27" t="str">
        <f>VLOOKUP($A210,'[1]Raw Data'!$A$3:$FB$285,94,FALSE)</f>
        <v/>
      </c>
      <c r="CO210" s="27" t="str">
        <f>VLOOKUP($A210,'[1]Raw Data'!$A$3:$FB$285,95,FALSE)</f>
        <v/>
      </c>
      <c r="CP210" s="27" t="str">
        <f>VLOOKUP($A210,'[1]Raw Data'!$A$3:$FB$285,96,FALSE)</f>
        <v/>
      </c>
      <c r="CQ210" s="27" t="str">
        <f>VLOOKUP($A210,'[1]Raw Data'!$A$3:$FB$285,97,FALSE)</f>
        <v/>
      </c>
      <c r="CR210" s="27" t="str">
        <f>VLOOKUP($A210,'[1]Raw Data'!$A$3:$FB$285,98,FALSE)</f>
        <v/>
      </c>
      <c r="CS210" s="27" t="str">
        <f>VLOOKUP($A210,'[1]Raw Data'!$A$3:$FB$285,99,FALSE)</f>
        <v/>
      </c>
      <c r="CT210" s="27" t="str">
        <f>VLOOKUP($A210,'[1]Raw Data'!$A$3:$FB$285,101,FALSE)</f>
        <v/>
      </c>
      <c r="CV210" s="27" t="str">
        <f>VLOOKUP($A210,'[1]Raw Data'!$A$3:$FB$285,102,FALSE)</f>
        <v>Mayor</v>
      </c>
      <c r="CW210" s="27" t="s">
        <v>834</v>
      </c>
      <c r="CX210" s="27" t="str">
        <f>VLOOKUP($A210,'[1]Raw Data'!$A$3:$FB$285,103,FALSE)</f>
        <v/>
      </c>
      <c r="CY210" s="27" t="str">
        <f>VLOOKUP($A210,'[1]Raw Data'!$A$3:$FB$285,105,FALSE)</f>
        <v/>
      </c>
      <c r="DA210" s="27" t="str">
        <f>VLOOKUP($A210,'[1]Raw Data'!$A$3:$FB$285,106,FALSE)</f>
        <v>Deputy Mayor</v>
      </c>
      <c r="DB210" s="27" t="s">
        <v>888</v>
      </c>
      <c r="DC210" s="27" t="str">
        <f>VLOOKUP($A210,'[1]Raw Data'!$A$3:$FB$285,107,FALSE)</f>
        <v/>
      </c>
      <c r="DD210" s="27" t="str">
        <f>VLOOKUP($A210,'[1]Raw Data'!$A$3:$FB$285,109,FALSE)</f>
        <v/>
      </c>
      <c r="DF210" s="27" t="str">
        <f>VLOOKUP($A210,'[1]Raw Data'!$A$3:$FB$285,110,FALSE)</f>
        <v>Chief Adminstration Officer</v>
      </c>
      <c r="DG210" s="27" t="s">
        <v>880</v>
      </c>
      <c r="DH210" s="27" t="str">
        <f>VLOOKUP($A210,'[1]Raw Data'!$A$3:$FB$285,111,FALSE)</f>
        <v/>
      </c>
      <c r="DI210" s="27" t="str">
        <f>VLOOKUP($A210,'[1]Raw Data'!$A$3:$FB$285,121,FALSE)</f>
        <v>Subhas Chadnra Poudel</v>
      </c>
      <c r="DJ210" s="27" t="s">
        <v>1446</v>
      </c>
      <c r="DK210" s="27" t="str">
        <f>VLOOKUP($A210,'[1]Raw Data'!$A$3:$FB$285,122,FALSE)</f>
        <v>Focal Person</v>
      </c>
      <c r="DL210" s="27" t="s">
        <v>881</v>
      </c>
      <c r="DM210" s="27">
        <f>VLOOKUP($A210,'[1]Raw Data'!$A$3:$FB$285,123,FALSE)</f>
        <v>9843417767</v>
      </c>
      <c r="DN210" s="27" t="str">
        <f>VLOOKUP($A210,'[1]Raw Data'!$A$3:$FB$285,113,FALSE)</f>
        <v>Prabin Dhakal</v>
      </c>
      <c r="DO210" s="27" t="s">
        <v>1441</v>
      </c>
      <c r="DP210" s="27" t="str">
        <f>VLOOKUP($A210,'[1]Raw Data'!$A$3:$FB$285,114,FALSE)</f>
        <v>NRA Chief-District</v>
      </c>
      <c r="DQ210" s="27" t="s">
        <v>882</v>
      </c>
      <c r="DR210" s="27">
        <f>VLOOKUP($A210,'[1]Raw Data'!$A$3:$FB$285,115,FALSE)</f>
        <v>9856040060</v>
      </c>
      <c r="DS210" s="27" t="str">
        <f>VLOOKUP($A210,'[1]Raw Data'!$A$3:$FB$285,117,FALSE)</f>
        <v/>
      </c>
      <c r="DU210" s="27" t="str">
        <f>VLOOKUP($A210,'[1]Raw Data'!$A$3:$FB$285,118,FALSE)</f>
        <v>DUDBC.DLPIU Chief</v>
      </c>
      <c r="DV210" s="27" t="s">
        <v>883</v>
      </c>
      <c r="DW210" s="27" t="str">
        <f>VLOOKUP($A210,'[1]Raw Data'!$A$3:$FB$285,119,FALSE)</f>
        <v/>
      </c>
      <c r="DX210" s="27" t="s">
        <v>339</v>
      </c>
      <c r="DY210" s="27" t="str">
        <f>VLOOKUP($A210,'[1]Raw Data'!$A$3:$FB$285,124,FALSE)</f>
        <v/>
      </c>
      <c r="DZ210" s="27" t="s">
        <v>884</v>
      </c>
      <c r="EA210" s="27" t="str">
        <f>VLOOKUP($A210,'[1]Raw Data'!$A$3:$FB$285,125,FALSE)</f>
        <v/>
      </c>
      <c r="EB210" s="27" t="s">
        <v>341</v>
      </c>
      <c r="EC210" s="27" t="str">
        <f>VLOOKUP($A210,'[1]Raw Data'!$A$3:$FB$285,126,FALSE)</f>
        <v/>
      </c>
      <c r="ED210" t="s">
        <v>478</v>
      </c>
      <c r="EE210" s="27" t="str">
        <f>VLOOKUP($A210,'[1]Raw Data'!$A$3:$FB$285,127,FALSE)</f>
        <v/>
      </c>
      <c r="EF210" s="27" t="s">
        <v>343</v>
      </c>
      <c r="EG210" s="27" t="str">
        <f>VLOOKUP($A210,'[1]Raw Data'!$A$3:$FB$285,128,FALSE)</f>
        <v/>
      </c>
      <c r="EH210" t="s">
        <v>344</v>
      </c>
      <c r="EI210" s="27" t="str">
        <f>VLOOKUP($A210,'[1]Raw Data'!$A$3:$FB$285,129,FALSE)</f>
        <v/>
      </c>
      <c r="EM210" s="27" t="str">
        <f>VLOOKUP($A210,'[1]Raw Data'!$A$3:$FB$285,130,FALSE)</f>
        <v/>
      </c>
      <c r="EN210" s="27" t="str">
        <f>VLOOKUP($A210,'[1]Raw Data'!$A$3:$FB$285,131,FALSE)</f>
        <v/>
      </c>
      <c r="EO210" s="27" t="str">
        <f>VLOOKUP($A210,'[1]Raw Data'!$A$3:$FB$285,132,FALSE)</f>
        <v/>
      </c>
      <c r="EP210" s="27" t="str">
        <f>VLOOKUP($A210,'[1]Raw Data'!$A$3:$FB$285,133,FALSE)</f>
        <v/>
      </c>
      <c r="EQ210" s="27" t="str">
        <f>VLOOKUP($A210,'[1]Raw Data'!$A$3:$FB$285,134,FALSE)</f>
        <v/>
      </c>
      <c r="ER210" s="27" t="str">
        <f>VLOOKUP($A210,'[1]Raw Data'!$A$3:$FB$285,135,FALSE)</f>
        <v/>
      </c>
      <c r="ES210" s="27" t="str">
        <f>VLOOKUP($A210,'[1]Raw Data'!$A$3:$FB$285,136,FALSE)</f>
        <v/>
      </c>
      <c r="ET210" s="27" t="str">
        <f>VLOOKUP($A210,'[1]Raw Data'!$A$3:$FB$285,137,FALSE)</f>
        <v/>
      </c>
      <c r="EU210" s="27" t="str">
        <f>VLOOKUP($A210,'[1]Raw Data'!$A$3:$FB$285,138,FALSE)</f>
        <v/>
      </c>
      <c r="EV210" s="27" t="str">
        <f>VLOOKUP($A210,'[1]Raw Data'!$A$3:$FB$285,139,FALSE)</f>
        <v/>
      </c>
      <c r="EW210" s="38">
        <f>VLOOKUP($A210,[1]Training!$A$2:$I$284,5,FALSE)</f>
        <v>48.769230769230766</v>
      </c>
      <c r="EX210" s="31">
        <f>VLOOKUP($A210,[1]Training!$A$2:$I$284,6,FALSE)</f>
        <v>25</v>
      </c>
      <c r="EY210" s="38">
        <f>VLOOKUP($A210,[1]Training!$A$2:$I$284,8,FALSE)</f>
        <v>57.636363636363633</v>
      </c>
      <c r="EZ210" s="31">
        <f>VLOOKUP($A210,[1]Training!$A$2:$I$284,9,FALSE)</f>
        <v>0</v>
      </c>
      <c r="FA210" s="27">
        <v>1</v>
      </c>
      <c r="FB210" s="27">
        <v>2</v>
      </c>
      <c r="FC210" s="27" t="str">
        <f>VLOOKUP($A210,'[1]Raw Data'!$A$3:$FB$285,148,FALSE)</f>
        <v/>
      </c>
      <c r="FE210" s="27" t="str">
        <f>VLOOKUP($A210,'[1]Raw Data'!$A$3:$FB$285,149,FALSE)</f>
        <v>District Coordinator</v>
      </c>
      <c r="FF210" s="27" t="s">
        <v>885</v>
      </c>
      <c r="FG210" s="27" t="str">
        <f>VLOOKUP($A210,'[1]Raw Data'!$A$3:$FB$285,150,FALSE)</f>
        <v/>
      </c>
      <c r="FH210" s="27" t="str">
        <f>VLOOKUP($A210,'[1]Raw Data'!$A$3:$FB$285,156,FALSE)</f>
        <v/>
      </c>
      <c r="FJ210" s="27" t="str">
        <f>VLOOKUP($A210,'[1]Raw Data'!$A$3:$FB$285,157,FALSE)</f>
        <v>District Technical Officer</v>
      </c>
      <c r="FK210" s="27" t="s">
        <v>886</v>
      </c>
      <c r="FL210" s="27" t="str">
        <f>VLOOKUP($A210,'[1]Raw Data'!$A$3:$FB$285,158,FALSE)</f>
        <v/>
      </c>
      <c r="FM210" s="27" t="str">
        <f>VLOOKUP($A210,'[1]Raw Data'!$A$3:$FB$285,152,FALSE)</f>
        <v/>
      </c>
      <c r="FO210" s="27" t="str">
        <f>VLOOKUP($A210,'[1]Raw Data'!$A$3:$FB$285,153,FALSE)</f>
        <v>DIstrict Information Management Officer</v>
      </c>
      <c r="FP210" s="27" t="s">
        <v>887</v>
      </c>
      <c r="FQ210" s="27" t="str">
        <f>VLOOKUP($A210,'[1]Raw Data'!$A$3:$FB$285,154,FALSE)</f>
        <v/>
      </c>
    </row>
    <row r="211" spans="1:173" ht="24" x14ac:dyDescent="0.45">
      <c r="A211" s="27">
        <v>39007</v>
      </c>
      <c r="B211" s="36" t="str">
        <f ca="1">IFERROR(__xludf.DUMMYFUNCTION("""COMPUTED_VALUE"""),"Harinas Gaunpalika")</f>
        <v>Harinas Gaunpalika</v>
      </c>
      <c r="C211" s="37" t="str">
        <f>VLOOKUP(A211,'[1]Palika and District in Nepali '!$D$1:$F$283,3,FALSE)</f>
        <v>हरिनास गाउँपालिका</v>
      </c>
      <c r="D211" s="36" t="str">
        <f ca="1">IFERROR(__xludf.DUMMYFUNCTION("""COMPUTED_VALUE"""),"Syangja")</f>
        <v>Syangja</v>
      </c>
      <c r="E211" s="36"/>
      <c r="F211" s="27">
        <f>VLOOKUP(A211,'[1]Raw Data'!$A$3:$FB$285,4,FALSE)</f>
        <v>465</v>
      </c>
      <c r="G211" s="27">
        <f>VLOOKUP(A211,'[1]Raw Data'!$A$3:$FB$285,5,FALSE)</f>
        <v>447</v>
      </c>
      <c r="H211" s="27">
        <f>VLOOKUP(A211,'[1]Raw Data'!$A$3:$FB$285,6,FALSE)</f>
        <v>912</v>
      </c>
      <c r="I211" s="27">
        <f>VLOOKUP($A211,'[1]Raw Data'!$A$3:$FB$285,8,FALSE)</f>
        <v>0.22</v>
      </c>
      <c r="J211" s="27">
        <f>VLOOKUP($A211,'[1]Raw Data'!$A$3:$FB$285,9,FALSE)</f>
        <v>1.88</v>
      </c>
      <c r="K211" s="27">
        <f>VLOOKUP($A211,'[1]Raw Data'!$A$3:$FB$285,11,FALSE)</f>
        <v>99.23</v>
      </c>
      <c r="L211" s="27">
        <f>VLOOKUP($A211,'[1]Raw Data'!$A$3:$FB$285,12,FALSE)</f>
        <v>89.38</v>
      </c>
      <c r="M211" s="27">
        <f>VLOOKUP($A211,'[1]Raw Data'!$A$3:$FB$285,14,FALSE)</f>
        <v>0.11</v>
      </c>
      <c r="N211" s="27">
        <f>VLOOKUP($A211,'[1]Raw Data'!$A$3:$FB$285,15,FALSE)</f>
        <v>0.66</v>
      </c>
      <c r="O211" s="27">
        <f>VLOOKUP($A211,'[1]Raw Data'!$A$3:$FB$285,17,FALSE)</f>
        <v>0</v>
      </c>
      <c r="P211" s="27">
        <f>VLOOKUP($A211,'[1]Raw Data'!$A$3:$FB$285,18,FALSE)</f>
        <v>2.4700000000000002</v>
      </c>
      <c r="Q211" s="27">
        <f>VLOOKUP($A211,'[1]Raw Data'!$A$3:$FB$285,20,FALSE)</f>
        <v>0.44</v>
      </c>
      <c r="R211" s="27">
        <f>VLOOKUP($A211,'[1]Raw Data'!$A$3:$FB$285,21,FALSE)</f>
        <v>0.93</v>
      </c>
      <c r="S211" s="27">
        <f>VLOOKUP($A211,'[1]Raw Data'!$A$3:$FB$285,23,FALSE)</f>
        <v>0</v>
      </c>
      <c r="T211" s="27">
        <f>VLOOKUP($A211,'[1]Raw Data'!$A$3:$FB$285,24,FALSE)</f>
        <v>0</v>
      </c>
      <c r="U211" s="27">
        <f>VLOOKUP($A211,'[1]Raw Data'!$A$3:$FB$285,26,FALSE)</f>
        <v>0</v>
      </c>
      <c r="V211" s="27">
        <f>VLOOKUP($A211,'[1]Raw Data'!$A$3:$FB$285,27,FALSE)</f>
        <v>0.06</v>
      </c>
      <c r="W211" s="27">
        <f>VLOOKUP($A211,'[1]Raw Data'!$A$3:$FB$285,29,FALSE)</f>
        <v>0</v>
      </c>
      <c r="X211" s="27">
        <f>VLOOKUP($A211,'[1]Raw Data'!$A$3:$FB$285,30,FALSE)</f>
        <v>0</v>
      </c>
      <c r="Y211" s="27">
        <f>VLOOKUP($A211,'[1]Raw Data'!$A$3:$FB$285,32,FALSE)</f>
        <v>0</v>
      </c>
      <c r="Z211" s="27">
        <f>VLOOKUP($A211,'[1]Raw Data'!$A$3:$FB$285,33,FALSE)</f>
        <v>0.14000000000000001</v>
      </c>
      <c r="AA211" s="27">
        <f>VLOOKUP($A211,'[1]Raw Data'!$A$3:$FB$285,35,FALSE)</f>
        <v>0</v>
      </c>
      <c r="AB211" s="27">
        <f>VLOOKUP($A211,'[1]Raw Data'!$A$3:$FB$285,36,FALSE)</f>
        <v>4.37</v>
      </c>
      <c r="AC211" s="27">
        <f>VLOOKUP($A211,'[1]Raw Data'!$A$3:$FB$285,38,FALSE)</f>
        <v>0</v>
      </c>
      <c r="AD211" s="27">
        <f>VLOOKUP($A211,'[1]Raw Data'!$A$3:$FB$285,39,FALSE)</f>
        <v>0.14000000000000001</v>
      </c>
      <c r="AE211" s="27">
        <f>VLOOKUP($A211,'[1]Raw Data'!$A$3:$FB$285,41,FALSE)</f>
        <v>0</v>
      </c>
      <c r="AF211" s="27">
        <f>VLOOKUP($A211,'[1]Raw Data'!$A$3:$FB$285,42,FALSE)</f>
        <v>0</v>
      </c>
      <c r="AG211" s="27">
        <f>VLOOKUP($A211,'[1]Raw Data'!$A$3:$FB$285,44,FALSE)</f>
        <v>0</v>
      </c>
      <c r="AH211" s="27">
        <f>VLOOKUP($A211,'[1]Raw Data'!$A$3:$FB$285,45,FALSE)</f>
        <v>0</v>
      </c>
      <c r="AI211" s="27">
        <f>VLOOKUP($A211,'[1]Raw Data'!$A$3:$FB$285,46,FALSE)</f>
        <v>435</v>
      </c>
      <c r="AJ211" s="27">
        <f>VLOOKUP($A211,'[1]Raw Data'!$A$3:$FB$285,47,FALSE)</f>
        <v>251</v>
      </c>
      <c r="AK211" s="27">
        <f>VLOOKUP($A211,'[1]Raw Data'!$A$3:$FB$285,48,FALSE)</f>
        <v>251</v>
      </c>
      <c r="AL211" s="27">
        <f>VLOOKUP($A211,'[1]Raw Data'!$A$3:$FB$285,49,FALSE)</f>
        <v>20</v>
      </c>
      <c r="AM211" s="27">
        <f>VLOOKUP($A211,'[1]Raw Data'!$A$3:$FB$285,50,FALSE)</f>
        <v>0</v>
      </c>
      <c r="AN211" s="27" t="str">
        <f>VLOOKUP($A211,'[1]Raw Data'!$A$3:$FB$285,51,FALSE)</f>
        <v/>
      </c>
      <c r="AO211" s="27" t="str">
        <f>VLOOKUP($A211,'[1]Raw Data'!$A$3:$FB$285,52,FALSE)</f>
        <v/>
      </c>
      <c r="AP211" s="27">
        <f>VLOOKUP($A211,'[1]Raw Data'!$A$3:$FB$285,53,FALSE)</f>
        <v>1</v>
      </c>
      <c r="AQ211" s="27" t="str">
        <f>VLOOKUP($A211,'[1]Raw Data'!$A$3:$FB$285,54,FALSE)</f>
        <v/>
      </c>
      <c r="AR211" s="27" t="str">
        <f>VLOOKUP($A211,'[1]Raw Data'!$A$3:$FB$285,55,FALSE)</f>
        <v/>
      </c>
      <c r="AS211" s="27" t="str">
        <f>VLOOKUP($A211,'[1]Raw Data'!$A$3:$FB$285,56,FALSE)</f>
        <v/>
      </c>
      <c r="AT211" s="27" t="str">
        <f>VLOOKUP($A211,'[1]Raw Data'!$A$3:$FB$285,57,FALSE)</f>
        <v/>
      </c>
      <c r="AU211" s="27" t="str">
        <f>VLOOKUP($A211,'[1]Raw Data'!$A$3:$FB$285,58,FALSE)</f>
        <v/>
      </c>
      <c r="AV211" s="27" t="str">
        <f>VLOOKUP($A211,'[1]Raw Data'!$A$3:$FB$285,59,FALSE)</f>
        <v/>
      </c>
      <c r="AW211" s="27" t="str">
        <f>VLOOKUP($A211,'[1]Raw Data'!$A$3:$FB$285,60,FALSE)</f>
        <v/>
      </c>
      <c r="AX211" s="27" t="str">
        <f>VLOOKUP(A211,'[1]PO''s List'!A209:E491,4,FALSE)</f>
        <v/>
      </c>
      <c r="AZ211" s="27" t="str">
        <f>VLOOKUP(A211,'[1]PO''s List'!$A$3:$E$285,5,FALSE)</f>
        <v/>
      </c>
      <c r="BB211" s="27">
        <f>VLOOKUP($A211,'[1]Raw Data'!$A$3:$FB$285,63,FALSE)</f>
        <v>7541</v>
      </c>
      <c r="BC211" s="27" t="str">
        <f>VLOOKUP($A211,'[1]Raw Data'!$A$3:$FB$285,64,FALSE)</f>
        <v/>
      </c>
      <c r="BD211" s="27" t="str">
        <f t="shared" si="27"/>
        <v/>
      </c>
      <c r="BE211" s="27" t="str">
        <f>VLOOKUP($A211,'[1]Raw Data'!$A$3:$FB$285,65,FALSE)</f>
        <v/>
      </c>
      <c r="BF211" s="27">
        <f>VLOOKUP($A211,'[1]Raw Data'!$A$3:$FB$285,66,FALSE)</f>
        <v>7422</v>
      </c>
      <c r="BG211" s="27" t="str">
        <f>VLOOKUP($A211,'[1]Raw Data'!$A$3:$FB$285,67,FALSE)</f>
        <v/>
      </c>
      <c r="BH211" s="27" t="str">
        <f t="shared" si="28"/>
        <v/>
      </c>
      <c r="BI211" s="27" t="str">
        <f>VLOOKUP($A211,'[1]Raw Data'!$A$3:$FB$285,68,FALSE)</f>
        <v/>
      </c>
      <c r="BJ211" s="27">
        <f>VLOOKUP($A211,'[1]Raw Data'!$A$3:$FB$285,69,FALSE)</f>
        <v>802</v>
      </c>
      <c r="BK211" s="27" t="str">
        <f>VLOOKUP($A211,'[1]Raw Data'!$A$3:$FB$285,70,FALSE)</f>
        <v/>
      </c>
      <c r="BL211" s="27" t="str">
        <f t="shared" si="29"/>
        <v/>
      </c>
      <c r="BM211" s="27" t="str">
        <f>VLOOKUP($A211,'[1]Raw Data'!$A$3:$FB$285,71,FALSE)</f>
        <v/>
      </c>
      <c r="BN211" s="27">
        <f>VLOOKUP($A211,'[1]Raw Data'!$A$3:$FB$285,72,FALSE)</f>
        <v>914</v>
      </c>
      <c r="BO211" s="27" t="str">
        <f>VLOOKUP($A211,'[1]Raw Data'!$A$3:$FB$285,73,FALSE)</f>
        <v/>
      </c>
      <c r="BP211" s="27" t="str">
        <f t="shared" si="30"/>
        <v/>
      </c>
      <c r="BQ211" s="27" t="str">
        <f>VLOOKUP($A211,'[1]Raw Data'!$A$3:$FB$285,74,FALSE)</f>
        <v/>
      </c>
      <c r="BR211" s="27" t="str">
        <f>VLOOKUP($A211,'[1]Raw Data'!$A$3:$FB$285,75,FALSE)</f>
        <v/>
      </c>
      <c r="BS211" s="27" t="str">
        <f>VLOOKUP($A211,'[1]Raw Data'!$A$3:$FB$285,76,FALSE)</f>
        <v/>
      </c>
      <c r="BT211" s="27" t="str">
        <f t="shared" si="31"/>
        <v/>
      </c>
      <c r="BU211" s="27" t="str">
        <f>VLOOKUP($A211,'[1]Raw Data'!$A$3:$FB$285,77,FALSE)</f>
        <v/>
      </c>
      <c r="BV211" s="27">
        <f>VLOOKUP($A211,'[1]Raw Data'!$A$3:$FB$285,78,FALSE)</f>
        <v>24441</v>
      </c>
      <c r="BW211" s="27" t="str">
        <f>VLOOKUP($A211,'[1]Raw Data'!$A$3:$FB$285,79,FALSE)</f>
        <v/>
      </c>
      <c r="BX211" s="27" t="str">
        <f t="shared" si="32"/>
        <v/>
      </c>
      <c r="BY211" s="27" t="str">
        <f>VLOOKUP($A211,'[1]Raw Data'!$A$3:$FB$285,80,FALSE)</f>
        <v/>
      </c>
      <c r="BZ211" s="27">
        <f>VLOOKUP($A211,'[1]Raw Data'!$A$3:$FB$285,81,FALSE)</f>
        <v>81948</v>
      </c>
      <c r="CA211" s="27" t="str">
        <f>VLOOKUP($A211,'[1]Raw Data'!$A$3:$FB$285,82,FALSE)</f>
        <v/>
      </c>
      <c r="CB211" s="27" t="str">
        <f t="shared" si="33"/>
        <v/>
      </c>
      <c r="CC211" s="27" t="str">
        <f>VLOOKUP($A211,'[1]Raw Data'!$A$3:$FB$285,83,FALSE)</f>
        <v/>
      </c>
      <c r="CD211" s="27">
        <f>VLOOKUP($A211,'[1]Raw Data'!$A$3:$FB$285,84,FALSE)</f>
        <v>997</v>
      </c>
      <c r="CE211" s="27" t="str">
        <f>VLOOKUP($A211,'[1]Raw Data'!$A$3:$FB$285,85,FALSE)</f>
        <v/>
      </c>
      <c r="CF211" s="27" t="str">
        <f t="shared" si="34"/>
        <v/>
      </c>
      <c r="CG211" s="27" t="str">
        <f>VLOOKUP($A211,'[1]Raw Data'!$A$3:$FB$285,86,FALSE)</f>
        <v/>
      </c>
      <c r="CH211" s="27">
        <f>VLOOKUP($A211,'[1]Raw Data'!$A$3:$FB$285,87,FALSE)</f>
        <v>66507</v>
      </c>
      <c r="CI211" s="27" t="str">
        <f>VLOOKUP($A211,'[1]Raw Data'!$A$3:$FB$285,88,FALSE)</f>
        <v/>
      </c>
      <c r="CJ211" s="27" t="str">
        <f t="shared" si="35"/>
        <v/>
      </c>
      <c r="CK211" s="27" t="str">
        <f>VLOOKUP($A211,'[1]Raw Data'!$A$3:$FB$285,89,FALSE)</f>
        <v/>
      </c>
      <c r="CL211" s="27" t="str">
        <f>VLOOKUP($A211,'[1]Raw Data'!$A$3:$FB$285,91,FALSE)</f>
        <v/>
      </c>
      <c r="CM211" s="27" t="str">
        <f>VLOOKUP($A211,'[1]Raw Data'!$A$3:$FB$285,93,FALSE)</f>
        <v/>
      </c>
      <c r="CN211" s="27" t="str">
        <f>VLOOKUP($A211,'[1]Raw Data'!$A$3:$FB$285,94,FALSE)</f>
        <v/>
      </c>
      <c r="CO211" s="27" t="str">
        <f>VLOOKUP($A211,'[1]Raw Data'!$A$3:$FB$285,95,FALSE)</f>
        <v/>
      </c>
      <c r="CP211" s="27" t="str">
        <f>VLOOKUP($A211,'[1]Raw Data'!$A$3:$FB$285,96,FALSE)</f>
        <v/>
      </c>
      <c r="CQ211" s="27" t="str">
        <f>VLOOKUP($A211,'[1]Raw Data'!$A$3:$FB$285,97,FALSE)</f>
        <v/>
      </c>
      <c r="CR211" s="27" t="str">
        <f>VLOOKUP($A211,'[1]Raw Data'!$A$3:$FB$285,98,FALSE)</f>
        <v/>
      </c>
      <c r="CS211" s="27" t="str">
        <f>VLOOKUP($A211,'[1]Raw Data'!$A$3:$FB$285,99,FALSE)</f>
        <v/>
      </c>
      <c r="CT211" s="27" t="str">
        <f>VLOOKUP($A211,'[1]Raw Data'!$A$3:$FB$285,101,FALSE)</f>
        <v/>
      </c>
      <c r="CV211" s="27" t="str">
        <f>VLOOKUP($A211,'[1]Raw Data'!$A$3:$FB$285,102,FALSE)</f>
        <v xml:space="preserve">Chairman </v>
      </c>
      <c r="CW211" s="27" t="s">
        <v>878</v>
      </c>
      <c r="CX211" s="27" t="str">
        <f>VLOOKUP($A211,'[1]Raw Data'!$A$3:$FB$285,103,FALSE)</f>
        <v/>
      </c>
      <c r="CY211" s="27" t="str">
        <f>VLOOKUP($A211,'[1]Raw Data'!$A$3:$FB$285,105,FALSE)</f>
        <v/>
      </c>
      <c r="DA211" s="27" t="str">
        <f>VLOOKUP($A211,'[1]Raw Data'!$A$3:$FB$285,106,FALSE)</f>
        <v>Deputy Chairman</v>
      </c>
      <c r="DB211" s="27" t="s">
        <v>879</v>
      </c>
      <c r="DC211" s="27" t="str">
        <f>VLOOKUP($A211,'[1]Raw Data'!$A$3:$FB$285,107,FALSE)</f>
        <v/>
      </c>
      <c r="DD211" s="27" t="str">
        <f>VLOOKUP($A211,'[1]Raw Data'!$A$3:$FB$285,109,FALSE)</f>
        <v/>
      </c>
      <c r="DF211" s="27" t="str">
        <f>VLOOKUP($A211,'[1]Raw Data'!$A$3:$FB$285,110,FALSE)</f>
        <v>Chief Adminstration Officer</v>
      </c>
      <c r="DG211" s="27" t="s">
        <v>880</v>
      </c>
      <c r="DH211" s="27" t="str">
        <f>VLOOKUP($A211,'[1]Raw Data'!$A$3:$FB$285,111,FALSE)</f>
        <v/>
      </c>
      <c r="DI211" s="27" t="str">
        <f>VLOOKUP($A211,'[1]Raw Data'!$A$3:$FB$285,121,FALSE)</f>
        <v>Nitesh Kumar Thakur</v>
      </c>
      <c r="DJ211" s="27" t="s">
        <v>1447</v>
      </c>
      <c r="DK211" s="27" t="str">
        <f>VLOOKUP($A211,'[1]Raw Data'!$A$3:$FB$285,122,FALSE)</f>
        <v>Focal Person</v>
      </c>
      <c r="DL211" s="27" t="s">
        <v>881</v>
      </c>
      <c r="DM211" s="27">
        <f>VLOOKUP($A211,'[1]Raw Data'!$A$3:$FB$285,123,FALSE)</f>
        <v>9848851450</v>
      </c>
      <c r="DN211" s="27" t="str">
        <f>VLOOKUP($A211,'[1]Raw Data'!$A$3:$FB$285,113,FALSE)</f>
        <v>Prabin Dhakal</v>
      </c>
      <c r="DO211" s="27" t="s">
        <v>1441</v>
      </c>
      <c r="DP211" s="27" t="str">
        <f>VLOOKUP($A211,'[1]Raw Data'!$A$3:$FB$285,114,FALSE)</f>
        <v>NRA Chief-District</v>
      </c>
      <c r="DQ211" s="27" t="s">
        <v>882</v>
      </c>
      <c r="DR211" s="27">
        <f>VLOOKUP($A211,'[1]Raw Data'!$A$3:$FB$285,115,FALSE)</f>
        <v>9856040060</v>
      </c>
      <c r="DS211" s="27" t="str">
        <f>VLOOKUP($A211,'[1]Raw Data'!$A$3:$FB$285,117,FALSE)</f>
        <v/>
      </c>
      <c r="DU211" s="27" t="str">
        <f>VLOOKUP($A211,'[1]Raw Data'!$A$3:$FB$285,118,FALSE)</f>
        <v>DUDBC.DLPIU Chief</v>
      </c>
      <c r="DV211" s="27" t="s">
        <v>883</v>
      </c>
      <c r="DW211" s="27" t="str">
        <f>VLOOKUP($A211,'[1]Raw Data'!$A$3:$FB$285,119,FALSE)</f>
        <v/>
      </c>
      <c r="DX211" s="27" t="s">
        <v>339</v>
      </c>
      <c r="DY211" s="27" t="str">
        <f>VLOOKUP($A211,'[1]Raw Data'!$A$3:$FB$285,124,FALSE)</f>
        <v/>
      </c>
      <c r="DZ211" s="27" t="s">
        <v>884</v>
      </c>
      <c r="EA211" s="27" t="str">
        <f>VLOOKUP($A211,'[1]Raw Data'!$A$3:$FB$285,125,FALSE)</f>
        <v/>
      </c>
      <c r="EB211" s="27" t="s">
        <v>341</v>
      </c>
      <c r="EC211" s="27" t="str">
        <f>VLOOKUP($A211,'[1]Raw Data'!$A$3:$FB$285,126,FALSE)</f>
        <v/>
      </c>
      <c r="ED211" t="s">
        <v>478</v>
      </c>
      <c r="EE211" s="27" t="str">
        <f>VLOOKUP($A211,'[1]Raw Data'!$A$3:$FB$285,127,FALSE)</f>
        <v/>
      </c>
      <c r="EF211" s="27" t="s">
        <v>343</v>
      </c>
      <c r="EG211" s="27" t="str">
        <f>VLOOKUP($A211,'[1]Raw Data'!$A$3:$FB$285,128,FALSE)</f>
        <v/>
      </c>
      <c r="EH211" t="s">
        <v>344</v>
      </c>
      <c r="EI211" s="27" t="str">
        <f>VLOOKUP($A211,'[1]Raw Data'!$A$3:$FB$285,129,FALSE)</f>
        <v/>
      </c>
      <c r="EM211" s="27" t="str">
        <f>VLOOKUP($A211,'[1]Raw Data'!$A$3:$FB$285,130,FALSE)</f>
        <v/>
      </c>
      <c r="EN211" s="27" t="str">
        <f>VLOOKUP($A211,'[1]Raw Data'!$A$3:$FB$285,131,FALSE)</f>
        <v/>
      </c>
      <c r="EO211" s="27" t="str">
        <f>VLOOKUP($A211,'[1]Raw Data'!$A$3:$FB$285,132,FALSE)</f>
        <v/>
      </c>
      <c r="EP211" s="27" t="str">
        <f>VLOOKUP($A211,'[1]Raw Data'!$A$3:$FB$285,133,FALSE)</f>
        <v/>
      </c>
      <c r="EQ211" s="27" t="str">
        <f>VLOOKUP($A211,'[1]Raw Data'!$A$3:$FB$285,134,FALSE)</f>
        <v/>
      </c>
      <c r="ER211" s="27" t="str">
        <f>VLOOKUP($A211,'[1]Raw Data'!$A$3:$FB$285,135,FALSE)</f>
        <v/>
      </c>
      <c r="ES211" s="27" t="str">
        <f>VLOOKUP($A211,'[1]Raw Data'!$A$3:$FB$285,136,FALSE)</f>
        <v/>
      </c>
      <c r="ET211" s="27" t="str">
        <f>VLOOKUP($A211,'[1]Raw Data'!$A$3:$FB$285,137,FALSE)</f>
        <v/>
      </c>
      <c r="EU211" s="27" t="str">
        <f>VLOOKUP($A211,'[1]Raw Data'!$A$3:$FB$285,138,FALSE)</f>
        <v/>
      </c>
      <c r="EV211" s="27" t="str">
        <f>VLOOKUP($A211,'[1]Raw Data'!$A$3:$FB$285,139,FALSE)</f>
        <v/>
      </c>
      <c r="EW211" s="38">
        <f>VLOOKUP($A211,[1]Training!$A$2:$I$284,5,FALSE)</f>
        <v>33.46153846153846</v>
      </c>
      <c r="EX211" s="31">
        <f>VLOOKUP($A211,[1]Training!$A$2:$I$284,6,FALSE)</f>
        <v>25</v>
      </c>
      <c r="EY211" s="38">
        <f>VLOOKUP($A211,[1]Training!$A$2:$I$284,8,FALSE)</f>
        <v>39.545454545454547</v>
      </c>
      <c r="EZ211" s="31">
        <f>VLOOKUP($A211,[1]Training!$A$2:$I$284,9,FALSE)</f>
        <v>0</v>
      </c>
      <c r="FA211" s="27">
        <v>1</v>
      </c>
      <c r="FB211" s="27">
        <v>2</v>
      </c>
      <c r="FC211" s="27" t="str">
        <f>VLOOKUP($A211,'[1]Raw Data'!$A$3:$FB$285,148,FALSE)</f>
        <v/>
      </c>
      <c r="FE211" s="27" t="str">
        <f>VLOOKUP($A211,'[1]Raw Data'!$A$3:$FB$285,149,FALSE)</f>
        <v>District Coordinator</v>
      </c>
      <c r="FF211" s="27" t="s">
        <v>885</v>
      </c>
      <c r="FG211" s="27" t="str">
        <f>VLOOKUP($A211,'[1]Raw Data'!$A$3:$FB$285,150,FALSE)</f>
        <v/>
      </c>
      <c r="FH211" s="27" t="str">
        <f>VLOOKUP($A211,'[1]Raw Data'!$A$3:$FB$285,156,FALSE)</f>
        <v/>
      </c>
      <c r="FJ211" s="27" t="str">
        <f>VLOOKUP($A211,'[1]Raw Data'!$A$3:$FB$285,157,FALSE)</f>
        <v>District Technical Officer</v>
      </c>
      <c r="FK211" s="27" t="s">
        <v>886</v>
      </c>
      <c r="FL211" s="27" t="str">
        <f>VLOOKUP($A211,'[1]Raw Data'!$A$3:$FB$285,158,FALSE)</f>
        <v/>
      </c>
      <c r="FM211" s="27" t="str">
        <f>VLOOKUP($A211,'[1]Raw Data'!$A$3:$FB$285,152,FALSE)</f>
        <v/>
      </c>
      <c r="FO211" s="27" t="str">
        <f>VLOOKUP($A211,'[1]Raw Data'!$A$3:$FB$285,153,FALSE)</f>
        <v>DIstrict Information Management Officer</v>
      </c>
      <c r="FP211" s="27" t="s">
        <v>887</v>
      </c>
      <c r="FQ211" s="27" t="str">
        <f>VLOOKUP($A211,'[1]Raw Data'!$A$3:$FB$285,154,FALSE)</f>
        <v/>
      </c>
    </row>
    <row r="212" spans="1:173" ht="24" x14ac:dyDescent="0.45">
      <c r="A212" s="27">
        <v>39008</v>
      </c>
      <c r="B212" s="36" t="str">
        <f ca="1">IFERROR(__xludf.DUMMYFUNCTION("""COMPUTED_VALUE"""),"Kaligandagi Gaunpalika")</f>
        <v>Kaligandagi Gaunpalika</v>
      </c>
      <c r="C212" s="37" t="str">
        <f>VLOOKUP(A212,'[1]Palika and District in Nepali '!$D$1:$F$283,3,FALSE)</f>
        <v>कालीगण्डकि गाउँपालिका</v>
      </c>
      <c r="D212" s="36" t="str">
        <f ca="1">IFERROR(__xludf.DUMMYFUNCTION("""COMPUTED_VALUE"""),"Syangja")</f>
        <v>Syangja</v>
      </c>
      <c r="E212" s="36"/>
      <c r="F212" s="27">
        <f>VLOOKUP(A212,'[1]Raw Data'!$A$3:$FB$285,4,FALSE)</f>
        <v>257</v>
      </c>
      <c r="G212" s="27">
        <f>VLOOKUP(A212,'[1]Raw Data'!$A$3:$FB$285,5,FALSE)</f>
        <v>495</v>
      </c>
      <c r="H212" s="27">
        <f>VLOOKUP(A212,'[1]Raw Data'!$A$3:$FB$285,6,FALSE)</f>
        <v>752</v>
      </c>
      <c r="I212" s="27">
        <f>VLOOKUP($A212,'[1]Raw Data'!$A$3:$FB$285,8,FALSE)</f>
        <v>0</v>
      </c>
      <c r="J212" s="27">
        <f>VLOOKUP($A212,'[1]Raw Data'!$A$3:$FB$285,9,FALSE)</f>
        <v>1.88</v>
      </c>
      <c r="K212" s="27">
        <f>VLOOKUP($A212,'[1]Raw Data'!$A$3:$FB$285,11,FALSE)</f>
        <v>99.73</v>
      </c>
      <c r="L212" s="27">
        <f>VLOOKUP($A212,'[1]Raw Data'!$A$3:$FB$285,12,FALSE)</f>
        <v>89.38</v>
      </c>
      <c r="M212" s="27">
        <f>VLOOKUP($A212,'[1]Raw Data'!$A$3:$FB$285,14,FALSE)</f>
        <v>0</v>
      </c>
      <c r="N212" s="27">
        <f>VLOOKUP($A212,'[1]Raw Data'!$A$3:$FB$285,15,FALSE)</f>
        <v>0.66</v>
      </c>
      <c r="O212" s="27">
        <f>VLOOKUP($A212,'[1]Raw Data'!$A$3:$FB$285,17,FALSE)</f>
        <v>0</v>
      </c>
      <c r="P212" s="27">
        <f>VLOOKUP($A212,'[1]Raw Data'!$A$3:$FB$285,18,FALSE)</f>
        <v>2.4700000000000002</v>
      </c>
      <c r="Q212" s="27">
        <f>VLOOKUP($A212,'[1]Raw Data'!$A$3:$FB$285,20,FALSE)</f>
        <v>0.13</v>
      </c>
      <c r="R212" s="27">
        <f>VLOOKUP($A212,'[1]Raw Data'!$A$3:$FB$285,21,FALSE)</f>
        <v>0.93</v>
      </c>
      <c r="S212" s="27">
        <f>VLOOKUP($A212,'[1]Raw Data'!$A$3:$FB$285,23,FALSE)</f>
        <v>0</v>
      </c>
      <c r="T212" s="27">
        <f>VLOOKUP($A212,'[1]Raw Data'!$A$3:$FB$285,24,FALSE)</f>
        <v>0</v>
      </c>
      <c r="U212" s="27">
        <f>VLOOKUP($A212,'[1]Raw Data'!$A$3:$FB$285,26,FALSE)</f>
        <v>0</v>
      </c>
      <c r="V212" s="27">
        <f>VLOOKUP($A212,'[1]Raw Data'!$A$3:$FB$285,27,FALSE)</f>
        <v>0.06</v>
      </c>
      <c r="W212" s="27">
        <f>VLOOKUP($A212,'[1]Raw Data'!$A$3:$FB$285,29,FALSE)</f>
        <v>0</v>
      </c>
      <c r="X212" s="27">
        <f>VLOOKUP($A212,'[1]Raw Data'!$A$3:$FB$285,30,FALSE)</f>
        <v>0</v>
      </c>
      <c r="Y212" s="27">
        <f>VLOOKUP($A212,'[1]Raw Data'!$A$3:$FB$285,32,FALSE)</f>
        <v>0</v>
      </c>
      <c r="Z212" s="27">
        <f>VLOOKUP($A212,'[1]Raw Data'!$A$3:$FB$285,33,FALSE)</f>
        <v>0.14000000000000001</v>
      </c>
      <c r="AA212" s="27">
        <f>VLOOKUP($A212,'[1]Raw Data'!$A$3:$FB$285,35,FALSE)</f>
        <v>0.13</v>
      </c>
      <c r="AB212" s="27">
        <f>VLOOKUP($A212,'[1]Raw Data'!$A$3:$FB$285,36,FALSE)</f>
        <v>4.37</v>
      </c>
      <c r="AC212" s="27">
        <f>VLOOKUP($A212,'[1]Raw Data'!$A$3:$FB$285,38,FALSE)</f>
        <v>0</v>
      </c>
      <c r="AD212" s="27">
        <f>VLOOKUP($A212,'[1]Raw Data'!$A$3:$FB$285,39,FALSE)</f>
        <v>0.14000000000000001</v>
      </c>
      <c r="AE212" s="27">
        <f>VLOOKUP($A212,'[1]Raw Data'!$A$3:$FB$285,41,FALSE)</f>
        <v>0</v>
      </c>
      <c r="AF212" s="27">
        <f>VLOOKUP($A212,'[1]Raw Data'!$A$3:$FB$285,42,FALSE)</f>
        <v>0</v>
      </c>
      <c r="AG212" s="27">
        <f>VLOOKUP($A212,'[1]Raw Data'!$A$3:$FB$285,44,FALSE)</f>
        <v>0</v>
      </c>
      <c r="AH212" s="27">
        <f>VLOOKUP($A212,'[1]Raw Data'!$A$3:$FB$285,45,FALSE)</f>
        <v>0</v>
      </c>
      <c r="AI212" s="27">
        <f>VLOOKUP($A212,'[1]Raw Data'!$A$3:$FB$285,46,FALSE)</f>
        <v>493</v>
      </c>
      <c r="AJ212" s="27">
        <f>VLOOKUP($A212,'[1]Raw Data'!$A$3:$FB$285,47,FALSE)</f>
        <v>324</v>
      </c>
      <c r="AK212" s="27">
        <f>VLOOKUP($A212,'[1]Raw Data'!$A$3:$FB$285,48,FALSE)</f>
        <v>324</v>
      </c>
      <c r="AL212" s="27">
        <f>VLOOKUP($A212,'[1]Raw Data'!$A$3:$FB$285,49,FALSE)</f>
        <v>8</v>
      </c>
      <c r="AM212" s="27">
        <f>VLOOKUP($A212,'[1]Raw Data'!$A$3:$FB$285,50,FALSE)</f>
        <v>0</v>
      </c>
      <c r="AN212" s="27" t="str">
        <f>VLOOKUP($A212,'[1]Raw Data'!$A$3:$FB$285,51,FALSE)</f>
        <v/>
      </c>
      <c r="AO212" s="27" t="str">
        <f>VLOOKUP($A212,'[1]Raw Data'!$A$3:$FB$285,52,FALSE)</f>
        <v/>
      </c>
      <c r="AP212" s="27">
        <f>VLOOKUP($A212,'[1]Raw Data'!$A$3:$FB$285,53,FALSE)</f>
        <v>2</v>
      </c>
      <c r="AQ212" s="27" t="str">
        <f>VLOOKUP($A212,'[1]Raw Data'!$A$3:$FB$285,54,FALSE)</f>
        <v/>
      </c>
      <c r="AR212" s="27" t="str">
        <f>VLOOKUP($A212,'[1]Raw Data'!$A$3:$FB$285,55,FALSE)</f>
        <v/>
      </c>
      <c r="AS212" s="27" t="str">
        <f>VLOOKUP($A212,'[1]Raw Data'!$A$3:$FB$285,56,FALSE)</f>
        <v/>
      </c>
      <c r="AT212" s="27" t="str">
        <f>VLOOKUP($A212,'[1]Raw Data'!$A$3:$FB$285,57,FALSE)</f>
        <v/>
      </c>
      <c r="AU212" s="27" t="str">
        <f>VLOOKUP($A212,'[1]Raw Data'!$A$3:$FB$285,58,FALSE)</f>
        <v/>
      </c>
      <c r="AV212" s="27" t="str">
        <f>VLOOKUP($A212,'[1]Raw Data'!$A$3:$FB$285,59,FALSE)</f>
        <v/>
      </c>
      <c r="AW212" s="27" t="str">
        <f>VLOOKUP($A212,'[1]Raw Data'!$A$3:$FB$285,60,FALSE)</f>
        <v/>
      </c>
      <c r="AX212" s="27" t="str">
        <f>VLOOKUP(A212,'[1]PO''s List'!A210:E492,4,FALSE)</f>
        <v/>
      </c>
      <c r="AZ212" s="27" t="str">
        <f>VLOOKUP(A212,'[1]PO''s List'!$A$3:$E$285,5,FALSE)</f>
        <v/>
      </c>
      <c r="BB212" s="27">
        <f>VLOOKUP($A212,'[1]Raw Data'!$A$3:$FB$285,63,FALSE)</f>
        <v>9136</v>
      </c>
      <c r="BC212" s="27" t="str">
        <f>VLOOKUP($A212,'[1]Raw Data'!$A$3:$FB$285,64,FALSE)</f>
        <v/>
      </c>
      <c r="BD212" s="27" t="str">
        <f t="shared" si="27"/>
        <v/>
      </c>
      <c r="BE212" s="27" t="str">
        <f>VLOOKUP($A212,'[1]Raw Data'!$A$3:$FB$285,65,FALSE)</f>
        <v/>
      </c>
      <c r="BF212" s="27">
        <f>VLOOKUP($A212,'[1]Raw Data'!$A$3:$FB$285,66,FALSE)</f>
        <v>9648</v>
      </c>
      <c r="BG212" s="27" t="str">
        <f>VLOOKUP($A212,'[1]Raw Data'!$A$3:$FB$285,67,FALSE)</f>
        <v/>
      </c>
      <c r="BH212" s="27" t="str">
        <f t="shared" si="28"/>
        <v/>
      </c>
      <c r="BI212" s="27" t="str">
        <f>VLOOKUP($A212,'[1]Raw Data'!$A$3:$FB$285,68,FALSE)</f>
        <v/>
      </c>
      <c r="BJ212" s="27">
        <f>VLOOKUP($A212,'[1]Raw Data'!$A$3:$FB$285,69,FALSE)</f>
        <v>978</v>
      </c>
      <c r="BK212" s="27" t="str">
        <f>VLOOKUP($A212,'[1]Raw Data'!$A$3:$FB$285,70,FALSE)</f>
        <v/>
      </c>
      <c r="BL212" s="27" t="str">
        <f t="shared" si="29"/>
        <v/>
      </c>
      <c r="BM212" s="27" t="str">
        <f>VLOOKUP($A212,'[1]Raw Data'!$A$3:$FB$285,71,FALSE)</f>
        <v/>
      </c>
      <c r="BN212" s="27">
        <f>VLOOKUP($A212,'[1]Raw Data'!$A$3:$FB$285,72,FALSE)</f>
        <v>1137</v>
      </c>
      <c r="BO212" s="27" t="str">
        <f>VLOOKUP($A212,'[1]Raw Data'!$A$3:$FB$285,73,FALSE)</f>
        <v/>
      </c>
      <c r="BP212" s="27" t="str">
        <f t="shared" si="30"/>
        <v/>
      </c>
      <c r="BQ212" s="27" t="str">
        <f>VLOOKUP($A212,'[1]Raw Data'!$A$3:$FB$285,74,FALSE)</f>
        <v/>
      </c>
      <c r="BR212" s="27" t="str">
        <f>VLOOKUP($A212,'[1]Raw Data'!$A$3:$FB$285,75,FALSE)</f>
        <v/>
      </c>
      <c r="BS212" s="27" t="str">
        <f>VLOOKUP($A212,'[1]Raw Data'!$A$3:$FB$285,76,FALSE)</f>
        <v/>
      </c>
      <c r="BT212" s="27" t="str">
        <f t="shared" si="31"/>
        <v/>
      </c>
      <c r="BU212" s="27" t="str">
        <f>VLOOKUP($A212,'[1]Raw Data'!$A$3:$FB$285,77,FALSE)</f>
        <v/>
      </c>
      <c r="BV212" s="27">
        <f>VLOOKUP($A212,'[1]Raw Data'!$A$3:$FB$285,78,FALSE)</f>
        <v>31729</v>
      </c>
      <c r="BW212" s="27" t="str">
        <f>VLOOKUP($A212,'[1]Raw Data'!$A$3:$FB$285,79,FALSE)</f>
        <v/>
      </c>
      <c r="BX212" s="27" t="str">
        <f t="shared" si="32"/>
        <v/>
      </c>
      <c r="BY212" s="27" t="str">
        <f>VLOOKUP($A212,'[1]Raw Data'!$A$3:$FB$285,80,FALSE)</f>
        <v/>
      </c>
      <c r="BZ212" s="27">
        <f>VLOOKUP($A212,'[1]Raw Data'!$A$3:$FB$285,81,FALSE)</f>
        <v>98360</v>
      </c>
      <c r="CA212" s="27" t="str">
        <f>VLOOKUP($A212,'[1]Raw Data'!$A$3:$FB$285,82,FALSE)</f>
        <v/>
      </c>
      <c r="CB212" s="27" t="str">
        <f t="shared" si="33"/>
        <v/>
      </c>
      <c r="CC212" s="27" t="str">
        <f>VLOOKUP($A212,'[1]Raw Data'!$A$3:$FB$285,83,FALSE)</f>
        <v/>
      </c>
      <c r="CD212" s="27">
        <f>VLOOKUP($A212,'[1]Raw Data'!$A$3:$FB$285,84,FALSE)</f>
        <v>1296</v>
      </c>
      <c r="CE212" s="27" t="str">
        <f>VLOOKUP($A212,'[1]Raw Data'!$A$3:$FB$285,85,FALSE)</f>
        <v/>
      </c>
      <c r="CF212" s="27" t="str">
        <f t="shared" si="34"/>
        <v/>
      </c>
      <c r="CG212" s="27" t="str">
        <f>VLOOKUP($A212,'[1]Raw Data'!$A$3:$FB$285,86,FALSE)</f>
        <v/>
      </c>
      <c r="CH212" s="27">
        <f>VLOOKUP($A212,'[1]Raw Data'!$A$3:$FB$285,87,FALSE)</f>
        <v>40533</v>
      </c>
      <c r="CI212" s="27" t="str">
        <f>VLOOKUP($A212,'[1]Raw Data'!$A$3:$FB$285,88,FALSE)</f>
        <v/>
      </c>
      <c r="CJ212" s="27" t="str">
        <f t="shared" si="35"/>
        <v/>
      </c>
      <c r="CK212" s="27" t="str">
        <f>VLOOKUP($A212,'[1]Raw Data'!$A$3:$FB$285,89,FALSE)</f>
        <v/>
      </c>
      <c r="CL212" s="27" t="str">
        <f>VLOOKUP($A212,'[1]Raw Data'!$A$3:$FB$285,91,FALSE)</f>
        <v/>
      </c>
      <c r="CM212" s="27" t="str">
        <f>VLOOKUP($A212,'[1]Raw Data'!$A$3:$FB$285,93,FALSE)</f>
        <v/>
      </c>
      <c r="CN212" s="27" t="str">
        <f>VLOOKUP($A212,'[1]Raw Data'!$A$3:$FB$285,94,FALSE)</f>
        <v/>
      </c>
      <c r="CO212" s="27" t="str">
        <f>VLOOKUP($A212,'[1]Raw Data'!$A$3:$FB$285,95,FALSE)</f>
        <v/>
      </c>
      <c r="CP212" s="27" t="str">
        <f>VLOOKUP($A212,'[1]Raw Data'!$A$3:$FB$285,96,FALSE)</f>
        <v/>
      </c>
      <c r="CQ212" s="27" t="str">
        <f>VLOOKUP($A212,'[1]Raw Data'!$A$3:$FB$285,97,FALSE)</f>
        <v/>
      </c>
      <c r="CR212" s="27" t="str">
        <f>VLOOKUP($A212,'[1]Raw Data'!$A$3:$FB$285,98,FALSE)</f>
        <v/>
      </c>
      <c r="CS212" s="27" t="str">
        <f>VLOOKUP($A212,'[1]Raw Data'!$A$3:$FB$285,99,FALSE)</f>
        <v/>
      </c>
      <c r="CT212" s="27" t="str">
        <f>VLOOKUP($A212,'[1]Raw Data'!$A$3:$FB$285,101,FALSE)</f>
        <v/>
      </c>
      <c r="CV212" s="27" t="str">
        <f>VLOOKUP($A212,'[1]Raw Data'!$A$3:$FB$285,102,FALSE)</f>
        <v xml:space="preserve">Chairman </v>
      </c>
      <c r="CW212" s="27" t="s">
        <v>878</v>
      </c>
      <c r="CX212" s="27" t="str">
        <f>VLOOKUP($A212,'[1]Raw Data'!$A$3:$FB$285,103,FALSE)</f>
        <v/>
      </c>
      <c r="CY212" s="27" t="str">
        <f>VLOOKUP($A212,'[1]Raw Data'!$A$3:$FB$285,105,FALSE)</f>
        <v/>
      </c>
      <c r="DA212" s="27" t="str">
        <f>VLOOKUP($A212,'[1]Raw Data'!$A$3:$FB$285,106,FALSE)</f>
        <v>Deputy Chairman</v>
      </c>
      <c r="DB212" s="27" t="s">
        <v>879</v>
      </c>
      <c r="DC212" s="27" t="str">
        <f>VLOOKUP($A212,'[1]Raw Data'!$A$3:$FB$285,107,FALSE)</f>
        <v/>
      </c>
      <c r="DD212" s="27" t="str">
        <f>VLOOKUP($A212,'[1]Raw Data'!$A$3:$FB$285,109,FALSE)</f>
        <v/>
      </c>
      <c r="DF212" s="27" t="str">
        <f>VLOOKUP($A212,'[1]Raw Data'!$A$3:$FB$285,110,FALSE)</f>
        <v>Chief Adminstration Officer</v>
      </c>
      <c r="DG212" s="27" t="s">
        <v>880</v>
      </c>
      <c r="DH212" s="27" t="str">
        <f>VLOOKUP($A212,'[1]Raw Data'!$A$3:$FB$285,111,FALSE)</f>
        <v/>
      </c>
      <c r="DI212" s="27" t="str">
        <f>VLOOKUP($A212,'[1]Raw Data'!$A$3:$FB$285,121,FALSE)</f>
        <v>Resham Aryal</v>
      </c>
      <c r="DJ212" s="27" t="s">
        <v>1448</v>
      </c>
      <c r="DK212" s="27" t="str">
        <f>VLOOKUP($A212,'[1]Raw Data'!$A$3:$FB$285,122,FALSE)</f>
        <v>Focal Person</v>
      </c>
      <c r="DL212" s="27" t="s">
        <v>881</v>
      </c>
      <c r="DM212" s="27">
        <f>VLOOKUP($A212,'[1]Raw Data'!$A$3:$FB$285,123,FALSE)</f>
        <v>9846658004</v>
      </c>
      <c r="DN212" s="27" t="str">
        <f>VLOOKUP($A212,'[1]Raw Data'!$A$3:$FB$285,113,FALSE)</f>
        <v>Prabin Dhakal</v>
      </c>
      <c r="DO212" s="27" t="s">
        <v>1441</v>
      </c>
      <c r="DP212" s="27" t="str">
        <f>VLOOKUP($A212,'[1]Raw Data'!$A$3:$FB$285,114,FALSE)</f>
        <v>NRA Chief-District</v>
      </c>
      <c r="DQ212" s="27" t="s">
        <v>882</v>
      </c>
      <c r="DR212" s="27">
        <f>VLOOKUP($A212,'[1]Raw Data'!$A$3:$FB$285,115,FALSE)</f>
        <v>9856040060</v>
      </c>
      <c r="DS212" s="27" t="str">
        <f>VLOOKUP($A212,'[1]Raw Data'!$A$3:$FB$285,117,FALSE)</f>
        <v/>
      </c>
      <c r="DU212" s="27" t="str">
        <f>VLOOKUP($A212,'[1]Raw Data'!$A$3:$FB$285,118,FALSE)</f>
        <v>DUDBC.DLPIU Chief</v>
      </c>
      <c r="DV212" s="27" t="s">
        <v>883</v>
      </c>
      <c r="DW212" s="27" t="str">
        <f>VLOOKUP($A212,'[1]Raw Data'!$A$3:$FB$285,119,FALSE)</f>
        <v/>
      </c>
      <c r="DX212" s="27" t="s">
        <v>339</v>
      </c>
      <c r="DY212" s="27" t="str">
        <f>VLOOKUP($A212,'[1]Raw Data'!$A$3:$FB$285,124,FALSE)</f>
        <v/>
      </c>
      <c r="DZ212" s="27" t="s">
        <v>884</v>
      </c>
      <c r="EA212" s="27" t="str">
        <f>VLOOKUP($A212,'[1]Raw Data'!$A$3:$FB$285,125,FALSE)</f>
        <v/>
      </c>
      <c r="EB212" s="27" t="s">
        <v>341</v>
      </c>
      <c r="EC212" s="27" t="str">
        <f>VLOOKUP($A212,'[1]Raw Data'!$A$3:$FB$285,126,FALSE)</f>
        <v/>
      </c>
      <c r="ED212" t="s">
        <v>478</v>
      </c>
      <c r="EE212" s="27" t="str">
        <f>VLOOKUP($A212,'[1]Raw Data'!$A$3:$FB$285,127,FALSE)</f>
        <v/>
      </c>
      <c r="EF212" s="27" t="s">
        <v>343</v>
      </c>
      <c r="EG212" s="27" t="str">
        <f>VLOOKUP($A212,'[1]Raw Data'!$A$3:$FB$285,128,FALSE)</f>
        <v/>
      </c>
      <c r="EH212" t="s">
        <v>344</v>
      </c>
      <c r="EI212" s="27" t="str">
        <f>VLOOKUP($A212,'[1]Raw Data'!$A$3:$FB$285,129,FALSE)</f>
        <v/>
      </c>
      <c r="EM212" s="27" t="str">
        <f>VLOOKUP($A212,'[1]Raw Data'!$A$3:$FB$285,130,FALSE)</f>
        <v/>
      </c>
      <c r="EN212" s="27" t="str">
        <f>VLOOKUP($A212,'[1]Raw Data'!$A$3:$FB$285,131,FALSE)</f>
        <v/>
      </c>
      <c r="EO212" s="27" t="str">
        <f>VLOOKUP($A212,'[1]Raw Data'!$A$3:$FB$285,132,FALSE)</f>
        <v/>
      </c>
      <c r="EP212" s="27" t="str">
        <f>VLOOKUP($A212,'[1]Raw Data'!$A$3:$FB$285,133,FALSE)</f>
        <v/>
      </c>
      <c r="EQ212" s="27" t="str">
        <f>VLOOKUP($A212,'[1]Raw Data'!$A$3:$FB$285,134,FALSE)</f>
        <v/>
      </c>
      <c r="ER212" s="27" t="str">
        <f>VLOOKUP($A212,'[1]Raw Data'!$A$3:$FB$285,135,FALSE)</f>
        <v/>
      </c>
      <c r="ES212" s="27" t="str">
        <f>VLOOKUP($A212,'[1]Raw Data'!$A$3:$FB$285,136,FALSE)</f>
        <v/>
      </c>
      <c r="ET212" s="27" t="str">
        <f>VLOOKUP($A212,'[1]Raw Data'!$A$3:$FB$285,137,FALSE)</f>
        <v/>
      </c>
      <c r="EU212" s="27" t="str">
        <f>VLOOKUP($A212,'[1]Raw Data'!$A$3:$FB$285,138,FALSE)</f>
        <v/>
      </c>
      <c r="EV212" s="27" t="str">
        <f>VLOOKUP($A212,'[1]Raw Data'!$A$3:$FB$285,139,FALSE)</f>
        <v/>
      </c>
      <c r="EW212" s="38">
        <f>VLOOKUP($A212,[1]Training!$A$2:$I$284,5,FALSE)</f>
        <v>37.92307692307692</v>
      </c>
      <c r="EX212" s="31">
        <f>VLOOKUP($A212,[1]Training!$A$2:$I$284,6,FALSE)</f>
        <v>50</v>
      </c>
      <c r="EY212" s="38">
        <f>VLOOKUP($A212,[1]Training!$A$2:$I$284,8,FALSE)</f>
        <v>44.81818181818182</v>
      </c>
      <c r="EZ212" s="31">
        <f>VLOOKUP($A212,[1]Training!$A$2:$I$284,9,FALSE)</f>
        <v>0</v>
      </c>
      <c r="FA212" s="27">
        <v>1</v>
      </c>
      <c r="FB212" s="27">
        <v>2</v>
      </c>
      <c r="FC212" s="27" t="str">
        <f>VLOOKUP($A212,'[1]Raw Data'!$A$3:$FB$285,148,FALSE)</f>
        <v/>
      </c>
      <c r="FE212" s="27" t="str">
        <f>VLOOKUP($A212,'[1]Raw Data'!$A$3:$FB$285,149,FALSE)</f>
        <v>District Coordinator</v>
      </c>
      <c r="FF212" s="27" t="s">
        <v>885</v>
      </c>
      <c r="FG212" s="27" t="str">
        <f>VLOOKUP($A212,'[1]Raw Data'!$A$3:$FB$285,150,FALSE)</f>
        <v/>
      </c>
      <c r="FH212" s="27" t="str">
        <f>VLOOKUP($A212,'[1]Raw Data'!$A$3:$FB$285,156,FALSE)</f>
        <v/>
      </c>
      <c r="FJ212" s="27" t="str">
        <f>VLOOKUP($A212,'[1]Raw Data'!$A$3:$FB$285,157,FALSE)</f>
        <v>District Technical Officer</v>
      </c>
      <c r="FK212" s="27" t="s">
        <v>886</v>
      </c>
      <c r="FL212" s="27" t="str">
        <f>VLOOKUP($A212,'[1]Raw Data'!$A$3:$FB$285,158,FALSE)</f>
        <v/>
      </c>
      <c r="FM212" s="27" t="str">
        <f>VLOOKUP($A212,'[1]Raw Data'!$A$3:$FB$285,152,FALSE)</f>
        <v/>
      </c>
      <c r="FO212" s="27" t="str">
        <f>VLOOKUP($A212,'[1]Raw Data'!$A$3:$FB$285,153,FALSE)</f>
        <v>DIstrict Information Management Officer</v>
      </c>
      <c r="FP212" s="27" t="s">
        <v>887</v>
      </c>
      <c r="FQ212" s="27" t="str">
        <f>VLOOKUP($A212,'[1]Raw Data'!$A$3:$FB$285,154,FALSE)</f>
        <v/>
      </c>
    </row>
    <row r="213" spans="1:173" ht="24" x14ac:dyDescent="0.45">
      <c r="A213" s="27">
        <v>39009</v>
      </c>
      <c r="B213" s="36" t="str">
        <f ca="1">IFERROR(__xludf.DUMMYFUNCTION("""COMPUTED_VALUE"""),"Phedikhola Gaunpalika")</f>
        <v>Phedikhola Gaunpalika</v>
      </c>
      <c r="C213" s="37" t="str">
        <f>VLOOKUP(A213,'[1]Palika and District in Nepali '!$D$1:$F$283,3,FALSE)</f>
        <v>फेदीखोला गाउँपालिका</v>
      </c>
      <c r="D213" s="36" t="str">
        <f ca="1">IFERROR(__xludf.DUMMYFUNCTION("""COMPUTED_VALUE"""),"Syangja")</f>
        <v>Syangja</v>
      </c>
      <c r="E213" s="36"/>
      <c r="F213" s="27">
        <f>VLOOKUP(A213,'[1]Raw Data'!$A$3:$FB$285,4,FALSE)</f>
        <v>107</v>
      </c>
      <c r="G213" s="27">
        <f>VLOOKUP(A213,'[1]Raw Data'!$A$3:$FB$285,5,FALSE)</f>
        <v>296</v>
      </c>
      <c r="H213" s="27">
        <f>VLOOKUP(A213,'[1]Raw Data'!$A$3:$FB$285,6,FALSE)</f>
        <v>403</v>
      </c>
      <c r="I213" s="27">
        <f>VLOOKUP($A213,'[1]Raw Data'!$A$3:$FB$285,8,FALSE)</f>
        <v>1.99</v>
      </c>
      <c r="J213" s="27">
        <f>VLOOKUP($A213,'[1]Raw Data'!$A$3:$FB$285,9,FALSE)</f>
        <v>1.88</v>
      </c>
      <c r="K213" s="27">
        <f>VLOOKUP($A213,'[1]Raw Data'!$A$3:$FB$285,11,FALSE)</f>
        <v>94.79</v>
      </c>
      <c r="L213" s="27">
        <f>VLOOKUP($A213,'[1]Raw Data'!$A$3:$FB$285,12,FALSE)</f>
        <v>89.38</v>
      </c>
      <c r="M213" s="27">
        <f>VLOOKUP($A213,'[1]Raw Data'!$A$3:$FB$285,14,FALSE)</f>
        <v>1.24</v>
      </c>
      <c r="N213" s="27">
        <f>VLOOKUP($A213,'[1]Raw Data'!$A$3:$FB$285,15,FALSE)</f>
        <v>0.66</v>
      </c>
      <c r="O213" s="27">
        <f>VLOOKUP($A213,'[1]Raw Data'!$A$3:$FB$285,17,FALSE)</f>
        <v>0</v>
      </c>
      <c r="P213" s="27">
        <f>VLOOKUP($A213,'[1]Raw Data'!$A$3:$FB$285,18,FALSE)</f>
        <v>2.4700000000000002</v>
      </c>
      <c r="Q213" s="27">
        <f>VLOOKUP($A213,'[1]Raw Data'!$A$3:$FB$285,20,FALSE)</f>
        <v>0</v>
      </c>
      <c r="R213" s="27">
        <f>VLOOKUP($A213,'[1]Raw Data'!$A$3:$FB$285,21,FALSE)</f>
        <v>0.93</v>
      </c>
      <c r="S213" s="27">
        <f>VLOOKUP($A213,'[1]Raw Data'!$A$3:$FB$285,23,FALSE)</f>
        <v>0</v>
      </c>
      <c r="T213" s="27">
        <f>VLOOKUP($A213,'[1]Raw Data'!$A$3:$FB$285,24,FALSE)</f>
        <v>0</v>
      </c>
      <c r="U213" s="27">
        <f>VLOOKUP($A213,'[1]Raw Data'!$A$3:$FB$285,26,FALSE)</f>
        <v>0</v>
      </c>
      <c r="V213" s="27">
        <f>VLOOKUP($A213,'[1]Raw Data'!$A$3:$FB$285,27,FALSE)</f>
        <v>0.06</v>
      </c>
      <c r="W213" s="27">
        <f>VLOOKUP($A213,'[1]Raw Data'!$A$3:$FB$285,29,FALSE)</f>
        <v>0</v>
      </c>
      <c r="X213" s="27">
        <f>VLOOKUP($A213,'[1]Raw Data'!$A$3:$FB$285,30,FALSE)</f>
        <v>0</v>
      </c>
      <c r="Y213" s="27">
        <f>VLOOKUP($A213,'[1]Raw Data'!$A$3:$FB$285,32,FALSE)</f>
        <v>0.25</v>
      </c>
      <c r="Z213" s="27">
        <f>VLOOKUP($A213,'[1]Raw Data'!$A$3:$FB$285,33,FALSE)</f>
        <v>0.14000000000000001</v>
      </c>
      <c r="AA213" s="27">
        <f>VLOOKUP($A213,'[1]Raw Data'!$A$3:$FB$285,35,FALSE)</f>
        <v>1.74</v>
      </c>
      <c r="AB213" s="27">
        <f>VLOOKUP($A213,'[1]Raw Data'!$A$3:$FB$285,36,FALSE)</f>
        <v>4.37</v>
      </c>
      <c r="AC213" s="27">
        <f>VLOOKUP($A213,'[1]Raw Data'!$A$3:$FB$285,38,FALSE)</f>
        <v>0</v>
      </c>
      <c r="AD213" s="27">
        <f>VLOOKUP($A213,'[1]Raw Data'!$A$3:$FB$285,39,FALSE)</f>
        <v>0.14000000000000001</v>
      </c>
      <c r="AE213" s="27">
        <f>VLOOKUP($A213,'[1]Raw Data'!$A$3:$FB$285,41,FALSE)</f>
        <v>0</v>
      </c>
      <c r="AF213" s="27">
        <f>VLOOKUP($A213,'[1]Raw Data'!$A$3:$FB$285,42,FALSE)</f>
        <v>0</v>
      </c>
      <c r="AG213" s="27">
        <f>VLOOKUP($A213,'[1]Raw Data'!$A$3:$FB$285,44,FALSE)</f>
        <v>0</v>
      </c>
      <c r="AH213" s="27">
        <f>VLOOKUP($A213,'[1]Raw Data'!$A$3:$FB$285,45,FALSE)</f>
        <v>0</v>
      </c>
      <c r="AI213" s="27">
        <f>VLOOKUP($A213,'[1]Raw Data'!$A$3:$FB$285,46,FALSE)</f>
        <v>278</v>
      </c>
      <c r="AJ213" s="27">
        <f>VLOOKUP($A213,'[1]Raw Data'!$A$3:$FB$285,47,FALSE)</f>
        <v>165</v>
      </c>
      <c r="AK213" s="27">
        <f>VLOOKUP($A213,'[1]Raw Data'!$A$3:$FB$285,48,FALSE)</f>
        <v>165</v>
      </c>
      <c r="AL213" s="27">
        <f>VLOOKUP($A213,'[1]Raw Data'!$A$3:$FB$285,49,FALSE)</f>
        <v>24</v>
      </c>
      <c r="AM213" s="27">
        <f>VLOOKUP($A213,'[1]Raw Data'!$A$3:$FB$285,50,FALSE)</f>
        <v>0</v>
      </c>
      <c r="AN213" s="27" t="str">
        <f>VLOOKUP($A213,'[1]Raw Data'!$A$3:$FB$285,51,FALSE)</f>
        <v/>
      </c>
      <c r="AO213" s="27" t="str">
        <f>VLOOKUP($A213,'[1]Raw Data'!$A$3:$FB$285,52,FALSE)</f>
        <v/>
      </c>
      <c r="AP213" s="27">
        <f>VLOOKUP($A213,'[1]Raw Data'!$A$3:$FB$285,53,FALSE)</f>
        <v>10</v>
      </c>
      <c r="AQ213" s="27" t="str">
        <f>VLOOKUP($A213,'[1]Raw Data'!$A$3:$FB$285,54,FALSE)</f>
        <v/>
      </c>
      <c r="AR213" s="27" t="str">
        <f>VLOOKUP($A213,'[1]Raw Data'!$A$3:$FB$285,55,FALSE)</f>
        <v/>
      </c>
      <c r="AS213" s="27" t="str">
        <f>VLOOKUP($A213,'[1]Raw Data'!$A$3:$FB$285,56,FALSE)</f>
        <v/>
      </c>
      <c r="AT213" s="27" t="str">
        <f>VLOOKUP($A213,'[1]Raw Data'!$A$3:$FB$285,57,FALSE)</f>
        <v/>
      </c>
      <c r="AU213" s="27" t="str">
        <f>VLOOKUP($A213,'[1]Raw Data'!$A$3:$FB$285,58,FALSE)</f>
        <v/>
      </c>
      <c r="AV213" s="27" t="str">
        <f>VLOOKUP($A213,'[1]Raw Data'!$A$3:$FB$285,59,FALSE)</f>
        <v/>
      </c>
      <c r="AW213" s="27" t="str">
        <f>VLOOKUP($A213,'[1]Raw Data'!$A$3:$FB$285,60,FALSE)</f>
        <v/>
      </c>
      <c r="AX213" s="27" t="str">
        <f>VLOOKUP(A213,'[1]PO''s List'!A211:E493,4,FALSE)</f>
        <v/>
      </c>
      <c r="AZ213" s="27" t="str">
        <f>VLOOKUP(A213,'[1]PO''s List'!$A$3:$E$285,5,FALSE)</f>
        <v/>
      </c>
      <c r="BB213" s="27">
        <f>VLOOKUP($A213,'[1]Raw Data'!$A$3:$FB$285,63,FALSE)</f>
        <v>4671</v>
      </c>
      <c r="BC213" s="27" t="str">
        <f>VLOOKUP($A213,'[1]Raw Data'!$A$3:$FB$285,64,FALSE)</f>
        <v/>
      </c>
      <c r="BD213" s="27" t="str">
        <f t="shared" si="27"/>
        <v/>
      </c>
      <c r="BE213" s="27" t="str">
        <f>VLOOKUP($A213,'[1]Raw Data'!$A$3:$FB$285,65,FALSE)</f>
        <v/>
      </c>
      <c r="BF213" s="27">
        <f>VLOOKUP($A213,'[1]Raw Data'!$A$3:$FB$285,66,FALSE)</f>
        <v>4892</v>
      </c>
      <c r="BG213" s="27" t="str">
        <f>VLOOKUP($A213,'[1]Raw Data'!$A$3:$FB$285,67,FALSE)</f>
        <v/>
      </c>
      <c r="BH213" s="27" t="str">
        <f t="shared" si="28"/>
        <v/>
      </c>
      <c r="BI213" s="27" t="str">
        <f>VLOOKUP($A213,'[1]Raw Data'!$A$3:$FB$285,68,FALSE)</f>
        <v/>
      </c>
      <c r="BJ213" s="27">
        <f>VLOOKUP($A213,'[1]Raw Data'!$A$3:$FB$285,69,FALSE)</f>
        <v>500</v>
      </c>
      <c r="BK213" s="27" t="str">
        <f>VLOOKUP($A213,'[1]Raw Data'!$A$3:$FB$285,70,FALSE)</f>
        <v/>
      </c>
      <c r="BL213" s="27" t="str">
        <f t="shared" si="29"/>
        <v/>
      </c>
      <c r="BM213" s="27" t="str">
        <f>VLOOKUP($A213,'[1]Raw Data'!$A$3:$FB$285,71,FALSE)</f>
        <v/>
      </c>
      <c r="BN213" s="27">
        <f>VLOOKUP($A213,'[1]Raw Data'!$A$3:$FB$285,72,FALSE)</f>
        <v>580</v>
      </c>
      <c r="BO213" s="27" t="str">
        <f>VLOOKUP($A213,'[1]Raw Data'!$A$3:$FB$285,73,FALSE)</f>
        <v/>
      </c>
      <c r="BP213" s="27" t="str">
        <f t="shared" si="30"/>
        <v/>
      </c>
      <c r="BQ213" s="27" t="str">
        <f>VLOOKUP($A213,'[1]Raw Data'!$A$3:$FB$285,74,FALSE)</f>
        <v/>
      </c>
      <c r="BR213" s="27" t="str">
        <f>VLOOKUP($A213,'[1]Raw Data'!$A$3:$FB$285,75,FALSE)</f>
        <v/>
      </c>
      <c r="BS213" s="27" t="str">
        <f>VLOOKUP($A213,'[1]Raw Data'!$A$3:$FB$285,76,FALSE)</f>
        <v/>
      </c>
      <c r="BT213" s="27" t="str">
        <f t="shared" si="31"/>
        <v/>
      </c>
      <c r="BU213" s="27" t="str">
        <f>VLOOKUP($A213,'[1]Raw Data'!$A$3:$FB$285,77,FALSE)</f>
        <v/>
      </c>
      <c r="BV213" s="27">
        <f>VLOOKUP($A213,'[1]Raw Data'!$A$3:$FB$285,78,FALSE)</f>
        <v>16151</v>
      </c>
      <c r="BW213" s="27" t="str">
        <f>VLOOKUP($A213,'[1]Raw Data'!$A$3:$FB$285,79,FALSE)</f>
        <v/>
      </c>
      <c r="BX213" s="27" t="str">
        <f t="shared" si="32"/>
        <v/>
      </c>
      <c r="BY213" s="27" t="str">
        <f>VLOOKUP($A213,'[1]Raw Data'!$A$3:$FB$285,80,FALSE)</f>
        <v/>
      </c>
      <c r="BZ213" s="27">
        <f>VLOOKUP($A213,'[1]Raw Data'!$A$3:$FB$285,81,FALSE)</f>
        <v>50433</v>
      </c>
      <c r="CA213" s="27" t="str">
        <f>VLOOKUP($A213,'[1]Raw Data'!$A$3:$FB$285,82,FALSE)</f>
        <v/>
      </c>
      <c r="CB213" s="27" t="str">
        <f t="shared" si="33"/>
        <v/>
      </c>
      <c r="CC213" s="27" t="str">
        <f>VLOOKUP($A213,'[1]Raw Data'!$A$3:$FB$285,83,FALSE)</f>
        <v/>
      </c>
      <c r="CD213" s="27">
        <f>VLOOKUP($A213,'[1]Raw Data'!$A$3:$FB$285,84,FALSE)</f>
        <v>660</v>
      </c>
      <c r="CE213" s="27" t="str">
        <f>VLOOKUP($A213,'[1]Raw Data'!$A$3:$FB$285,85,FALSE)</f>
        <v/>
      </c>
      <c r="CF213" s="27" t="str">
        <f t="shared" si="34"/>
        <v/>
      </c>
      <c r="CG213" s="27" t="str">
        <f>VLOOKUP($A213,'[1]Raw Data'!$A$3:$FB$285,86,FALSE)</f>
        <v/>
      </c>
      <c r="CH213" s="27">
        <f>VLOOKUP($A213,'[1]Raw Data'!$A$3:$FB$285,87,FALSE)</f>
        <v>32620</v>
      </c>
      <c r="CI213" s="27" t="str">
        <f>VLOOKUP($A213,'[1]Raw Data'!$A$3:$FB$285,88,FALSE)</f>
        <v/>
      </c>
      <c r="CJ213" s="27" t="str">
        <f t="shared" si="35"/>
        <v/>
      </c>
      <c r="CK213" s="27" t="str">
        <f>VLOOKUP($A213,'[1]Raw Data'!$A$3:$FB$285,89,FALSE)</f>
        <v/>
      </c>
      <c r="CL213" s="27" t="str">
        <f>VLOOKUP($A213,'[1]Raw Data'!$A$3:$FB$285,91,FALSE)</f>
        <v/>
      </c>
      <c r="CM213" s="27" t="str">
        <f>VLOOKUP($A213,'[1]Raw Data'!$A$3:$FB$285,93,FALSE)</f>
        <v/>
      </c>
      <c r="CN213" s="27" t="str">
        <f>VLOOKUP($A213,'[1]Raw Data'!$A$3:$FB$285,94,FALSE)</f>
        <v/>
      </c>
      <c r="CO213" s="27" t="str">
        <f>VLOOKUP($A213,'[1]Raw Data'!$A$3:$FB$285,95,FALSE)</f>
        <v/>
      </c>
      <c r="CP213" s="27" t="str">
        <f>VLOOKUP($A213,'[1]Raw Data'!$A$3:$FB$285,96,FALSE)</f>
        <v/>
      </c>
      <c r="CQ213" s="27" t="str">
        <f>VLOOKUP($A213,'[1]Raw Data'!$A$3:$FB$285,97,FALSE)</f>
        <v/>
      </c>
      <c r="CR213" s="27" t="str">
        <f>VLOOKUP($A213,'[1]Raw Data'!$A$3:$FB$285,98,FALSE)</f>
        <v/>
      </c>
      <c r="CS213" s="27" t="str">
        <f>VLOOKUP($A213,'[1]Raw Data'!$A$3:$FB$285,99,FALSE)</f>
        <v/>
      </c>
      <c r="CT213" s="27" t="str">
        <f>VLOOKUP($A213,'[1]Raw Data'!$A$3:$FB$285,101,FALSE)</f>
        <v/>
      </c>
      <c r="CV213" s="27" t="str">
        <f>VLOOKUP($A213,'[1]Raw Data'!$A$3:$FB$285,102,FALSE)</f>
        <v xml:space="preserve">Chairman </v>
      </c>
      <c r="CW213" s="27" t="s">
        <v>878</v>
      </c>
      <c r="CX213" s="27" t="str">
        <f>VLOOKUP($A213,'[1]Raw Data'!$A$3:$FB$285,103,FALSE)</f>
        <v/>
      </c>
      <c r="CY213" s="27" t="str">
        <f>VLOOKUP($A213,'[1]Raw Data'!$A$3:$FB$285,105,FALSE)</f>
        <v/>
      </c>
      <c r="DA213" s="27" t="str">
        <f>VLOOKUP($A213,'[1]Raw Data'!$A$3:$FB$285,106,FALSE)</f>
        <v>Deputy Chairman</v>
      </c>
      <c r="DB213" s="27" t="s">
        <v>879</v>
      </c>
      <c r="DC213" s="27" t="str">
        <f>VLOOKUP($A213,'[1]Raw Data'!$A$3:$FB$285,107,FALSE)</f>
        <v/>
      </c>
      <c r="DD213" s="27" t="str">
        <f>VLOOKUP($A213,'[1]Raw Data'!$A$3:$FB$285,109,FALSE)</f>
        <v/>
      </c>
      <c r="DF213" s="27" t="str">
        <f>VLOOKUP($A213,'[1]Raw Data'!$A$3:$FB$285,110,FALSE)</f>
        <v>Chief Adminstration Officer</v>
      </c>
      <c r="DG213" s="27" t="s">
        <v>880</v>
      </c>
      <c r="DH213" s="27" t="str">
        <f>VLOOKUP($A213,'[1]Raw Data'!$A$3:$FB$285,111,FALSE)</f>
        <v/>
      </c>
      <c r="DI213" s="27" t="str">
        <f>VLOOKUP($A213,'[1]Raw Data'!$A$3:$FB$285,121,FALSE)</f>
        <v>Ram Chandra Gautam</v>
      </c>
      <c r="DJ213" s="27" t="s">
        <v>1449</v>
      </c>
      <c r="DK213" s="27" t="str">
        <f>VLOOKUP($A213,'[1]Raw Data'!$A$3:$FB$285,122,FALSE)</f>
        <v>Focal Person</v>
      </c>
      <c r="DL213" s="27" t="s">
        <v>881</v>
      </c>
      <c r="DM213" s="27">
        <f>VLOOKUP($A213,'[1]Raw Data'!$A$3:$FB$285,123,FALSE)</f>
        <v>9856036238</v>
      </c>
      <c r="DN213" s="27" t="str">
        <f>VLOOKUP($A213,'[1]Raw Data'!$A$3:$FB$285,113,FALSE)</f>
        <v>Prabin Dhakal</v>
      </c>
      <c r="DO213" s="27" t="s">
        <v>1441</v>
      </c>
      <c r="DP213" s="27" t="str">
        <f>VLOOKUP($A213,'[1]Raw Data'!$A$3:$FB$285,114,FALSE)</f>
        <v>NRA Chief-District</v>
      </c>
      <c r="DQ213" s="27" t="s">
        <v>882</v>
      </c>
      <c r="DR213" s="27">
        <f>VLOOKUP($A213,'[1]Raw Data'!$A$3:$FB$285,115,FALSE)</f>
        <v>9856040060</v>
      </c>
      <c r="DS213" s="27" t="str">
        <f>VLOOKUP($A213,'[1]Raw Data'!$A$3:$FB$285,117,FALSE)</f>
        <v/>
      </c>
      <c r="DU213" s="27" t="str">
        <f>VLOOKUP($A213,'[1]Raw Data'!$A$3:$FB$285,118,FALSE)</f>
        <v>DUDBC.DLPIU Chief</v>
      </c>
      <c r="DV213" s="27" t="s">
        <v>883</v>
      </c>
      <c r="DW213" s="27" t="str">
        <f>VLOOKUP($A213,'[1]Raw Data'!$A$3:$FB$285,119,FALSE)</f>
        <v/>
      </c>
      <c r="DX213" s="27" t="s">
        <v>339</v>
      </c>
      <c r="DY213" s="27" t="str">
        <f>VLOOKUP($A213,'[1]Raw Data'!$A$3:$FB$285,124,FALSE)</f>
        <v/>
      </c>
      <c r="DZ213" s="27" t="s">
        <v>884</v>
      </c>
      <c r="EA213" s="27" t="str">
        <f>VLOOKUP($A213,'[1]Raw Data'!$A$3:$FB$285,125,FALSE)</f>
        <v/>
      </c>
      <c r="EB213" s="27" t="s">
        <v>341</v>
      </c>
      <c r="EC213" s="27" t="str">
        <f>VLOOKUP($A213,'[1]Raw Data'!$A$3:$FB$285,126,FALSE)</f>
        <v/>
      </c>
      <c r="ED213" t="s">
        <v>478</v>
      </c>
      <c r="EE213" s="27" t="str">
        <f>VLOOKUP($A213,'[1]Raw Data'!$A$3:$FB$285,127,FALSE)</f>
        <v/>
      </c>
      <c r="EF213" s="27" t="s">
        <v>343</v>
      </c>
      <c r="EG213" s="27" t="str">
        <f>VLOOKUP($A213,'[1]Raw Data'!$A$3:$FB$285,128,FALSE)</f>
        <v/>
      </c>
      <c r="EH213" t="s">
        <v>344</v>
      </c>
      <c r="EI213" s="27" t="str">
        <f>VLOOKUP($A213,'[1]Raw Data'!$A$3:$FB$285,129,FALSE)</f>
        <v/>
      </c>
      <c r="EM213" s="27" t="str">
        <f>VLOOKUP($A213,'[1]Raw Data'!$A$3:$FB$285,130,FALSE)</f>
        <v/>
      </c>
      <c r="EN213" s="27" t="str">
        <f>VLOOKUP($A213,'[1]Raw Data'!$A$3:$FB$285,131,FALSE)</f>
        <v/>
      </c>
      <c r="EO213" s="27" t="str">
        <f>VLOOKUP($A213,'[1]Raw Data'!$A$3:$FB$285,132,FALSE)</f>
        <v/>
      </c>
      <c r="EP213" s="27" t="str">
        <f>VLOOKUP($A213,'[1]Raw Data'!$A$3:$FB$285,133,FALSE)</f>
        <v/>
      </c>
      <c r="EQ213" s="27" t="str">
        <f>VLOOKUP($A213,'[1]Raw Data'!$A$3:$FB$285,134,FALSE)</f>
        <v/>
      </c>
      <c r="ER213" s="27" t="str">
        <f>VLOOKUP($A213,'[1]Raw Data'!$A$3:$FB$285,135,FALSE)</f>
        <v/>
      </c>
      <c r="ES213" s="27" t="str">
        <f>VLOOKUP($A213,'[1]Raw Data'!$A$3:$FB$285,136,FALSE)</f>
        <v/>
      </c>
      <c r="ET213" s="27" t="str">
        <f>VLOOKUP($A213,'[1]Raw Data'!$A$3:$FB$285,137,FALSE)</f>
        <v/>
      </c>
      <c r="EU213" s="27" t="str">
        <f>VLOOKUP($A213,'[1]Raw Data'!$A$3:$FB$285,138,FALSE)</f>
        <v/>
      </c>
      <c r="EV213" s="27" t="str">
        <f>VLOOKUP($A213,'[1]Raw Data'!$A$3:$FB$285,139,FALSE)</f>
        <v/>
      </c>
      <c r="EW213" s="38">
        <f>VLOOKUP($A213,[1]Training!$A$2:$I$284,5,FALSE)</f>
        <v>21.384615384615383</v>
      </c>
      <c r="EX213" s="31">
        <f>VLOOKUP($A213,[1]Training!$A$2:$I$284,6,FALSE)</f>
        <v>50</v>
      </c>
      <c r="EY213" s="38">
        <f>VLOOKUP($A213,[1]Training!$A$2:$I$284,8,FALSE)</f>
        <v>25.272727272727273</v>
      </c>
      <c r="EZ213" s="31">
        <f>VLOOKUP($A213,[1]Training!$A$2:$I$284,9,FALSE)</f>
        <v>0</v>
      </c>
      <c r="FA213" s="27">
        <v>1</v>
      </c>
      <c r="FB213" s="27">
        <v>2</v>
      </c>
      <c r="FC213" s="27" t="str">
        <f>VLOOKUP($A213,'[1]Raw Data'!$A$3:$FB$285,148,FALSE)</f>
        <v/>
      </c>
      <c r="FE213" s="27" t="str">
        <f>VLOOKUP($A213,'[1]Raw Data'!$A$3:$FB$285,149,FALSE)</f>
        <v>District Coordinator</v>
      </c>
      <c r="FF213" s="27" t="s">
        <v>885</v>
      </c>
      <c r="FG213" s="27" t="str">
        <f>VLOOKUP($A213,'[1]Raw Data'!$A$3:$FB$285,150,FALSE)</f>
        <v/>
      </c>
      <c r="FH213" s="27" t="str">
        <f>VLOOKUP($A213,'[1]Raw Data'!$A$3:$FB$285,156,FALSE)</f>
        <v/>
      </c>
      <c r="FJ213" s="27" t="str">
        <f>VLOOKUP($A213,'[1]Raw Data'!$A$3:$FB$285,157,FALSE)</f>
        <v>District Technical Officer</v>
      </c>
      <c r="FK213" s="27" t="s">
        <v>886</v>
      </c>
      <c r="FL213" s="27" t="str">
        <f>VLOOKUP($A213,'[1]Raw Data'!$A$3:$FB$285,158,FALSE)</f>
        <v/>
      </c>
      <c r="FM213" s="27" t="str">
        <f>VLOOKUP($A213,'[1]Raw Data'!$A$3:$FB$285,152,FALSE)</f>
        <v/>
      </c>
      <c r="FO213" s="27" t="str">
        <f>VLOOKUP($A213,'[1]Raw Data'!$A$3:$FB$285,153,FALSE)</f>
        <v>DIstrict Information Management Officer</v>
      </c>
      <c r="FP213" s="27" t="s">
        <v>887</v>
      </c>
      <c r="FQ213" s="27" t="str">
        <f>VLOOKUP($A213,'[1]Raw Data'!$A$3:$FB$285,154,FALSE)</f>
        <v/>
      </c>
    </row>
    <row r="214" spans="1:173" ht="24" x14ac:dyDescent="0.45">
      <c r="A214" s="27">
        <v>39010</v>
      </c>
      <c r="B214" s="36" t="str">
        <f ca="1">IFERROR(__xludf.DUMMYFUNCTION("""COMPUTED_VALUE"""),"Putalibazar Nagarpalika")</f>
        <v>Putalibazar Nagarpalika</v>
      </c>
      <c r="C214" s="37" t="str">
        <f>VLOOKUP(A214,'[1]Palika and District in Nepali '!$D$1:$F$283,3,FALSE)</f>
        <v>पुलीबजार नगरपालिका</v>
      </c>
      <c r="D214" s="36" t="str">
        <f ca="1">IFERROR(__xludf.DUMMYFUNCTION("""COMPUTED_VALUE"""),"Syangja")</f>
        <v>Syangja</v>
      </c>
      <c r="E214" s="36"/>
      <c r="F214" s="27">
        <f>VLOOKUP(A214,'[1]Raw Data'!$A$3:$FB$285,4,FALSE)</f>
        <v>980</v>
      </c>
      <c r="G214" s="27">
        <f>VLOOKUP(A214,'[1]Raw Data'!$A$3:$FB$285,5,FALSE)</f>
        <v>1818</v>
      </c>
      <c r="H214" s="27">
        <f>VLOOKUP(A214,'[1]Raw Data'!$A$3:$FB$285,6,FALSE)</f>
        <v>2798</v>
      </c>
      <c r="I214" s="27">
        <f>VLOOKUP($A214,'[1]Raw Data'!$A$3:$FB$285,8,FALSE)</f>
        <v>3.47</v>
      </c>
      <c r="J214" s="27">
        <f>VLOOKUP($A214,'[1]Raw Data'!$A$3:$FB$285,9,FALSE)</f>
        <v>1.88</v>
      </c>
      <c r="K214" s="27">
        <f>VLOOKUP($A214,'[1]Raw Data'!$A$3:$FB$285,11,FALSE)</f>
        <v>83.99</v>
      </c>
      <c r="L214" s="27">
        <f>VLOOKUP($A214,'[1]Raw Data'!$A$3:$FB$285,12,FALSE)</f>
        <v>89.38</v>
      </c>
      <c r="M214" s="27">
        <f>VLOOKUP($A214,'[1]Raw Data'!$A$3:$FB$285,14,FALSE)</f>
        <v>0.71</v>
      </c>
      <c r="N214" s="27">
        <f>VLOOKUP($A214,'[1]Raw Data'!$A$3:$FB$285,15,FALSE)</f>
        <v>0.66</v>
      </c>
      <c r="O214" s="27">
        <f>VLOOKUP($A214,'[1]Raw Data'!$A$3:$FB$285,17,FALSE)</f>
        <v>7.0000000000000007E-2</v>
      </c>
      <c r="P214" s="27">
        <f>VLOOKUP($A214,'[1]Raw Data'!$A$3:$FB$285,18,FALSE)</f>
        <v>2.4700000000000002</v>
      </c>
      <c r="Q214" s="27">
        <f>VLOOKUP($A214,'[1]Raw Data'!$A$3:$FB$285,20,FALSE)</f>
        <v>1.61</v>
      </c>
      <c r="R214" s="27">
        <f>VLOOKUP($A214,'[1]Raw Data'!$A$3:$FB$285,21,FALSE)</f>
        <v>0.93</v>
      </c>
      <c r="S214" s="27">
        <f>VLOOKUP($A214,'[1]Raw Data'!$A$3:$FB$285,23,FALSE)</f>
        <v>0</v>
      </c>
      <c r="T214" s="27">
        <f>VLOOKUP($A214,'[1]Raw Data'!$A$3:$FB$285,24,FALSE)</f>
        <v>0</v>
      </c>
      <c r="U214" s="27">
        <f>VLOOKUP($A214,'[1]Raw Data'!$A$3:$FB$285,26,FALSE)</f>
        <v>0</v>
      </c>
      <c r="V214" s="27">
        <f>VLOOKUP($A214,'[1]Raw Data'!$A$3:$FB$285,27,FALSE)</f>
        <v>0.06</v>
      </c>
      <c r="W214" s="27">
        <f>VLOOKUP($A214,'[1]Raw Data'!$A$3:$FB$285,29,FALSE)</f>
        <v>0</v>
      </c>
      <c r="X214" s="27">
        <f>VLOOKUP($A214,'[1]Raw Data'!$A$3:$FB$285,30,FALSE)</f>
        <v>0</v>
      </c>
      <c r="Y214" s="27">
        <f>VLOOKUP($A214,'[1]Raw Data'!$A$3:$FB$285,32,FALSE)</f>
        <v>7.0000000000000007E-2</v>
      </c>
      <c r="Z214" s="27">
        <f>VLOOKUP($A214,'[1]Raw Data'!$A$3:$FB$285,33,FALSE)</f>
        <v>0.14000000000000001</v>
      </c>
      <c r="AA214" s="27">
        <f>VLOOKUP($A214,'[1]Raw Data'!$A$3:$FB$285,35,FALSE)</f>
        <v>10.08</v>
      </c>
      <c r="AB214" s="27">
        <f>VLOOKUP($A214,'[1]Raw Data'!$A$3:$FB$285,36,FALSE)</f>
        <v>4.37</v>
      </c>
      <c r="AC214" s="27">
        <f>VLOOKUP($A214,'[1]Raw Data'!$A$3:$FB$285,38,FALSE)</f>
        <v>0</v>
      </c>
      <c r="AD214" s="27">
        <f>VLOOKUP($A214,'[1]Raw Data'!$A$3:$FB$285,39,FALSE)</f>
        <v>0.14000000000000001</v>
      </c>
      <c r="AE214" s="27">
        <f>VLOOKUP($A214,'[1]Raw Data'!$A$3:$FB$285,41,FALSE)</f>
        <v>0</v>
      </c>
      <c r="AF214" s="27">
        <f>VLOOKUP($A214,'[1]Raw Data'!$A$3:$FB$285,42,FALSE)</f>
        <v>0</v>
      </c>
      <c r="AG214" s="27">
        <f>VLOOKUP($A214,'[1]Raw Data'!$A$3:$FB$285,44,FALSE)</f>
        <v>0</v>
      </c>
      <c r="AH214" s="27">
        <f>VLOOKUP($A214,'[1]Raw Data'!$A$3:$FB$285,45,FALSE)</f>
        <v>0</v>
      </c>
      <c r="AI214" s="27">
        <f>VLOOKUP($A214,'[1]Raw Data'!$A$3:$FB$285,46,FALSE)</f>
        <v>1471</v>
      </c>
      <c r="AJ214" s="27">
        <f>VLOOKUP($A214,'[1]Raw Data'!$A$3:$FB$285,47,FALSE)</f>
        <v>550</v>
      </c>
      <c r="AK214" s="27">
        <f>VLOOKUP($A214,'[1]Raw Data'!$A$3:$FB$285,48,FALSE)</f>
        <v>550</v>
      </c>
      <c r="AL214" s="27">
        <f>VLOOKUP($A214,'[1]Raw Data'!$A$3:$FB$285,49,FALSE)</f>
        <v>136</v>
      </c>
      <c r="AM214" s="27">
        <f>VLOOKUP($A214,'[1]Raw Data'!$A$3:$FB$285,50,FALSE)</f>
        <v>0</v>
      </c>
      <c r="AN214" s="27" t="str">
        <f>VLOOKUP($A214,'[1]Raw Data'!$A$3:$FB$285,51,FALSE)</f>
        <v/>
      </c>
      <c r="AO214" s="27" t="str">
        <f>VLOOKUP($A214,'[1]Raw Data'!$A$3:$FB$285,52,FALSE)</f>
        <v/>
      </c>
      <c r="AP214" s="27">
        <f>VLOOKUP($A214,'[1]Raw Data'!$A$3:$FB$285,53,FALSE)</f>
        <v>319</v>
      </c>
      <c r="AQ214" s="27" t="str">
        <f>VLOOKUP($A214,'[1]Raw Data'!$A$3:$FB$285,54,FALSE)</f>
        <v/>
      </c>
      <c r="AR214" s="27" t="str">
        <f>VLOOKUP($A214,'[1]Raw Data'!$A$3:$FB$285,55,FALSE)</f>
        <v/>
      </c>
      <c r="AS214" s="27" t="str">
        <f>VLOOKUP($A214,'[1]Raw Data'!$A$3:$FB$285,56,FALSE)</f>
        <v/>
      </c>
      <c r="AT214" s="27" t="str">
        <f>VLOOKUP($A214,'[1]Raw Data'!$A$3:$FB$285,57,FALSE)</f>
        <v/>
      </c>
      <c r="AU214" s="27" t="str">
        <f>VLOOKUP($A214,'[1]Raw Data'!$A$3:$FB$285,58,FALSE)</f>
        <v/>
      </c>
      <c r="AV214" s="27" t="str">
        <f>VLOOKUP($A214,'[1]Raw Data'!$A$3:$FB$285,59,FALSE)</f>
        <v/>
      </c>
      <c r="AW214" s="27" t="str">
        <f>VLOOKUP($A214,'[1]Raw Data'!$A$3:$FB$285,60,FALSE)</f>
        <v/>
      </c>
      <c r="AX214" s="27" t="str">
        <f>VLOOKUP(A214,'[1]PO''s List'!A212:E494,4,FALSE)</f>
        <v/>
      </c>
      <c r="AZ214" s="27" t="str">
        <f>VLOOKUP(A214,'[1]PO''s List'!$A$3:$E$285,5,FALSE)</f>
        <v/>
      </c>
      <c r="BB214" s="27">
        <f>VLOOKUP($A214,'[1]Raw Data'!$A$3:$FB$285,63,FALSE)</f>
        <v>17517</v>
      </c>
      <c r="BC214" s="27" t="str">
        <f>VLOOKUP($A214,'[1]Raw Data'!$A$3:$FB$285,64,FALSE)</f>
        <v/>
      </c>
      <c r="BD214" s="27" t="str">
        <f t="shared" si="27"/>
        <v/>
      </c>
      <c r="BE214" s="27" t="str">
        <f>VLOOKUP($A214,'[1]Raw Data'!$A$3:$FB$285,65,FALSE)</f>
        <v/>
      </c>
      <c r="BF214" s="27">
        <f>VLOOKUP($A214,'[1]Raw Data'!$A$3:$FB$285,66,FALSE)</f>
        <v>15960</v>
      </c>
      <c r="BG214" s="27" t="str">
        <f>VLOOKUP($A214,'[1]Raw Data'!$A$3:$FB$285,67,FALSE)</f>
        <v/>
      </c>
      <c r="BH214" s="27" t="str">
        <f t="shared" si="28"/>
        <v/>
      </c>
      <c r="BI214" s="27" t="str">
        <f>VLOOKUP($A214,'[1]Raw Data'!$A$3:$FB$285,68,FALSE)</f>
        <v/>
      </c>
      <c r="BJ214" s="27">
        <f>VLOOKUP($A214,'[1]Raw Data'!$A$3:$FB$285,69,FALSE)</f>
        <v>1852</v>
      </c>
      <c r="BK214" s="27" t="str">
        <f>VLOOKUP($A214,'[1]Raw Data'!$A$3:$FB$285,70,FALSE)</f>
        <v/>
      </c>
      <c r="BL214" s="27" t="str">
        <f t="shared" si="29"/>
        <v/>
      </c>
      <c r="BM214" s="27" t="str">
        <f>VLOOKUP($A214,'[1]Raw Data'!$A$3:$FB$285,71,FALSE)</f>
        <v/>
      </c>
      <c r="BN214" s="27">
        <f>VLOOKUP($A214,'[1]Raw Data'!$A$3:$FB$285,72,FALSE)</f>
        <v>2068</v>
      </c>
      <c r="BO214" s="27" t="str">
        <f>VLOOKUP($A214,'[1]Raw Data'!$A$3:$FB$285,73,FALSE)</f>
        <v/>
      </c>
      <c r="BP214" s="27" t="str">
        <f t="shared" si="30"/>
        <v/>
      </c>
      <c r="BQ214" s="27" t="str">
        <f>VLOOKUP($A214,'[1]Raw Data'!$A$3:$FB$285,74,FALSE)</f>
        <v/>
      </c>
      <c r="BR214" s="27" t="str">
        <f>VLOOKUP($A214,'[1]Raw Data'!$A$3:$FB$285,75,FALSE)</f>
        <v/>
      </c>
      <c r="BS214" s="27" t="str">
        <f>VLOOKUP($A214,'[1]Raw Data'!$A$3:$FB$285,76,FALSE)</f>
        <v/>
      </c>
      <c r="BT214" s="27" t="str">
        <f t="shared" si="31"/>
        <v/>
      </c>
      <c r="BU214" s="27" t="str">
        <f>VLOOKUP($A214,'[1]Raw Data'!$A$3:$FB$285,77,FALSE)</f>
        <v/>
      </c>
      <c r="BV214" s="27">
        <f>VLOOKUP($A214,'[1]Raw Data'!$A$3:$FB$285,78,FALSE)</f>
        <v>53248</v>
      </c>
      <c r="BW214" s="27" t="str">
        <f>VLOOKUP($A214,'[1]Raw Data'!$A$3:$FB$285,79,FALSE)</f>
        <v/>
      </c>
      <c r="BX214" s="27" t="str">
        <f t="shared" si="32"/>
        <v/>
      </c>
      <c r="BY214" s="27" t="str">
        <f>VLOOKUP($A214,'[1]Raw Data'!$A$3:$FB$285,80,FALSE)</f>
        <v/>
      </c>
      <c r="BZ214" s="27">
        <f>VLOOKUP($A214,'[1]Raw Data'!$A$3:$FB$285,81,FALSE)</f>
        <v>192954</v>
      </c>
      <c r="CA214" s="27" t="str">
        <f>VLOOKUP($A214,'[1]Raw Data'!$A$3:$FB$285,82,FALSE)</f>
        <v/>
      </c>
      <c r="CB214" s="27" t="str">
        <f t="shared" si="33"/>
        <v/>
      </c>
      <c r="CC214" s="27" t="str">
        <f>VLOOKUP($A214,'[1]Raw Data'!$A$3:$FB$285,83,FALSE)</f>
        <v/>
      </c>
      <c r="CD214" s="27">
        <f>VLOOKUP($A214,'[1]Raw Data'!$A$3:$FB$285,84,FALSE)</f>
        <v>2173</v>
      </c>
      <c r="CE214" s="27" t="str">
        <f>VLOOKUP($A214,'[1]Raw Data'!$A$3:$FB$285,85,FALSE)</f>
        <v/>
      </c>
      <c r="CF214" s="27" t="str">
        <f t="shared" si="34"/>
        <v/>
      </c>
      <c r="CG214" s="27" t="str">
        <f>VLOOKUP($A214,'[1]Raw Data'!$A$3:$FB$285,86,FALSE)</f>
        <v/>
      </c>
      <c r="CH214" s="27">
        <f>VLOOKUP($A214,'[1]Raw Data'!$A$3:$FB$285,87,FALSE)</f>
        <v>326134</v>
      </c>
      <c r="CI214" s="27" t="str">
        <f>VLOOKUP($A214,'[1]Raw Data'!$A$3:$FB$285,88,FALSE)</f>
        <v/>
      </c>
      <c r="CJ214" s="27" t="str">
        <f t="shared" si="35"/>
        <v/>
      </c>
      <c r="CK214" s="27" t="str">
        <f>VLOOKUP($A214,'[1]Raw Data'!$A$3:$FB$285,89,FALSE)</f>
        <v/>
      </c>
      <c r="CL214" s="27" t="str">
        <f>VLOOKUP($A214,'[1]Raw Data'!$A$3:$FB$285,91,FALSE)</f>
        <v/>
      </c>
      <c r="CM214" s="27" t="str">
        <f>VLOOKUP($A214,'[1]Raw Data'!$A$3:$FB$285,93,FALSE)</f>
        <v/>
      </c>
      <c r="CN214" s="27" t="str">
        <f>VLOOKUP($A214,'[1]Raw Data'!$A$3:$FB$285,94,FALSE)</f>
        <v/>
      </c>
      <c r="CO214" s="27" t="str">
        <f>VLOOKUP($A214,'[1]Raw Data'!$A$3:$FB$285,95,FALSE)</f>
        <v/>
      </c>
      <c r="CP214" s="27" t="str">
        <f>VLOOKUP($A214,'[1]Raw Data'!$A$3:$FB$285,96,FALSE)</f>
        <v/>
      </c>
      <c r="CQ214" s="27" t="str">
        <f>VLOOKUP($A214,'[1]Raw Data'!$A$3:$FB$285,97,FALSE)</f>
        <v/>
      </c>
      <c r="CR214" s="27" t="str">
        <f>VLOOKUP($A214,'[1]Raw Data'!$A$3:$FB$285,98,FALSE)</f>
        <v/>
      </c>
      <c r="CS214" s="27" t="str">
        <f>VLOOKUP($A214,'[1]Raw Data'!$A$3:$FB$285,99,FALSE)</f>
        <v/>
      </c>
      <c r="CT214" s="27" t="str">
        <f>VLOOKUP($A214,'[1]Raw Data'!$A$3:$FB$285,101,FALSE)</f>
        <v/>
      </c>
      <c r="CV214" s="27" t="str">
        <f>VLOOKUP($A214,'[1]Raw Data'!$A$3:$FB$285,102,FALSE)</f>
        <v>Mayor</v>
      </c>
      <c r="CW214" s="27" t="s">
        <v>834</v>
      </c>
      <c r="CX214" s="27" t="str">
        <f>VLOOKUP($A214,'[1]Raw Data'!$A$3:$FB$285,103,FALSE)</f>
        <v/>
      </c>
      <c r="CY214" s="27" t="str">
        <f>VLOOKUP($A214,'[1]Raw Data'!$A$3:$FB$285,105,FALSE)</f>
        <v/>
      </c>
      <c r="DA214" s="27" t="str">
        <f>VLOOKUP($A214,'[1]Raw Data'!$A$3:$FB$285,106,FALSE)</f>
        <v>Deputy Mayor</v>
      </c>
      <c r="DB214" s="27" t="s">
        <v>888</v>
      </c>
      <c r="DC214" s="27" t="str">
        <f>VLOOKUP($A214,'[1]Raw Data'!$A$3:$FB$285,107,FALSE)</f>
        <v/>
      </c>
      <c r="DD214" s="27" t="str">
        <f>VLOOKUP($A214,'[1]Raw Data'!$A$3:$FB$285,109,FALSE)</f>
        <v/>
      </c>
      <c r="DF214" s="27" t="str">
        <f>VLOOKUP($A214,'[1]Raw Data'!$A$3:$FB$285,110,FALSE)</f>
        <v>Chief Adminstration Officer</v>
      </c>
      <c r="DG214" s="27" t="s">
        <v>880</v>
      </c>
      <c r="DH214" s="27" t="str">
        <f>VLOOKUP($A214,'[1]Raw Data'!$A$3:$FB$285,111,FALSE)</f>
        <v/>
      </c>
      <c r="DI214" s="27" t="str">
        <f>VLOOKUP($A214,'[1]Raw Data'!$A$3:$FB$285,121,FALSE)</f>
        <v>Sudip Baral</v>
      </c>
      <c r="DJ214" s="27" t="s">
        <v>1450</v>
      </c>
      <c r="DK214" s="27" t="str">
        <f>VLOOKUP($A214,'[1]Raw Data'!$A$3:$FB$285,122,FALSE)</f>
        <v>Focal Person</v>
      </c>
      <c r="DL214" s="27" t="s">
        <v>881</v>
      </c>
      <c r="DM214" s="27">
        <f>VLOOKUP($A214,'[1]Raw Data'!$A$3:$FB$285,123,FALSE)</f>
        <v>9856018299</v>
      </c>
      <c r="DN214" s="27" t="str">
        <f>VLOOKUP($A214,'[1]Raw Data'!$A$3:$FB$285,113,FALSE)</f>
        <v>Prabin Dhakal</v>
      </c>
      <c r="DO214" s="27" t="s">
        <v>1441</v>
      </c>
      <c r="DP214" s="27" t="str">
        <f>VLOOKUP($A214,'[1]Raw Data'!$A$3:$FB$285,114,FALSE)</f>
        <v>NRA Chief-District</v>
      </c>
      <c r="DQ214" s="27" t="s">
        <v>882</v>
      </c>
      <c r="DR214" s="27">
        <f>VLOOKUP($A214,'[1]Raw Data'!$A$3:$FB$285,115,FALSE)</f>
        <v>9856040060</v>
      </c>
      <c r="DS214" s="27" t="str">
        <f>VLOOKUP($A214,'[1]Raw Data'!$A$3:$FB$285,117,FALSE)</f>
        <v/>
      </c>
      <c r="DU214" s="27" t="str">
        <f>VLOOKUP($A214,'[1]Raw Data'!$A$3:$FB$285,118,FALSE)</f>
        <v>DUDBC.DLPIU Chief</v>
      </c>
      <c r="DV214" s="27" t="s">
        <v>883</v>
      </c>
      <c r="DW214" s="27" t="str">
        <f>VLOOKUP($A214,'[1]Raw Data'!$A$3:$FB$285,119,FALSE)</f>
        <v/>
      </c>
      <c r="DX214" s="27" t="s">
        <v>339</v>
      </c>
      <c r="DY214" s="27" t="str">
        <f>VLOOKUP($A214,'[1]Raw Data'!$A$3:$FB$285,124,FALSE)</f>
        <v/>
      </c>
      <c r="DZ214" s="27" t="s">
        <v>884</v>
      </c>
      <c r="EA214" s="27" t="str">
        <f>VLOOKUP($A214,'[1]Raw Data'!$A$3:$FB$285,125,FALSE)</f>
        <v/>
      </c>
      <c r="EB214" s="27" t="s">
        <v>341</v>
      </c>
      <c r="EC214" s="27" t="str">
        <f>VLOOKUP($A214,'[1]Raw Data'!$A$3:$FB$285,126,FALSE)</f>
        <v/>
      </c>
      <c r="ED214" t="s">
        <v>478</v>
      </c>
      <c r="EE214" s="27" t="str">
        <f>VLOOKUP($A214,'[1]Raw Data'!$A$3:$FB$285,127,FALSE)</f>
        <v/>
      </c>
      <c r="EF214" s="27" t="s">
        <v>343</v>
      </c>
      <c r="EG214" s="27" t="str">
        <f>VLOOKUP($A214,'[1]Raw Data'!$A$3:$FB$285,128,FALSE)</f>
        <v/>
      </c>
      <c r="EH214" t="s">
        <v>344</v>
      </c>
      <c r="EI214" s="27" t="str">
        <f>VLOOKUP($A214,'[1]Raw Data'!$A$3:$FB$285,129,FALSE)</f>
        <v/>
      </c>
      <c r="EM214" s="27" t="str">
        <f>VLOOKUP($A214,'[1]Raw Data'!$A$3:$FB$285,130,FALSE)</f>
        <v/>
      </c>
      <c r="EN214" s="27" t="str">
        <f>VLOOKUP($A214,'[1]Raw Data'!$A$3:$FB$285,131,FALSE)</f>
        <v/>
      </c>
      <c r="EO214" s="27" t="str">
        <f>VLOOKUP($A214,'[1]Raw Data'!$A$3:$FB$285,132,FALSE)</f>
        <v/>
      </c>
      <c r="EP214" s="27" t="str">
        <f>VLOOKUP($A214,'[1]Raw Data'!$A$3:$FB$285,133,FALSE)</f>
        <v/>
      </c>
      <c r="EQ214" s="27" t="str">
        <f>VLOOKUP($A214,'[1]Raw Data'!$A$3:$FB$285,134,FALSE)</f>
        <v/>
      </c>
      <c r="ER214" s="27" t="str">
        <f>VLOOKUP($A214,'[1]Raw Data'!$A$3:$FB$285,135,FALSE)</f>
        <v/>
      </c>
      <c r="ES214" s="27" t="str">
        <f>VLOOKUP($A214,'[1]Raw Data'!$A$3:$FB$285,136,FALSE)</f>
        <v/>
      </c>
      <c r="ET214" s="27" t="str">
        <f>VLOOKUP($A214,'[1]Raw Data'!$A$3:$FB$285,137,FALSE)</f>
        <v/>
      </c>
      <c r="EU214" s="27" t="str">
        <f>VLOOKUP($A214,'[1]Raw Data'!$A$3:$FB$285,138,FALSE)</f>
        <v/>
      </c>
      <c r="EV214" s="27" t="str">
        <f>VLOOKUP($A214,'[1]Raw Data'!$A$3:$FB$285,139,FALSE)</f>
        <v/>
      </c>
      <c r="EW214" s="38">
        <f>VLOOKUP($A214,[1]Training!$A$2:$I$284,5,FALSE)</f>
        <v>113.15384615384616</v>
      </c>
      <c r="EX214" s="31">
        <f>VLOOKUP($A214,[1]Training!$A$2:$I$284,6,FALSE)</f>
        <v>25</v>
      </c>
      <c r="EY214" s="38">
        <f>VLOOKUP($A214,[1]Training!$A$2:$I$284,8,FALSE)</f>
        <v>133.72727272727272</v>
      </c>
      <c r="EZ214" s="31">
        <f>VLOOKUP($A214,[1]Training!$A$2:$I$284,9,FALSE)</f>
        <v>0</v>
      </c>
      <c r="FA214" s="27">
        <v>1</v>
      </c>
      <c r="FB214" s="27">
        <v>2</v>
      </c>
      <c r="FC214" s="27" t="str">
        <f>VLOOKUP($A214,'[1]Raw Data'!$A$3:$FB$285,148,FALSE)</f>
        <v/>
      </c>
      <c r="FE214" s="27" t="str">
        <f>VLOOKUP($A214,'[1]Raw Data'!$A$3:$FB$285,149,FALSE)</f>
        <v>District Coordinator</v>
      </c>
      <c r="FF214" s="27" t="s">
        <v>885</v>
      </c>
      <c r="FG214" s="27" t="str">
        <f>VLOOKUP($A214,'[1]Raw Data'!$A$3:$FB$285,150,FALSE)</f>
        <v/>
      </c>
      <c r="FH214" s="27" t="str">
        <f>VLOOKUP($A214,'[1]Raw Data'!$A$3:$FB$285,156,FALSE)</f>
        <v/>
      </c>
      <c r="FJ214" s="27" t="str">
        <f>VLOOKUP($A214,'[1]Raw Data'!$A$3:$FB$285,157,FALSE)</f>
        <v>District Technical Officer</v>
      </c>
      <c r="FK214" s="27" t="s">
        <v>886</v>
      </c>
      <c r="FL214" s="27" t="str">
        <f>VLOOKUP($A214,'[1]Raw Data'!$A$3:$FB$285,158,FALSE)</f>
        <v/>
      </c>
      <c r="FM214" s="27" t="str">
        <f>VLOOKUP($A214,'[1]Raw Data'!$A$3:$FB$285,152,FALSE)</f>
        <v/>
      </c>
      <c r="FO214" s="27" t="str">
        <f>VLOOKUP($A214,'[1]Raw Data'!$A$3:$FB$285,153,FALSE)</f>
        <v>DIstrict Information Management Officer</v>
      </c>
      <c r="FP214" s="27" t="s">
        <v>887</v>
      </c>
      <c r="FQ214" s="27" t="str">
        <f>VLOOKUP($A214,'[1]Raw Data'!$A$3:$FB$285,154,FALSE)</f>
        <v/>
      </c>
    </row>
    <row r="215" spans="1:173" ht="24" x14ac:dyDescent="0.45">
      <c r="A215" s="27">
        <v>39011</v>
      </c>
      <c r="B215" s="36" t="str">
        <f ca="1">IFERROR(__xludf.DUMMYFUNCTION("""COMPUTED_VALUE"""),"Waling Nagarpalika")</f>
        <v>Waling Nagarpalika</v>
      </c>
      <c r="C215" s="37" t="str">
        <f>VLOOKUP(A215,'[1]Palika and District in Nepali '!$D$1:$F$283,3,FALSE)</f>
        <v>वालिंङ नगरपालिका</v>
      </c>
      <c r="D215" s="36" t="str">
        <f ca="1">IFERROR(__xludf.DUMMYFUNCTION("""COMPUTED_VALUE"""),"Syangja")</f>
        <v>Syangja</v>
      </c>
      <c r="E215" s="36"/>
      <c r="F215" s="27">
        <f>VLOOKUP(A215,'[1]Raw Data'!$A$3:$FB$285,4,FALSE)</f>
        <v>961</v>
      </c>
      <c r="G215" s="27">
        <f>VLOOKUP(A215,'[1]Raw Data'!$A$3:$FB$285,5,FALSE)</f>
        <v>1735</v>
      </c>
      <c r="H215" s="27">
        <f>VLOOKUP(A215,'[1]Raw Data'!$A$3:$FB$285,6,FALSE)</f>
        <v>2696</v>
      </c>
      <c r="I215" s="27">
        <f>VLOOKUP($A215,'[1]Raw Data'!$A$3:$FB$285,8,FALSE)</f>
        <v>1.22</v>
      </c>
      <c r="J215" s="27">
        <f>VLOOKUP($A215,'[1]Raw Data'!$A$3:$FB$285,9,FALSE)</f>
        <v>1.88</v>
      </c>
      <c r="K215" s="27">
        <f>VLOOKUP($A215,'[1]Raw Data'!$A$3:$FB$285,11,FALSE)</f>
        <v>84.68</v>
      </c>
      <c r="L215" s="27">
        <f>VLOOKUP($A215,'[1]Raw Data'!$A$3:$FB$285,12,FALSE)</f>
        <v>89.38</v>
      </c>
      <c r="M215" s="27">
        <f>VLOOKUP($A215,'[1]Raw Data'!$A$3:$FB$285,14,FALSE)</f>
        <v>1.1499999999999999</v>
      </c>
      <c r="N215" s="27">
        <f>VLOOKUP($A215,'[1]Raw Data'!$A$3:$FB$285,15,FALSE)</f>
        <v>0.66</v>
      </c>
      <c r="O215" s="27">
        <f>VLOOKUP($A215,'[1]Raw Data'!$A$3:$FB$285,17,FALSE)</f>
        <v>0.11</v>
      </c>
      <c r="P215" s="27">
        <f>VLOOKUP($A215,'[1]Raw Data'!$A$3:$FB$285,18,FALSE)</f>
        <v>2.4700000000000002</v>
      </c>
      <c r="Q215" s="27">
        <f>VLOOKUP($A215,'[1]Raw Data'!$A$3:$FB$285,20,FALSE)</f>
        <v>0.56000000000000005</v>
      </c>
      <c r="R215" s="27">
        <f>VLOOKUP($A215,'[1]Raw Data'!$A$3:$FB$285,21,FALSE)</f>
        <v>0.93</v>
      </c>
      <c r="S215" s="27">
        <f>VLOOKUP($A215,'[1]Raw Data'!$A$3:$FB$285,23,FALSE)</f>
        <v>0</v>
      </c>
      <c r="T215" s="27">
        <f>VLOOKUP($A215,'[1]Raw Data'!$A$3:$FB$285,24,FALSE)</f>
        <v>0</v>
      </c>
      <c r="U215" s="27">
        <f>VLOOKUP($A215,'[1]Raw Data'!$A$3:$FB$285,26,FALSE)</f>
        <v>0.3</v>
      </c>
      <c r="V215" s="27">
        <f>VLOOKUP($A215,'[1]Raw Data'!$A$3:$FB$285,27,FALSE)</f>
        <v>0.06</v>
      </c>
      <c r="W215" s="27">
        <f>VLOOKUP($A215,'[1]Raw Data'!$A$3:$FB$285,29,FALSE)</f>
        <v>0</v>
      </c>
      <c r="X215" s="27">
        <f>VLOOKUP($A215,'[1]Raw Data'!$A$3:$FB$285,30,FALSE)</f>
        <v>0</v>
      </c>
      <c r="Y215" s="27">
        <f>VLOOKUP($A215,'[1]Raw Data'!$A$3:$FB$285,32,FALSE)</f>
        <v>7.0000000000000007E-2</v>
      </c>
      <c r="Z215" s="27">
        <f>VLOOKUP($A215,'[1]Raw Data'!$A$3:$FB$285,33,FALSE)</f>
        <v>0.14000000000000001</v>
      </c>
      <c r="AA215" s="27">
        <f>VLOOKUP($A215,'[1]Raw Data'!$A$3:$FB$285,35,FALSE)</f>
        <v>11.87</v>
      </c>
      <c r="AB215" s="27">
        <f>VLOOKUP($A215,'[1]Raw Data'!$A$3:$FB$285,36,FALSE)</f>
        <v>4.37</v>
      </c>
      <c r="AC215" s="27">
        <f>VLOOKUP($A215,'[1]Raw Data'!$A$3:$FB$285,38,FALSE)</f>
        <v>0.04</v>
      </c>
      <c r="AD215" s="27">
        <f>VLOOKUP($A215,'[1]Raw Data'!$A$3:$FB$285,39,FALSE)</f>
        <v>0.14000000000000001</v>
      </c>
      <c r="AE215" s="27">
        <f>VLOOKUP($A215,'[1]Raw Data'!$A$3:$FB$285,41,FALSE)</f>
        <v>0</v>
      </c>
      <c r="AF215" s="27">
        <f>VLOOKUP($A215,'[1]Raw Data'!$A$3:$FB$285,42,FALSE)</f>
        <v>0</v>
      </c>
      <c r="AG215" s="27">
        <f>VLOOKUP($A215,'[1]Raw Data'!$A$3:$FB$285,44,FALSE)</f>
        <v>0</v>
      </c>
      <c r="AH215" s="27">
        <f>VLOOKUP($A215,'[1]Raw Data'!$A$3:$FB$285,45,FALSE)</f>
        <v>0</v>
      </c>
      <c r="AI215" s="27">
        <f>VLOOKUP($A215,'[1]Raw Data'!$A$3:$FB$285,46,FALSE)</f>
        <v>1671</v>
      </c>
      <c r="AJ215" s="27">
        <f>VLOOKUP($A215,'[1]Raw Data'!$A$3:$FB$285,47,FALSE)</f>
        <v>1321</v>
      </c>
      <c r="AK215" s="27">
        <f>VLOOKUP($A215,'[1]Raw Data'!$A$3:$FB$285,48,FALSE)</f>
        <v>1321</v>
      </c>
      <c r="AL215" s="27">
        <f>VLOOKUP($A215,'[1]Raw Data'!$A$3:$FB$285,49,FALSE)</f>
        <v>71</v>
      </c>
      <c r="AM215" s="27">
        <f>VLOOKUP($A215,'[1]Raw Data'!$A$3:$FB$285,50,FALSE)</f>
        <v>0</v>
      </c>
      <c r="AN215" s="27" t="str">
        <f>VLOOKUP($A215,'[1]Raw Data'!$A$3:$FB$285,51,FALSE)</f>
        <v/>
      </c>
      <c r="AO215" s="27" t="str">
        <f>VLOOKUP($A215,'[1]Raw Data'!$A$3:$FB$285,52,FALSE)</f>
        <v/>
      </c>
      <c r="AP215" s="27">
        <f>VLOOKUP($A215,'[1]Raw Data'!$A$3:$FB$285,53,FALSE)</f>
        <v>53</v>
      </c>
      <c r="AQ215" s="27" t="str">
        <f>VLOOKUP($A215,'[1]Raw Data'!$A$3:$FB$285,54,FALSE)</f>
        <v/>
      </c>
      <c r="AR215" s="27" t="str">
        <f>VLOOKUP($A215,'[1]Raw Data'!$A$3:$FB$285,55,FALSE)</f>
        <v/>
      </c>
      <c r="AS215" s="27" t="str">
        <f>VLOOKUP($A215,'[1]Raw Data'!$A$3:$FB$285,56,FALSE)</f>
        <v/>
      </c>
      <c r="AT215" s="27" t="str">
        <f>VLOOKUP($A215,'[1]Raw Data'!$A$3:$FB$285,57,FALSE)</f>
        <v/>
      </c>
      <c r="AU215" s="27" t="str">
        <f>VLOOKUP($A215,'[1]Raw Data'!$A$3:$FB$285,58,FALSE)</f>
        <v/>
      </c>
      <c r="AV215" s="27" t="str">
        <f>VLOOKUP($A215,'[1]Raw Data'!$A$3:$FB$285,59,FALSE)</f>
        <v/>
      </c>
      <c r="AW215" s="27" t="str">
        <f>VLOOKUP($A215,'[1]Raw Data'!$A$3:$FB$285,60,FALSE)</f>
        <v/>
      </c>
      <c r="AX215" s="27" t="str">
        <f>VLOOKUP(A215,'[1]PO''s List'!A213:E495,4,FALSE)</f>
        <v/>
      </c>
      <c r="AZ215" s="27" t="str">
        <f>VLOOKUP(A215,'[1]PO''s List'!$A$3:$E$285,5,FALSE)</f>
        <v/>
      </c>
      <c r="BB215" s="27">
        <f>VLOOKUP($A215,'[1]Raw Data'!$A$3:$FB$285,63,FALSE)</f>
        <v>39829</v>
      </c>
      <c r="BC215" s="27" t="str">
        <f>VLOOKUP($A215,'[1]Raw Data'!$A$3:$FB$285,64,FALSE)</f>
        <v/>
      </c>
      <c r="BD215" s="27" t="str">
        <f t="shared" si="27"/>
        <v/>
      </c>
      <c r="BE215" s="27" t="str">
        <f>VLOOKUP($A215,'[1]Raw Data'!$A$3:$FB$285,65,FALSE)</f>
        <v/>
      </c>
      <c r="BF215" s="27">
        <f>VLOOKUP($A215,'[1]Raw Data'!$A$3:$FB$285,66,FALSE)</f>
        <v>37902</v>
      </c>
      <c r="BG215" s="27" t="str">
        <f>VLOOKUP($A215,'[1]Raw Data'!$A$3:$FB$285,67,FALSE)</f>
        <v/>
      </c>
      <c r="BH215" s="27" t="str">
        <f t="shared" si="28"/>
        <v/>
      </c>
      <c r="BI215" s="27" t="str">
        <f>VLOOKUP($A215,'[1]Raw Data'!$A$3:$FB$285,68,FALSE)</f>
        <v/>
      </c>
      <c r="BJ215" s="27">
        <f>VLOOKUP($A215,'[1]Raw Data'!$A$3:$FB$285,69,FALSE)</f>
        <v>4227</v>
      </c>
      <c r="BK215" s="27" t="str">
        <f>VLOOKUP($A215,'[1]Raw Data'!$A$3:$FB$285,70,FALSE)</f>
        <v/>
      </c>
      <c r="BL215" s="27" t="str">
        <f t="shared" si="29"/>
        <v/>
      </c>
      <c r="BM215" s="27" t="str">
        <f>VLOOKUP($A215,'[1]Raw Data'!$A$3:$FB$285,71,FALSE)</f>
        <v/>
      </c>
      <c r="BN215" s="27">
        <f>VLOOKUP($A215,'[1]Raw Data'!$A$3:$FB$285,72,FALSE)</f>
        <v>4781</v>
      </c>
      <c r="BO215" s="27" t="str">
        <f>VLOOKUP($A215,'[1]Raw Data'!$A$3:$FB$285,73,FALSE)</f>
        <v/>
      </c>
      <c r="BP215" s="27" t="str">
        <f t="shared" si="30"/>
        <v/>
      </c>
      <c r="BQ215" s="27" t="str">
        <f>VLOOKUP($A215,'[1]Raw Data'!$A$3:$FB$285,74,FALSE)</f>
        <v/>
      </c>
      <c r="BR215" s="27" t="str">
        <f>VLOOKUP($A215,'[1]Raw Data'!$A$3:$FB$285,75,FALSE)</f>
        <v/>
      </c>
      <c r="BS215" s="27" t="str">
        <f>VLOOKUP($A215,'[1]Raw Data'!$A$3:$FB$285,76,FALSE)</f>
        <v/>
      </c>
      <c r="BT215" s="27" t="str">
        <f t="shared" si="31"/>
        <v/>
      </c>
      <c r="BU215" s="27" t="str">
        <f>VLOOKUP($A215,'[1]Raw Data'!$A$3:$FB$285,77,FALSE)</f>
        <v/>
      </c>
      <c r="BV215" s="27">
        <f>VLOOKUP($A215,'[1]Raw Data'!$A$3:$FB$285,78,FALSE)</f>
        <v>127090</v>
      </c>
      <c r="BW215" s="27" t="str">
        <f>VLOOKUP($A215,'[1]Raw Data'!$A$3:$FB$285,79,FALSE)</f>
        <v/>
      </c>
      <c r="BX215" s="27" t="str">
        <f t="shared" si="32"/>
        <v/>
      </c>
      <c r="BY215" s="27" t="str">
        <f>VLOOKUP($A215,'[1]Raw Data'!$A$3:$FB$285,80,FALSE)</f>
        <v/>
      </c>
      <c r="BZ215" s="27">
        <f>VLOOKUP($A215,'[1]Raw Data'!$A$3:$FB$285,81,FALSE)</f>
        <v>437567</v>
      </c>
      <c r="CA215" s="27" t="str">
        <f>VLOOKUP($A215,'[1]Raw Data'!$A$3:$FB$285,82,FALSE)</f>
        <v/>
      </c>
      <c r="CB215" s="27" t="str">
        <f t="shared" si="33"/>
        <v/>
      </c>
      <c r="CC215" s="27" t="str">
        <f>VLOOKUP($A215,'[1]Raw Data'!$A$3:$FB$285,83,FALSE)</f>
        <v/>
      </c>
      <c r="CD215" s="27">
        <f>VLOOKUP($A215,'[1]Raw Data'!$A$3:$FB$285,84,FALSE)</f>
        <v>5196</v>
      </c>
      <c r="CE215" s="27" t="str">
        <f>VLOOKUP($A215,'[1]Raw Data'!$A$3:$FB$285,85,FALSE)</f>
        <v/>
      </c>
      <c r="CF215" s="27" t="str">
        <f t="shared" si="34"/>
        <v/>
      </c>
      <c r="CG215" s="27" t="str">
        <f>VLOOKUP($A215,'[1]Raw Data'!$A$3:$FB$285,86,FALSE)</f>
        <v/>
      </c>
      <c r="CH215" s="27">
        <f>VLOOKUP($A215,'[1]Raw Data'!$A$3:$FB$285,87,FALSE)</f>
        <v>766973</v>
      </c>
      <c r="CI215" s="27" t="str">
        <f>VLOOKUP($A215,'[1]Raw Data'!$A$3:$FB$285,88,FALSE)</f>
        <v/>
      </c>
      <c r="CJ215" s="27" t="str">
        <f t="shared" si="35"/>
        <v/>
      </c>
      <c r="CK215" s="27" t="str">
        <f>VLOOKUP($A215,'[1]Raw Data'!$A$3:$FB$285,89,FALSE)</f>
        <v/>
      </c>
      <c r="CL215" s="27" t="str">
        <f>VLOOKUP($A215,'[1]Raw Data'!$A$3:$FB$285,91,FALSE)</f>
        <v/>
      </c>
      <c r="CM215" s="27" t="str">
        <f>VLOOKUP($A215,'[1]Raw Data'!$A$3:$FB$285,93,FALSE)</f>
        <v/>
      </c>
      <c r="CN215" s="27" t="str">
        <f>VLOOKUP($A215,'[1]Raw Data'!$A$3:$FB$285,94,FALSE)</f>
        <v/>
      </c>
      <c r="CO215" s="27" t="str">
        <f>VLOOKUP($A215,'[1]Raw Data'!$A$3:$FB$285,95,FALSE)</f>
        <v/>
      </c>
      <c r="CP215" s="27" t="str">
        <f>VLOOKUP($A215,'[1]Raw Data'!$A$3:$FB$285,96,FALSE)</f>
        <v/>
      </c>
      <c r="CQ215" s="27" t="str">
        <f>VLOOKUP($A215,'[1]Raw Data'!$A$3:$FB$285,97,FALSE)</f>
        <v/>
      </c>
      <c r="CR215" s="27" t="str">
        <f>VLOOKUP($A215,'[1]Raw Data'!$A$3:$FB$285,98,FALSE)</f>
        <v/>
      </c>
      <c r="CS215" s="27" t="str">
        <f>VLOOKUP($A215,'[1]Raw Data'!$A$3:$FB$285,99,FALSE)</f>
        <v/>
      </c>
      <c r="CT215" s="27" t="str">
        <f>VLOOKUP($A215,'[1]Raw Data'!$A$3:$FB$285,101,FALSE)</f>
        <v/>
      </c>
      <c r="CV215" s="27" t="str">
        <f>VLOOKUP($A215,'[1]Raw Data'!$A$3:$FB$285,102,FALSE)</f>
        <v>Mayor</v>
      </c>
      <c r="CW215" s="27" t="s">
        <v>834</v>
      </c>
      <c r="CX215" s="27" t="str">
        <f>VLOOKUP($A215,'[1]Raw Data'!$A$3:$FB$285,103,FALSE)</f>
        <v/>
      </c>
      <c r="CY215" s="27" t="str">
        <f>VLOOKUP($A215,'[1]Raw Data'!$A$3:$FB$285,105,FALSE)</f>
        <v/>
      </c>
      <c r="DA215" s="27" t="str">
        <f>VLOOKUP($A215,'[1]Raw Data'!$A$3:$FB$285,106,FALSE)</f>
        <v>Deputy Mayor</v>
      </c>
      <c r="DB215" s="27" t="s">
        <v>888</v>
      </c>
      <c r="DC215" s="27" t="str">
        <f>VLOOKUP($A215,'[1]Raw Data'!$A$3:$FB$285,107,FALSE)</f>
        <v/>
      </c>
      <c r="DD215" s="27" t="str">
        <f>VLOOKUP($A215,'[1]Raw Data'!$A$3:$FB$285,109,FALSE)</f>
        <v/>
      </c>
      <c r="DF215" s="27" t="str">
        <f>VLOOKUP($A215,'[1]Raw Data'!$A$3:$FB$285,110,FALSE)</f>
        <v>Chief Adminstration Officer</v>
      </c>
      <c r="DG215" s="27" t="s">
        <v>880</v>
      </c>
      <c r="DH215" s="27" t="str">
        <f>VLOOKUP($A215,'[1]Raw Data'!$A$3:$FB$285,111,FALSE)</f>
        <v/>
      </c>
      <c r="DI215" s="27" t="str">
        <f>VLOOKUP($A215,'[1]Raw Data'!$A$3:$FB$285,121,FALSE)</f>
        <v>Sanjya Pandey</v>
      </c>
      <c r="DJ215" s="27" t="s">
        <v>1451</v>
      </c>
      <c r="DK215" s="27" t="str">
        <f>VLOOKUP($A215,'[1]Raw Data'!$A$3:$FB$285,122,FALSE)</f>
        <v>Focal Person</v>
      </c>
      <c r="DL215" s="27" t="s">
        <v>881</v>
      </c>
      <c r="DM215" s="27">
        <f>VLOOKUP($A215,'[1]Raw Data'!$A$3:$FB$285,123,FALSE)</f>
        <v>9860845587</v>
      </c>
      <c r="DN215" s="27" t="str">
        <f>VLOOKUP($A215,'[1]Raw Data'!$A$3:$FB$285,113,FALSE)</f>
        <v>Prabin Dhakal</v>
      </c>
      <c r="DO215" s="27" t="s">
        <v>1441</v>
      </c>
      <c r="DP215" s="27" t="str">
        <f>VLOOKUP($A215,'[1]Raw Data'!$A$3:$FB$285,114,FALSE)</f>
        <v>NRA Chief-District</v>
      </c>
      <c r="DQ215" s="27" t="s">
        <v>882</v>
      </c>
      <c r="DR215" s="27">
        <f>VLOOKUP($A215,'[1]Raw Data'!$A$3:$FB$285,115,FALSE)</f>
        <v>9856040060</v>
      </c>
      <c r="DS215" s="27" t="str">
        <f>VLOOKUP($A215,'[1]Raw Data'!$A$3:$FB$285,117,FALSE)</f>
        <v/>
      </c>
      <c r="DU215" s="27" t="str">
        <f>VLOOKUP($A215,'[1]Raw Data'!$A$3:$FB$285,118,FALSE)</f>
        <v>DUDBC.DLPIU Chief</v>
      </c>
      <c r="DV215" s="27" t="s">
        <v>883</v>
      </c>
      <c r="DW215" s="27" t="str">
        <f>VLOOKUP($A215,'[1]Raw Data'!$A$3:$FB$285,119,FALSE)</f>
        <v/>
      </c>
      <c r="DX215" s="27" t="s">
        <v>339</v>
      </c>
      <c r="DY215" s="27" t="str">
        <f>VLOOKUP($A215,'[1]Raw Data'!$A$3:$FB$285,124,FALSE)</f>
        <v/>
      </c>
      <c r="DZ215" s="27" t="s">
        <v>884</v>
      </c>
      <c r="EA215" s="27" t="str">
        <f>VLOOKUP($A215,'[1]Raw Data'!$A$3:$FB$285,125,FALSE)</f>
        <v/>
      </c>
      <c r="EB215" s="27" t="s">
        <v>341</v>
      </c>
      <c r="EC215" s="27" t="str">
        <f>VLOOKUP($A215,'[1]Raw Data'!$A$3:$FB$285,126,FALSE)</f>
        <v/>
      </c>
      <c r="ED215" t="s">
        <v>478</v>
      </c>
      <c r="EE215" s="27" t="str">
        <f>VLOOKUP($A215,'[1]Raw Data'!$A$3:$FB$285,127,FALSE)</f>
        <v/>
      </c>
      <c r="EF215" s="27" t="s">
        <v>343</v>
      </c>
      <c r="EG215" s="27" t="str">
        <f>VLOOKUP($A215,'[1]Raw Data'!$A$3:$FB$285,128,FALSE)</f>
        <v/>
      </c>
      <c r="EH215" t="s">
        <v>344</v>
      </c>
      <c r="EI215" s="27" t="str">
        <f>VLOOKUP($A215,'[1]Raw Data'!$A$3:$FB$285,129,FALSE)</f>
        <v/>
      </c>
      <c r="EM215" s="27" t="str">
        <f>VLOOKUP($A215,'[1]Raw Data'!$A$3:$FB$285,130,FALSE)</f>
        <v/>
      </c>
      <c r="EN215" s="27" t="str">
        <f>VLOOKUP($A215,'[1]Raw Data'!$A$3:$FB$285,131,FALSE)</f>
        <v/>
      </c>
      <c r="EO215" s="27" t="str">
        <f>VLOOKUP($A215,'[1]Raw Data'!$A$3:$FB$285,132,FALSE)</f>
        <v/>
      </c>
      <c r="EP215" s="27" t="str">
        <f>VLOOKUP($A215,'[1]Raw Data'!$A$3:$FB$285,133,FALSE)</f>
        <v/>
      </c>
      <c r="EQ215" s="27" t="str">
        <f>VLOOKUP($A215,'[1]Raw Data'!$A$3:$FB$285,134,FALSE)</f>
        <v/>
      </c>
      <c r="ER215" s="27" t="str">
        <f>VLOOKUP($A215,'[1]Raw Data'!$A$3:$FB$285,135,FALSE)</f>
        <v/>
      </c>
      <c r="ES215" s="27" t="str">
        <f>VLOOKUP($A215,'[1]Raw Data'!$A$3:$FB$285,136,FALSE)</f>
        <v/>
      </c>
      <c r="ET215" s="27" t="str">
        <f>VLOOKUP($A215,'[1]Raw Data'!$A$3:$FB$285,137,FALSE)</f>
        <v/>
      </c>
      <c r="EU215" s="27" t="str">
        <f>VLOOKUP($A215,'[1]Raw Data'!$A$3:$FB$285,138,FALSE)</f>
        <v/>
      </c>
      <c r="EV215" s="27" t="str">
        <f>VLOOKUP($A215,'[1]Raw Data'!$A$3:$FB$285,139,FALSE)</f>
        <v/>
      </c>
      <c r="EW215" s="38">
        <f>VLOOKUP($A215,[1]Training!$A$2:$I$284,5,FALSE)</f>
        <v>128.53846153846155</v>
      </c>
      <c r="EX215" s="31">
        <f>VLOOKUP($A215,[1]Training!$A$2:$I$284,6,FALSE)</f>
        <v>75</v>
      </c>
      <c r="EY215" s="38">
        <f>VLOOKUP($A215,[1]Training!$A$2:$I$284,8,FALSE)</f>
        <v>151.90909090909091</v>
      </c>
      <c r="EZ215" s="31">
        <f>VLOOKUP($A215,[1]Training!$A$2:$I$284,9,FALSE)</f>
        <v>0</v>
      </c>
      <c r="FA215" s="27">
        <v>1</v>
      </c>
      <c r="FB215" s="27">
        <v>2</v>
      </c>
      <c r="FC215" s="27" t="str">
        <f>VLOOKUP($A215,'[1]Raw Data'!$A$3:$FB$285,148,FALSE)</f>
        <v/>
      </c>
      <c r="FE215" s="27" t="str">
        <f>VLOOKUP($A215,'[1]Raw Data'!$A$3:$FB$285,149,FALSE)</f>
        <v>District Coordinator</v>
      </c>
      <c r="FF215" s="27" t="s">
        <v>885</v>
      </c>
      <c r="FG215" s="27" t="str">
        <f>VLOOKUP($A215,'[1]Raw Data'!$A$3:$FB$285,150,FALSE)</f>
        <v/>
      </c>
      <c r="FH215" s="27" t="str">
        <f>VLOOKUP($A215,'[1]Raw Data'!$A$3:$FB$285,156,FALSE)</f>
        <v/>
      </c>
      <c r="FJ215" s="27" t="str">
        <f>VLOOKUP($A215,'[1]Raw Data'!$A$3:$FB$285,157,FALSE)</f>
        <v>District Technical Officer</v>
      </c>
      <c r="FK215" s="27" t="s">
        <v>886</v>
      </c>
      <c r="FL215" s="27" t="str">
        <f>VLOOKUP($A215,'[1]Raw Data'!$A$3:$FB$285,158,FALSE)</f>
        <v/>
      </c>
      <c r="FM215" s="27" t="str">
        <f>VLOOKUP($A215,'[1]Raw Data'!$A$3:$FB$285,152,FALSE)</f>
        <v/>
      </c>
      <c r="FO215" s="27" t="str">
        <f>VLOOKUP($A215,'[1]Raw Data'!$A$3:$FB$285,153,FALSE)</f>
        <v>DIstrict Information Management Officer</v>
      </c>
      <c r="FP215" s="27" t="s">
        <v>887</v>
      </c>
      <c r="FQ215" s="27" t="str">
        <f>VLOOKUP($A215,'[1]Raw Data'!$A$3:$FB$285,154,FALSE)</f>
        <v/>
      </c>
    </row>
    <row r="216" spans="1:173" ht="24" x14ac:dyDescent="0.45">
      <c r="A216" s="27">
        <v>40001</v>
      </c>
      <c r="B216" s="36" t="str">
        <f ca="1">IFERROR(__xludf.DUMMYFUNCTION("""COMPUTED_VALUE"""),"Annapurna Gaunpalika")</f>
        <v>Annapurna Gaunpalika</v>
      </c>
      <c r="C216" s="37" t="str">
        <f>VLOOKUP(A216,'[1]Palika and District in Nepali '!$D$1:$F$283,3,FALSE)</f>
        <v>अन्नपूर्ण गाउँपलिका</v>
      </c>
      <c r="D216" s="36" t="str">
        <f ca="1">IFERROR(__xludf.DUMMYFUNCTION("""COMPUTED_VALUE"""),"Kaski")</f>
        <v>Kaski</v>
      </c>
      <c r="E216" s="36"/>
      <c r="F216" s="27">
        <f>VLOOKUP(A216,'[1]Raw Data'!$A$3:$FB$285,4,FALSE)</f>
        <v>236</v>
      </c>
      <c r="G216" s="27">
        <f>VLOOKUP(A216,'[1]Raw Data'!$A$3:$FB$285,5,FALSE)</f>
        <v>431</v>
      </c>
      <c r="H216" s="27">
        <f>VLOOKUP(A216,'[1]Raw Data'!$A$3:$FB$285,6,FALSE)</f>
        <v>667</v>
      </c>
      <c r="I216" s="27">
        <f>VLOOKUP($A216,'[1]Raw Data'!$A$3:$FB$285,8,FALSE)</f>
        <v>1.65</v>
      </c>
      <c r="J216" s="27">
        <f>VLOOKUP($A216,'[1]Raw Data'!$A$3:$FB$285,9,FALSE)</f>
        <v>1.88</v>
      </c>
      <c r="K216" s="27">
        <f>VLOOKUP($A216,'[1]Raw Data'!$A$3:$FB$285,11,FALSE)</f>
        <v>93.85</v>
      </c>
      <c r="L216" s="27">
        <f>VLOOKUP($A216,'[1]Raw Data'!$A$3:$FB$285,12,FALSE)</f>
        <v>91.38</v>
      </c>
      <c r="M216" s="27">
        <f>VLOOKUP($A216,'[1]Raw Data'!$A$3:$FB$285,14,FALSE)</f>
        <v>2.85</v>
      </c>
      <c r="N216" s="27">
        <f>VLOOKUP($A216,'[1]Raw Data'!$A$3:$FB$285,15,FALSE)</f>
        <v>2.92</v>
      </c>
      <c r="O216" s="27">
        <f>VLOOKUP($A216,'[1]Raw Data'!$A$3:$FB$285,17,FALSE)</f>
        <v>0</v>
      </c>
      <c r="P216" s="27">
        <f>VLOOKUP($A216,'[1]Raw Data'!$A$3:$FB$285,18,FALSE)</f>
        <v>7.0000000000000007E-2</v>
      </c>
      <c r="Q216" s="27">
        <f>VLOOKUP($A216,'[1]Raw Data'!$A$3:$FB$285,20,FALSE)</f>
        <v>0.6</v>
      </c>
      <c r="R216" s="27">
        <f>VLOOKUP($A216,'[1]Raw Data'!$A$3:$FB$285,21,FALSE)</f>
        <v>1.85</v>
      </c>
      <c r="S216" s="27">
        <f>VLOOKUP($A216,'[1]Raw Data'!$A$3:$FB$285,23,FALSE)</f>
        <v>0</v>
      </c>
      <c r="T216" s="27">
        <f>VLOOKUP($A216,'[1]Raw Data'!$A$3:$FB$285,24,FALSE)</f>
        <v>0</v>
      </c>
      <c r="U216" s="27">
        <f>VLOOKUP($A216,'[1]Raw Data'!$A$3:$FB$285,26,FALSE)</f>
        <v>0.3</v>
      </c>
      <c r="V216" s="27">
        <f>VLOOKUP($A216,'[1]Raw Data'!$A$3:$FB$285,27,FALSE)</f>
        <v>0.06</v>
      </c>
      <c r="W216" s="27">
        <f>VLOOKUP($A216,'[1]Raw Data'!$A$3:$FB$285,29,FALSE)</f>
        <v>0</v>
      </c>
      <c r="X216" s="27">
        <f>VLOOKUP($A216,'[1]Raw Data'!$A$3:$FB$285,30,FALSE)</f>
        <v>0</v>
      </c>
      <c r="Y216" s="27">
        <f>VLOOKUP($A216,'[1]Raw Data'!$A$3:$FB$285,32,FALSE)</f>
        <v>0.45</v>
      </c>
      <c r="Z216" s="27">
        <f>VLOOKUP($A216,'[1]Raw Data'!$A$3:$FB$285,33,FALSE)</f>
        <v>0.26</v>
      </c>
      <c r="AA216" s="27">
        <f>VLOOKUP($A216,'[1]Raw Data'!$A$3:$FB$285,35,FALSE)</f>
        <v>0.15</v>
      </c>
      <c r="AB216" s="27">
        <f>VLOOKUP($A216,'[1]Raw Data'!$A$3:$FB$285,36,FALSE)</f>
        <v>1.54</v>
      </c>
      <c r="AC216" s="27">
        <f>VLOOKUP($A216,'[1]Raw Data'!$A$3:$FB$285,38,FALSE)</f>
        <v>0.15</v>
      </c>
      <c r="AD216" s="27">
        <f>VLOOKUP($A216,'[1]Raw Data'!$A$3:$FB$285,39,FALSE)</f>
        <v>0.05</v>
      </c>
      <c r="AE216" s="27">
        <f>VLOOKUP($A216,'[1]Raw Data'!$A$3:$FB$285,41,FALSE)</f>
        <v>0</v>
      </c>
      <c r="AF216" s="27">
        <f>VLOOKUP($A216,'[1]Raw Data'!$A$3:$FB$285,42,FALSE)</f>
        <v>0</v>
      </c>
      <c r="AG216" s="27">
        <f>VLOOKUP($A216,'[1]Raw Data'!$A$3:$FB$285,44,FALSE)</f>
        <v>0</v>
      </c>
      <c r="AH216" s="27">
        <f>VLOOKUP($A216,'[1]Raw Data'!$A$3:$FB$285,45,FALSE)</f>
        <v>0</v>
      </c>
      <c r="AI216" s="27">
        <f>VLOOKUP($A216,'[1]Raw Data'!$A$3:$FB$285,46,FALSE)</f>
        <v>396</v>
      </c>
      <c r="AJ216" s="27">
        <f>VLOOKUP($A216,'[1]Raw Data'!$A$3:$FB$285,47,FALSE)</f>
        <v>269</v>
      </c>
      <c r="AK216" s="27">
        <f>VLOOKUP($A216,'[1]Raw Data'!$A$3:$FB$285,48,FALSE)</f>
        <v>269</v>
      </c>
      <c r="AL216" s="27">
        <f>VLOOKUP($A216,'[1]Raw Data'!$A$3:$FB$285,49,FALSE)</f>
        <v>33</v>
      </c>
      <c r="AM216" s="27">
        <f>VLOOKUP($A216,'[1]Raw Data'!$A$3:$FB$285,50,FALSE)</f>
        <v>0</v>
      </c>
      <c r="AN216" s="27" t="str">
        <f>VLOOKUP($A216,'[1]Raw Data'!$A$3:$FB$285,51,FALSE)</f>
        <v/>
      </c>
      <c r="AO216" s="27" t="str">
        <f>VLOOKUP($A216,'[1]Raw Data'!$A$3:$FB$285,52,FALSE)</f>
        <v/>
      </c>
      <c r="AP216" s="27">
        <f>VLOOKUP($A216,'[1]Raw Data'!$A$3:$FB$285,53,FALSE)</f>
        <v>21</v>
      </c>
      <c r="AQ216" s="27" t="str">
        <f>VLOOKUP($A216,'[1]Raw Data'!$A$3:$FB$285,54,FALSE)</f>
        <v/>
      </c>
      <c r="AR216" s="27" t="str">
        <f>VLOOKUP($A216,'[1]Raw Data'!$A$3:$FB$285,55,FALSE)</f>
        <v/>
      </c>
      <c r="AS216" s="27" t="str">
        <f>VLOOKUP($A216,'[1]Raw Data'!$A$3:$FB$285,56,FALSE)</f>
        <v/>
      </c>
      <c r="AT216" s="27" t="str">
        <f>VLOOKUP($A216,'[1]Raw Data'!$A$3:$FB$285,57,FALSE)</f>
        <v/>
      </c>
      <c r="AU216" s="27" t="str">
        <f>VLOOKUP($A216,'[1]Raw Data'!$A$3:$FB$285,58,FALSE)</f>
        <v/>
      </c>
      <c r="AV216" s="27" t="str">
        <f>VLOOKUP($A216,'[1]Raw Data'!$A$3:$FB$285,59,FALSE)</f>
        <v/>
      </c>
      <c r="AW216" s="27" t="str">
        <f>VLOOKUP($A216,'[1]Raw Data'!$A$3:$FB$285,60,FALSE)</f>
        <v/>
      </c>
      <c r="AX216" s="27" t="str">
        <f>VLOOKUP(A216,'[1]PO''s List'!A214:E496,4,FALSE)</f>
        <v/>
      </c>
      <c r="AZ216" s="27" t="str">
        <f>VLOOKUP(A216,'[1]PO''s List'!$A$3:$E$285,5,FALSE)</f>
        <v/>
      </c>
      <c r="BB216" s="27">
        <f>VLOOKUP($A216,'[1]Raw Data'!$A$3:$FB$285,63,FALSE)</f>
        <v>8250</v>
      </c>
      <c r="BC216" s="27" t="str">
        <f>VLOOKUP($A216,'[1]Raw Data'!$A$3:$FB$285,64,FALSE)</f>
        <v/>
      </c>
      <c r="BD216" s="27" t="str">
        <f t="shared" si="27"/>
        <v/>
      </c>
      <c r="BE216" s="27" t="str">
        <f>VLOOKUP($A216,'[1]Raw Data'!$A$3:$FB$285,65,FALSE)</f>
        <v/>
      </c>
      <c r="BF216" s="27">
        <f>VLOOKUP($A216,'[1]Raw Data'!$A$3:$FB$285,66,FALSE)</f>
        <v>7701</v>
      </c>
      <c r="BG216" s="27" t="str">
        <f>VLOOKUP($A216,'[1]Raw Data'!$A$3:$FB$285,67,FALSE)</f>
        <v/>
      </c>
      <c r="BH216" s="27" t="str">
        <f t="shared" si="28"/>
        <v/>
      </c>
      <c r="BI216" s="27" t="str">
        <f>VLOOKUP($A216,'[1]Raw Data'!$A$3:$FB$285,68,FALSE)</f>
        <v/>
      </c>
      <c r="BJ216" s="27">
        <f>VLOOKUP($A216,'[1]Raw Data'!$A$3:$FB$285,69,FALSE)</f>
        <v>874</v>
      </c>
      <c r="BK216" s="27" t="str">
        <f>VLOOKUP($A216,'[1]Raw Data'!$A$3:$FB$285,70,FALSE)</f>
        <v/>
      </c>
      <c r="BL216" s="27" t="str">
        <f t="shared" si="29"/>
        <v/>
      </c>
      <c r="BM216" s="27" t="str">
        <f>VLOOKUP($A216,'[1]Raw Data'!$A$3:$FB$285,71,FALSE)</f>
        <v/>
      </c>
      <c r="BN216" s="27">
        <f>VLOOKUP($A216,'[1]Raw Data'!$A$3:$FB$285,72,FALSE)</f>
        <v>985</v>
      </c>
      <c r="BO216" s="27" t="str">
        <f>VLOOKUP($A216,'[1]Raw Data'!$A$3:$FB$285,73,FALSE)</f>
        <v/>
      </c>
      <c r="BP216" s="27" t="str">
        <f t="shared" si="30"/>
        <v/>
      </c>
      <c r="BQ216" s="27" t="str">
        <f>VLOOKUP($A216,'[1]Raw Data'!$A$3:$FB$285,74,FALSE)</f>
        <v/>
      </c>
      <c r="BR216" s="27" t="str">
        <f>VLOOKUP($A216,'[1]Raw Data'!$A$3:$FB$285,75,FALSE)</f>
        <v/>
      </c>
      <c r="BS216" s="27" t="str">
        <f>VLOOKUP($A216,'[1]Raw Data'!$A$3:$FB$285,76,FALSE)</f>
        <v/>
      </c>
      <c r="BT216" s="27" t="str">
        <f t="shared" si="31"/>
        <v/>
      </c>
      <c r="BU216" s="27" t="str">
        <f>VLOOKUP($A216,'[1]Raw Data'!$A$3:$FB$285,77,FALSE)</f>
        <v/>
      </c>
      <c r="BV216" s="27">
        <f>VLOOKUP($A216,'[1]Raw Data'!$A$3:$FB$285,78,FALSE)</f>
        <v>25999</v>
      </c>
      <c r="BW216" s="27" t="str">
        <f>VLOOKUP($A216,'[1]Raw Data'!$A$3:$FB$285,79,FALSE)</f>
        <v/>
      </c>
      <c r="BX216" s="27" t="str">
        <f t="shared" si="32"/>
        <v/>
      </c>
      <c r="BY216" s="27" t="str">
        <f>VLOOKUP($A216,'[1]Raw Data'!$A$3:$FB$285,80,FALSE)</f>
        <v/>
      </c>
      <c r="BZ216" s="27">
        <f>VLOOKUP($A216,'[1]Raw Data'!$A$3:$FB$285,81,FALSE)</f>
        <v>91061</v>
      </c>
      <c r="CA216" s="27" t="str">
        <f>VLOOKUP($A216,'[1]Raw Data'!$A$3:$FB$285,82,FALSE)</f>
        <v/>
      </c>
      <c r="CB216" s="27" t="str">
        <f t="shared" si="33"/>
        <v/>
      </c>
      <c r="CC216" s="27" t="str">
        <f>VLOOKUP($A216,'[1]Raw Data'!$A$3:$FB$285,83,FALSE)</f>
        <v/>
      </c>
      <c r="CD216" s="27">
        <f>VLOOKUP($A216,'[1]Raw Data'!$A$3:$FB$285,84,FALSE)</f>
        <v>1064</v>
      </c>
      <c r="CE216" s="27" t="str">
        <f>VLOOKUP($A216,'[1]Raw Data'!$A$3:$FB$285,85,FALSE)</f>
        <v/>
      </c>
      <c r="CF216" s="27" t="str">
        <f t="shared" si="34"/>
        <v/>
      </c>
      <c r="CG216" s="27" t="str">
        <f>VLOOKUP($A216,'[1]Raw Data'!$A$3:$FB$285,86,FALSE)</f>
        <v/>
      </c>
      <c r="CH216" s="27">
        <f>VLOOKUP($A216,'[1]Raw Data'!$A$3:$FB$285,87,FALSE)</f>
        <v>192090</v>
      </c>
      <c r="CI216" s="27" t="str">
        <f>VLOOKUP($A216,'[1]Raw Data'!$A$3:$FB$285,88,FALSE)</f>
        <v/>
      </c>
      <c r="CJ216" s="27" t="str">
        <f t="shared" si="35"/>
        <v/>
      </c>
      <c r="CK216" s="27" t="str">
        <f>VLOOKUP($A216,'[1]Raw Data'!$A$3:$FB$285,89,FALSE)</f>
        <v/>
      </c>
      <c r="CL216" s="27" t="str">
        <f>VLOOKUP($A216,'[1]Raw Data'!$A$3:$FB$285,91,FALSE)</f>
        <v/>
      </c>
      <c r="CM216" s="27" t="str">
        <f>VLOOKUP($A216,'[1]Raw Data'!$A$3:$FB$285,93,FALSE)</f>
        <v/>
      </c>
      <c r="CN216" s="27" t="str">
        <f>VLOOKUP($A216,'[1]Raw Data'!$A$3:$FB$285,94,FALSE)</f>
        <v/>
      </c>
      <c r="CO216" s="27" t="str">
        <f>VLOOKUP($A216,'[1]Raw Data'!$A$3:$FB$285,95,FALSE)</f>
        <v/>
      </c>
      <c r="CP216" s="27" t="str">
        <f>VLOOKUP($A216,'[1]Raw Data'!$A$3:$FB$285,96,FALSE)</f>
        <v/>
      </c>
      <c r="CQ216" s="27" t="str">
        <f>VLOOKUP($A216,'[1]Raw Data'!$A$3:$FB$285,97,FALSE)</f>
        <v/>
      </c>
      <c r="CR216" s="27" t="str">
        <f>VLOOKUP($A216,'[1]Raw Data'!$A$3:$FB$285,98,FALSE)</f>
        <v/>
      </c>
      <c r="CS216" s="27" t="str">
        <f>VLOOKUP($A216,'[1]Raw Data'!$A$3:$FB$285,99,FALSE)</f>
        <v/>
      </c>
      <c r="CT216" s="27" t="str">
        <f>VLOOKUP($A216,'[1]Raw Data'!$A$3:$FB$285,101,FALSE)</f>
        <v/>
      </c>
      <c r="CV216" s="27" t="str">
        <f>VLOOKUP($A216,'[1]Raw Data'!$A$3:$FB$285,102,FALSE)</f>
        <v>Chairman</v>
      </c>
      <c r="CW216" s="27" t="s">
        <v>878</v>
      </c>
      <c r="CX216" s="27" t="str">
        <f>VLOOKUP($A216,'[1]Raw Data'!$A$3:$FB$285,103,FALSE)</f>
        <v/>
      </c>
      <c r="CY216" s="27" t="str">
        <f>VLOOKUP($A216,'[1]Raw Data'!$A$3:$FB$285,105,FALSE)</f>
        <v/>
      </c>
      <c r="DA216" s="27" t="str">
        <f>VLOOKUP($A216,'[1]Raw Data'!$A$3:$FB$285,106,FALSE)</f>
        <v>Deputy chairman</v>
      </c>
      <c r="DB216" s="27" t="s">
        <v>879</v>
      </c>
      <c r="DC216" s="27" t="str">
        <f>VLOOKUP($A216,'[1]Raw Data'!$A$3:$FB$285,107,FALSE)</f>
        <v/>
      </c>
      <c r="DD216" s="27" t="str">
        <f>VLOOKUP($A216,'[1]Raw Data'!$A$3:$FB$285,109,FALSE)</f>
        <v/>
      </c>
      <c r="DF216" s="27" t="str">
        <f>VLOOKUP($A216,'[1]Raw Data'!$A$3:$FB$285,110,FALSE)</f>
        <v>Chief Adminstration Officer</v>
      </c>
      <c r="DG216" s="27" t="s">
        <v>880</v>
      </c>
      <c r="DH216" s="27" t="str">
        <f>VLOOKUP($A216,'[1]Raw Data'!$A$3:$FB$285,111,FALSE)</f>
        <v/>
      </c>
      <c r="DI216" s="27" t="str">
        <f>VLOOKUP($A216,'[1]Raw Data'!$A$3:$FB$285,121,FALSE)</f>
        <v>Jamuna Bhattarai</v>
      </c>
      <c r="DJ216" s="27" t="s">
        <v>1452</v>
      </c>
      <c r="DK216" s="27" t="str">
        <f>VLOOKUP($A216,'[1]Raw Data'!$A$3:$FB$285,122,FALSE)</f>
        <v>Focal Person</v>
      </c>
      <c r="DL216" s="27" t="s">
        <v>881</v>
      </c>
      <c r="DM216" s="27">
        <f>VLOOKUP($A216,'[1]Raw Data'!$A$3:$FB$285,123,FALSE)</f>
        <v>9846281106</v>
      </c>
      <c r="DN216" s="27" t="str">
        <f>VLOOKUP($A216,'[1]Raw Data'!$A$3:$FB$285,113,FALSE)</f>
        <v>Narayan Prasad Baral</v>
      </c>
      <c r="DO216" s="27" t="s">
        <v>1453</v>
      </c>
      <c r="DP216" s="27" t="str">
        <f>VLOOKUP($A216,'[1]Raw Data'!$A$3:$FB$285,114,FALSE)</f>
        <v>NRA Chief-District</v>
      </c>
      <c r="DQ216" s="27" t="s">
        <v>882</v>
      </c>
      <c r="DR216" s="27">
        <f>VLOOKUP($A216,'[1]Raw Data'!$A$3:$FB$285,115,FALSE)</f>
        <v>9846027721</v>
      </c>
      <c r="DS216" s="27" t="str">
        <f>VLOOKUP($A216,'[1]Raw Data'!$A$3:$FB$285,117,FALSE)</f>
        <v/>
      </c>
      <c r="DU216" s="27" t="str">
        <f>VLOOKUP($A216,'[1]Raw Data'!$A$3:$FB$285,118,FALSE)</f>
        <v>DUDBC.DLPIU Chief</v>
      </c>
      <c r="DV216" s="27" t="s">
        <v>883</v>
      </c>
      <c r="DW216" s="27" t="str">
        <f>VLOOKUP($A216,'[1]Raw Data'!$A$3:$FB$285,119,FALSE)</f>
        <v/>
      </c>
      <c r="DX216" s="27" t="s">
        <v>339</v>
      </c>
      <c r="DY216" s="27" t="str">
        <f>VLOOKUP($A216,'[1]Raw Data'!$A$3:$FB$285,124,FALSE)</f>
        <v/>
      </c>
      <c r="DZ216" s="27" t="s">
        <v>884</v>
      </c>
      <c r="EA216" s="27" t="str">
        <f>VLOOKUP($A216,'[1]Raw Data'!$A$3:$FB$285,125,FALSE)</f>
        <v/>
      </c>
      <c r="EB216" s="27" t="s">
        <v>341</v>
      </c>
      <c r="EC216" s="27" t="str">
        <f>VLOOKUP($A216,'[1]Raw Data'!$A$3:$FB$285,126,FALSE)</f>
        <v/>
      </c>
      <c r="ED216" t="s">
        <v>478</v>
      </c>
      <c r="EE216" s="27" t="str">
        <f>VLOOKUP($A216,'[1]Raw Data'!$A$3:$FB$285,127,FALSE)</f>
        <v/>
      </c>
      <c r="EF216" s="27" t="s">
        <v>343</v>
      </c>
      <c r="EG216" s="27" t="str">
        <f>VLOOKUP($A216,'[1]Raw Data'!$A$3:$FB$285,128,FALSE)</f>
        <v/>
      </c>
      <c r="EH216" t="s">
        <v>344</v>
      </c>
      <c r="EI216" s="27" t="str">
        <f>VLOOKUP($A216,'[1]Raw Data'!$A$3:$FB$285,129,FALSE)</f>
        <v/>
      </c>
      <c r="EM216" s="27" t="str">
        <f>VLOOKUP($A216,'[1]Raw Data'!$A$3:$FB$285,130,FALSE)</f>
        <v/>
      </c>
      <c r="EN216" s="27" t="str">
        <f>VLOOKUP($A216,'[1]Raw Data'!$A$3:$FB$285,131,FALSE)</f>
        <v/>
      </c>
      <c r="EO216" s="27" t="str">
        <f>VLOOKUP($A216,'[1]Raw Data'!$A$3:$FB$285,132,FALSE)</f>
        <v/>
      </c>
      <c r="EP216" s="27" t="str">
        <f>VLOOKUP($A216,'[1]Raw Data'!$A$3:$FB$285,133,FALSE)</f>
        <v/>
      </c>
      <c r="EQ216" s="27" t="str">
        <f>VLOOKUP($A216,'[1]Raw Data'!$A$3:$FB$285,134,FALSE)</f>
        <v/>
      </c>
      <c r="ER216" s="27" t="str">
        <f>VLOOKUP($A216,'[1]Raw Data'!$A$3:$FB$285,135,FALSE)</f>
        <v/>
      </c>
      <c r="ES216" s="27" t="str">
        <f>VLOOKUP($A216,'[1]Raw Data'!$A$3:$FB$285,136,FALSE)</f>
        <v/>
      </c>
      <c r="ET216" s="27" t="str">
        <f>VLOOKUP($A216,'[1]Raw Data'!$A$3:$FB$285,137,FALSE)</f>
        <v/>
      </c>
      <c r="EU216" s="27" t="str">
        <f>VLOOKUP($A216,'[1]Raw Data'!$A$3:$FB$285,138,FALSE)</f>
        <v/>
      </c>
      <c r="EV216" s="27" t="str">
        <f>VLOOKUP($A216,'[1]Raw Data'!$A$3:$FB$285,139,FALSE)</f>
        <v/>
      </c>
      <c r="EW216" s="38">
        <f>VLOOKUP($A216,[1]Training!$A$2:$I$284,5,FALSE)</f>
        <v>30.46153846153846</v>
      </c>
      <c r="EX216" s="31">
        <f>VLOOKUP($A216,[1]Training!$A$2:$I$284,6,FALSE)</f>
        <v>0</v>
      </c>
      <c r="EY216" s="38">
        <f>VLOOKUP($A216,[1]Training!$A$2:$I$284,8,FALSE)</f>
        <v>36</v>
      </c>
      <c r="EZ216" s="31">
        <f>VLOOKUP($A216,[1]Training!$A$2:$I$284,9,FALSE)</f>
        <v>0</v>
      </c>
      <c r="FA216" s="27">
        <v>1</v>
      </c>
      <c r="FB216" s="27">
        <v>2</v>
      </c>
      <c r="FC216" s="27" t="str">
        <f>VLOOKUP($A216,'[1]Raw Data'!$A$3:$FB$285,148,FALSE)</f>
        <v/>
      </c>
      <c r="FE216" s="27" t="str">
        <f>VLOOKUP($A216,'[1]Raw Data'!$A$3:$FB$285,149,FALSE)</f>
        <v>District Coordinator</v>
      </c>
      <c r="FF216" s="27" t="s">
        <v>885</v>
      </c>
      <c r="FG216" s="27" t="str">
        <f>VLOOKUP($A216,'[1]Raw Data'!$A$3:$FB$285,150,FALSE)</f>
        <v/>
      </c>
      <c r="FH216" s="27" t="str">
        <f>VLOOKUP($A216,'[1]Raw Data'!$A$3:$FB$285,156,FALSE)</f>
        <v/>
      </c>
      <c r="FJ216" s="27" t="str">
        <f>VLOOKUP($A216,'[1]Raw Data'!$A$3:$FB$285,157,FALSE)</f>
        <v>District Technical Officer</v>
      </c>
      <c r="FK216" s="27" t="s">
        <v>886</v>
      </c>
      <c r="FL216" s="27" t="str">
        <f>VLOOKUP($A216,'[1]Raw Data'!$A$3:$FB$285,158,FALSE)</f>
        <v/>
      </c>
      <c r="FM216" s="27" t="str">
        <f>VLOOKUP($A216,'[1]Raw Data'!$A$3:$FB$285,152,FALSE)</f>
        <v/>
      </c>
      <c r="FO216" s="27" t="str">
        <f>VLOOKUP($A216,'[1]Raw Data'!$A$3:$FB$285,153,FALSE)</f>
        <v>DIstrict Information Management Officer</v>
      </c>
      <c r="FP216" s="27" t="s">
        <v>887</v>
      </c>
      <c r="FQ216" s="27" t="str">
        <f>VLOOKUP($A216,'[1]Raw Data'!$A$3:$FB$285,154,FALSE)</f>
        <v/>
      </c>
    </row>
    <row r="217" spans="1:173" ht="24" x14ac:dyDescent="0.45">
      <c r="A217" s="27">
        <v>40002</v>
      </c>
      <c r="B217" s="36" t="str">
        <f ca="1">IFERROR(__xludf.DUMMYFUNCTION("""COMPUTED_VALUE"""),"Machhapuchchhre Gaunpalika")</f>
        <v>Machhapuchchhre Gaunpalika</v>
      </c>
      <c r="C217" s="37" t="str">
        <f>VLOOKUP(A217,'[1]Palika and District in Nepali '!$D$1:$F$283,3,FALSE)</f>
        <v>माछापुच्छ्रे गाउँपालिका</v>
      </c>
      <c r="D217" s="36" t="str">
        <f ca="1">IFERROR(__xludf.DUMMYFUNCTION("""COMPUTED_VALUE"""),"Kaski")</f>
        <v>Kaski</v>
      </c>
      <c r="E217" s="36"/>
      <c r="F217" s="27">
        <f>VLOOKUP(A217,'[1]Raw Data'!$A$3:$FB$285,4,FALSE)</f>
        <v>307</v>
      </c>
      <c r="G217" s="27">
        <f>VLOOKUP(A217,'[1]Raw Data'!$A$3:$FB$285,5,FALSE)</f>
        <v>474</v>
      </c>
      <c r="H217" s="27">
        <f>VLOOKUP(A217,'[1]Raw Data'!$A$3:$FB$285,6,FALSE)</f>
        <v>781</v>
      </c>
      <c r="I217" s="27">
        <f>VLOOKUP($A217,'[1]Raw Data'!$A$3:$FB$285,8,FALSE)</f>
        <v>0.38</v>
      </c>
      <c r="J217" s="27">
        <f>VLOOKUP($A217,'[1]Raw Data'!$A$3:$FB$285,9,FALSE)</f>
        <v>1.88</v>
      </c>
      <c r="K217" s="27">
        <f>VLOOKUP($A217,'[1]Raw Data'!$A$3:$FB$285,11,FALSE)</f>
        <v>98.21</v>
      </c>
      <c r="L217" s="27">
        <f>VLOOKUP($A217,'[1]Raw Data'!$A$3:$FB$285,12,FALSE)</f>
        <v>91.38</v>
      </c>
      <c r="M217" s="27">
        <f>VLOOKUP($A217,'[1]Raw Data'!$A$3:$FB$285,14,FALSE)</f>
        <v>0.9</v>
      </c>
      <c r="N217" s="27">
        <f>VLOOKUP($A217,'[1]Raw Data'!$A$3:$FB$285,15,FALSE)</f>
        <v>2.92</v>
      </c>
      <c r="O217" s="27">
        <f>VLOOKUP($A217,'[1]Raw Data'!$A$3:$FB$285,17,FALSE)</f>
        <v>0.13</v>
      </c>
      <c r="P217" s="27">
        <f>VLOOKUP($A217,'[1]Raw Data'!$A$3:$FB$285,18,FALSE)</f>
        <v>7.0000000000000007E-2</v>
      </c>
      <c r="Q217" s="27">
        <f>VLOOKUP($A217,'[1]Raw Data'!$A$3:$FB$285,20,FALSE)</f>
        <v>0.26</v>
      </c>
      <c r="R217" s="27">
        <f>VLOOKUP($A217,'[1]Raw Data'!$A$3:$FB$285,21,FALSE)</f>
        <v>1.85</v>
      </c>
      <c r="S217" s="27">
        <f>VLOOKUP($A217,'[1]Raw Data'!$A$3:$FB$285,23,FALSE)</f>
        <v>0</v>
      </c>
      <c r="T217" s="27">
        <f>VLOOKUP($A217,'[1]Raw Data'!$A$3:$FB$285,24,FALSE)</f>
        <v>0</v>
      </c>
      <c r="U217" s="27">
        <f>VLOOKUP($A217,'[1]Raw Data'!$A$3:$FB$285,26,FALSE)</f>
        <v>0</v>
      </c>
      <c r="V217" s="27">
        <f>VLOOKUP($A217,'[1]Raw Data'!$A$3:$FB$285,27,FALSE)</f>
        <v>0.06</v>
      </c>
      <c r="W217" s="27">
        <f>VLOOKUP($A217,'[1]Raw Data'!$A$3:$FB$285,29,FALSE)</f>
        <v>0</v>
      </c>
      <c r="X217" s="27">
        <f>VLOOKUP($A217,'[1]Raw Data'!$A$3:$FB$285,30,FALSE)</f>
        <v>0</v>
      </c>
      <c r="Y217" s="27">
        <f>VLOOKUP($A217,'[1]Raw Data'!$A$3:$FB$285,32,FALSE)</f>
        <v>0.13</v>
      </c>
      <c r="Z217" s="27">
        <f>VLOOKUP($A217,'[1]Raw Data'!$A$3:$FB$285,33,FALSE)</f>
        <v>0.26</v>
      </c>
      <c r="AA217" s="27">
        <f>VLOOKUP($A217,'[1]Raw Data'!$A$3:$FB$285,35,FALSE)</f>
        <v>0</v>
      </c>
      <c r="AB217" s="27">
        <f>VLOOKUP($A217,'[1]Raw Data'!$A$3:$FB$285,36,FALSE)</f>
        <v>1.54</v>
      </c>
      <c r="AC217" s="27">
        <f>VLOOKUP($A217,'[1]Raw Data'!$A$3:$FB$285,38,FALSE)</f>
        <v>0</v>
      </c>
      <c r="AD217" s="27">
        <f>VLOOKUP($A217,'[1]Raw Data'!$A$3:$FB$285,39,FALSE)</f>
        <v>0.05</v>
      </c>
      <c r="AE217" s="27">
        <f>VLOOKUP($A217,'[1]Raw Data'!$A$3:$FB$285,41,FALSE)</f>
        <v>0</v>
      </c>
      <c r="AF217" s="27">
        <f>VLOOKUP($A217,'[1]Raw Data'!$A$3:$FB$285,42,FALSE)</f>
        <v>0</v>
      </c>
      <c r="AG217" s="27">
        <f>VLOOKUP($A217,'[1]Raw Data'!$A$3:$FB$285,44,FALSE)</f>
        <v>0</v>
      </c>
      <c r="AH217" s="27">
        <f>VLOOKUP($A217,'[1]Raw Data'!$A$3:$FB$285,45,FALSE)</f>
        <v>0</v>
      </c>
      <c r="AI217" s="27">
        <f>VLOOKUP($A217,'[1]Raw Data'!$A$3:$FB$285,46,FALSE)</f>
        <v>427</v>
      </c>
      <c r="AJ217" s="27">
        <f>VLOOKUP($A217,'[1]Raw Data'!$A$3:$FB$285,47,FALSE)</f>
        <v>112</v>
      </c>
      <c r="AK217" s="27">
        <f>VLOOKUP($A217,'[1]Raw Data'!$A$3:$FB$285,48,FALSE)</f>
        <v>112</v>
      </c>
      <c r="AL217" s="27">
        <f>VLOOKUP($A217,'[1]Raw Data'!$A$3:$FB$285,49,FALSE)</f>
        <v>27</v>
      </c>
      <c r="AM217" s="27">
        <f>VLOOKUP($A217,'[1]Raw Data'!$A$3:$FB$285,50,FALSE)</f>
        <v>0</v>
      </c>
      <c r="AN217" s="27" t="str">
        <f>VLOOKUP($A217,'[1]Raw Data'!$A$3:$FB$285,51,FALSE)</f>
        <v/>
      </c>
      <c r="AO217" s="27" t="str">
        <f>VLOOKUP($A217,'[1]Raw Data'!$A$3:$FB$285,52,FALSE)</f>
        <v/>
      </c>
      <c r="AP217" s="27">
        <f>VLOOKUP($A217,'[1]Raw Data'!$A$3:$FB$285,53,FALSE)</f>
        <v>30</v>
      </c>
      <c r="AQ217" s="27" t="str">
        <f>VLOOKUP($A217,'[1]Raw Data'!$A$3:$FB$285,54,FALSE)</f>
        <v/>
      </c>
      <c r="AR217" s="27" t="str">
        <f>VLOOKUP($A217,'[1]Raw Data'!$A$3:$FB$285,55,FALSE)</f>
        <v/>
      </c>
      <c r="AS217" s="27" t="str">
        <f>VLOOKUP($A217,'[1]Raw Data'!$A$3:$FB$285,56,FALSE)</f>
        <v/>
      </c>
      <c r="AT217" s="27" t="str">
        <f>VLOOKUP($A217,'[1]Raw Data'!$A$3:$FB$285,57,FALSE)</f>
        <v/>
      </c>
      <c r="AU217" s="27" t="str">
        <f>VLOOKUP($A217,'[1]Raw Data'!$A$3:$FB$285,58,FALSE)</f>
        <v/>
      </c>
      <c r="AV217" s="27" t="str">
        <f>VLOOKUP($A217,'[1]Raw Data'!$A$3:$FB$285,59,FALSE)</f>
        <v/>
      </c>
      <c r="AW217" s="27" t="str">
        <f>VLOOKUP($A217,'[1]Raw Data'!$A$3:$FB$285,60,FALSE)</f>
        <v/>
      </c>
      <c r="AX217" s="27" t="str">
        <f>VLOOKUP(A217,'[1]PO''s List'!A215:E497,4,FALSE)</f>
        <v/>
      </c>
      <c r="AZ217" s="27" t="str">
        <f>VLOOKUP(A217,'[1]PO''s List'!$A$3:$E$285,5,FALSE)</f>
        <v/>
      </c>
      <c r="BB217" s="27">
        <f>VLOOKUP($A217,'[1]Raw Data'!$A$3:$FB$285,63,FALSE)</f>
        <v>3238</v>
      </c>
      <c r="BC217" s="27" t="str">
        <f>VLOOKUP($A217,'[1]Raw Data'!$A$3:$FB$285,64,FALSE)</f>
        <v/>
      </c>
      <c r="BD217" s="27" t="str">
        <f t="shared" si="27"/>
        <v/>
      </c>
      <c r="BE217" s="27" t="str">
        <f>VLOOKUP($A217,'[1]Raw Data'!$A$3:$FB$285,65,FALSE)</f>
        <v/>
      </c>
      <c r="BF217" s="27">
        <f>VLOOKUP($A217,'[1]Raw Data'!$A$3:$FB$285,66,FALSE)</f>
        <v>3295</v>
      </c>
      <c r="BG217" s="27" t="str">
        <f>VLOOKUP($A217,'[1]Raw Data'!$A$3:$FB$285,67,FALSE)</f>
        <v/>
      </c>
      <c r="BH217" s="27" t="str">
        <f t="shared" si="28"/>
        <v/>
      </c>
      <c r="BI217" s="27" t="str">
        <f>VLOOKUP($A217,'[1]Raw Data'!$A$3:$FB$285,68,FALSE)</f>
        <v/>
      </c>
      <c r="BJ217" s="27">
        <f>VLOOKUP($A217,'[1]Raw Data'!$A$3:$FB$285,69,FALSE)</f>
        <v>346</v>
      </c>
      <c r="BK217" s="27" t="str">
        <f>VLOOKUP($A217,'[1]Raw Data'!$A$3:$FB$285,70,FALSE)</f>
        <v/>
      </c>
      <c r="BL217" s="27" t="str">
        <f t="shared" si="29"/>
        <v/>
      </c>
      <c r="BM217" s="27" t="str">
        <f>VLOOKUP($A217,'[1]Raw Data'!$A$3:$FB$285,71,FALSE)</f>
        <v/>
      </c>
      <c r="BN217" s="27">
        <f>VLOOKUP($A217,'[1]Raw Data'!$A$3:$FB$285,72,FALSE)</f>
        <v>398</v>
      </c>
      <c r="BO217" s="27" t="str">
        <f>VLOOKUP($A217,'[1]Raw Data'!$A$3:$FB$285,73,FALSE)</f>
        <v/>
      </c>
      <c r="BP217" s="27" t="str">
        <f t="shared" si="30"/>
        <v/>
      </c>
      <c r="BQ217" s="27" t="str">
        <f>VLOOKUP($A217,'[1]Raw Data'!$A$3:$FB$285,74,FALSE)</f>
        <v/>
      </c>
      <c r="BR217" s="27" t="str">
        <f>VLOOKUP($A217,'[1]Raw Data'!$A$3:$FB$285,75,FALSE)</f>
        <v/>
      </c>
      <c r="BS217" s="27" t="str">
        <f>VLOOKUP($A217,'[1]Raw Data'!$A$3:$FB$285,76,FALSE)</f>
        <v/>
      </c>
      <c r="BT217" s="27" t="str">
        <f t="shared" si="31"/>
        <v/>
      </c>
      <c r="BU217" s="27" t="str">
        <f>VLOOKUP($A217,'[1]Raw Data'!$A$3:$FB$285,77,FALSE)</f>
        <v/>
      </c>
      <c r="BV217" s="27">
        <f>VLOOKUP($A217,'[1]Raw Data'!$A$3:$FB$285,78,FALSE)</f>
        <v>10917</v>
      </c>
      <c r="BW217" s="27" t="str">
        <f>VLOOKUP($A217,'[1]Raw Data'!$A$3:$FB$285,79,FALSE)</f>
        <v/>
      </c>
      <c r="BX217" s="27" t="str">
        <f t="shared" si="32"/>
        <v/>
      </c>
      <c r="BY217" s="27" t="str">
        <f>VLOOKUP($A217,'[1]Raw Data'!$A$3:$FB$285,80,FALSE)</f>
        <v/>
      </c>
      <c r="BZ217" s="27">
        <f>VLOOKUP($A217,'[1]Raw Data'!$A$3:$FB$285,81,FALSE)</f>
        <v>35136</v>
      </c>
      <c r="CA217" s="27" t="str">
        <f>VLOOKUP($A217,'[1]Raw Data'!$A$3:$FB$285,82,FALSE)</f>
        <v/>
      </c>
      <c r="CB217" s="27" t="str">
        <f t="shared" si="33"/>
        <v/>
      </c>
      <c r="CC217" s="27" t="str">
        <f>VLOOKUP($A217,'[1]Raw Data'!$A$3:$FB$285,83,FALSE)</f>
        <v/>
      </c>
      <c r="CD217" s="27">
        <f>VLOOKUP($A217,'[1]Raw Data'!$A$3:$FB$285,84,FALSE)</f>
        <v>446</v>
      </c>
      <c r="CE217" s="27" t="str">
        <f>VLOOKUP($A217,'[1]Raw Data'!$A$3:$FB$285,85,FALSE)</f>
        <v/>
      </c>
      <c r="CF217" s="27" t="str">
        <f t="shared" si="34"/>
        <v/>
      </c>
      <c r="CG217" s="27" t="str">
        <f>VLOOKUP($A217,'[1]Raw Data'!$A$3:$FB$285,86,FALSE)</f>
        <v/>
      </c>
      <c r="CH217" s="27">
        <f>VLOOKUP($A217,'[1]Raw Data'!$A$3:$FB$285,87,FALSE)</f>
        <v>33050</v>
      </c>
      <c r="CI217" s="27" t="str">
        <f>VLOOKUP($A217,'[1]Raw Data'!$A$3:$FB$285,88,FALSE)</f>
        <v/>
      </c>
      <c r="CJ217" s="27" t="str">
        <f t="shared" si="35"/>
        <v/>
      </c>
      <c r="CK217" s="27" t="str">
        <f>VLOOKUP($A217,'[1]Raw Data'!$A$3:$FB$285,89,FALSE)</f>
        <v/>
      </c>
      <c r="CL217" s="27" t="str">
        <f>VLOOKUP($A217,'[1]Raw Data'!$A$3:$FB$285,91,FALSE)</f>
        <v/>
      </c>
      <c r="CM217" s="27" t="str">
        <f>VLOOKUP($A217,'[1]Raw Data'!$A$3:$FB$285,93,FALSE)</f>
        <v/>
      </c>
      <c r="CN217" s="27" t="str">
        <f>VLOOKUP($A217,'[1]Raw Data'!$A$3:$FB$285,94,FALSE)</f>
        <v/>
      </c>
      <c r="CO217" s="27" t="str">
        <f>VLOOKUP($A217,'[1]Raw Data'!$A$3:$FB$285,95,FALSE)</f>
        <v/>
      </c>
      <c r="CP217" s="27" t="str">
        <f>VLOOKUP($A217,'[1]Raw Data'!$A$3:$FB$285,96,FALSE)</f>
        <v/>
      </c>
      <c r="CQ217" s="27" t="str">
        <f>VLOOKUP($A217,'[1]Raw Data'!$A$3:$FB$285,97,FALSE)</f>
        <v/>
      </c>
      <c r="CR217" s="27" t="str">
        <f>VLOOKUP($A217,'[1]Raw Data'!$A$3:$FB$285,98,FALSE)</f>
        <v/>
      </c>
      <c r="CS217" s="27" t="str">
        <f>VLOOKUP($A217,'[1]Raw Data'!$A$3:$FB$285,99,FALSE)</f>
        <v/>
      </c>
      <c r="CT217" s="27" t="str">
        <f>VLOOKUP($A217,'[1]Raw Data'!$A$3:$FB$285,101,FALSE)</f>
        <v/>
      </c>
      <c r="CV217" s="27" t="str">
        <f>VLOOKUP($A217,'[1]Raw Data'!$A$3:$FB$285,102,FALSE)</f>
        <v>Chairman</v>
      </c>
      <c r="CW217" s="27" t="s">
        <v>878</v>
      </c>
      <c r="CX217" s="27" t="str">
        <f>VLOOKUP($A217,'[1]Raw Data'!$A$3:$FB$285,103,FALSE)</f>
        <v/>
      </c>
      <c r="CY217" s="27" t="str">
        <f>VLOOKUP($A217,'[1]Raw Data'!$A$3:$FB$285,105,FALSE)</f>
        <v/>
      </c>
      <c r="DA217" s="27" t="str">
        <f>VLOOKUP($A217,'[1]Raw Data'!$A$3:$FB$285,106,FALSE)</f>
        <v>Deputy chairman</v>
      </c>
      <c r="DB217" s="27" t="s">
        <v>879</v>
      </c>
      <c r="DC217" s="27" t="str">
        <f>VLOOKUP($A217,'[1]Raw Data'!$A$3:$FB$285,107,FALSE)</f>
        <v/>
      </c>
      <c r="DD217" s="27" t="str">
        <f>VLOOKUP($A217,'[1]Raw Data'!$A$3:$FB$285,109,FALSE)</f>
        <v/>
      </c>
      <c r="DF217" s="27" t="str">
        <f>VLOOKUP($A217,'[1]Raw Data'!$A$3:$FB$285,110,FALSE)</f>
        <v>Chief Adminstration Officer</v>
      </c>
      <c r="DG217" s="27" t="s">
        <v>880</v>
      </c>
      <c r="DH217" s="27" t="str">
        <f>VLOOKUP($A217,'[1]Raw Data'!$A$3:$FB$285,111,FALSE)</f>
        <v/>
      </c>
      <c r="DI217" s="27" t="str">
        <f>VLOOKUP($A217,'[1]Raw Data'!$A$3:$FB$285,121,FALSE)</f>
        <v>Aanand Kafle</v>
      </c>
      <c r="DJ217" s="27" t="s">
        <v>1454</v>
      </c>
      <c r="DK217" s="27" t="str">
        <f>VLOOKUP($A217,'[1]Raw Data'!$A$3:$FB$285,122,FALSE)</f>
        <v>Focal Person</v>
      </c>
      <c r="DL217" s="27" t="s">
        <v>881</v>
      </c>
      <c r="DM217" s="27">
        <f>VLOOKUP($A217,'[1]Raw Data'!$A$3:$FB$285,123,FALSE)</f>
        <v>9846115729</v>
      </c>
      <c r="DN217" s="27" t="str">
        <f>VLOOKUP($A217,'[1]Raw Data'!$A$3:$FB$285,113,FALSE)</f>
        <v>Narayan Prasad Baral</v>
      </c>
      <c r="DO217" s="27" t="s">
        <v>1453</v>
      </c>
      <c r="DP217" s="27" t="str">
        <f>VLOOKUP($A217,'[1]Raw Data'!$A$3:$FB$285,114,FALSE)</f>
        <v>NRA Chief-District</v>
      </c>
      <c r="DQ217" s="27" t="s">
        <v>882</v>
      </c>
      <c r="DR217" s="27">
        <f>VLOOKUP($A217,'[1]Raw Data'!$A$3:$FB$285,115,FALSE)</f>
        <v>9846027721</v>
      </c>
      <c r="DS217" s="27" t="str">
        <f>VLOOKUP($A217,'[1]Raw Data'!$A$3:$FB$285,117,FALSE)</f>
        <v/>
      </c>
      <c r="DU217" s="27" t="str">
        <f>VLOOKUP($A217,'[1]Raw Data'!$A$3:$FB$285,118,FALSE)</f>
        <v>DUDBC.DLPIU Chief</v>
      </c>
      <c r="DV217" s="27" t="s">
        <v>883</v>
      </c>
      <c r="DW217" s="27" t="str">
        <f>VLOOKUP($A217,'[1]Raw Data'!$A$3:$FB$285,119,FALSE)</f>
        <v/>
      </c>
      <c r="DX217" s="27" t="s">
        <v>339</v>
      </c>
      <c r="DY217" s="27" t="str">
        <f>VLOOKUP($A217,'[1]Raw Data'!$A$3:$FB$285,124,FALSE)</f>
        <v/>
      </c>
      <c r="DZ217" s="27" t="s">
        <v>884</v>
      </c>
      <c r="EA217" s="27" t="str">
        <f>VLOOKUP($A217,'[1]Raw Data'!$A$3:$FB$285,125,FALSE)</f>
        <v/>
      </c>
      <c r="EB217" s="27" t="s">
        <v>341</v>
      </c>
      <c r="EC217" s="27" t="str">
        <f>VLOOKUP($A217,'[1]Raw Data'!$A$3:$FB$285,126,FALSE)</f>
        <v/>
      </c>
      <c r="ED217" t="s">
        <v>478</v>
      </c>
      <c r="EE217" s="27" t="str">
        <f>VLOOKUP($A217,'[1]Raw Data'!$A$3:$FB$285,127,FALSE)</f>
        <v/>
      </c>
      <c r="EF217" s="27" t="s">
        <v>343</v>
      </c>
      <c r="EG217" s="27" t="str">
        <f>VLOOKUP($A217,'[1]Raw Data'!$A$3:$FB$285,128,FALSE)</f>
        <v/>
      </c>
      <c r="EH217" t="s">
        <v>344</v>
      </c>
      <c r="EI217" s="27" t="str">
        <f>VLOOKUP($A217,'[1]Raw Data'!$A$3:$FB$285,129,FALSE)</f>
        <v/>
      </c>
      <c r="EM217" s="27" t="str">
        <f>VLOOKUP($A217,'[1]Raw Data'!$A$3:$FB$285,130,FALSE)</f>
        <v/>
      </c>
      <c r="EN217" s="27" t="str">
        <f>VLOOKUP($A217,'[1]Raw Data'!$A$3:$FB$285,131,FALSE)</f>
        <v/>
      </c>
      <c r="EO217" s="27" t="str">
        <f>VLOOKUP($A217,'[1]Raw Data'!$A$3:$FB$285,132,FALSE)</f>
        <v/>
      </c>
      <c r="EP217" s="27" t="str">
        <f>VLOOKUP($A217,'[1]Raw Data'!$A$3:$FB$285,133,FALSE)</f>
        <v/>
      </c>
      <c r="EQ217" s="27" t="str">
        <f>VLOOKUP($A217,'[1]Raw Data'!$A$3:$FB$285,134,FALSE)</f>
        <v/>
      </c>
      <c r="ER217" s="27" t="str">
        <f>VLOOKUP($A217,'[1]Raw Data'!$A$3:$FB$285,135,FALSE)</f>
        <v/>
      </c>
      <c r="ES217" s="27" t="str">
        <f>VLOOKUP($A217,'[1]Raw Data'!$A$3:$FB$285,136,FALSE)</f>
        <v/>
      </c>
      <c r="ET217" s="27" t="str">
        <f>VLOOKUP($A217,'[1]Raw Data'!$A$3:$FB$285,137,FALSE)</f>
        <v/>
      </c>
      <c r="EU217" s="27" t="str">
        <f>VLOOKUP($A217,'[1]Raw Data'!$A$3:$FB$285,138,FALSE)</f>
        <v/>
      </c>
      <c r="EV217" s="27" t="str">
        <f>VLOOKUP($A217,'[1]Raw Data'!$A$3:$FB$285,139,FALSE)</f>
        <v/>
      </c>
      <c r="EW217" s="38">
        <f>VLOOKUP($A217,[1]Training!$A$2:$I$284,5,FALSE)</f>
        <v>32.846153846153847</v>
      </c>
      <c r="EX217" s="31">
        <f>VLOOKUP($A217,[1]Training!$A$2:$I$284,6,FALSE)</f>
        <v>0</v>
      </c>
      <c r="EY217" s="38">
        <f>VLOOKUP($A217,[1]Training!$A$2:$I$284,8,FALSE)</f>
        <v>38.81818181818182</v>
      </c>
      <c r="EZ217" s="31">
        <f>VLOOKUP($A217,[1]Training!$A$2:$I$284,9,FALSE)</f>
        <v>0</v>
      </c>
      <c r="FA217" s="27">
        <v>1</v>
      </c>
      <c r="FB217" s="27">
        <v>2</v>
      </c>
      <c r="FC217" s="27" t="str">
        <f>VLOOKUP($A217,'[1]Raw Data'!$A$3:$FB$285,148,FALSE)</f>
        <v/>
      </c>
      <c r="FE217" s="27" t="str">
        <f>VLOOKUP($A217,'[1]Raw Data'!$A$3:$FB$285,149,FALSE)</f>
        <v>District Coordinator</v>
      </c>
      <c r="FF217" s="27" t="s">
        <v>885</v>
      </c>
      <c r="FG217" s="27" t="str">
        <f>VLOOKUP($A217,'[1]Raw Data'!$A$3:$FB$285,150,FALSE)</f>
        <v/>
      </c>
      <c r="FH217" s="27" t="str">
        <f>VLOOKUP($A217,'[1]Raw Data'!$A$3:$FB$285,156,FALSE)</f>
        <v/>
      </c>
      <c r="FJ217" s="27" t="str">
        <f>VLOOKUP($A217,'[1]Raw Data'!$A$3:$FB$285,157,FALSE)</f>
        <v>District Technical Officer</v>
      </c>
      <c r="FK217" s="27" t="s">
        <v>886</v>
      </c>
      <c r="FL217" s="27" t="str">
        <f>VLOOKUP($A217,'[1]Raw Data'!$A$3:$FB$285,158,FALSE)</f>
        <v/>
      </c>
      <c r="FM217" s="27" t="str">
        <f>VLOOKUP($A217,'[1]Raw Data'!$A$3:$FB$285,152,FALSE)</f>
        <v/>
      </c>
      <c r="FO217" s="27" t="str">
        <f>VLOOKUP($A217,'[1]Raw Data'!$A$3:$FB$285,153,FALSE)</f>
        <v>DIstrict Information Management Officer</v>
      </c>
      <c r="FP217" s="27" t="s">
        <v>887</v>
      </c>
      <c r="FQ217" s="27" t="str">
        <f>VLOOKUP($A217,'[1]Raw Data'!$A$3:$FB$285,154,FALSE)</f>
        <v/>
      </c>
    </row>
    <row r="218" spans="1:173" ht="24" x14ac:dyDescent="0.45">
      <c r="A218" s="27">
        <v>40003</v>
      </c>
      <c r="B218" s="36" t="str">
        <f ca="1">IFERROR(__xludf.DUMMYFUNCTION("""COMPUTED_VALUE"""),"Madi Gaunpalika")</f>
        <v>Madi Gaunpalika</v>
      </c>
      <c r="C218" s="37" t="str">
        <f>VLOOKUP(A218,'[1]Palika and District in Nepali '!$D$1:$F$283,3,FALSE)</f>
        <v>मादि गाउँपालिका</v>
      </c>
      <c r="D218" s="36" t="str">
        <f ca="1">IFERROR(__xludf.DUMMYFUNCTION("""COMPUTED_VALUE"""),"Kaski")</f>
        <v>Kaski</v>
      </c>
      <c r="E218" s="36"/>
      <c r="F218" s="27">
        <f>VLOOKUP(A218,'[1]Raw Data'!$A$3:$FB$285,4,FALSE)</f>
        <v>1010</v>
      </c>
      <c r="G218" s="27">
        <f>VLOOKUP(A218,'[1]Raw Data'!$A$3:$FB$285,5,FALSE)</f>
        <v>1286</v>
      </c>
      <c r="H218" s="27">
        <f>VLOOKUP(A218,'[1]Raw Data'!$A$3:$FB$285,6,FALSE)</f>
        <v>2296</v>
      </c>
      <c r="I218" s="27">
        <f>VLOOKUP($A218,'[1]Raw Data'!$A$3:$FB$285,8,FALSE)</f>
        <v>0.26</v>
      </c>
      <c r="J218" s="27">
        <f>VLOOKUP($A218,'[1]Raw Data'!$A$3:$FB$285,9,FALSE)</f>
        <v>1.88</v>
      </c>
      <c r="K218" s="27">
        <f>VLOOKUP($A218,'[1]Raw Data'!$A$3:$FB$285,11,FALSE)</f>
        <v>98.78</v>
      </c>
      <c r="L218" s="27">
        <f>VLOOKUP($A218,'[1]Raw Data'!$A$3:$FB$285,12,FALSE)</f>
        <v>91.38</v>
      </c>
      <c r="M218" s="27">
        <f>VLOOKUP($A218,'[1]Raw Data'!$A$3:$FB$285,14,FALSE)</f>
        <v>0.26</v>
      </c>
      <c r="N218" s="27">
        <f>VLOOKUP($A218,'[1]Raw Data'!$A$3:$FB$285,15,FALSE)</f>
        <v>2.92</v>
      </c>
      <c r="O218" s="27">
        <f>VLOOKUP($A218,'[1]Raw Data'!$A$3:$FB$285,17,FALSE)</f>
        <v>0</v>
      </c>
      <c r="P218" s="27">
        <f>VLOOKUP($A218,'[1]Raw Data'!$A$3:$FB$285,18,FALSE)</f>
        <v>7.0000000000000007E-2</v>
      </c>
      <c r="Q218" s="27">
        <f>VLOOKUP($A218,'[1]Raw Data'!$A$3:$FB$285,20,FALSE)</f>
        <v>0.13</v>
      </c>
      <c r="R218" s="27">
        <f>VLOOKUP($A218,'[1]Raw Data'!$A$3:$FB$285,21,FALSE)</f>
        <v>1.85</v>
      </c>
      <c r="S218" s="27">
        <f>VLOOKUP($A218,'[1]Raw Data'!$A$3:$FB$285,23,FALSE)</f>
        <v>0</v>
      </c>
      <c r="T218" s="27">
        <f>VLOOKUP($A218,'[1]Raw Data'!$A$3:$FB$285,24,FALSE)</f>
        <v>0</v>
      </c>
      <c r="U218" s="27">
        <f>VLOOKUP($A218,'[1]Raw Data'!$A$3:$FB$285,26,FALSE)</f>
        <v>0.09</v>
      </c>
      <c r="V218" s="27">
        <f>VLOOKUP($A218,'[1]Raw Data'!$A$3:$FB$285,27,FALSE)</f>
        <v>0.06</v>
      </c>
      <c r="W218" s="27">
        <f>VLOOKUP($A218,'[1]Raw Data'!$A$3:$FB$285,29,FALSE)</f>
        <v>0</v>
      </c>
      <c r="X218" s="27">
        <f>VLOOKUP($A218,'[1]Raw Data'!$A$3:$FB$285,30,FALSE)</f>
        <v>0</v>
      </c>
      <c r="Y218" s="27">
        <f>VLOOKUP($A218,'[1]Raw Data'!$A$3:$FB$285,32,FALSE)</f>
        <v>0.26</v>
      </c>
      <c r="Z218" s="27">
        <f>VLOOKUP($A218,'[1]Raw Data'!$A$3:$FB$285,33,FALSE)</f>
        <v>0.26</v>
      </c>
      <c r="AA218" s="27">
        <f>VLOOKUP($A218,'[1]Raw Data'!$A$3:$FB$285,35,FALSE)</f>
        <v>0.17</v>
      </c>
      <c r="AB218" s="27">
        <f>VLOOKUP($A218,'[1]Raw Data'!$A$3:$FB$285,36,FALSE)</f>
        <v>1.54</v>
      </c>
      <c r="AC218" s="27">
        <f>VLOOKUP($A218,'[1]Raw Data'!$A$3:$FB$285,38,FALSE)</f>
        <v>0.04</v>
      </c>
      <c r="AD218" s="27">
        <f>VLOOKUP($A218,'[1]Raw Data'!$A$3:$FB$285,39,FALSE)</f>
        <v>0.05</v>
      </c>
      <c r="AE218" s="27">
        <f>VLOOKUP($A218,'[1]Raw Data'!$A$3:$FB$285,41,FALSE)</f>
        <v>0</v>
      </c>
      <c r="AF218" s="27">
        <f>VLOOKUP($A218,'[1]Raw Data'!$A$3:$FB$285,42,FALSE)</f>
        <v>0</v>
      </c>
      <c r="AG218" s="27">
        <f>VLOOKUP($A218,'[1]Raw Data'!$A$3:$FB$285,44,FALSE)</f>
        <v>0</v>
      </c>
      <c r="AH218" s="27">
        <f>VLOOKUP($A218,'[1]Raw Data'!$A$3:$FB$285,45,FALSE)</f>
        <v>0</v>
      </c>
      <c r="AI218" s="27">
        <f>VLOOKUP($A218,'[1]Raw Data'!$A$3:$FB$285,46,FALSE)</f>
        <v>1191</v>
      </c>
      <c r="AJ218" s="27">
        <f>VLOOKUP($A218,'[1]Raw Data'!$A$3:$FB$285,47,FALSE)</f>
        <v>923</v>
      </c>
      <c r="AK218" s="27">
        <f>VLOOKUP($A218,'[1]Raw Data'!$A$3:$FB$285,48,FALSE)</f>
        <v>923</v>
      </c>
      <c r="AL218" s="27">
        <f>VLOOKUP($A218,'[1]Raw Data'!$A$3:$FB$285,49,FALSE)</f>
        <v>165</v>
      </c>
      <c r="AM218" s="27">
        <f>VLOOKUP($A218,'[1]Raw Data'!$A$3:$FB$285,50,FALSE)</f>
        <v>0</v>
      </c>
      <c r="AN218" s="27" t="str">
        <f>VLOOKUP($A218,'[1]Raw Data'!$A$3:$FB$285,51,FALSE)</f>
        <v/>
      </c>
      <c r="AO218" s="27" t="str">
        <f>VLOOKUP($A218,'[1]Raw Data'!$A$3:$FB$285,52,FALSE)</f>
        <v/>
      </c>
      <c r="AP218" s="27">
        <f>VLOOKUP($A218,'[1]Raw Data'!$A$3:$FB$285,53,FALSE)</f>
        <v>40</v>
      </c>
      <c r="AQ218" s="27" t="str">
        <f>VLOOKUP($A218,'[1]Raw Data'!$A$3:$FB$285,54,FALSE)</f>
        <v/>
      </c>
      <c r="AR218" s="27" t="str">
        <f>VLOOKUP($A218,'[1]Raw Data'!$A$3:$FB$285,55,FALSE)</f>
        <v/>
      </c>
      <c r="AS218" s="27" t="str">
        <f>VLOOKUP($A218,'[1]Raw Data'!$A$3:$FB$285,56,FALSE)</f>
        <v/>
      </c>
      <c r="AT218" s="27" t="str">
        <f>VLOOKUP($A218,'[1]Raw Data'!$A$3:$FB$285,57,FALSE)</f>
        <v/>
      </c>
      <c r="AU218" s="27" t="str">
        <f>VLOOKUP($A218,'[1]Raw Data'!$A$3:$FB$285,58,FALSE)</f>
        <v/>
      </c>
      <c r="AV218" s="27" t="str">
        <f>VLOOKUP($A218,'[1]Raw Data'!$A$3:$FB$285,59,FALSE)</f>
        <v/>
      </c>
      <c r="AW218" s="27" t="str">
        <f>VLOOKUP($A218,'[1]Raw Data'!$A$3:$FB$285,60,FALSE)</f>
        <v/>
      </c>
      <c r="AX218" s="27" t="str">
        <f>VLOOKUP(A218,'[1]PO''s List'!A216:E498,4,FALSE)</f>
        <v/>
      </c>
      <c r="AZ218" s="27" t="str">
        <f>VLOOKUP(A218,'[1]PO''s List'!$A$3:$E$285,5,FALSE)</f>
        <v/>
      </c>
      <c r="BB218" s="27">
        <f>VLOOKUP($A218,'[1]Raw Data'!$A$3:$FB$285,63,FALSE)</f>
        <v>26585</v>
      </c>
      <c r="BC218" s="27" t="str">
        <f>VLOOKUP($A218,'[1]Raw Data'!$A$3:$FB$285,64,FALSE)</f>
        <v/>
      </c>
      <c r="BD218" s="27" t="str">
        <f t="shared" si="27"/>
        <v/>
      </c>
      <c r="BE218" s="27" t="str">
        <f>VLOOKUP($A218,'[1]Raw Data'!$A$3:$FB$285,65,FALSE)</f>
        <v/>
      </c>
      <c r="BF218" s="27">
        <f>VLOOKUP($A218,'[1]Raw Data'!$A$3:$FB$285,66,FALSE)</f>
        <v>27049</v>
      </c>
      <c r="BG218" s="27" t="str">
        <f>VLOOKUP($A218,'[1]Raw Data'!$A$3:$FB$285,67,FALSE)</f>
        <v/>
      </c>
      <c r="BH218" s="27" t="str">
        <f t="shared" si="28"/>
        <v/>
      </c>
      <c r="BI218" s="27" t="str">
        <f>VLOOKUP($A218,'[1]Raw Data'!$A$3:$FB$285,68,FALSE)</f>
        <v/>
      </c>
      <c r="BJ218" s="27">
        <f>VLOOKUP($A218,'[1]Raw Data'!$A$3:$FB$285,69,FALSE)</f>
        <v>2837</v>
      </c>
      <c r="BK218" s="27" t="str">
        <f>VLOOKUP($A218,'[1]Raw Data'!$A$3:$FB$285,70,FALSE)</f>
        <v/>
      </c>
      <c r="BL218" s="27" t="str">
        <f t="shared" si="29"/>
        <v/>
      </c>
      <c r="BM218" s="27" t="str">
        <f>VLOOKUP($A218,'[1]Raw Data'!$A$3:$FB$285,71,FALSE)</f>
        <v/>
      </c>
      <c r="BN218" s="27">
        <f>VLOOKUP($A218,'[1]Raw Data'!$A$3:$FB$285,72,FALSE)</f>
        <v>3269</v>
      </c>
      <c r="BO218" s="27" t="str">
        <f>VLOOKUP($A218,'[1]Raw Data'!$A$3:$FB$285,73,FALSE)</f>
        <v/>
      </c>
      <c r="BP218" s="27" t="str">
        <f t="shared" si="30"/>
        <v/>
      </c>
      <c r="BQ218" s="27" t="str">
        <f>VLOOKUP($A218,'[1]Raw Data'!$A$3:$FB$285,74,FALSE)</f>
        <v/>
      </c>
      <c r="BR218" s="27" t="str">
        <f>VLOOKUP($A218,'[1]Raw Data'!$A$3:$FB$285,75,FALSE)</f>
        <v/>
      </c>
      <c r="BS218" s="27" t="str">
        <f>VLOOKUP($A218,'[1]Raw Data'!$A$3:$FB$285,76,FALSE)</f>
        <v/>
      </c>
      <c r="BT218" s="27" t="str">
        <f t="shared" si="31"/>
        <v/>
      </c>
      <c r="BU218" s="27" t="str">
        <f>VLOOKUP($A218,'[1]Raw Data'!$A$3:$FB$285,77,FALSE)</f>
        <v/>
      </c>
      <c r="BV218" s="27">
        <f>VLOOKUP($A218,'[1]Raw Data'!$A$3:$FB$285,78,FALSE)</f>
        <v>90197</v>
      </c>
      <c r="BW218" s="27" t="str">
        <f>VLOOKUP($A218,'[1]Raw Data'!$A$3:$FB$285,79,FALSE)</f>
        <v/>
      </c>
      <c r="BX218" s="27" t="str">
        <f t="shared" si="32"/>
        <v/>
      </c>
      <c r="BY218" s="27" t="str">
        <f>VLOOKUP($A218,'[1]Raw Data'!$A$3:$FB$285,80,FALSE)</f>
        <v/>
      </c>
      <c r="BZ218" s="27">
        <f>VLOOKUP($A218,'[1]Raw Data'!$A$3:$FB$285,81,FALSE)</f>
        <v>289245</v>
      </c>
      <c r="CA218" s="27" t="str">
        <f>VLOOKUP($A218,'[1]Raw Data'!$A$3:$FB$285,82,FALSE)</f>
        <v/>
      </c>
      <c r="CB218" s="27" t="str">
        <f t="shared" si="33"/>
        <v/>
      </c>
      <c r="CC218" s="27" t="str">
        <f>VLOOKUP($A218,'[1]Raw Data'!$A$3:$FB$285,83,FALSE)</f>
        <v/>
      </c>
      <c r="CD218" s="27">
        <f>VLOOKUP($A218,'[1]Raw Data'!$A$3:$FB$285,84,FALSE)</f>
        <v>3689</v>
      </c>
      <c r="CE218" s="27" t="str">
        <f>VLOOKUP($A218,'[1]Raw Data'!$A$3:$FB$285,85,FALSE)</f>
        <v/>
      </c>
      <c r="CF218" s="27" t="str">
        <f t="shared" si="34"/>
        <v/>
      </c>
      <c r="CG218" s="27" t="str">
        <f>VLOOKUP($A218,'[1]Raw Data'!$A$3:$FB$285,86,FALSE)</f>
        <v/>
      </c>
      <c r="CH218" s="27">
        <f>VLOOKUP($A218,'[1]Raw Data'!$A$3:$FB$285,87,FALSE)</f>
        <v>361270</v>
      </c>
      <c r="CI218" s="27" t="str">
        <f>VLOOKUP($A218,'[1]Raw Data'!$A$3:$FB$285,88,FALSE)</f>
        <v/>
      </c>
      <c r="CJ218" s="27" t="str">
        <f t="shared" si="35"/>
        <v/>
      </c>
      <c r="CK218" s="27" t="str">
        <f>VLOOKUP($A218,'[1]Raw Data'!$A$3:$FB$285,89,FALSE)</f>
        <v/>
      </c>
      <c r="CL218" s="27" t="str">
        <f>VLOOKUP($A218,'[1]Raw Data'!$A$3:$FB$285,91,FALSE)</f>
        <v/>
      </c>
      <c r="CM218" s="27" t="str">
        <f>VLOOKUP($A218,'[1]Raw Data'!$A$3:$FB$285,93,FALSE)</f>
        <v/>
      </c>
      <c r="CN218" s="27" t="str">
        <f>VLOOKUP($A218,'[1]Raw Data'!$A$3:$FB$285,94,FALSE)</f>
        <v/>
      </c>
      <c r="CO218" s="27" t="str">
        <f>VLOOKUP($A218,'[1]Raw Data'!$A$3:$FB$285,95,FALSE)</f>
        <v/>
      </c>
      <c r="CP218" s="27" t="str">
        <f>VLOOKUP($A218,'[1]Raw Data'!$A$3:$FB$285,96,FALSE)</f>
        <v/>
      </c>
      <c r="CQ218" s="27" t="str">
        <f>VLOOKUP($A218,'[1]Raw Data'!$A$3:$FB$285,97,FALSE)</f>
        <v/>
      </c>
      <c r="CR218" s="27" t="str">
        <f>VLOOKUP($A218,'[1]Raw Data'!$A$3:$FB$285,98,FALSE)</f>
        <v/>
      </c>
      <c r="CS218" s="27" t="str">
        <f>VLOOKUP($A218,'[1]Raw Data'!$A$3:$FB$285,99,FALSE)</f>
        <v/>
      </c>
      <c r="CT218" s="27" t="str">
        <f>VLOOKUP($A218,'[1]Raw Data'!$A$3:$FB$285,101,FALSE)</f>
        <v/>
      </c>
      <c r="CV218" s="27" t="str">
        <f>VLOOKUP($A218,'[1]Raw Data'!$A$3:$FB$285,102,FALSE)</f>
        <v>Chairman</v>
      </c>
      <c r="CW218" s="27" t="s">
        <v>878</v>
      </c>
      <c r="CX218" s="27" t="str">
        <f>VLOOKUP($A218,'[1]Raw Data'!$A$3:$FB$285,103,FALSE)</f>
        <v/>
      </c>
      <c r="CY218" s="27" t="str">
        <f>VLOOKUP($A218,'[1]Raw Data'!$A$3:$FB$285,105,FALSE)</f>
        <v/>
      </c>
      <c r="DA218" s="27" t="str">
        <f>VLOOKUP($A218,'[1]Raw Data'!$A$3:$FB$285,106,FALSE)</f>
        <v>Deputy chairman</v>
      </c>
      <c r="DB218" s="27" t="s">
        <v>879</v>
      </c>
      <c r="DC218" s="27" t="str">
        <f>VLOOKUP($A218,'[1]Raw Data'!$A$3:$FB$285,107,FALSE)</f>
        <v/>
      </c>
      <c r="DD218" s="27" t="str">
        <f>VLOOKUP($A218,'[1]Raw Data'!$A$3:$FB$285,109,FALSE)</f>
        <v/>
      </c>
      <c r="DF218" s="27" t="str">
        <f>VLOOKUP($A218,'[1]Raw Data'!$A$3:$FB$285,110,FALSE)</f>
        <v>Chief Adminstration Officer</v>
      </c>
      <c r="DG218" s="27" t="s">
        <v>880</v>
      </c>
      <c r="DH218" s="27" t="str">
        <f>VLOOKUP($A218,'[1]Raw Data'!$A$3:$FB$285,111,FALSE)</f>
        <v/>
      </c>
      <c r="DI218" s="27" t="str">
        <f>VLOOKUP($A218,'[1]Raw Data'!$A$3:$FB$285,121,FALSE)</f>
        <v>Sumiran Bangali</v>
      </c>
      <c r="DJ218" s="27" t="s">
        <v>1455</v>
      </c>
      <c r="DK218" s="27" t="str">
        <f>VLOOKUP($A218,'[1]Raw Data'!$A$3:$FB$285,122,FALSE)</f>
        <v>Focal Person</v>
      </c>
      <c r="DL218" s="27" t="s">
        <v>881</v>
      </c>
      <c r="DM218" s="27">
        <f>VLOOKUP($A218,'[1]Raw Data'!$A$3:$FB$285,123,FALSE)</f>
        <v>9849275214</v>
      </c>
      <c r="DN218" s="27" t="str">
        <f>VLOOKUP($A218,'[1]Raw Data'!$A$3:$FB$285,113,FALSE)</f>
        <v>Narayan Prasad Baral</v>
      </c>
      <c r="DO218" s="27" t="s">
        <v>1453</v>
      </c>
      <c r="DP218" s="27" t="str">
        <f>VLOOKUP($A218,'[1]Raw Data'!$A$3:$FB$285,114,FALSE)</f>
        <v>NRA Chief-District</v>
      </c>
      <c r="DQ218" s="27" t="s">
        <v>882</v>
      </c>
      <c r="DR218" s="27">
        <f>VLOOKUP($A218,'[1]Raw Data'!$A$3:$FB$285,115,FALSE)</f>
        <v>9846027721</v>
      </c>
      <c r="DS218" s="27" t="str">
        <f>VLOOKUP($A218,'[1]Raw Data'!$A$3:$FB$285,117,FALSE)</f>
        <v/>
      </c>
      <c r="DU218" s="27" t="str">
        <f>VLOOKUP($A218,'[1]Raw Data'!$A$3:$FB$285,118,FALSE)</f>
        <v>DUDBC.DLPIU Chief</v>
      </c>
      <c r="DV218" s="27" t="s">
        <v>883</v>
      </c>
      <c r="DW218" s="27" t="str">
        <f>VLOOKUP($A218,'[1]Raw Data'!$A$3:$FB$285,119,FALSE)</f>
        <v/>
      </c>
      <c r="DX218" s="27" t="s">
        <v>339</v>
      </c>
      <c r="DY218" s="27" t="str">
        <f>VLOOKUP($A218,'[1]Raw Data'!$A$3:$FB$285,124,FALSE)</f>
        <v/>
      </c>
      <c r="DZ218" s="27" t="s">
        <v>884</v>
      </c>
      <c r="EA218" s="27" t="str">
        <f>VLOOKUP($A218,'[1]Raw Data'!$A$3:$FB$285,125,FALSE)</f>
        <v/>
      </c>
      <c r="EB218" s="27" t="s">
        <v>341</v>
      </c>
      <c r="EC218" s="27" t="str">
        <f>VLOOKUP($A218,'[1]Raw Data'!$A$3:$FB$285,126,FALSE)</f>
        <v/>
      </c>
      <c r="ED218" t="s">
        <v>478</v>
      </c>
      <c r="EE218" s="27" t="str">
        <f>VLOOKUP($A218,'[1]Raw Data'!$A$3:$FB$285,127,FALSE)</f>
        <v/>
      </c>
      <c r="EF218" s="27" t="s">
        <v>343</v>
      </c>
      <c r="EG218" s="27" t="str">
        <f>VLOOKUP($A218,'[1]Raw Data'!$A$3:$FB$285,128,FALSE)</f>
        <v/>
      </c>
      <c r="EH218" t="s">
        <v>344</v>
      </c>
      <c r="EI218" s="27" t="str">
        <f>VLOOKUP($A218,'[1]Raw Data'!$A$3:$FB$285,129,FALSE)</f>
        <v/>
      </c>
      <c r="EM218" s="27" t="str">
        <f>VLOOKUP($A218,'[1]Raw Data'!$A$3:$FB$285,130,FALSE)</f>
        <v/>
      </c>
      <c r="EN218" s="27" t="str">
        <f>VLOOKUP($A218,'[1]Raw Data'!$A$3:$FB$285,131,FALSE)</f>
        <v/>
      </c>
      <c r="EO218" s="27" t="str">
        <f>VLOOKUP($A218,'[1]Raw Data'!$A$3:$FB$285,132,FALSE)</f>
        <v/>
      </c>
      <c r="EP218" s="27" t="str">
        <f>VLOOKUP($A218,'[1]Raw Data'!$A$3:$FB$285,133,FALSE)</f>
        <v/>
      </c>
      <c r="EQ218" s="27" t="str">
        <f>VLOOKUP($A218,'[1]Raw Data'!$A$3:$FB$285,134,FALSE)</f>
        <v/>
      </c>
      <c r="ER218" s="27" t="str">
        <f>VLOOKUP($A218,'[1]Raw Data'!$A$3:$FB$285,135,FALSE)</f>
        <v/>
      </c>
      <c r="ES218" s="27" t="str">
        <f>VLOOKUP($A218,'[1]Raw Data'!$A$3:$FB$285,136,FALSE)</f>
        <v/>
      </c>
      <c r="ET218" s="27" t="str">
        <f>VLOOKUP($A218,'[1]Raw Data'!$A$3:$FB$285,137,FALSE)</f>
        <v/>
      </c>
      <c r="EU218" s="27" t="str">
        <f>VLOOKUP($A218,'[1]Raw Data'!$A$3:$FB$285,138,FALSE)</f>
        <v/>
      </c>
      <c r="EV218" s="27" t="str">
        <f>VLOOKUP($A218,'[1]Raw Data'!$A$3:$FB$285,139,FALSE)</f>
        <v/>
      </c>
      <c r="EW218" s="38">
        <f>VLOOKUP($A218,[1]Training!$A$2:$I$284,5,FALSE)</f>
        <v>91.615384615384613</v>
      </c>
      <c r="EX218" s="31">
        <f>VLOOKUP($A218,[1]Training!$A$2:$I$284,6,FALSE)</f>
        <v>0</v>
      </c>
      <c r="EY218" s="38">
        <f>VLOOKUP($A218,[1]Training!$A$2:$I$284,8,FALSE)</f>
        <v>108.27272727272727</v>
      </c>
      <c r="EZ218" s="31">
        <f>VLOOKUP($A218,[1]Training!$A$2:$I$284,9,FALSE)</f>
        <v>0</v>
      </c>
      <c r="FA218" s="27">
        <v>1</v>
      </c>
      <c r="FB218" s="27">
        <v>2</v>
      </c>
      <c r="FC218" s="27" t="str">
        <f>VLOOKUP($A218,'[1]Raw Data'!$A$3:$FB$285,148,FALSE)</f>
        <v/>
      </c>
      <c r="FE218" s="27" t="str">
        <f>VLOOKUP($A218,'[1]Raw Data'!$A$3:$FB$285,149,FALSE)</f>
        <v>District Coordinator</v>
      </c>
      <c r="FF218" s="27" t="s">
        <v>885</v>
      </c>
      <c r="FG218" s="27" t="str">
        <f>VLOOKUP($A218,'[1]Raw Data'!$A$3:$FB$285,150,FALSE)</f>
        <v/>
      </c>
      <c r="FH218" s="27" t="str">
        <f>VLOOKUP($A218,'[1]Raw Data'!$A$3:$FB$285,156,FALSE)</f>
        <v/>
      </c>
      <c r="FJ218" s="27" t="str">
        <f>VLOOKUP($A218,'[1]Raw Data'!$A$3:$FB$285,157,FALSE)</f>
        <v>District Technical Officer</v>
      </c>
      <c r="FK218" s="27" t="s">
        <v>886</v>
      </c>
      <c r="FL218" s="27" t="str">
        <f>VLOOKUP($A218,'[1]Raw Data'!$A$3:$FB$285,158,FALSE)</f>
        <v/>
      </c>
      <c r="FM218" s="27" t="str">
        <f>VLOOKUP($A218,'[1]Raw Data'!$A$3:$FB$285,152,FALSE)</f>
        <v/>
      </c>
      <c r="FO218" s="27" t="str">
        <f>VLOOKUP($A218,'[1]Raw Data'!$A$3:$FB$285,153,FALSE)</f>
        <v>DIstrict Information Management Officer</v>
      </c>
      <c r="FP218" s="27" t="s">
        <v>887</v>
      </c>
      <c r="FQ218" s="27" t="str">
        <f>VLOOKUP($A218,'[1]Raw Data'!$A$3:$FB$285,154,FALSE)</f>
        <v/>
      </c>
    </row>
    <row r="219" spans="1:173" ht="24" x14ac:dyDescent="0.45">
      <c r="A219" s="27">
        <v>40004</v>
      </c>
      <c r="B219" s="36" t="str">
        <f ca="1">IFERROR(__xludf.DUMMYFUNCTION("""COMPUTED_VALUE"""),"Pokhara Lekhnath Mahanagarpalika")</f>
        <v>Pokhara Lekhnath Mahanagarpalika</v>
      </c>
      <c r="C219" s="37" t="str">
        <f>VLOOKUP(A219,'[1]Palika and District in Nepali '!$D$1:$F$283,3,FALSE)</f>
        <v>पोखरा लेखनाथ महानगरपलिका</v>
      </c>
      <c r="D219" s="36" t="str">
        <f ca="1">IFERROR(__xludf.DUMMYFUNCTION("""COMPUTED_VALUE"""),"Kaski")</f>
        <v>Kaski</v>
      </c>
      <c r="E219" s="36"/>
      <c r="F219" s="27">
        <f>VLOOKUP(A219,'[1]Raw Data'!$A$3:$FB$285,4,FALSE)</f>
        <v>2138</v>
      </c>
      <c r="G219" s="27">
        <f>VLOOKUP(A219,'[1]Raw Data'!$A$3:$FB$285,5,FALSE)</f>
        <v>3138</v>
      </c>
      <c r="H219" s="27">
        <f>VLOOKUP(A219,'[1]Raw Data'!$A$3:$FB$285,6,FALSE)</f>
        <v>5276</v>
      </c>
      <c r="I219" s="27">
        <f>VLOOKUP($A219,'[1]Raw Data'!$A$3:$FB$285,8,FALSE)</f>
        <v>2.31</v>
      </c>
      <c r="J219" s="27">
        <f>VLOOKUP($A219,'[1]Raw Data'!$A$3:$FB$285,9,FALSE)</f>
        <v>1.88</v>
      </c>
      <c r="K219" s="27">
        <f>VLOOKUP($A219,'[1]Raw Data'!$A$3:$FB$285,11,FALSE)</f>
        <v>88.44</v>
      </c>
      <c r="L219" s="27">
        <f>VLOOKUP($A219,'[1]Raw Data'!$A$3:$FB$285,12,FALSE)</f>
        <v>91.38</v>
      </c>
      <c r="M219" s="27">
        <f>VLOOKUP($A219,'[1]Raw Data'!$A$3:$FB$285,14,FALSE)</f>
        <v>5.19</v>
      </c>
      <c r="N219" s="27">
        <f>VLOOKUP($A219,'[1]Raw Data'!$A$3:$FB$285,15,FALSE)</f>
        <v>2.92</v>
      </c>
      <c r="O219" s="27">
        <f>VLOOKUP($A219,'[1]Raw Data'!$A$3:$FB$285,17,FALSE)</f>
        <v>0.11</v>
      </c>
      <c r="P219" s="27">
        <f>VLOOKUP($A219,'[1]Raw Data'!$A$3:$FB$285,18,FALSE)</f>
        <v>7.0000000000000007E-2</v>
      </c>
      <c r="Q219" s="27">
        <f>VLOOKUP($A219,'[1]Raw Data'!$A$3:$FB$285,20,FALSE)</f>
        <v>3.43</v>
      </c>
      <c r="R219" s="27">
        <f>VLOOKUP($A219,'[1]Raw Data'!$A$3:$FB$285,21,FALSE)</f>
        <v>1.85</v>
      </c>
      <c r="S219" s="27">
        <f>VLOOKUP($A219,'[1]Raw Data'!$A$3:$FB$285,23,FALSE)</f>
        <v>0</v>
      </c>
      <c r="T219" s="27">
        <f>VLOOKUP($A219,'[1]Raw Data'!$A$3:$FB$285,24,FALSE)</f>
        <v>0</v>
      </c>
      <c r="U219" s="27">
        <f>VLOOKUP($A219,'[1]Raw Data'!$A$3:$FB$285,26,FALSE)</f>
        <v>0.04</v>
      </c>
      <c r="V219" s="27">
        <f>VLOOKUP($A219,'[1]Raw Data'!$A$3:$FB$285,27,FALSE)</f>
        <v>0.06</v>
      </c>
      <c r="W219" s="27">
        <f>VLOOKUP($A219,'[1]Raw Data'!$A$3:$FB$285,29,FALSE)</f>
        <v>0</v>
      </c>
      <c r="X219" s="27">
        <f>VLOOKUP($A219,'[1]Raw Data'!$A$3:$FB$285,30,FALSE)</f>
        <v>0</v>
      </c>
      <c r="Y219" s="27">
        <f>VLOOKUP($A219,'[1]Raw Data'!$A$3:$FB$285,32,FALSE)</f>
        <v>0.23</v>
      </c>
      <c r="Z219" s="27">
        <f>VLOOKUP($A219,'[1]Raw Data'!$A$3:$FB$285,33,FALSE)</f>
        <v>0.26</v>
      </c>
      <c r="AA219" s="27">
        <f>VLOOKUP($A219,'[1]Raw Data'!$A$3:$FB$285,35,FALSE)</f>
        <v>0.25</v>
      </c>
      <c r="AB219" s="27">
        <f>VLOOKUP($A219,'[1]Raw Data'!$A$3:$FB$285,36,FALSE)</f>
        <v>1.54</v>
      </c>
      <c r="AC219" s="27">
        <f>VLOOKUP($A219,'[1]Raw Data'!$A$3:$FB$285,38,FALSE)</f>
        <v>0</v>
      </c>
      <c r="AD219" s="27">
        <f>VLOOKUP($A219,'[1]Raw Data'!$A$3:$FB$285,39,FALSE)</f>
        <v>0.05</v>
      </c>
      <c r="AE219" s="27">
        <f>VLOOKUP($A219,'[1]Raw Data'!$A$3:$FB$285,41,FALSE)</f>
        <v>0</v>
      </c>
      <c r="AF219" s="27">
        <f>VLOOKUP($A219,'[1]Raw Data'!$A$3:$FB$285,42,FALSE)</f>
        <v>0</v>
      </c>
      <c r="AG219" s="27">
        <f>VLOOKUP($A219,'[1]Raw Data'!$A$3:$FB$285,44,FALSE)</f>
        <v>0</v>
      </c>
      <c r="AH219" s="27">
        <f>VLOOKUP($A219,'[1]Raw Data'!$A$3:$FB$285,45,FALSE)</f>
        <v>0</v>
      </c>
      <c r="AI219" s="27">
        <f>VLOOKUP($A219,'[1]Raw Data'!$A$3:$FB$285,46,FALSE)</f>
        <v>2744</v>
      </c>
      <c r="AJ219" s="27">
        <f>VLOOKUP($A219,'[1]Raw Data'!$A$3:$FB$285,47,FALSE)</f>
        <v>1815</v>
      </c>
      <c r="AK219" s="27">
        <f>VLOOKUP($A219,'[1]Raw Data'!$A$3:$FB$285,48,FALSE)</f>
        <v>1815</v>
      </c>
      <c r="AL219" s="27">
        <f>VLOOKUP($A219,'[1]Raw Data'!$A$3:$FB$285,49,FALSE)</f>
        <v>95</v>
      </c>
      <c r="AM219" s="27">
        <f>VLOOKUP($A219,'[1]Raw Data'!$A$3:$FB$285,50,FALSE)</f>
        <v>0</v>
      </c>
      <c r="AN219" s="27" t="str">
        <f>VLOOKUP($A219,'[1]Raw Data'!$A$3:$FB$285,51,FALSE)</f>
        <v/>
      </c>
      <c r="AO219" s="27" t="str">
        <f>VLOOKUP($A219,'[1]Raw Data'!$A$3:$FB$285,52,FALSE)</f>
        <v/>
      </c>
      <c r="AP219" s="27">
        <f>VLOOKUP($A219,'[1]Raw Data'!$A$3:$FB$285,53,FALSE)</f>
        <v>111</v>
      </c>
      <c r="AQ219" s="27" t="str">
        <f>VLOOKUP($A219,'[1]Raw Data'!$A$3:$FB$285,54,FALSE)</f>
        <v/>
      </c>
      <c r="AR219" s="27" t="str">
        <f>VLOOKUP($A219,'[1]Raw Data'!$A$3:$FB$285,55,FALSE)</f>
        <v/>
      </c>
      <c r="AS219" s="27" t="str">
        <f>VLOOKUP($A219,'[1]Raw Data'!$A$3:$FB$285,56,FALSE)</f>
        <v/>
      </c>
      <c r="AT219" s="27" t="str">
        <f>VLOOKUP($A219,'[1]Raw Data'!$A$3:$FB$285,57,FALSE)</f>
        <v/>
      </c>
      <c r="AU219" s="27" t="str">
        <f>VLOOKUP($A219,'[1]Raw Data'!$A$3:$FB$285,58,FALSE)</f>
        <v/>
      </c>
      <c r="AV219" s="27" t="str">
        <f>VLOOKUP($A219,'[1]Raw Data'!$A$3:$FB$285,59,FALSE)</f>
        <v/>
      </c>
      <c r="AW219" s="27" t="str">
        <f>VLOOKUP($A219,'[1]Raw Data'!$A$3:$FB$285,60,FALSE)</f>
        <v/>
      </c>
      <c r="AX219" s="27" t="str">
        <f>VLOOKUP(A219,'[1]PO''s List'!A217:E499,4,FALSE)</f>
        <v/>
      </c>
      <c r="AZ219" s="27" t="str">
        <f>VLOOKUP(A219,'[1]PO''s List'!$A$3:$E$285,5,FALSE)</f>
        <v/>
      </c>
      <c r="BB219" s="27">
        <f>VLOOKUP($A219,'[1]Raw Data'!$A$3:$FB$285,63,FALSE)</f>
        <v>56995</v>
      </c>
      <c r="BC219" s="27" t="str">
        <f>VLOOKUP($A219,'[1]Raw Data'!$A$3:$FB$285,64,FALSE)</f>
        <v/>
      </c>
      <c r="BD219" s="27" t="str">
        <f t="shared" si="27"/>
        <v/>
      </c>
      <c r="BE219" s="27" t="str">
        <f>VLOOKUP($A219,'[1]Raw Data'!$A$3:$FB$285,65,FALSE)</f>
        <v/>
      </c>
      <c r="BF219" s="27">
        <f>VLOOKUP($A219,'[1]Raw Data'!$A$3:$FB$285,66,FALSE)</f>
        <v>52585</v>
      </c>
      <c r="BG219" s="27" t="str">
        <f>VLOOKUP($A219,'[1]Raw Data'!$A$3:$FB$285,67,FALSE)</f>
        <v/>
      </c>
      <c r="BH219" s="27" t="str">
        <f t="shared" si="28"/>
        <v/>
      </c>
      <c r="BI219" s="27" t="str">
        <f>VLOOKUP($A219,'[1]Raw Data'!$A$3:$FB$285,68,FALSE)</f>
        <v/>
      </c>
      <c r="BJ219" s="27">
        <f>VLOOKUP($A219,'[1]Raw Data'!$A$3:$FB$285,69,FALSE)</f>
        <v>6032</v>
      </c>
      <c r="BK219" s="27" t="str">
        <f>VLOOKUP($A219,'[1]Raw Data'!$A$3:$FB$285,70,FALSE)</f>
        <v/>
      </c>
      <c r="BL219" s="27" t="str">
        <f t="shared" si="29"/>
        <v/>
      </c>
      <c r="BM219" s="27" t="str">
        <f>VLOOKUP($A219,'[1]Raw Data'!$A$3:$FB$285,71,FALSE)</f>
        <v/>
      </c>
      <c r="BN219" s="27">
        <f>VLOOKUP($A219,'[1]Raw Data'!$A$3:$FB$285,72,FALSE)</f>
        <v>6763</v>
      </c>
      <c r="BO219" s="27" t="str">
        <f>VLOOKUP($A219,'[1]Raw Data'!$A$3:$FB$285,73,FALSE)</f>
        <v/>
      </c>
      <c r="BP219" s="27" t="str">
        <f t="shared" si="30"/>
        <v/>
      </c>
      <c r="BQ219" s="27" t="str">
        <f>VLOOKUP($A219,'[1]Raw Data'!$A$3:$FB$285,74,FALSE)</f>
        <v/>
      </c>
      <c r="BR219" s="27" t="str">
        <f>VLOOKUP($A219,'[1]Raw Data'!$A$3:$FB$285,75,FALSE)</f>
        <v/>
      </c>
      <c r="BS219" s="27" t="str">
        <f>VLOOKUP($A219,'[1]Raw Data'!$A$3:$FB$285,76,FALSE)</f>
        <v/>
      </c>
      <c r="BT219" s="27" t="str">
        <f t="shared" si="31"/>
        <v/>
      </c>
      <c r="BU219" s="27" t="str">
        <f>VLOOKUP($A219,'[1]Raw Data'!$A$3:$FB$285,77,FALSE)</f>
        <v/>
      </c>
      <c r="BV219" s="27">
        <f>VLOOKUP($A219,'[1]Raw Data'!$A$3:$FB$285,78,FALSE)</f>
        <v>175888</v>
      </c>
      <c r="BW219" s="27" t="str">
        <f>VLOOKUP($A219,'[1]Raw Data'!$A$3:$FB$285,79,FALSE)</f>
        <v/>
      </c>
      <c r="BX219" s="27" t="str">
        <f t="shared" si="32"/>
        <v/>
      </c>
      <c r="BY219" s="27" t="str">
        <f>VLOOKUP($A219,'[1]Raw Data'!$A$3:$FB$285,80,FALSE)</f>
        <v/>
      </c>
      <c r="BZ219" s="27">
        <f>VLOOKUP($A219,'[1]Raw Data'!$A$3:$FB$285,81,FALSE)</f>
        <v>627615</v>
      </c>
      <c r="CA219" s="27" t="str">
        <f>VLOOKUP($A219,'[1]Raw Data'!$A$3:$FB$285,82,FALSE)</f>
        <v/>
      </c>
      <c r="CB219" s="27" t="str">
        <f t="shared" si="33"/>
        <v/>
      </c>
      <c r="CC219" s="27" t="str">
        <f>VLOOKUP($A219,'[1]Raw Data'!$A$3:$FB$285,83,FALSE)</f>
        <v/>
      </c>
      <c r="CD219" s="27">
        <f>VLOOKUP($A219,'[1]Raw Data'!$A$3:$FB$285,84,FALSE)</f>
        <v>7184</v>
      </c>
      <c r="CE219" s="27" t="str">
        <f>VLOOKUP($A219,'[1]Raw Data'!$A$3:$FB$285,85,FALSE)</f>
        <v/>
      </c>
      <c r="CF219" s="27" t="str">
        <f t="shared" si="34"/>
        <v/>
      </c>
      <c r="CG219" s="27" t="str">
        <f>VLOOKUP($A219,'[1]Raw Data'!$A$3:$FB$285,86,FALSE)</f>
        <v/>
      </c>
      <c r="CH219" s="27">
        <f>VLOOKUP($A219,'[1]Raw Data'!$A$3:$FB$285,87,FALSE)</f>
        <v>1101003</v>
      </c>
      <c r="CI219" s="27" t="str">
        <f>VLOOKUP($A219,'[1]Raw Data'!$A$3:$FB$285,88,FALSE)</f>
        <v/>
      </c>
      <c r="CJ219" s="27" t="str">
        <f t="shared" si="35"/>
        <v/>
      </c>
      <c r="CK219" s="27" t="str">
        <f>VLOOKUP($A219,'[1]Raw Data'!$A$3:$FB$285,89,FALSE)</f>
        <v/>
      </c>
      <c r="CL219" s="27" t="str">
        <f>VLOOKUP($A219,'[1]Raw Data'!$A$3:$FB$285,91,FALSE)</f>
        <v/>
      </c>
      <c r="CM219" s="27" t="str">
        <f>VLOOKUP($A219,'[1]Raw Data'!$A$3:$FB$285,93,FALSE)</f>
        <v/>
      </c>
      <c r="CN219" s="27" t="str">
        <f>VLOOKUP($A219,'[1]Raw Data'!$A$3:$FB$285,94,FALSE)</f>
        <v/>
      </c>
      <c r="CO219" s="27" t="str">
        <f>VLOOKUP($A219,'[1]Raw Data'!$A$3:$FB$285,95,FALSE)</f>
        <v/>
      </c>
      <c r="CP219" s="27" t="str">
        <f>VLOOKUP($A219,'[1]Raw Data'!$A$3:$FB$285,96,FALSE)</f>
        <v/>
      </c>
      <c r="CQ219" s="27" t="str">
        <f>VLOOKUP($A219,'[1]Raw Data'!$A$3:$FB$285,97,FALSE)</f>
        <v/>
      </c>
      <c r="CR219" s="27" t="str">
        <f>VLOOKUP($A219,'[1]Raw Data'!$A$3:$FB$285,98,FALSE)</f>
        <v/>
      </c>
      <c r="CS219" s="27" t="str">
        <f>VLOOKUP($A219,'[1]Raw Data'!$A$3:$FB$285,99,FALSE)</f>
        <v/>
      </c>
      <c r="CT219" s="27" t="str">
        <f>VLOOKUP($A219,'[1]Raw Data'!$A$3:$FB$285,101,FALSE)</f>
        <v/>
      </c>
      <c r="CV219" s="27" t="str">
        <f>VLOOKUP($A219,'[1]Raw Data'!$A$3:$FB$285,102,FALSE)</f>
        <v>Mayor</v>
      </c>
      <c r="CW219" s="27" t="s">
        <v>834</v>
      </c>
      <c r="CX219" s="27" t="str">
        <f>VLOOKUP($A219,'[1]Raw Data'!$A$3:$FB$285,103,FALSE)</f>
        <v/>
      </c>
      <c r="CY219" s="27" t="str">
        <f>VLOOKUP($A219,'[1]Raw Data'!$A$3:$FB$285,105,FALSE)</f>
        <v/>
      </c>
      <c r="DA219" s="27" t="str">
        <f>VLOOKUP($A219,'[1]Raw Data'!$A$3:$FB$285,106,FALSE)</f>
        <v>Deputy Mayor</v>
      </c>
      <c r="DB219" s="27" t="s">
        <v>888</v>
      </c>
      <c r="DC219" s="27" t="str">
        <f>VLOOKUP($A219,'[1]Raw Data'!$A$3:$FB$285,107,FALSE)</f>
        <v/>
      </c>
      <c r="DD219" s="27" t="str">
        <f>VLOOKUP($A219,'[1]Raw Data'!$A$3:$FB$285,109,FALSE)</f>
        <v/>
      </c>
      <c r="DF219" s="27" t="str">
        <f>VLOOKUP($A219,'[1]Raw Data'!$A$3:$FB$285,110,FALSE)</f>
        <v>Chief Adminstration Officer</v>
      </c>
      <c r="DG219" s="27" t="s">
        <v>880</v>
      </c>
      <c r="DH219" s="27" t="str">
        <f>VLOOKUP($A219,'[1]Raw Data'!$A$3:$FB$285,111,FALSE)</f>
        <v/>
      </c>
      <c r="DI219" s="27" t="str">
        <f>VLOOKUP($A219,'[1]Raw Data'!$A$3:$FB$285,121,FALSE)</f>
        <v>Rabindra Ojha</v>
      </c>
      <c r="DJ219" s="27" t="s">
        <v>1456</v>
      </c>
      <c r="DK219" s="27" t="str">
        <f>VLOOKUP($A219,'[1]Raw Data'!$A$3:$FB$285,122,FALSE)</f>
        <v>Focal Person</v>
      </c>
      <c r="DL219" s="27" t="s">
        <v>881</v>
      </c>
      <c r="DM219" s="27">
        <f>VLOOKUP($A219,'[1]Raw Data'!$A$3:$FB$285,123,FALSE)</f>
        <v>9851166784</v>
      </c>
      <c r="DN219" s="27" t="str">
        <f>VLOOKUP($A219,'[1]Raw Data'!$A$3:$FB$285,113,FALSE)</f>
        <v>Narayan Prasad Baral</v>
      </c>
      <c r="DO219" s="27" t="s">
        <v>1453</v>
      </c>
      <c r="DP219" s="27" t="str">
        <f>VLOOKUP($A219,'[1]Raw Data'!$A$3:$FB$285,114,FALSE)</f>
        <v>NRA Chief-District</v>
      </c>
      <c r="DQ219" s="27" t="s">
        <v>882</v>
      </c>
      <c r="DR219" s="27">
        <f>VLOOKUP($A219,'[1]Raw Data'!$A$3:$FB$285,115,FALSE)</f>
        <v>9846027721</v>
      </c>
      <c r="DS219" s="27" t="str">
        <f>VLOOKUP($A219,'[1]Raw Data'!$A$3:$FB$285,117,FALSE)</f>
        <v/>
      </c>
      <c r="DU219" s="27" t="str">
        <f>VLOOKUP($A219,'[1]Raw Data'!$A$3:$FB$285,118,FALSE)</f>
        <v>DUDBC.DLPIU Chief</v>
      </c>
      <c r="DV219" s="27" t="s">
        <v>883</v>
      </c>
      <c r="DW219" s="27" t="str">
        <f>VLOOKUP($A219,'[1]Raw Data'!$A$3:$FB$285,119,FALSE)</f>
        <v/>
      </c>
      <c r="DX219" s="27" t="s">
        <v>339</v>
      </c>
      <c r="DY219" s="27" t="str">
        <f>VLOOKUP($A219,'[1]Raw Data'!$A$3:$FB$285,124,FALSE)</f>
        <v/>
      </c>
      <c r="DZ219" s="27" t="s">
        <v>884</v>
      </c>
      <c r="EA219" s="27" t="str">
        <f>VLOOKUP($A219,'[1]Raw Data'!$A$3:$FB$285,125,FALSE)</f>
        <v/>
      </c>
      <c r="EB219" s="27" t="s">
        <v>341</v>
      </c>
      <c r="EC219" s="27" t="str">
        <f>VLOOKUP($A219,'[1]Raw Data'!$A$3:$FB$285,126,FALSE)</f>
        <v/>
      </c>
      <c r="ED219" t="s">
        <v>478</v>
      </c>
      <c r="EE219" s="27" t="str">
        <f>VLOOKUP($A219,'[1]Raw Data'!$A$3:$FB$285,127,FALSE)</f>
        <v/>
      </c>
      <c r="EF219" s="27" t="s">
        <v>343</v>
      </c>
      <c r="EG219" s="27" t="str">
        <f>VLOOKUP($A219,'[1]Raw Data'!$A$3:$FB$285,128,FALSE)</f>
        <v/>
      </c>
      <c r="EH219" t="s">
        <v>344</v>
      </c>
      <c r="EI219" s="27" t="str">
        <f>VLOOKUP($A219,'[1]Raw Data'!$A$3:$FB$285,129,FALSE)</f>
        <v/>
      </c>
      <c r="EM219" s="27" t="str">
        <f>VLOOKUP($A219,'[1]Raw Data'!$A$3:$FB$285,130,FALSE)</f>
        <v/>
      </c>
      <c r="EN219" s="27" t="str">
        <f>VLOOKUP($A219,'[1]Raw Data'!$A$3:$FB$285,131,FALSE)</f>
        <v/>
      </c>
      <c r="EO219" s="27" t="str">
        <f>VLOOKUP($A219,'[1]Raw Data'!$A$3:$FB$285,132,FALSE)</f>
        <v/>
      </c>
      <c r="EP219" s="27" t="str">
        <f>VLOOKUP($A219,'[1]Raw Data'!$A$3:$FB$285,133,FALSE)</f>
        <v/>
      </c>
      <c r="EQ219" s="27" t="str">
        <f>VLOOKUP($A219,'[1]Raw Data'!$A$3:$FB$285,134,FALSE)</f>
        <v/>
      </c>
      <c r="ER219" s="27" t="str">
        <f>VLOOKUP($A219,'[1]Raw Data'!$A$3:$FB$285,135,FALSE)</f>
        <v/>
      </c>
      <c r="ES219" s="27" t="str">
        <f>VLOOKUP($A219,'[1]Raw Data'!$A$3:$FB$285,136,FALSE)</f>
        <v/>
      </c>
      <c r="ET219" s="27" t="str">
        <f>VLOOKUP($A219,'[1]Raw Data'!$A$3:$FB$285,137,FALSE)</f>
        <v/>
      </c>
      <c r="EU219" s="27" t="str">
        <f>VLOOKUP($A219,'[1]Raw Data'!$A$3:$FB$285,138,FALSE)</f>
        <v/>
      </c>
      <c r="EV219" s="27" t="str">
        <f>VLOOKUP($A219,'[1]Raw Data'!$A$3:$FB$285,139,FALSE)</f>
        <v/>
      </c>
      <c r="EW219" s="38">
        <f>VLOOKUP($A219,[1]Training!$A$2:$I$284,5,FALSE)</f>
        <v>211.07692307692307</v>
      </c>
      <c r="EX219" s="31">
        <f>VLOOKUP($A219,[1]Training!$A$2:$I$284,6,FALSE)</f>
        <v>0</v>
      </c>
      <c r="EY219" s="38">
        <f>VLOOKUP($A219,[1]Training!$A$2:$I$284,8,FALSE)</f>
        <v>249.45454545454547</v>
      </c>
      <c r="EZ219" s="31">
        <f>VLOOKUP($A219,[1]Training!$A$2:$I$284,9,FALSE)</f>
        <v>0</v>
      </c>
      <c r="FA219" s="27">
        <v>1</v>
      </c>
      <c r="FB219" s="27">
        <v>2</v>
      </c>
      <c r="FC219" s="27" t="str">
        <f>VLOOKUP($A219,'[1]Raw Data'!$A$3:$FB$285,148,FALSE)</f>
        <v/>
      </c>
      <c r="FE219" s="27" t="str">
        <f>VLOOKUP($A219,'[1]Raw Data'!$A$3:$FB$285,149,FALSE)</f>
        <v>District Coordinator</v>
      </c>
      <c r="FF219" s="27" t="s">
        <v>885</v>
      </c>
      <c r="FG219" s="27" t="str">
        <f>VLOOKUP($A219,'[1]Raw Data'!$A$3:$FB$285,150,FALSE)</f>
        <v/>
      </c>
      <c r="FH219" s="27" t="str">
        <f>VLOOKUP($A219,'[1]Raw Data'!$A$3:$FB$285,156,FALSE)</f>
        <v/>
      </c>
      <c r="FJ219" s="27" t="str">
        <f>VLOOKUP($A219,'[1]Raw Data'!$A$3:$FB$285,157,FALSE)</f>
        <v>District Technical Officer</v>
      </c>
      <c r="FK219" s="27" t="s">
        <v>886</v>
      </c>
      <c r="FL219" s="27" t="str">
        <f>VLOOKUP($A219,'[1]Raw Data'!$A$3:$FB$285,158,FALSE)</f>
        <v/>
      </c>
      <c r="FM219" s="27" t="str">
        <f>VLOOKUP($A219,'[1]Raw Data'!$A$3:$FB$285,152,FALSE)</f>
        <v/>
      </c>
      <c r="FO219" s="27" t="str">
        <f>VLOOKUP($A219,'[1]Raw Data'!$A$3:$FB$285,153,FALSE)</f>
        <v>DIstrict Information Management Officer</v>
      </c>
      <c r="FP219" s="27" t="s">
        <v>887</v>
      </c>
      <c r="FQ219" s="27" t="str">
        <f>VLOOKUP($A219,'[1]Raw Data'!$A$3:$FB$285,154,FALSE)</f>
        <v/>
      </c>
    </row>
    <row r="220" spans="1:173" ht="24" x14ac:dyDescent="0.45">
      <c r="A220" s="27">
        <v>40005</v>
      </c>
      <c r="B220" s="36" t="str">
        <f ca="1">IFERROR(__xludf.DUMMYFUNCTION("""COMPUTED_VALUE"""),"Rupa Gaunpalika")</f>
        <v>Rupa Gaunpalika</v>
      </c>
      <c r="C220" s="37" t="str">
        <f>VLOOKUP(A220,'[1]Palika and District in Nepali '!$D$1:$F$283,3,FALSE)</f>
        <v>रूपा गाउँपालिका</v>
      </c>
      <c r="D220" s="36" t="str">
        <f ca="1">IFERROR(__xludf.DUMMYFUNCTION("""COMPUTED_VALUE"""),"Kaski")</f>
        <v>Kaski</v>
      </c>
      <c r="E220" s="36"/>
      <c r="F220" s="27">
        <f>VLOOKUP(A220,'[1]Raw Data'!$A$3:$FB$285,4,FALSE)</f>
        <v>707</v>
      </c>
      <c r="G220" s="27">
        <f>VLOOKUP(A220,'[1]Raw Data'!$A$3:$FB$285,5,FALSE)</f>
        <v>1347</v>
      </c>
      <c r="H220" s="27">
        <f>VLOOKUP(A220,'[1]Raw Data'!$A$3:$FB$285,6,FALSE)</f>
        <v>2054</v>
      </c>
      <c r="I220" s="27">
        <f>VLOOKUP($A220,'[1]Raw Data'!$A$3:$FB$285,8,FALSE)</f>
        <v>3.21</v>
      </c>
      <c r="J220" s="27">
        <f>VLOOKUP($A220,'[1]Raw Data'!$A$3:$FB$285,9,FALSE)</f>
        <v>1.88</v>
      </c>
      <c r="K220" s="27">
        <f>VLOOKUP($A220,'[1]Raw Data'!$A$3:$FB$285,11,FALSE)</f>
        <v>87.24</v>
      </c>
      <c r="L220" s="27">
        <f>VLOOKUP($A220,'[1]Raw Data'!$A$3:$FB$285,12,FALSE)</f>
        <v>91.38</v>
      </c>
      <c r="M220" s="27">
        <f>VLOOKUP($A220,'[1]Raw Data'!$A$3:$FB$285,14,FALSE)</f>
        <v>0.83</v>
      </c>
      <c r="N220" s="27">
        <f>VLOOKUP($A220,'[1]Raw Data'!$A$3:$FB$285,15,FALSE)</f>
        <v>2.92</v>
      </c>
      <c r="O220" s="27">
        <f>VLOOKUP($A220,'[1]Raw Data'!$A$3:$FB$285,17,FALSE)</f>
        <v>0.05</v>
      </c>
      <c r="P220" s="27">
        <f>VLOOKUP($A220,'[1]Raw Data'!$A$3:$FB$285,18,FALSE)</f>
        <v>7.0000000000000007E-2</v>
      </c>
      <c r="Q220" s="27">
        <f>VLOOKUP($A220,'[1]Raw Data'!$A$3:$FB$285,20,FALSE)</f>
        <v>0.73</v>
      </c>
      <c r="R220" s="27">
        <f>VLOOKUP($A220,'[1]Raw Data'!$A$3:$FB$285,21,FALSE)</f>
        <v>1.85</v>
      </c>
      <c r="S220" s="27">
        <f>VLOOKUP($A220,'[1]Raw Data'!$A$3:$FB$285,23,FALSE)</f>
        <v>0</v>
      </c>
      <c r="T220" s="27">
        <f>VLOOKUP($A220,'[1]Raw Data'!$A$3:$FB$285,24,FALSE)</f>
        <v>0</v>
      </c>
      <c r="U220" s="27">
        <f>VLOOKUP($A220,'[1]Raw Data'!$A$3:$FB$285,26,FALSE)</f>
        <v>0.05</v>
      </c>
      <c r="V220" s="27">
        <f>VLOOKUP($A220,'[1]Raw Data'!$A$3:$FB$285,27,FALSE)</f>
        <v>0.06</v>
      </c>
      <c r="W220" s="27">
        <f>VLOOKUP($A220,'[1]Raw Data'!$A$3:$FB$285,29,FALSE)</f>
        <v>0</v>
      </c>
      <c r="X220" s="27">
        <f>VLOOKUP($A220,'[1]Raw Data'!$A$3:$FB$285,30,FALSE)</f>
        <v>0</v>
      </c>
      <c r="Y220" s="27">
        <f>VLOOKUP($A220,'[1]Raw Data'!$A$3:$FB$285,32,FALSE)</f>
        <v>0.34</v>
      </c>
      <c r="Z220" s="27">
        <f>VLOOKUP($A220,'[1]Raw Data'!$A$3:$FB$285,33,FALSE)</f>
        <v>0.26</v>
      </c>
      <c r="AA220" s="27">
        <f>VLOOKUP($A220,'[1]Raw Data'!$A$3:$FB$285,35,FALSE)</f>
        <v>7.4</v>
      </c>
      <c r="AB220" s="27">
        <f>VLOOKUP($A220,'[1]Raw Data'!$A$3:$FB$285,36,FALSE)</f>
        <v>1.54</v>
      </c>
      <c r="AC220" s="27">
        <f>VLOOKUP($A220,'[1]Raw Data'!$A$3:$FB$285,38,FALSE)</f>
        <v>0.15</v>
      </c>
      <c r="AD220" s="27">
        <f>VLOOKUP($A220,'[1]Raw Data'!$A$3:$FB$285,39,FALSE)</f>
        <v>0.05</v>
      </c>
      <c r="AE220" s="27">
        <f>VLOOKUP($A220,'[1]Raw Data'!$A$3:$FB$285,41,FALSE)</f>
        <v>0</v>
      </c>
      <c r="AF220" s="27">
        <f>VLOOKUP($A220,'[1]Raw Data'!$A$3:$FB$285,42,FALSE)</f>
        <v>0</v>
      </c>
      <c r="AG220" s="27">
        <f>VLOOKUP($A220,'[1]Raw Data'!$A$3:$FB$285,44,FALSE)</f>
        <v>0</v>
      </c>
      <c r="AH220" s="27">
        <f>VLOOKUP($A220,'[1]Raw Data'!$A$3:$FB$285,45,FALSE)</f>
        <v>0</v>
      </c>
      <c r="AI220" s="27">
        <f>VLOOKUP($A220,'[1]Raw Data'!$A$3:$FB$285,46,FALSE)</f>
        <v>1269</v>
      </c>
      <c r="AJ220" s="27">
        <f>VLOOKUP($A220,'[1]Raw Data'!$A$3:$FB$285,47,FALSE)</f>
        <v>919</v>
      </c>
      <c r="AK220" s="27">
        <f>VLOOKUP($A220,'[1]Raw Data'!$A$3:$FB$285,48,FALSE)</f>
        <v>919</v>
      </c>
      <c r="AL220" s="27">
        <f>VLOOKUP($A220,'[1]Raw Data'!$A$3:$FB$285,49,FALSE)</f>
        <v>136</v>
      </c>
      <c r="AM220" s="27">
        <f>VLOOKUP($A220,'[1]Raw Data'!$A$3:$FB$285,50,FALSE)</f>
        <v>0</v>
      </c>
      <c r="AN220" s="27" t="str">
        <f>VLOOKUP($A220,'[1]Raw Data'!$A$3:$FB$285,51,FALSE)</f>
        <v/>
      </c>
      <c r="AO220" s="27" t="str">
        <f>VLOOKUP($A220,'[1]Raw Data'!$A$3:$FB$285,52,FALSE)</f>
        <v/>
      </c>
      <c r="AP220" s="27">
        <f>VLOOKUP($A220,'[1]Raw Data'!$A$3:$FB$285,53,FALSE)</f>
        <v>42</v>
      </c>
      <c r="AQ220" s="27" t="str">
        <f>VLOOKUP($A220,'[1]Raw Data'!$A$3:$FB$285,54,FALSE)</f>
        <v/>
      </c>
      <c r="AR220" s="27" t="str">
        <f>VLOOKUP($A220,'[1]Raw Data'!$A$3:$FB$285,55,FALSE)</f>
        <v/>
      </c>
      <c r="AS220" s="27" t="str">
        <f>VLOOKUP($A220,'[1]Raw Data'!$A$3:$FB$285,56,FALSE)</f>
        <v/>
      </c>
      <c r="AT220" s="27" t="str">
        <f>VLOOKUP($A220,'[1]Raw Data'!$A$3:$FB$285,57,FALSE)</f>
        <v/>
      </c>
      <c r="AU220" s="27" t="str">
        <f>VLOOKUP($A220,'[1]Raw Data'!$A$3:$FB$285,58,FALSE)</f>
        <v/>
      </c>
      <c r="AV220" s="27" t="str">
        <f>VLOOKUP($A220,'[1]Raw Data'!$A$3:$FB$285,59,FALSE)</f>
        <v/>
      </c>
      <c r="AW220" s="27" t="str">
        <f>VLOOKUP($A220,'[1]Raw Data'!$A$3:$FB$285,60,FALSE)</f>
        <v/>
      </c>
      <c r="AX220" s="27" t="str">
        <f>VLOOKUP(A220,'[1]PO''s List'!A218:E500,4,FALSE)</f>
        <v/>
      </c>
      <c r="AZ220" s="27" t="str">
        <f>VLOOKUP(A220,'[1]PO''s List'!$A$3:$E$285,5,FALSE)</f>
        <v/>
      </c>
      <c r="BB220" s="27">
        <f>VLOOKUP($A220,'[1]Raw Data'!$A$3:$FB$285,63,FALSE)</f>
        <v>26540</v>
      </c>
      <c r="BC220" s="27" t="str">
        <f>VLOOKUP($A220,'[1]Raw Data'!$A$3:$FB$285,64,FALSE)</f>
        <v/>
      </c>
      <c r="BD220" s="27" t="str">
        <f t="shared" si="27"/>
        <v/>
      </c>
      <c r="BE220" s="27" t="str">
        <f>VLOOKUP($A220,'[1]Raw Data'!$A$3:$FB$285,65,FALSE)</f>
        <v/>
      </c>
      <c r="BF220" s="27">
        <f>VLOOKUP($A220,'[1]Raw Data'!$A$3:$FB$285,66,FALSE)</f>
        <v>26674</v>
      </c>
      <c r="BG220" s="27" t="str">
        <f>VLOOKUP($A220,'[1]Raw Data'!$A$3:$FB$285,67,FALSE)</f>
        <v/>
      </c>
      <c r="BH220" s="27" t="str">
        <f t="shared" si="28"/>
        <v/>
      </c>
      <c r="BI220" s="27" t="str">
        <f>VLOOKUP($A220,'[1]Raw Data'!$A$3:$FB$285,68,FALSE)</f>
        <v/>
      </c>
      <c r="BJ220" s="27">
        <f>VLOOKUP($A220,'[1]Raw Data'!$A$3:$FB$285,69,FALSE)</f>
        <v>2830</v>
      </c>
      <c r="BK220" s="27" t="str">
        <f>VLOOKUP($A220,'[1]Raw Data'!$A$3:$FB$285,70,FALSE)</f>
        <v/>
      </c>
      <c r="BL220" s="27" t="str">
        <f t="shared" si="29"/>
        <v/>
      </c>
      <c r="BM220" s="27" t="str">
        <f>VLOOKUP($A220,'[1]Raw Data'!$A$3:$FB$285,71,FALSE)</f>
        <v/>
      </c>
      <c r="BN220" s="27">
        <f>VLOOKUP($A220,'[1]Raw Data'!$A$3:$FB$285,72,FALSE)</f>
        <v>3252</v>
      </c>
      <c r="BO220" s="27" t="str">
        <f>VLOOKUP($A220,'[1]Raw Data'!$A$3:$FB$285,73,FALSE)</f>
        <v/>
      </c>
      <c r="BP220" s="27" t="str">
        <f t="shared" si="30"/>
        <v/>
      </c>
      <c r="BQ220" s="27" t="str">
        <f>VLOOKUP($A220,'[1]Raw Data'!$A$3:$FB$285,74,FALSE)</f>
        <v/>
      </c>
      <c r="BR220" s="27" t="str">
        <f>VLOOKUP($A220,'[1]Raw Data'!$A$3:$FB$285,75,FALSE)</f>
        <v/>
      </c>
      <c r="BS220" s="27" t="str">
        <f>VLOOKUP($A220,'[1]Raw Data'!$A$3:$FB$285,76,FALSE)</f>
        <v/>
      </c>
      <c r="BT220" s="27" t="str">
        <f t="shared" si="31"/>
        <v/>
      </c>
      <c r="BU220" s="27" t="str">
        <f>VLOOKUP($A220,'[1]Raw Data'!$A$3:$FB$285,77,FALSE)</f>
        <v/>
      </c>
      <c r="BV220" s="27">
        <f>VLOOKUP($A220,'[1]Raw Data'!$A$3:$FB$285,78,FALSE)</f>
        <v>89485</v>
      </c>
      <c r="BW220" s="27" t="str">
        <f>VLOOKUP($A220,'[1]Raw Data'!$A$3:$FB$285,79,FALSE)</f>
        <v/>
      </c>
      <c r="BX220" s="27" t="str">
        <f t="shared" si="32"/>
        <v/>
      </c>
      <c r="BY220" s="27" t="str">
        <f>VLOOKUP($A220,'[1]Raw Data'!$A$3:$FB$285,80,FALSE)</f>
        <v/>
      </c>
      <c r="BZ220" s="27">
        <f>VLOOKUP($A220,'[1]Raw Data'!$A$3:$FB$285,81,FALSE)</f>
        <v>289891</v>
      </c>
      <c r="CA220" s="27" t="str">
        <f>VLOOKUP($A220,'[1]Raw Data'!$A$3:$FB$285,82,FALSE)</f>
        <v/>
      </c>
      <c r="CB220" s="27" t="str">
        <f t="shared" si="33"/>
        <v/>
      </c>
      <c r="CC220" s="27" t="str">
        <f>VLOOKUP($A220,'[1]Raw Data'!$A$3:$FB$285,83,FALSE)</f>
        <v/>
      </c>
      <c r="CD220" s="27">
        <f>VLOOKUP($A220,'[1]Raw Data'!$A$3:$FB$285,84,FALSE)</f>
        <v>3662</v>
      </c>
      <c r="CE220" s="27" t="str">
        <f>VLOOKUP($A220,'[1]Raw Data'!$A$3:$FB$285,85,FALSE)</f>
        <v/>
      </c>
      <c r="CF220" s="27" t="str">
        <f t="shared" si="34"/>
        <v/>
      </c>
      <c r="CG220" s="27" t="str">
        <f>VLOOKUP($A220,'[1]Raw Data'!$A$3:$FB$285,86,FALSE)</f>
        <v/>
      </c>
      <c r="CH220" s="27">
        <f>VLOOKUP($A220,'[1]Raw Data'!$A$3:$FB$285,87,FALSE)</f>
        <v>457870</v>
      </c>
      <c r="CI220" s="27" t="str">
        <f>VLOOKUP($A220,'[1]Raw Data'!$A$3:$FB$285,88,FALSE)</f>
        <v/>
      </c>
      <c r="CJ220" s="27" t="str">
        <f t="shared" si="35"/>
        <v/>
      </c>
      <c r="CK220" s="27" t="str">
        <f>VLOOKUP($A220,'[1]Raw Data'!$A$3:$FB$285,89,FALSE)</f>
        <v/>
      </c>
      <c r="CL220" s="27" t="str">
        <f>VLOOKUP($A220,'[1]Raw Data'!$A$3:$FB$285,91,FALSE)</f>
        <v/>
      </c>
      <c r="CM220" s="27" t="str">
        <f>VLOOKUP($A220,'[1]Raw Data'!$A$3:$FB$285,93,FALSE)</f>
        <v/>
      </c>
      <c r="CN220" s="27" t="str">
        <f>VLOOKUP($A220,'[1]Raw Data'!$A$3:$FB$285,94,FALSE)</f>
        <v/>
      </c>
      <c r="CO220" s="27" t="str">
        <f>VLOOKUP($A220,'[1]Raw Data'!$A$3:$FB$285,95,FALSE)</f>
        <v/>
      </c>
      <c r="CP220" s="27" t="str">
        <f>VLOOKUP($A220,'[1]Raw Data'!$A$3:$FB$285,96,FALSE)</f>
        <v/>
      </c>
      <c r="CQ220" s="27" t="str">
        <f>VLOOKUP($A220,'[1]Raw Data'!$A$3:$FB$285,97,FALSE)</f>
        <v/>
      </c>
      <c r="CR220" s="27" t="str">
        <f>VLOOKUP($A220,'[1]Raw Data'!$A$3:$FB$285,98,FALSE)</f>
        <v/>
      </c>
      <c r="CS220" s="27" t="str">
        <f>VLOOKUP($A220,'[1]Raw Data'!$A$3:$FB$285,99,FALSE)</f>
        <v/>
      </c>
      <c r="CT220" s="27" t="str">
        <f>VLOOKUP($A220,'[1]Raw Data'!$A$3:$FB$285,101,FALSE)</f>
        <v/>
      </c>
      <c r="CV220" s="27" t="str">
        <f>VLOOKUP($A220,'[1]Raw Data'!$A$3:$FB$285,102,FALSE)</f>
        <v>Chairman</v>
      </c>
      <c r="CW220" s="27" t="s">
        <v>878</v>
      </c>
      <c r="CX220" s="27" t="str">
        <f>VLOOKUP($A220,'[1]Raw Data'!$A$3:$FB$285,103,FALSE)</f>
        <v/>
      </c>
      <c r="CY220" s="27" t="str">
        <f>VLOOKUP($A220,'[1]Raw Data'!$A$3:$FB$285,105,FALSE)</f>
        <v/>
      </c>
      <c r="DA220" s="27" t="str">
        <f>VLOOKUP($A220,'[1]Raw Data'!$A$3:$FB$285,106,FALSE)</f>
        <v>Deputy chairman</v>
      </c>
      <c r="DB220" s="27" t="s">
        <v>879</v>
      </c>
      <c r="DC220" s="27" t="str">
        <f>VLOOKUP($A220,'[1]Raw Data'!$A$3:$FB$285,107,FALSE)</f>
        <v/>
      </c>
      <c r="DD220" s="27" t="str">
        <f>VLOOKUP($A220,'[1]Raw Data'!$A$3:$FB$285,109,FALSE)</f>
        <v/>
      </c>
      <c r="DF220" s="27" t="str">
        <f>VLOOKUP($A220,'[1]Raw Data'!$A$3:$FB$285,110,FALSE)</f>
        <v>Chief Adminstration Officer</v>
      </c>
      <c r="DG220" s="27" t="s">
        <v>880</v>
      </c>
      <c r="DH220" s="27" t="str">
        <f>VLOOKUP($A220,'[1]Raw Data'!$A$3:$FB$285,111,FALSE)</f>
        <v/>
      </c>
      <c r="DI220" s="27" t="str">
        <f>VLOOKUP($A220,'[1]Raw Data'!$A$3:$FB$285,121,FALSE)</f>
        <v>Pukar Regmi</v>
      </c>
      <c r="DJ220" s="27" t="s">
        <v>1457</v>
      </c>
      <c r="DK220" s="27" t="str">
        <f>VLOOKUP($A220,'[1]Raw Data'!$A$3:$FB$285,122,FALSE)</f>
        <v>Focal Person</v>
      </c>
      <c r="DL220" s="27" t="s">
        <v>881</v>
      </c>
      <c r="DM220" s="27">
        <f>VLOOKUP($A220,'[1]Raw Data'!$A$3:$FB$285,123,FALSE)</f>
        <v>9856050367</v>
      </c>
      <c r="DN220" s="27" t="str">
        <f>VLOOKUP($A220,'[1]Raw Data'!$A$3:$FB$285,113,FALSE)</f>
        <v>Narayan Prasad Baral</v>
      </c>
      <c r="DO220" s="27" t="s">
        <v>1453</v>
      </c>
      <c r="DP220" s="27" t="str">
        <f>VLOOKUP($A220,'[1]Raw Data'!$A$3:$FB$285,114,FALSE)</f>
        <v>NRA Chief-District</v>
      </c>
      <c r="DQ220" s="27" t="s">
        <v>882</v>
      </c>
      <c r="DR220" s="27">
        <f>VLOOKUP($A220,'[1]Raw Data'!$A$3:$FB$285,115,FALSE)</f>
        <v>9846027721</v>
      </c>
      <c r="DS220" s="27" t="str">
        <f>VLOOKUP($A220,'[1]Raw Data'!$A$3:$FB$285,117,FALSE)</f>
        <v/>
      </c>
      <c r="DU220" s="27" t="str">
        <f>VLOOKUP($A220,'[1]Raw Data'!$A$3:$FB$285,118,FALSE)</f>
        <v>DUDBC.DLPIU Chief</v>
      </c>
      <c r="DV220" s="27" t="s">
        <v>883</v>
      </c>
      <c r="DW220" s="27" t="str">
        <f>VLOOKUP($A220,'[1]Raw Data'!$A$3:$FB$285,119,FALSE)</f>
        <v/>
      </c>
      <c r="DX220" s="27" t="s">
        <v>339</v>
      </c>
      <c r="DY220" s="27" t="str">
        <f>VLOOKUP($A220,'[1]Raw Data'!$A$3:$FB$285,124,FALSE)</f>
        <v/>
      </c>
      <c r="DZ220" s="27" t="s">
        <v>884</v>
      </c>
      <c r="EA220" s="27" t="str">
        <f>VLOOKUP($A220,'[1]Raw Data'!$A$3:$FB$285,125,FALSE)</f>
        <v/>
      </c>
      <c r="EB220" s="27" t="s">
        <v>341</v>
      </c>
      <c r="EC220" s="27" t="str">
        <f>VLOOKUP($A220,'[1]Raw Data'!$A$3:$FB$285,126,FALSE)</f>
        <v/>
      </c>
      <c r="ED220" t="s">
        <v>478</v>
      </c>
      <c r="EE220" s="27" t="str">
        <f>VLOOKUP($A220,'[1]Raw Data'!$A$3:$FB$285,127,FALSE)</f>
        <v/>
      </c>
      <c r="EF220" s="27" t="s">
        <v>343</v>
      </c>
      <c r="EG220" s="27" t="str">
        <f>VLOOKUP($A220,'[1]Raw Data'!$A$3:$FB$285,128,FALSE)</f>
        <v/>
      </c>
      <c r="EH220" t="s">
        <v>344</v>
      </c>
      <c r="EI220" s="27" t="str">
        <f>VLOOKUP($A220,'[1]Raw Data'!$A$3:$FB$285,129,FALSE)</f>
        <v/>
      </c>
      <c r="EM220" s="27" t="str">
        <f>VLOOKUP($A220,'[1]Raw Data'!$A$3:$FB$285,130,FALSE)</f>
        <v/>
      </c>
      <c r="EN220" s="27" t="str">
        <f>VLOOKUP($A220,'[1]Raw Data'!$A$3:$FB$285,131,FALSE)</f>
        <v/>
      </c>
      <c r="EO220" s="27" t="str">
        <f>VLOOKUP($A220,'[1]Raw Data'!$A$3:$FB$285,132,FALSE)</f>
        <v/>
      </c>
      <c r="EP220" s="27" t="str">
        <f>VLOOKUP($A220,'[1]Raw Data'!$A$3:$FB$285,133,FALSE)</f>
        <v/>
      </c>
      <c r="EQ220" s="27" t="str">
        <f>VLOOKUP($A220,'[1]Raw Data'!$A$3:$FB$285,134,FALSE)</f>
        <v/>
      </c>
      <c r="ER220" s="27" t="str">
        <f>VLOOKUP($A220,'[1]Raw Data'!$A$3:$FB$285,135,FALSE)</f>
        <v/>
      </c>
      <c r="ES220" s="27" t="str">
        <f>VLOOKUP($A220,'[1]Raw Data'!$A$3:$FB$285,136,FALSE)</f>
        <v/>
      </c>
      <c r="ET220" s="27" t="str">
        <f>VLOOKUP($A220,'[1]Raw Data'!$A$3:$FB$285,137,FALSE)</f>
        <v/>
      </c>
      <c r="EU220" s="27" t="str">
        <f>VLOOKUP($A220,'[1]Raw Data'!$A$3:$FB$285,138,FALSE)</f>
        <v/>
      </c>
      <c r="EV220" s="27" t="str">
        <f>VLOOKUP($A220,'[1]Raw Data'!$A$3:$FB$285,139,FALSE)</f>
        <v/>
      </c>
      <c r="EW220" s="38">
        <f>VLOOKUP($A220,[1]Training!$A$2:$I$284,5,FALSE)</f>
        <v>97.615384615384613</v>
      </c>
      <c r="EX220" s="31">
        <f>VLOOKUP($A220,[1]Training!$A$2:$I$284,6,FALSE)</f>
        <v>0</v>
      </c>
      <c r="EY220" s="38">
        <f>VLOOKUP($A220,[1]Training!$A$2:$I$284,8,FALSE)</f>
        <v>115.36363636363636</v>
      </c>
      <c r="EZ220" s="31">
        <f>VLOOKUP($A220,[1]Training!$A$2:$I$284,9,FALSE)</f>
        <v>0</v>
      </c>
      <c r="FA220" s="27">
        <v>1</v>
      </c>
      <c r="FB220" s="27">
        <v>2</v>
      </c>
      <c r="FC220" s="27" t="str">
        <f>VLOOKUP($A220,'[1]Raw Data'!$A$3:$FB$285,148,FALSE)</f>
        <v/>
      </c>
      <c r="FE220" s="27" t="str">
        <f>VLOOKUP($A220,'[1]Raw Data'!$A$3:$FB$285,149,FALSE)</f>
        <v>District Coordinator</v>
      </c>
      <c r="FF220" s="27" t="s">
        <v>885</v>
      </c>
      <c r="FG220" s="27" t="str">
        <f>VLOOKUP($A220,'[1]Raw Data'!$A$3:$FB$285,150,FALSE)</f>
        <v/>
      </c>
      <c r="FH220" s="27" t="str">
        <f>VLOOKUP($A220,'[1]Raw Data'!$A$3:$FB$285,156,FALSE)</f>
        <v/>
      </c>
      <c r="FJ220" s="27" t="str">
        <f>VLOOKUP($A220,'[1]Raw Data'!$A$3:$FB$285,157,FALSE)</f>
        <v>District Technical Officer</v>
      </c>
      <c r="FK220" s="27" t="s">
        <v>886</v>
      </c>
      <c r="FL220" s="27" t="str">
        <f>VLOOKUP($A220,'[1]Raw Data'!$A$3:$FB$285,158,FALSE)</f>
        <v/>
      </c>
      <c r="FM220" s="27" t="str">
        <f>VLOOKUP($A220,'[1]Raw Data'!$A$3:$FB$285,152,FALSE)</f>
        <v/>
      </c>
      <c r="FO220" s="27" t="str">
        <f>VLOOKUP($A220,'[1]Raw Data'!$A$3:$FB$285,153,FALSE)</f>
        <v>DIstrict Information Management Officer</v>
      </c>
      <c r="FP220" s="27" t="s">
        <v>887</v>
      </c>
      <c r="FQ220" s="27" t="str">
        <f>VLOOKUP($A220,'[1]Raw Data'!$A$3:$FB$285,154,FALSE)</f>
        <v/>
      </c>
    </row>
    <row r="221" spans="1:173" ht="24" x14ac:dyDescent="0.45">
      <c r="A221" s="27">
        <v>43001</v>
      </c>
      <c r="B221" s="36" t="str">
        <f ca="1">IFERROR(__xludf.DUMMYFUNCTION("""COMPUTED_VALUE"""),"Annapurna Gaunpalika")</f>
        <v>Annapurna Gaunpalika</v>
      </c>
      <c r="C221" s="37" t="str">
        <f>VLOOKUP(A221,'[1]Palika and District in Nepali '!$D$1:$F$283,3,FALSE)</f>
        <v>अन्नपूर्ण गाउँपलिका</v>
      </c>
      <c r="D221" s="36" t="str">
        <f ca="1">IFERROR(__xludf.DUMMYFUNCTION("""COMPUTED_VALUE"""),"Myagdi")</f>
        <v>Myagdi</v>
      </c>
      <c r="E221" s="36"/>
      <c r="F221" s="27">
        <f>VLOOKUP(A221,'[1]Raw Data'!$A$3:$FB$285,4,FALSE)</f>
        <v>83</v>
      </c>
      <c r="G221" s="27">
        <f>VLOOKUP(A221,'[1]Raw Data'!$A$3:$FB$285,5,FALSE)</f>
        <v>138</v>
      </c>
      <c r="H221" s="27">
        <f>VLOOKUP(A221,'[1]Raw Data'!$A$3:$FB$285,6,FALSE)</f>
        <v>221</v>
      </c>
      <c r="I221" s="27">
        <f>VLOOKUP($A221,'[1]Raw Data'!$A$3:$FB$285,8,FALSE)</f>
        <v>2.71</v>
      </c>
      <c r="J221" s="27">
        <f>VLOOKUP($A221,'[1]Raw Data'!$A$3:$FB$285,9,FALSE)</f>
        <v>1.63</v>
      </c>
      <c r="K221" s="27">
        <f>VLOOKUP($A221,'[1]Raw Data'!$A$3:$FB$285,11,FALSE)</f>
        <v>92.76</v>
      </c>
      <c r="L221" s="27">
        <f>VLOOKUP($A221,'[1]Raw Data'!$A$3:$FB$285,12,FALSE)</f>
        <v>94.41</v>
      </c>
      <c r="M221" s="27">
        <f>VLOOKUP($A221,'[1]Raw Data'!$A$3:$FB$285,14,FALSE)</f>
        <v>0</v>
      </c>
      <c r="N221" s="27">
        <f>VLOOKUP($A221,'[1]Raw Data'!$A$3:$FB$285,15,FALSE)</f>
        <v>1.27</v>
      </c>
      <c r="O221" s="27">
        <f>VLOOKUP($A221,'[1]Raw Data'!$A$3:$FB$285,17,FALSE)</f>
        <v>0</v>
      </c>
      <c r="P221" s="27">
        <f>VLOOKUP($A221,'[1]Raw Data'!$A$3:$FB$285,18,FALSE)</f>
        <v>0.5</v>
      </c>
      <c r="Q221" s="27">
        <f>VLOOKUP($A221,'[1]Raw Data'!$A$3:$FB$285,20,FALSE)</f>
        <v>0</v>
      </c>
      <c r="R221" s="27">
        <f>VLOOKUP($A221,'[1]Raw Data'!$A$3:$FB$285,21,FALSE)</f>
        <v>0</v>
      </c>
      <c r="S221" s="27">
        <f>VLOOKUP($A221,'[1]Raw Data'!$A$3:$FB$285,23,FALSE)</f>
        <v>0</v>
      </c>
      <c r="T221" s="27">
        <f>VLOOKUP($A221,'[1]Raw Data'!$A$3:$FB$285,24,FALSE)</f>
        <v>0</v>
      </c>
      <c r="U221" s="27">
        <f>VLOOKUP($A221,'[1]Raw Data'!$A$3:$FB$285,26,FALSE)</f>
        <v>0.45</v>
      </c>
      <c r="V221" s="27">
        <f>VLOOKUP($A221,'[1]Raw Data'!$A$3:$FB$285,27,FALSE)</f>
        <v>7.0000000000000007E-2</v>
      </c>
      <c r="W221" s="27">
        <f>VLOOKUP($A221,'[1]Raw Data'!$A$3:$FB$285,29,FALSE)</f>
        <v>0</v>
      </c>
      <c r="X221" s="27">
        <f>VLOOKUP($A221,'[1]Raw Data'!$A$3:$FB$285,30,FALSE)</f>
        <v>0</v>
      </c>
      <c r="Y221" s="27">
        <f>VLOOKUP($A221,'[1]Raw Data'!$A$3:$FB$285,32,FALSE)</f>
        <v>4.07</v>
      </c>
      <c r="Z221" s="27">
        <f>VLOOKUP($A221,'[1]Raw Data'!$A$3:$FB$285,33,FALSE)</f>
        <v>0.99</v>
      </c>
      <c r="AA221" s="27">
        <f>VLOOKUP($A221,'[1]Raw Data'!$A$3:$FB$285,35,FALSE)</f>
        <v>0</v>
      </c>
      <c r="AB221" s="27">
        <f>VLOOKUP($A221,'[1]Raw Data'!$A$3:$FB$285,36,FALSE)</f>
        <v>1.1299999999999999</v>
      </c>
      <c r="AC221" s="27">
        <f>VLOOKUP($A221,'[1]Raw Data'!$A$3:$FB$285,38,FALSE)</f>
        <v>0</v>
      </c>
      <c r="AD221" s="27">
        <f>VLOOKUP($A221,'[1]Raw Data'!$A$3:$FB$285,39,FALSE)</f>
        <v>0</v>
      </c>
      <c r="AE221" s="27">
        <f>VLOOKUP($A221,'[1]Raw Data'!$A$3:$FB$285,41,FALSE)</f>
        <v>0</v>
      </c>
      <c r="AF221" s="27">
        <f>VLOOKUP($A221,'[1]Raw Data'!$A$3:$FB$285,42,FALSE)</f>
        <v>0</v>
      </c>
      <c r="AG221" s="27">
        <f>VLOOKUP($A221,'[1]Raw Data'!$A$3:$FB$285,44,FALSE)</f>
        <v>0</v>
      </c>
      <c r="AH221" s="27">
        <f>VLOOKUP($A221,'[1]Raw Data'!$A$3:$FB$285,45,FALSE)</f>
        <v>0</v>
      </c>
      <c r="AI221" s="27">
        <f>VLOOKUP($A221,'[1]Raw Data'!$A$3:$FB$285,46,FALSE)</f>
        <v>114</v>
      </c>
      <c r="AJ221" s="27">
        <f>VLOOKUP($A221,'[1]Raw Data'!$A$3:$FB$285,47,FALSE)</f>
        <v>40</v>
      </c>
      <c r="AK221" s="27">
        <f>VLOOKUP($A221,'[1]Raw Data'!$A$3:$FB$285,48,FALSE)</f>
        <v>40</v>
      </c>
      <c r="AL221" s="27">
        <f>VLOOKUP($A221,'[1]Raw Data'!$A$3:$FB$285,49,FALSE)</f>
        <v>5</v>
      </c>
      <c r="AM221" s="27">
        <f>VLOOKUP($A221,'[1]Raw Data'!$A$3:$FB$285,50,FALSE)</f>
        <v>0</v>
      </c>
      <c r="AN221" s="27" t="str">
        <f>VLOOKUP($A221,'[1]Raw Data'!$A$3:$FB$285,51,FALSE)</f>
        <v/>
      </c>
      <c r="AO221" s="27" t="str">
        <f>VLOOKUP($A221,'[1]Raw Data'!$A$3:$FB$285,52,FALSE)</f>
        <v/>
      </c>
      <c r="AP221" s="27">
        <f>VLOOKUP($A221,'[1]Raw Data'!$A$3:$FB$285,53,FALSE)</f>
        <v>7</v>
      </c>
      <c r="AQ221" s="27" t="str">
        <f>VLOOKUP($A221,'[1]Raw Data'!$A$3:$FB$285,54,FALSE)</f>
        <v/>
      </c>
      <c r="AR221" s="27" t="str">
        <f>VLOOKUP($A221,'[1]Raw Data'!$A$3:$FB$285,55,FALSE)</f>
        <v/>
      </c>
      <c r="AS221" s="27" t="str">
        <f>VLOOKUP($A221,'[1]Raw Data'!$A$3:$FB$285,56,FALSE)</f>
        <v/>
      </c>
      <c r="AT221" s="27" t="str">
        <f>VLOOKUP($A221,'[1]Raw Data'!$A$3:$FB$285,57,FALSE)</f>
        <v/>
      </c>
      <c r="AU221" s="27" t="str">
        <f>VLOOKUP($A221,'[1]Raw Data'!$A$3:$FB$285,58,FALSE)</f>
        <v/>
      </c>
      <c r="AV221" s="27" t="str">
        <f>VLOOKUP($A221,'[1]Raw Data'!$A$3:$FB$285,59,FALSE)</f>
        <v/>
      </c>
      <c r="AW221" s="27" t="str">
        <f>VLOOKUP($A221,'[1]Raw Data'!$A$3:$FB$285,60,FALSE)</f>
        <v/>
      </c>
      <c r="AX221" s="27" t="str">
        <f>VLOOKUP(A221,'[1]PO''s List'!A219:E501,4,FALSE)</f>
        <v/>
      </c>
      <c r="AZ221" s="27" t="str">
        <f>VLOOKUP(A221,'[1]PO''s List'!$A$3:$E$285,5,FALSE)</f>
        <v/>
      </c>
      <c r="BB221" s="27">
        <f>VLOOKUP($A221,'[1]Raw Data'!$A$3:$FB$285,63,FALSE)</f>
        <v>1194</v>
      </c>
      <c r="BC221" s="27" t="str">
        <f>VLOOKUP($A221,'[1]Raw Data'!$A$3:$FB$285,64,FALSE)</f>
        <v/>
      </c>
      <c r="BD221" s="27" t="str">
        <f t="shared" si="27"/>
        <v/>
      </c>
      <c r="BE221" s="27" t="str">
        <f>VLOOKUP($A221,'[1]Raw Data'!$A$3:$FB$285,65,FALSE)</f>
        <v/>
      </c>
      <c r="BF221" s="27">
        <f>VLOOKUP($A221,'[1]Raw Data'!$A$3:$FB$285,66,FALSE)</f>
        <v>1179</v>
      </c>
      <c r="BG221" s="27" t="str">
        <f>VLOOKUP($A221,'[1]Raw Data'!$A$3:$FB$285,67,FALSE)</f>
        <v/>
      </c>
      <c r="BH221" s="27" t="str">
        <f t="shared" si="28"/>
        <v/>
      </c>
      <c r="BI221" s="27" t="str">
        <f>VLOOKUP($A221,'[1]Raw Data'!$A$3:$FB$285,68,FALSE)</f>
        <v/>
      </c>
      <c r="BJ221" s="27">
        <f>VLOOKUP($A221,'[1]Raw Data'!$A$3:$FB$285,69,FALSE)</f>
        <v>127</v>
      </c>
      <c r="BK221" s="27" t="str">
        <f>VLOOKUP($A221,'[1]Raw Data'!$A$3:$FB$285,70,FALSE)</f>
        <v/>
      </c>
      <c r="BL221" s="27" t="str">
        <f t="shared" si="29"/>
        <v/>
      </c>
      <c r="BM221" s="27" t="str">
        <f>VLOOKUP($A221,'[1]Raw Data'!$A$3:$FB$285,71,FALSE)</f>
        <v/>
      </c>
      <c r="BN221" s="27">
        <f>VLOOKUP($A221,'[1]Raw Data'!$A$3:$FB$285,72,FALSE)</f>
        <v>145</v>
      </c>
      <c r="BO221" s="27" t="str">
        <f>VLOOKUP($A221,'[1]Raw Data'!$A$3:$FB$285,73,FALSE)</f>
        <v/>
      </c>
      <c r="BP221" s="27" t="str">
        <f t="shared" si="30"/>
        <v/>
      </c>
      <c r="BQ221" s="27" t="str">
        <f>VLOOKUP($A221,'[1]Raw Data'!$A$3:$FB$285,74,FALSE)</f>
        <v/>
      </c>
      <c r="BR221" s="27" t="str">
        <f>VLOOKUP($A221,'[1]Raw Data'!$A$3:$FB$285,75,FALSE)</f>
        <v/>
      </c>
      <c r="BS221" s="27" t="str">
        <f>VLOOKUP($A221,'[1]Raw Data'!$A$3:$FB$285,76,FALSE)</f>
        <v/>
      </c>
      <c r="BT221" s="27" t="str">
        <f t="shared" si="31"/>
        <v/>
      </c>
      <c r="BU221" s="27" t="str">
        <f>VLOOKUP($A221,'[1]Raw Data'!$A$3:$FB$285,77,FALSE)</f>
        <v/>
      </c>
      <c r="BV221" s="27">
        <f>VLOOKUP($A221,'[1]Raw Data'!$A$3:$FB$285,78,FALSE)</f>
        <v>3867</v>
      </c>
      <c r="BW221" s="27" t="str">
        <f>VLOOKUP($A221,'[1]Raw Data'!$A$3:$FB$285,79,FALSE)</f>
        <v/>
      </c>
      <c r="BX221" s="27" t="str">
        <f t="shared" si="32"/>
        <v/>
      </c>
      <c r="BY221" s="27" t="str">
        <f>VLOOKUP($A221,'[1]Raw Data'!$A$3:$FB$285,80,FALSE)</f>
        <v/>
      </c>
      <c r="BZ221" s="27">
        <f>VLOOKUP($A221,'[1]Raw Data'!$A$3:$FB$285,81,FALSE)</f>
        <v>12957</v>
      </c>
      <c r="CA221" s="27" t="str">
        <f>VLOOKUP($A221,'[1]Raw Data'!$A$3:$FB$285,82,FALSE)</f>
        <v/>
      </c>
      <c r="CB221" s="27" t="str">
        <f t="shared" si="33"/>
        <v/>
      </c>
      <c r="CC221" s="27" t="str">
        <f>VLOOKUP($A221,'[1]Raw Data'!$A$3:$FB$285,83,FALSE)</f>
        <v/>
      </c>
      <c r="CD221" s="27">
        <f>VLOOKUP($A221,'[1]Raw Data'!$A$3:$FB$285,84,FALSE)</f>
        <v>158</v>
      </c>
      <c r="CE221" s="27" t="str">
        <f>VLOOKUP($A221,'[1]Raw Data'!$A$3:$FB$285,85,FALSE)</f>
        <v/>
      </c>
      <c r="CF221" s="27" t="str">
        <f t="shared" si="34"/>
        <v/>
      </c>
      <c r="CG221" s="27" t="str">
        <f>VLOOKUP($A221,'[1]Raw Data'!$A$3:$FB$285,86,FALSE)</f>
        <v/>
      </c>
      <c r="CH221" s="27">
        <f>VLOOKUP($A221,'[1]Raw Data'!$A$3:$FB$285,87,FALSE)</f>
        <v>8125</v>
      </c>
      <c r="CI221" s="27" t="str">
        <f>VLOOKUP($A221,'[1]Raw Data'!$A$3:$FB$285,88,FALSE)</f>
        <v/>
      </c>
      <c r="CJ221" s="27" t="str">
        <f t="shared" si="35"/>
        <v/>
      </c>
      <c r="CK221" s="27" t="str">
        <f>VLOOKUP($A221,'[1]Raw Data'!$A$3:$FB$285,89,FALSE)</f>
        <v/>
      </c>
      <c r="CL221" s="27" t="str">
        <f>VLOOKUP($A221,'[1]Raw Data'!$A$3:$FB$285,91,FALSE)</f>
        <v/>
      </c>
      <c r="CM221" s="27" t="str">
        <f>VLOOKUP($A221,'[1]Raw Data'!$A$3:$FB$285,93,FALSE)</f>
        <v/>
      </c>
      <c r="CN221" s="27" t="str">
        <f>VLOOKUP($A221,'[1]Raw Data'!$A$3:$FB$285,94,FALSE)</f>
        <v/>
      </c>
      <c r="CO221" s="27" t="str">
        <f>VLOOKUP($A221,'[1]Raw Data'!$A$3:$FB$285,95,FALSE)</f>
        <v/>
      </c>
      <c r="CP221" s="27" t="str">
        <f>VLOOKUP($A221,'[1]Raw Data'!$A$3:$FB$285,96,FALSE)</f>
        <v/>
      </c>
      <c r="CQ221" s="27" t="str">
        <f>VLOOKUP($A221,'[1]Raw Data'!$A$3:$FB$285,97,FALSE)</f>
        <v/>
      </c>
      <c r="CR221" s="27" t="str">
        <f>VLOOKUP($A221,'[1]Raw Data'!$A$3:$FB$285,98,FALSE)</f>
        <v/>
      </c>
      <c r="CS221" s="27" t="str">
        <f>VLOOKUP($A221,'[1]Raw Data'!$A$3:$FB$285,99,FALSE)</f>
        <v/>
      </c>
      <c r="CT221" s="27" t="str">
        <f>VLOOKUP($A221,'[1]Raw Data'!$A$3:$FB$285,101,FALSE)</f>
        <v/>
      </c>
      <c r="CV221" s="27" t="str">
        <f>VLOOKUP($A221,'[1]Raw Data'!$A$3:$FB$285,102,FALSE)</f>
        <v>Chairman</v>
      </c>
      <c r="CW221" s="27" t="s">
        <v>878</v>
      </c>
      <c r="CX221" s="27" t="str">
        <f>VLOOKUP($A221,'[1]Raw Data'!$A$3:$FB$285,103,FALSE)</f>
        <v/>
      </c>
      <c r="CY221" s="27" t="str">
        <f>VLOOKUP($A221,'[1]Raw Data'!$A$3:$FB$285,105,FALSE)</f>
        <v/>
      </c>
      <c r="DA221" s="27" t="str">
        <f>VLOOKUP($A221,'[1]Raw Data'!$A$3:$FB$285,106,FALSE)</f>
        <v>Deputy Chairman</v>
      </c>
      <c r="DB221" s="27" t="s">
        <v>879</v>
      </c>
      <c r="DC221" s="27" t="str">
        <f>VLOOKUP($A221,'[1]Raw Data'!$A$3:$FB$285,107,FALSE)</f>
        <v/>
      </c>
      <c r="DD221" s="27" t="str">
        <f>VLOOKUP($A221,'[1]Raw Data'!$A$3:$FB$285,109,FALSE)</f>
        <v/>
      </c>
      <c r="DF221" s="27" t="str">
        <f>VLOOKUP($A221,'[1]Raw Data'!$A$3:$FB$285,110,FALSE)</f>
        <v>Chief Adminstration Officer</v>
      </c>
      <c r="DG221" s="27" t="s">
        <v>880</v>
      </c>
      <c r="DH221" s="27" t="str">
        <f>VLOOKUP($A221,'[1]Raw Data'!$A$3:$FB$285,111,FALSE)</f>
        <v/>
      </c>
      <c r="DI221" s="27" t="str">
        <f>VLOOKUP($A221,'[1]Raw Data'!$A$3:$FB$285,121,FALSE)</f>
        <v/>
      </c>
      <c r="DK221" s="27" t="str">
        <f>VLOOKUP($A221,'[1]Raw Data'!$A$3:$FB$285,122,FALSE)</f>
        <v>Focal Person</v>
      </c>
      <c r="DL221" s="27" t="s">
        <v>881</v>
      </c>
      <c r="DM221" s="27" t="str">
        <f>VLOOKUP($A221,'[1]Raw Data'!$A$3:$FB$285,123,FALSE)</f>
        <v/>
      </c>
      <c r="DN221" s="27" t="str">
        <f>VLOOKUP($A221,'[1]Raw Data'!$A$3:$FB$285,113,FALSE)</f>
        <v/>
      </c>
      <c r="DP221" s="27" t="str">
        <f>VLOOKUP($A221,'[1]Raw Data'!$A$3:$FB$285,114,FALSE)</f>
        <v>NRA Chief-District</v>
      </c>
      <c r="DQ221" s="27" t="s">
        <v>882</v>
      </c>
      <c r="DR221" s="27" t="str">
        <f>VLOOKUP($A221,'[1]Raw Data'!$A$3:$FB$285,115,FALSE)</f>
        <v/>
      </c>
      <c r="DS221" s="27" t="str">
        <f>VLOOKUP($A221,'[1]Raw Data'!$A$3:$FB$285,117,FALSE)</f>
        <v/>
      </c>
      <c r="DU221" s="27" t="str">
        <f>VLOOKUP($A221,'[1]Raw Data'!$A$3:$FB$285,118,FALSE)</f>
        <v>DUDBC.DLPIU Chief</v>
      </c>
      <c r="DV221" s="27" t="s">
        <v>883</v>
      </c>
      <c r="DW221" s="27" t="str">
        <f>VLOOKUP($A221,'[1]Raw Data'!$A$3:$FB$285,119,FALSE)</f>
        <v/>
      </c>
      <c r="DX221" s="27" t="s">
        <v>339</v>
      </c>
      <c r="DY221" s="27" t="str">
        <f>VLOOKUP($A221,'[1]Raw Data'!$A$3:$FB$285,124,FALSE)</f>
        <v/>
      </c>
      <c r="DZ221" s="27" t="s">
        <v>884</v>
      </c>
      <c r="EA221" s="27" t="str">
        <f>VLOOKUP($A221,'[1]Raw Data'!$A$3:$FB$285,125,FALSE)</f>
        <v/>
      </c>
      <c r="EB221" s="27" t="s">
        <v>341</v>
      </c>
      <c r="EC221" s="27" t="str">
        <f>VLOOKUP($A221,'[1]Raw Data'!$A$3:$FB$285,126,FALSE)</f>
        <v/>
      </c>
      <c r="ED221" t="s">
        <v>478</v>
      </c>
      <c r="EE221" s="27" t="str">
        <f>VLOOKUP($A221,'[1]Raw Data'!$A$3:$FB$285,127,FALSE)</f>
        <v/>
      </c>
      <c r="EF221" s="27" t="s">
        <v>343</v>
      </c>
      <c r="EG221" s="27" t="str">
        <f>VLOOKUP($A221,'[1]Raw Data'!$A$3:$FB$285,128,FALSE)</f>
        <v/>
      </c>
      <c r="EH221" t="s">
        <v>344</v>
      </c>
      <c r="EI221" s="27" t="str">
        <f>VLOOKUP($A221,'[1]Raw Data'!$A$3:$FB$285,129,FALSE)</f>
        <v/>
      </c>
      <c r="EM221" s="27" t="str">
        <f>VLOOKUP($A221,'[1]Raw Data'!$A$3:$FB$285,130,FALSE)</f>
        <v/>
      </c>
      <c r="EN221" s="27" t="str">
        <f>VLOOKUP($A221,'[1]Raw Data'!$A$3:$FB$285,131,FALSE)</f>
        <v/>
      </c>
      <c r="EO221" s="27" t="str">
        <f>VLOOKUP($A221,'[1]Raw Data'!$A$3:$FB$285,132,FALSE)</f>
        <v/>
      </c>
      <c r="EP221" s="27" t="str">
        <f>VLOOKUP($A221,'[1]Raw Data'!$A$3:$FB$285,133,FALSE)</f>
        <v/>
      </c>
      <c r="EQ221" s="27" t="str">
        <f>VLOOKUP($A221,'[1]Raw Data'!$A$3:$FB$285,134,FALSE)</f>
        <v/>
      </c>
      <c r="ER221" s="27" t="str">
        <f>VLOOKUP($A221,'[1]Raw Data'!$A$3:$FB$285,135,FALSE)</f>
        <v/>
      </c>
      <c r="ES221" s="27" t="str">
        <f>VLOOKUP($A221,'[1]Raw Data'!$A$3:$FB$285,136,FALSE)</f>
        <v/>
      </c>
      <c r="ET221" s="27" t="str">
        <f>VLOOKUP($A221,'[1]Raw Data'!$A$3:$FB$285,137,FALSE)</f>
        <v/>
      </c>
      <c r="EU221" s="27" t="str">
        <f>VLOOKUP($A221,'[1]Raw Data'!$A$3:$FB$285,138,FALSE)</f>
        <v/>
      </c>
      <c r="EV221" s="27" t="str">
        <f>VLOOKUP($A221,'[1]Raw Data'!$A$3:$FB$285,139,FALSE)</f>
        <v/>
      </c>
      <c r="EW221" s="38">
        <f>VLOOKUP($A221,[1]Training!$A$2:$I$284,5,FALSE)</f>
        <v>8.7692307692307701</v>
      </c>
      <c r="EX221" s="31">
        <f>VLOOKUP($A221,[1]Training!$A$2:$I$284,6,FALSE)</f>
        <v>0</v>
      </c>
      <c r="EY221" s="38">
        <f>VLOOKUP($A221,[1]Training!$A$2:$I$284,8,FALSE)</f>
        <v>10.363636363636363</v>
      </c>
      <c r="EZ221" s="31">
        <f>VLOOKUP($A221,[1]Training!$A$2:$I$284,9,FALSE)</f>
        <v>0</v>
      </c>
      <c r="FA221" s="27">
        <v>1</v>
      </c>
      <c r="FB221" s="27">
        <v>2</v>
      </c>
      <c r="FC221" s="27" t="str">
        <f>VLOOKUP($A221,'[1]Raw Data'!$A$3:$FB$285,148,FALSE)</f>
        <v/>
      </c>
      <c r="FE221" s="27" t="str">
        <f>VLOOKUP($A221,'[1]Raw Data'!$A$3:$FB$285,149,FALSE)</f>
        <v>District Coordinator</v>
      </c>
      <c r="FF221" s="27" t="s">
        <v>885</v>
      </c>
      <c r="FG221" s="27" t="str">
        <f>VLOOKUP($A221,'[1]Raw Data'!$A$3:$FB$285,150,FALSE)</f>
        <v/>
      </c>
      <c r="FH221" s="27" t="str">
        <f>VLOOKUP($A221,'[1]Raw Data'!$A$3:$FB$285,156,FALSE)</f>
        <v/>
      </c>
      <c r="FJ221" s="27" t="str">
        <f>VLOOKUP($A221,'[1]Raw Data'!$A$3:$FB$285,157,FALSE)</f>
        <v>District Technical Officer</v>
      </c>
      <c r="FK221" s="27" t="s">
        <v>886</v>
      </c>
      <c r="FL221" s="27" t="str">
        <f>VLOOKUP($A221,'[1]Raw Data'!$A$3:$FB$285,158,FALSE)</f>
        <v/>
      </c>
      <c r="FM221" s="27" t="str">
        <f>VLOOKUP($A221,'[1]Raw Data'!$A$3:$FB$285,152,FALSE)</f>
        <v/>
      </c>
      <c r="FO221" s="27" t="str">
        <f>VLOOKUP($A221,'[1]Raw Data'!$A$3:$FB$285,153,FALSE)</f>
        <v>DIstrict Information Management Officer</v>
      </c>
      <c r="FP221" s="27" t="s">
        <v>887</v>
      </c>
      <c r="FQ221" s="27" t="str">
        <f>VLOOKUP($A221,'[1]Raw Data'!$A$3:$FB$285,154,FALSE)</f>
        <v/>
      </c>
    </row>
    <row r="222" spans="1:173" ht="24" x14ac:dyDescent="0.45">
      <c r="A222" s="27">
        <v>43002</v>
      </c>
      <c r="B222" s="36" t="str">
        <f ca="1">IFERROR(__xludf.DUMMYFUNCTION("""COMPUTED_VALUE"""),"Beni Nagarpalika")</f>
        <v>Beni Nagarpalika</v>
      </c>
      <c r="C222" s="37" t="str">
        <f>VLOOKUP(A222,'[1]Palika and District in Nepali '!$D$1:$F$283,3,FALSE)</f>
        <v>बेनीघाट नगरपालिका</v>
      </c>
      <c r="D222" s="36" t="str">
        <f ca="1">IFERROR(__xludf.DUMMYFUNCTION("""COMPUTED_VALUE"""),"Myagdi")</f>
        <v>Myagdi</v>
      </c>
      <c r="E222" s="36"/>
      <c r="F222" s="27">
        <f>VLOOKUP(A222,'[1]Raw Data'!$A$3:$FB$285,4,FALSE)</f>
        <v>47</v>
      </c>
      <c r="G222" s="27">
        <f>VLOOKUP(A222,'[1]Raw Data'!$A$3:$FB$285,5,FALSE)</f>
        <v>438</v>
      </c>
      <c r="H222" s="27">
        <f>VLOOKUP(A222,'[1]Raw Data'!$A$3:$FB$285,6,FALSE)</f>
        <v>485</v>
      </c>
      <c r="I222" s="27">
        <f>VLOOKUP($A222,'[1]Raw Data'!$A$3:$FB$285,8,FALSE)</f>
        <v>1.24</v>
      </c>
      <c r="J222" s="27">
        <f>VLOOKUP($A222,'[1]Raw Data'!$A$3:$FB$285,9,FALSE)</f>
        <v>1.63</v>
      </c>
      <c r="K222" s="27">
        <f>VLOOKUP($A222,'[1]Raw Data'!$A$3:$FB$285,11,FALSE)</f>
        <v>90.72</v>
      </c>
      <c r="L222" s="27">
        <f>VLOOKUP($A222,'[1]Raw Data'!$A$3:$FB$285,12,FALSE)</f>
        <v>94.41</v>
      </c>
      <c r="M222" s="27">
        <f>VLOOKUP($A222,'[1]Raw Data'!$A$3:$FB$285,14,FALSE)</f>
        <v>3.3</v>
      </c>
      <c r="N222" s="27">
        <f>VLOOKUP($A222,'[1]Raw Data'!$A$3:$FB$285,15,FALSE)</f>
        <v>1.27</v>
      </c>
      <c r="O222" s="27">
        <f>VLOOKUP($A222,'[1]Raw Data'!$A$3:$FB$285,17,FALSE)</f>
        <v>1.44</v>
      </c>
      <c r="P222" s="27">
        <f>VLOOKUP($A222,'[1]Raw Data'!$A$3:$FB$285,18,FALSE)</f>
        <v>0.5</v>
      </c>
      <c r="Q222" s="27">
        <f>VLOOKUP($A222,'[1]Raw Data'!$A$3:$FB$285,20,FALSE)</f>
        <v>0</v>
      </c>
      <c r="R222" s="27">
        <f>VLOOKUP($A222,'[1]Raw Data'!$A$3:$FB$285,21,FALSE)</f>
        <v>0</v>
      </c>
      <c r="S222" s="27">
        <f>VLOOKUP($A222,'[1]Raw Data'!$A$3:$FB$285,23,FALSE)</f>
        <v>0</v>
      </c>
      <c r="T222" s="27">
        <f>VLOOKUP($A222,'[1]Raw Data'!$A$3:$FB$285,24,FALSE)</f>
        <v>0</v>
      </c>
      <c r="U222" s="27">
        <f>VLOOKUP($A222,'[1]Raw Data'!$A$3:$FB$285,26,FALSE)</f>
        <v>0</v>
      </c>
      <c r="V222" s="27">
        <f>VLOOKUP($A222,'[1]Raw Data'!$A$3:$FB$285,27,FALSE)</f>
        <v>7.0000000000000007E-2</v>
      </c>
      <c r="W222" s="27">
        <f>VLOOKUP($A222,'[1]Raw Data'!$A$3:$FB$285,29,FALSE)</f>
        <v>0</v>
      </c>
      <c r="X222" s="27">
        <f>VLOOKUP($A222,'[1]Raw Data'!$A$3:$FB$285,30,FALSE)</f>
        <v>0</v>
      </c>
      <c r="Y222" s="27">
        <f>VLOOKUP($A222,'[1]Raw Data'!$A$3:$FB$285,32,FALSE)</f>
        <v>0</v>
      </c>
      <c r="Z222" s="27">
        <f>VLOOKUP($A222,'[1]Raw Data'!$A$3:$FB$285,33,FALSE)</f>
        <v>0.99</v>
      </c>
      <c r="AA222" s="27">
        <f>VLOOKUP($A222,'[1]Raw Data'!$A$3:$FB$285,35,FALSE)</f>
        <v>3.3</v>
      </c>
      <c r="AB222" s="27">
        <f>VLOOKUP($A222,'[1]Raw Data'!$A$3:$FB$285,36,FALSE)</f>
        <v>1.1299999999999999</v>
      </c>
      <c r="AC222" s="27">
        <f>VLOOKUP($A222,'[1]Raw Data'!$A$3:$FB$285,38,FALSE)</f>
        <v>0</v>
      </c>
      <c r="AD222" s="27">
        <f>VLOOKUP($A222,'[1]Raw Data'!$A$3:$FB$285,39,FALSE)</f>
        <v>0</v>
      </c>
      <c r="AE222" s="27">
        <f>VLOOKUP($A222,'[1]Raw Data'!$A$3:$FB$285,41,FALSE)</f>
        <v>0</v>
      </c>
      <c r="AF222" s="27">
        <f>VLOOKUP($A222,'[1]Raw Data'!$A$3:$FB$285,42,FALSE)</f>
        <v>0</v>
      </c>
      <c r="AG222" s="27">
        <f>VLOOKUP($A222,'[1]Raw Data'!$A$3:$FB$285,44,FALSE)</f>
        <v>0</v>
      </c>
      <c r="AH222" s="27">
        <f>VLOOKUP($A222,'[1]Raw Data'!$A$3:$FB$285,45,FALSE)</f>
        <v>0</v>
      </c>
      <c r="AI222" s="27">
        <f>VLOOKUP($A222,'[1]Raw Data'!$A$3:$FB$285,46,FALSE)</f>
        <v>417</v>
      </c>
      <c r="AJ222" s="27">
        <f>VLOOKUP($A222,'[1]Raw Data'!$A$3:$FB$285,47,FALSE)</f>
        <v>145</v>
      </c>
      <c r="AK222" s="27">
        <f>VLOOKUP($A222,'[1]Raw Data'!$A$3:$FB$285,48,FALSE)</f>
        <v>145</v>
      </c>
      <c r="AL222" s="27">
        <f>VLOOKUP($A222,'[1]Raw Data'!$A$3:$FB$285,49,FALSE)</f>
        <v>85</v>
      </c>
      <c r="AM222" s="27">
        <f>VLOOKUP($A222,'[1]Raw Data'!$A$3:$FB$285,50,FALSE)</f>
        <v>0</v>
      </c>
      <c r="AN222" s="27" t="str">
        <f>VLOOKUP($A222,'[1]Raw Data'!$A$3:$FB$285,51,FALSE)</f>
        <v/>
      </c>
      <c r="AO222" s="27" t="str">
        <f>VLOOKUP($A222,'[1]Raw Data'!$A$3:$FB$285,52,FALSE)</f>
        <v/>
      </c>
      <c r="AP222" s="27">
        <f>VLOOKUP($A222,'[1]Raw Data'!$A$3:$FB$285,53,FALSE)</f>
        <v>0</v>
      </c>
      <c r="AQ222" s="27" t="str">
        <f>VLOOKUP($A222,'[1]Raw Data'!$A$3:$FB$285,54,FALSE)</f>
        <v/>
      </c>
      <c r="AR222" s="27" t="str">
        <f>VLOOKUP($A222,'[1]Raw Data'!$A$3:$FB$285,55,FALSE)</f>
        <v/>
      </c>
      <c r="AS222" s="27" t="str">
        <f>VLOOKUP($A222,'[1]Raw Data'!$A$3:$FB$285,56,FALSE)</f>
        <v/>
      </c>
      <c r="AT222" s="27" t="str">
        <f>VLOOKUP($A222,'[1]Raw Data'!$A$3:$FB$285,57,FALSE)</f>
        <v/>
      </c>
      <c r="AU222" s="27" t="str">
        <f>VLOOKUP($A222,'[1]Raw Data'!$A$3:$FB$285,58,FALSE)</f>
        <v/>
      </c>
      <c r="AV222" s="27" t="str">
        <f>VLOOKUP($A222,'[1]Raw Data'!$A$3:$FB$285,59,FALSE)</f>
        <v/>
      </c>
      <c r="AW222" s="27" t="str">
        <f>VLOOKUP($A222,'[1]Raw Data'!$A$3:$FB$285,60,FALSE)</f>
        <v/>
      </c>
      <c r="AX222" s="27" t="str">
        <f>VLOOKUP(A222,'[1]PO''s List'!A220:E502,4,FALSE)</f>
        <v/>
      </c>
      <c r="AZ222" s="27" t="str">
        <f>VLOOKUP(A222,'[1]PO''s List'!$A$3:$E$285,5,FALSE)</f>
        <v/>
      </c>
      <c r="BB222" s="27">
        <f>VLOOKUP($A222,'[1]Raw Data'!$A$3:$FB$285,63,FALSE)</f>
        <v>4400</v>
      </c>
      <c r="BC222" s="27" t="str">
        <f>VLOOKUP($A222,'[1]Raw Data'!$A$3:$FB$285,64,FALSE)</f>
        <v/>
      </c>
      <c r="BD222" s="27" t="str">
        <f t="shared" si="27"/>
        <v/>
      </c>
      <c r="BE222" s="27" t="str">
        <f>VLOOKUP($A222,'[1]Raw Data'!$A$3:$FB$285,65,FALSE)</f>
        <v/>
      </c>
      <c r="BF222" s="27">
        <f>VLOOKUP($A222,'[1]Raw Data'!$A$3:$FB$285,66,FALSE)</f>
        <v>4129</v>
      </c>
      <c r="BG222" s="27" t="str">
        <f>VLOOKUP($A222,'[1]Raw Data'!$A$3:$FB$285,67,FALSE)</f>
        <v/>
      </c>
      <c r="BH222" s="27" t="str">
        <f t="shared" si="28"/>
        <v/>
      </c>
      <c r="BI222" s="27" t="str">
        <f>VLOOKUP($A222,'[1]Raw Data'!$A$3:$FB$285,68,FALSE)</f>
        <v/>
      </c>
      <c r="BJ222" s="27">
        <f>VLOOKUP($A222,'[1]Raw Data'!$A$3:$FB$285,69,FALSE)</f>
        <v>467</v>
      </c>
      <c r="BK222" s="27" t="str">
        <f>VLOOKUP($A222,'[1]Raw Data'!$A$3:$FB$285,70,FALSE)</f>
        <v/>
      </c>
      <c r="BL222" s="27" t="str">
        <f t="shared" si="29"/>
        <v/>
      </c>
      <c r="BM222" s="27" t="str">
        <f>VLOOKUP($A222,'[1]Raw Data'!$A$3:$FB$285,71,FALSE)</f>
        <v/>
      </c>
      <c r="BN222" s="27">
        <f>VLOOKUP($A222,'[1]Raw Data'!$A$3:$FB$285,72,FALSE)</f>
        <v>527</v>
      </c>
      <c r="BO222" s="27" t="str">
        <f>VLOOKUP($A222,'[1]Raw Data'!$A$3:$FB$285,73,FALSE)</f>
        <v/>
      </c>
      <c r="BP222" s="27" t="str">
        <f t="shared" si="30"/>
        <v/>
      </c>
      <c r="BQ222" s="27" t="str">
        <f>VLOOKUP($A222,'[1]Raw Data'!$A$3:$FB$285,74,FALSE)</f>
        <v/>
      </c>
      <c r="BR222" s="27" t="str">
        <f>VLOOKUP($A222,'[1]Raw Data'!$A$3:$FB$285,75,FALSE)</f>
        <v/>
      </c>
      <c r="BS222" s="27" t="str">
        <f>VLOOKUP($A222,'[1]Raw Data'!$A$3:$FB$285,76,FALSE)</f>
        <v/>
      </c>
      <c r="BT222" s="27" t="str">
        <f t="shared" si="31"/>
        <v/>
      </c>
      <c r="BU222" s="27" t="str">
        <f>VLOOKUP($A222,'[1]Raw Data'!$A$3:$FB$285,77,FALSE)</f>
        <v/>
      </c>
      <c r="BV222" s="27">
        <f>VLOOKUP($A222,'[1]Raw Data'!$A$3:$FB$285,78,FALSE)</f>
        <v>14062</v>
      </c>
      <c r="BW222" s="27" t="str">
        <f>VLOOKUP($A222,'[1]Raw Data'!$A$3:$FB$285,79,FALSE)</f>
        <v/>
      </c>
      <c r="BX222" s="27" t="str">
        <f t="shared" si="32"/>
        <v/>
      </c>
      <c r="BY222" s="27" t="str">
        <f>VLOOKUP($A222,'[1]Raw Data'!$A$3:$FB$285,80,FALSE)</f>
        <v/>
      </c>
      <c r="BZ222" s="27">
        <f>VLOOKUP($A222,'[1]Raw Data'!$A$3:$FB$285,81,FALSE)</f>
        <v>48697</v>
      </c>
      <c r="CA222" s="27" t="str">
        <f>VLOOKUP($A222,'[1]Raw Data'!$A$3:$FB$285,82,FALSE)</f>
        <v/>
      </c>
      <c r="CB222" s="27" t="str">
        <f t="shared" si="33"/>
        <v/>
      </c>
      <c r="CC222" s="27" t="str">
        <f>VLOOKUP($A222,'[1]Raw Data'!$A$3:$FB$285,83,FALSE)</f>
        <v/>
      </c>
      <c r="CD222" s="27">
        <f>VLOOKUP($A222,'[1]Raw Data'!$A$3:$FB$285,84,FALSE)</f>
        <v>576</v>
      </c>
      <c r="CE222" s="27" t="str">
        <f>VLOOKUP($A222,'[1]Raw Data'!$A$3:$FB$285,85,FALSE)</f>
        <v/>
      </c>
      <c r="CF222" s="27" t="str">
        <f t="shared" si="34"/>
        <v/>
      </c>
      <c r="CG222" s="27" t="str">
        <f>VLOOKUP($A222,'[1]Raw Data'!$A$3:$FB$285,86,FALSE)</f>
        <v/>
      </c>
      <c r="CH222" s="27">
        <f>VLOOKUP($A222,'[1]Raw Data'!$A$3:$FB$285,87,FALSE)</f>
        <v>120377</v>
      </c>
      <c r="CI222" s="27" t="str">
        <f>VLOOKUP($A222,'[1]Raw Data'!$A$3:$FB$285,88,FALSE)</f>
        <v/>
      </c>
      <c r="CJ222" s="27" t="str">
        <f t="shared" si="35"/>
        <v/>
      </c>
      <c r="CK222" s="27" t="str">
        <f>VLOOKUP($A222,'[1]Raw Data'!$A$3:$FB$285,89,FALSE)</f>
        <v/>
      </c>
      <c r="CL222" s="27" t="str">
        <f>VLOOKUP($A222,'[1]Raw Data'!$A$3:$FB$285,91,FALSE)</f>
        <v/>
      </c>
      <c r="CM222" s="27" t="str">
        <f>VLOOKUP($A222,'[1]Raw Data'!$A$3:$FB$285,93,FALSE)</f>
        <v/>
      </c>
      <c r="CN222" s="27" t="str">
        <f>VLOOKUP($A222,'[1]Raw Data'!$A$3:$FB$285,94,FALSE)</f>
        <v/>
      </c>
      <c r="CO222" s="27" t="str">
        <f>VLOOKUP($A222,'[1]Raw Data'!$A$3:$FB$285,95,FALSE)</f>
        <v/>
      </c>
      <c r="CP222" s="27" t="str">
        <f>VLOOKUP($A222,'[1]Raw Data'!$A$3:$FB$285,96,FALSE)</f>
        <v/>
      </c>
      <c r="CQ222" s="27" t="str">
        <f>VLOOKUP($A222,'[1]Raw Data'!$A$3:$FB$285,97,FALSE)</f>
        <v/>
      </c>
      <c r="CR222" s="27" t="str">
        <f>VLOOKUP($A222,'[1]Raw Data'!$A$3:$FB$285,98,FALSE)</f>
        <v/>
      </c>
      <c r="CS222" s="27" t="str">
        <f>VLOOKUP($A222,'[1]Raw Data'!$A$3:$FB$285,99,FALSE)</f>
        <v/>
      </c>
      <c r="CT222" s="27" t="str">
        <f>VLOOKUP($A222,'[1]Raw Data'!$A$3:$FB$285,101,FALSE)</f>
        <v/>
      </c>
      <c r="CV222" s="27" t="str">
        <f>VLOOKUP($A222,'[1]Raw Data'!$A$3:$FB$285,102,FALSE)</f>
        <v>Mayor</v>
      </c>
      <c r="CW222" s="27" t="s">
        <v>834</v>
      </c>
      <c r="CX222" s="27" t="str">
        <f>VLOOKUP($A222,'[1]Raw Data'!$A$3:$FB$285,103,FALSE)</f>
        <v/>
      </c>
      <c r="CY222" s="27" t="str">
        <f>VLOOKUP($A222,'[1]Raw Data'!$A$3:$FB$285,105,FALSE)</f>
        <v/>
      </c>
      <c r="DA222" s="27" t="str">
        <f>VLOOKUP($A222,'[1]Raw Data'!$A$3:$FB$285,106,FALSE)</f>
        <v>Deputy Mayor</v>
      </c>
      <c r="DB222" s="27" t="s">
        <v>888</v>
      </c>
      <c r="DC222" s="27" t="str">
        <f>VLOOKUP($A222,'[1]Raw Data'!$A$3:$FB$285,107,FALSE)</f>
        <v/>
      </c>
      <c r="DD222" s="27" t="str">
        <f>VLOOKUP($A222,'[1]Raw Data'!$A$3:$FB$285,109,FALSE)</f>
        <v/>
      </c>
      <c r="DF222" s="27" t="str">
        <f>VLOOKUP($A222,'[1]Raw Data'!$A$3:$FB$285,110,FALSE)</f>
        <v>Chief Adminstration Officer</v>
      </c>
      <c r="DG222" s="27" t="s">
        <v>880</v>
      </c>
      <c r="DH222" s="27" t="str">
        <f>VLOOKUP($A222,'[1]Raw Data'!$A$3:$FB$285,111,FALSE)</f>
        <v/>
      </c>
      <c r="DI222" s="27" t="str">
        <f>VLOOKUP($A222,'[1]Raw Data'!$A$3:$FB$285,121,FALSE)</f>
        <v/>
      </c>
      <c r="DK222" s="27" t="str">
        <f>VLOOKUP($A222,'[1]Raw Data'!$A$3:$FB$285,122,FALSE)</f>
        <v>Focal Person</v>
      </c>
      <c r="DL222" s="27" t="s">
        <v>881</v>
      </c>
      <c r="DM222" s="27" t="str">
        <f>VLOOKUP($A222,'[1]Raw Data'!$A$3:$FB$285,123,FALSE)</f>
        <v/>
      </c>
      <c r="DN222" s="27" t="str">
        <f>VLOOKUP($A222,'[1]Raw Data'!$A$3:$FB$285,113,FALSE)</f>
        <v/>
      </c>
      <c r="DP222" s="27" t="str">
        <f>VLOOKUP($A222,'[1]Raw Data'!$A$3:$FB$285,114,FALSE)</f>
        <v>NRA Chief-District</v>
      </c>
      <c r="DQ222" s="27" t="s">
        <v>882</v>
      </c>
      <c r="DR222" s="27" t="str">
        <f>VLOOKUP($A222,'[1]Raw Data'!$A$3:$FB$285,115,FALSE)</f>
        <v/>
      </c>
      <c r="DS222" s="27" t="str">
        <f>VLOOKUP($A222,'[1]Raw Data'!$A$3:$FB$285,117,FALSE)</f>
        <v/>
      </c>
      <c r="DU222" s="27" t="str">
        <f>VLOOKUP($A222,'[1]Raw Data'!$A$3:$FB$285,118,FALSE)</f>
        <v>DUDBC.DLPIU Chief</v>
      </c>
      <c r="DV222" s="27" t="s">
        <v>883</v>
      </c>
      <c r="DW222" s="27" t="str">
        <f>VLOOKUP($A222,'[1]Raw Data'!$A$3:$FB$285,119,FALSE)</f>
        <v/>
      </c>
      <c r="DX222" s="27" t="s">
        <v>339</v>
      </c>
      <c r="DY222" s="27" t="str">
        <f>VLOOKUP($A222,'[1]Raw Data'!$A$3:$FB$285,124,FALSE)</f>
        <v/>
      </c>
      <c r="DZ222" s="27" t="s">
        <v>884</v>
      </c>
      <c r="EA222" s="27" t="str">
        <f>VLOOKUP($A222,'[1]Raw Data'!$A$3:$FB$285,125,FALSE)</f>
        <v/>
      </c>
      <c r="EB222" s="27" t="s">
        <v>341</v>
      </c>
      <c r="EC222" s="27" t="str">
        <f>VLOOKUP($A222,'[1]Raw Data'!$A$3:$FB$285,126,FALSE)</f>
        <v/>
      </c>
      <c r="ED222" t="s">
        <v>478</v>
      </c>
      <c r="EE222" s="27" t="str">
        <f>VLOOKUP($A222,'[1]Raw Data'!$A$3:$FB$285,127,FALSE)</f>
        <v/>
      </c>
      <c r="EF222" s="27" t="s">
        <v>343</v>
      </c>
      <c r="EG222" s="27" t="str">
        <f>VLOOKUP($A222,'[1]Raw Data'!$A$3:$FB$285,128,FALSE)</f>
        <v/>
      </c>
      <c r="EH222" t="s">
        <v>344</v>
      </c>
      <c r="EI222" s="27" t="str">
        <f>VLOOKUP($A222,'[1]Raw Data'!$A$3:$FB$285,129,FALSE)</f>
        <v/>
      </c>
      <c r="EM222" s="27" t="str">
        <f>VLOOKUP($A222,'[1]Raw Data'!$A$3:$FB$285,130,FALSE)</f>
        <v/>
      </c>
      <c r="EN222" s="27" t="str">
        <f>VLOOKUP($A222,'[1]Raw Data'!$A$3:$FB$285,131,FALSE)</f>
        <v/>
      </c>
      <c r="EO222" s="27" t="str">
        <f>VLOOKUP($A222,'[1]Raw Data'!$A$3:$FB$285,132,FALSE)</f>
        <v/>
      </c>
      <c r="EP222" s="27" t="str">
        <f>VLOOKUP($A222,'[1]Raw Data'!$A$3:$FB$285,133,FALSE)</f>
        <v/>
      </c>
      <c r="EQ222" s="27" t="str">
        <f>VLOOKUP($A222,'[1]Raw Data'!$A$3:$FB$285,134,FALSE)</f>
        <v/>
      </c>
      <c r="ER222" s="27" t="str">
        <f>VLOOKUP($A222,'[1]Raw Data'!$A$3:$FB$285,135,FALSE)</f>
        <v/>
      </c>
      <c r="ES222" s="27" t="str">
        <f>VLOOKUP($A222,'[1]Raw Data'!$A$3:$FB$285,136,FALSE)</f>
        <v/>
      </c>
      <c r="ET222" s="27" t="str">
        <f>VLOOKUP($A222,'[1]Raw Data'!$A$3:$FB$285,137,FALSE)</f>
        <v/>
      </c>
      <c r="EU222" s="27" t="str">
        <f>VLOOKUP($A222,'[1]Raw Data'!$A$3:$FB$285,138,FALSE)</f>
        <v/>
      </c>
      <c r="EV222" s="27" t="str">
        <f>VLOOKUP($A222,'[1]Raw Data'!$A$3:$FB$285,139,FALSE)</f>
        <v/>
      </c>
      <c r="EW222" s="38">
        <f>VLOOKUP($A222,[1]Training!$A$2:$I$284,5,FALSE)</f>
        <v>32.07692307692308</v>
      </c>
      <c r="EX222" s="31">
        <f>VLOOKUP($A222,[1]Training!$A$2:$I$284,6,FALSE)</f>
        <v>0</v>
      </c>
      <c r="EY222" s="38">
        <f>VLOOKUP($A222,[1]Training!$A$2:$I$284,8,FALSE)</f>
        <v>37.909090909090907</v>
      </c>
      <c r="EZ222" s="31">
        <f>VLOOKUP($A222,[1]Training!$A$2:$I$284,9,FALSE)</f>
        <v>0</v>
      </c>
      <c r="FA222" s="27">
        <v>1</v>
      </c>
      <c r="FB222" s="27">
        <v>2</v>
      </c>
      <c r="FC222" s="27" t="str">
        <f>VLOOKUP($A222,'[1]Raw Data'!$A$3:$FB$285,148,FALSE)</f>
        <v/>
      </c>
      <c r="FE222" s="27" t="str">
        <f>VLOOKUP($A222,'[1]Raw Data'!$A$3:$FB$285,149,FALSE)</f>
        <v>District Coordinator</v>
      </c>
      <c r="FF222" s="27" t="s">
        <v>885</v>
      </c>
      <c r="FG222" s="27" t="str">
        <f>VLOOKUP($A222,'[1]Raw Data'!$A$3:$FB$285,150,FALSE)</f>
        <v/>
      </c>
      <c r="FH222" s="27" t="str">
        <f>VLOOKUP($A222,'[1]Raw Data'!$A$3:$FB$285,156,FALSE)</f>
        <v/>
      </c>
      <c r="FJ222" s="27" t="str">
        <f>VLOOKUP($A222,'[1]Raw Data'!$A$3:$FB$285,157,FALSE)</f>
        <v>District Technical Officer</v>
      </c>
      <c r="FK222" s="27" t="s">
        <v>886</v>
      </c>
      <c r="FL222" s="27" t="str">
        <f>VLOOKUP($A222,'[1]Raw Data'!$A$3:$FB$285,158,FALSE)</f>
        <v/>
      </c>
      <c r="FM222" s="27" t="str">
        <f>VLOOKUP($A222,'[1]Raw Data'!$A$3:$FB$285,152,FALSE)</f>
        <v/>
      </c>
      <c r="FO222" s="27" t="str">
        <f>VLOOKUP($A222,'[1]Raw Data'!$A$3:$FB$285,153,FALSE)</f>
        <v>DIstrict Information Management Officer</v>
      </c>
      <c r="FP222" s="27" t="s">
        <v>887</v>
      </c>
      <c r="FQ222" s="27" t="str">
        <f>VLOOKUP($A222,'[1]Raw Data'!$A$3:$FB$285,154,FALSE)</f>
        <v/>
      </c>
    </row>
    <row r="223" spans="1:173" ht="24" x14ac:dyDescent="0.45">
      <c r="A223" s="27">
        <v>43003</v>
      </c>
      <c r="B223" s="36" t="str">
        <f ca="1">IFERROR(__xludf.DUMMYFUNCTION("""COMPUTED_VALUE"""),"Dhaulagiri Gaunpalika")</f>
        <v>Dhaulagiri Gaunpalika</v>
      </c>
      <c r="C223" s="37" t="str">
        <f>VLOOKUP(A223,'[1]Palika and District in Nepali '!$D$1:$F$283,3,FALSE)</f>
        <v>धौलागिरी गाउँपालिका</v>
      </c>
      <c r="D223" s="36" t="str">
        <f ca="1">IFERROR(__xludf.DUMMYFUNCTION("""COMPUTED_VALUE"""),"Myagdi")</f>
        <v>Myagdi</v>
      </c>
      <c r="E223" s="36"/>
      <c r="F223" s="27">
        <f>VLOOKUP(A223,'[1]Raw Data'!$A$3:$FB$285,4,FALSE)</f>
        <v>38</v>
      </c>
      <c r="G223" s="27">
        <f>VLOOKUP(A223,'[1]Raw Data'!$A$3:$FB$285,5,FALSE)</f>
        <v>30</v>
      </c>
      <c r="H223" s="27">
        <f>VLOOKUP(A223,'[1]Raw Data'!$A$3:$FB$285,6,FALSE)</f>
        <v>68</v>
      </c>
      <c r="I223" s="27">
        <f>VLOOKUP($A223,'[1]Raw Data'!$A$3:$FB$285,8,FALSE)</f>
        <v>2.94</v>
      </c>
      <c r="J223" s="27">
        <f>VLOOKUP($A223,'[1]Raw Data'!$A$3:$FB$285,9,FALSE)</f>
        <v>1.63</v>
      </c>
      <c r="K223" s="27">
        <f>VLOOKUP($A223,'[1]Raw Data'!$A$3:$FB$285,11,FALSE)</f>
        <v>95.59</v>
      </c>
      <c r="L223" s="27">
        <f>VLOOKUP($A223,'[1]Raw Data'!$A$3:$FB$285,12,FALSE)</f>
        <v>94.41</v>
      </c>
      <c r="M223" s="27">
        <f>VLOOKUP($A223,'[1]Raw Data'!$A$3:$FB$285,14,FALSE)</f>
        <v>1.47</v>
      </c>
      <c r="N223" s="27">
        <f>VLOOKUP($A223,'[1]Raw Data'!$A$3:$FB$285,15,FALSE)</f>
        <v>1.27</v>
      </c>
      <c r="O223" s="27">
        <f>VLOOKUP($A223,'[1]Raw Data'!$A$3:$FB$285,17,FALSE)</f>
        <v>0</v>
      </c>
      <c r="P223" s="27">
        <f>VLOOKUP($A223,'[1]Raw Data'!$A$3:$FB$285,18,FALSE)</f>
        <v>0.5</v>
      </c>
      <c r="Q223" s="27">
        <f>VLOOKUP($A223,'[1]Raw Data'!$A$3:$FB$285,20,FALSE)</f>
        <v>0</v>
      </c>
      <c r="R223" s="27">
        <f>VLOOKUP($A223,'[1]Raw Data'!$A$3:$FB$285,21,FALSE)</f>
        <v>0</v>
      </c>
      <c r="S223" s="27">
        <f>VLOOKUP($A223,'[1]Raw Data'!$A$3:$FB$285,23,FALSE)</f>
        <v>0</v>
      </c>
      <c r="T223" s="27">
        <f>VLOOKUP($A223,'[1]Raw Data'!$A$3:$FB$285,24,FALSE)</f>
        <v>0</v>
      </c>
      <c r="U223" s="27">
        <f>VLOOKUP($A223,'[1]Raw Data'!$A$3:$FB$285,26,FALSE)</f>
        <v>0</v>
      </c>
      <c r="V223" s="27">
        <f>VLOOKUP($A223,'[1]Raw Data'!$A$3:$FB$285,27,FALSE)</f>
        <v>7.0000000000000007E-2</v>
      </c>
      <c r="W223" s="27">
        <f>VLOOKUP($A223,'[1]Raw Data'!$A$3:$FB$285,29,FALSE)</f>
        <v>0</v>
      </c>
      <c r="X223" s="27">
        <f>VLOOKUP($A223,'[1]Raw Data'!$A$3:$FB$285,30,FALSE)</f>
        <v>0</v>
      </c>
      <c r="Y223" s="27">
        <f>VLOOKUP($A223,'[1]Raw Data'!$A$3:$FB$285,32,FALSE)</f>
        <v>0</v>
      </c>
      <c r="Z223" s="27">
        <f>VLOOKUP($A223,'[1]Raw Data'!$A$3:$FB$285,33,FALSE)</f>
        <v>0.99</v>
      </c>
      <c r="AA223" s="27">
        <f>VLOOKUP($A223,'[1]Raw Data'!$A$3:$FB$285,35,FALSE)</f>
        <v>0</v>
      </c>
      <c r="AB223" s="27">
        <f>VLOOKUP($A223,'[1]Raw Data'!$A$3:$FB$285,36,FALSE)</f>
        <v>1.1299999999999999</v>
      </c>
      <c r="AC223" s="27">
        <f>VLOOKUP($A223,'[1]Raw Data'!$A$3:$FB$285,38,FALSE)</f>
        <v>0</v>
      </c>
      <c r="AD223" s="27">
        <f>VLOOKUP($A223,'[1]Raw Data'!$A$3:$FB$285,39,FALSE)</f>
        <v>0</v>
      </c>
      <c r="AE223" s="27">
        <f>VLOOKUP($A223,'[1]Raw Data'!$A$3:$FB$285,41,FALSE)</f>
        <v>0</v>
      </c>
      <c r="AF223" s="27">
        <f>VLOOKUP($A223,'[1]Raw Data'!$A$3:$FB$285,42,FALSE)</f>
        <v>0</v>
      </c>
      <c r="AG223" s="27">
        <f>VLOOKUP($A223,'[1]Raw Data'!$A$3:$FB$285,44,FALSE)</f>
        <v>0</v>
      </c>
      <c r="AH223" s="27">
        <f>VLOOKUP($A223,'[1]Raw Data'!$A$3:$FB$285,45,FALSE)</f>
        <v>0</v>
      </c>
      <c r="AI223" s="27">
        <f>VLOOKUP($A223,'[1]Raw Data'!$A$3:$FB$285,46,FALSE)</f>
        <v>30</v>
      </c>
      <c r="AJ223" s="27">
        <f>VLOOKUP($A223,'[1]Raw Data'!$A$3:$FB$285,47,FALSE)</f>
        <v>9</v>
      </c>
      <c r="AK223" s="27">
        <f>VLOOKUP($A223,'[1]Raw Data'!$A$3:$FB$285,48,FALSE)</f>
        <v>9</v>
      </c>
      <c r="AL223" s="27">
        <f>VLOOKUP($A223,'[1]Raw Data'!$A$3:$FB$285,49,FALSE)</f>
        <v>6</v>
      </c>
      <c r="AM223" s="27">
        <f>VLOOKUP($A223,'[1]Raw Data'!$A$3:$FB$285,50,FALSE)</f>
        <v>0</v>
      </c>
      <c r="AN223" s="27" t="str">
        <f>VLOOKUP($A223,'[1]Raw Data'!$A$3:$FB$285,51,FALSE)</f>
        <v/>
      </c>
      <c r="AO223" s="27" t="str">
        <f>VLOOKUP($A223,'[1]Raw Data'!$A$3:$FB$285,52,FALSE)</f>
        <v/>
      </c>
      <c r="AP223" s="27">
        <f>VLOOKUP($A223,'[1]Raw Data'!$A$3:$FB$285,53,FALSE)</f>
        <v>0</v>
      </c>
      <c r="AQ223" s="27" t="str">
        <f>VLOOKUP($A223,'[1]Raw Data'!$A$3:$FB$285,54,FALSE)</f>
        <v/>
      </c>
      <c r="AR223" s="27" t="str">
        <f>VLOOKUP($A223,'[1]Raw Data'!$A$3:$FB$285,55,FALSE)</f>
        <v/>
      </c>
      <c r="AS223" s="27" t="str">
        <f>VLOOKUP($A223,'[1]Raw Data'!$A$3:$FB$285,56,FALSE)</f>
        <v/>
      </c>
      <c r="AT223" s="27" t="str">
        <f>VLOOKUP($A223,'[1]Raw Data'!$A$3:$FB$285,57,FALSE)</f>
        <v/>
      </c>
      <c r="AU223" s="27" t="str">
        <f>VLOOKUP($A223,'[1]Raw Data'!$A$3:$FB$285,58,FALSE)</f>
        <v/>
      </c>
      <c r="AV223" s="27" t="str">
        <f>VLOOKUP($A223,'[1]Raw Data'!$A$3:$FB$285,59,FALSE)</f>
        <v/>
      </c>
      <c r="AW223" s="27" t="str">
        <f>VLOOKUP($A223,'[1]Raw Data'!$A$3:$FB$285,60,FALSE)</f>
        <v/>
      </c>
      <c r="AX223" s="27" t="str">
        <f>VLOOKUP(A223,'[1]PO''s List'!A221:E503,4,FALSE)</f>
        <v/>
      </c>
      <c r="AZ223" s="27" t="str">
        <f>VLOOKUP(A223,'[1]PO''s List'!$A$3:$E$285,5,FALSE)</f>
        <v/>
      </c>
      <c r="BB223" s="27">
        <f>VLOOKUP($A223,'[1]Raw Data'!$A$3:$FB$285,63,FALSE)</f>
        <v>259</v>
      </c>
      <c r="BC223" s="27" t="str">
        <f>VLOOKUP($A223,'[1]Raw Data'!$A$3:$FB$285,64,FALSE)</f>
        <v/>
      </c>
      <c r="BD223" s="27" t="str">
        <f t="shared" si="27"/>
        <v/>
      </c>
      <c r="BE223" s="27" t="str">
        <f>VLOOKUP($A223,'[1]Raw Data'!$A$3:$FB$285,65,FALSE)</f>
        <v/>
      </c>
      <c r="BF223" s="27">
        <f>VLOOKUP($A223,'[1]Raw Data'!$A$3:$FB$285,66,FALSE)</f>
        <v>263</v>
      </c>
      <c r="BG223" s="27" t="str">
        <f>VLOOKUP($A223,'[1]Raw Data'!$A$3:$FB$285,67,FALSE)</f>
        <v/>
      </c>
      <c r="BH223" s="27" t="str">
        <f t="shared" si="28"/>
        <v/>
      </c>
      <c r="BI223" s="27" t="str">
        <f>VLOOKUP($A223,'[1]Raw Data'!$A$3:$FB$285,68,FALSE)</f>
        <v/>
      </c>
      <c r="BJ223" s="27">
        <f>VLOOKUP($A223,'[1]Raw Data'!$A$3:$FB$285,69,FALSE)</f>
        <v>28</v>
      </c>
      <c r="BK223" s="27" t="str">
        <f>VLOOKUP($A223,'[1]Raw Data'!$A$3:$FB$285,70,FALSE)</f>
        <v/>
      </c>
      <c r="BL223" s="27" t="str">
        <f t="shared" si="29"/>
        <v/>
      </c>
      <c r="BM223" s="27" t="str">
        <f>VLOOKUP($A223,'[1]Raw Data'!$A$3:$FB$285,71,FALSE)</f>
        <v/>
      </c>
      <c r="BN223" s="27">
        <f>VLOOKUP($A223,'[1]Raw Data'!$A$3:$FB$285,72,FALSE)</f>
        <v>32</v>
      </c>
      <c r="BO223" s="27" t="str">
        <f>VLOOKUP($A223,'[1]Raw Data'!$A$3:$FB$285,73,FALSE)</f>
        <v/>
      </c>
      <c r="BP223" s="27" t="str">
        <f t="shared" si="30"/>
        <v/>
      </c>
      <c r="BQ223" s="27" t="str">
        <f>VLOOKUP($A223,'[1]Raw Data'!$A$3:$FB$285,74,FALSE)</f>
        <v/>
      </c>
      <c r="BR223" s="27" t="str">
        <f>VLOOKUP($A223,'[1]Raw Data'!$A$3:$FB$285,75,FALSE)</f>
        <v/>
      </c>
      <c r="BS223" s="27" t="str">
        <f>VLOOKUP($A223,'[1]Raw Data'!$A$3:$FB$285,76,FALSE)</f>
        <v/>
      </c>
      <c r="BT223" s="27" t="str">
        <f t="shared" si="31"/>
        <v/>
      </c>
      <c r="BU223" s="27" t="str">
        <f>VLOOKUP($A223,'[1]Raw Data'!$A$3:$FB$285,77,FALSE)</f>
        <v/>
      </c>
      <c r="BV223" s="27">
        <f>VLOOKUP($A223,'[1]Raw Data'!$A$3:$FB$285,78,FALSE)</f>
        <v>880</v>
      </c>
      <c r="BW223" s="27" t="str">
        <f>VLOOKUP($A223,'[1]Raw Data'!$A$3:$FB$285,79,FALSE)</f>
        <v/>
      </c>
      <c r="BX223" s="27" t="str">
        <f t="shared" si="32"/>
        <v/>
      </c>
      <c r="BY223" s="27" t="str">
        <f>VLOOKUP($A223,'[1]Raw Data'!$A$3:$FB$285,80,FALSE)</f>
        <v/>
      </c>
      <c r="BZ223" s="27">
        <f>VLOOKUP($A223,'[1]Raw Data'!$A$3:$FB$285,81,FALSE)</f>
        <v>2820</v>
      </c>
      <c r="CA223" s="27" t="str">
        <f>VLOOKUP($A223,'[1]Raw Data'!$A$3:$FB$285,82,FALSE)</f>
        <v/>
      </c>
      <c r="CB223" s="27" t="str">
        <f t="shared" si="33"/>
        <v/>
      </c>
      <c r="CC223" s="27" t="str">
        <f>VLOOKUP($A223,'[1]Raw Data'!$A$3:$FB$285,83,FALSE)</f>
        <v/>
      </c>
      <c r="CD223" s="27">
        <f>VLOOKUP($A223,'[1]Raw Data'!$A$3:$FB$285,84,FALSE)</f>
        <v>36</v>
      </c>
      <c r="CE223" s="27" t="str">
        <f>VLOOKUP($A223,'[1]Raw Data'!$A$3:$FB$285,85,FALSE)</f>
        <v/>
      </c>
      <c r="CF223" s="27" t="str">
        <f t="shared" si="34"/>
        <v/>
      </c>
      <c r="CG223" s="27" t="str">
        <f>VLOOKUP($A223,'[1]Raw Data'!$A$3:$FB$285,86,FALSE)</f>
        <v/>
      </c>
      <c r="CH223" s="27">
        <f>VLOOKUP($A223,'[1]Raw Data'!$A$3:$FB$285,87,FALSE)</f>
        <v>4194</v>
      </c>
      <c r="CI223" s="27" t="str">
        <f>VLOOKUP($A223,'[1]Raw Data'!$A$3:$FB$285,88,FALSE)</f>
        <v/>
      </c>
      <c r="CJ223" s="27" t="str">
        <f t="shared" si="35"/>
        <v/>
      </c>
      <c r="CK223" s="27" t="str">
        <f>VLOOKUP($A223,'[1]Raw Data'!$A$3:$FB$285,89,FALSE)</f>
        <v/>
      </c>
      <c r="CL223" s="27" t="str">
        <f>VLOOKUP($A223,'[1]Raw Data'!$A$3:$FB$285,91,FALSE)</f>
        <v/>
      </c>
      <c r="CM223" s="27" t="str">
        <f>VLOOKUP($A223,'[1]Raw Data'!$A$3:$FB$285,93,FALSE)</f>
        <v/>
      </c>
      <c r="CN223" s="27" t="str">
        <f>VLOOKUP($A223,'[1]Raw Data'!$A$3:$FB$285,94,FALSE)</f>
        <v/>
      </c>
      <c r="CO223" s="27" t="str">
        <f>VLOOKUP($A223,'[1]Raw Data'!$A$3:$FB$285,95,FALSE)</f>
        <v/>
      </c>
      <c r="CP223" s="27" t="str">
        <f>VLOOKUP($A223,'[1]Raw Data'!$A$3:$FB$285,96,FALSE)</f>
        <v/>
      </c>
      <c r="CQ223" s="27" t="str">
        <f>VLOOKUP($A223,'[1]Raw Data'!$A$3:$FB$285,97,FALSE)</f>
        <v/>
      </c>
      <c r="CR223" s="27" t="str">
        <f>VLOOKUP($A223,'[1]Raw Data'!$A$3:$FB$285,98,FALSE)</f>
        <v/>
      </c>
      <c r="CS223" s="27" t="str">
        <f>VLOOKUP($A223,'[1]Raw Data'!$A$3:$FB$285,99,FALSE)</f>
        <v/>
      </c>
      <c r="CT223" s="27" t="str">
        <f>VLOOKUP($A223,'[1]Raw Data'!$A$3:$FB$285,101,FALSE)</f>
        <v/>
      </c>
      <c r="CV223" s="27" t="str">
        <f>VLOOKUP($A223,'[1]Raw Data'!$A$3:$FB$285,102,FALSE)</f>
        <v>Chairman</v>
      </c>
      <c r="CW223" s="27" t="s">
        <v>878</v>
      </c>
      <c r="CX223" s="27" t="str">
        <f>VLOOKUP($A223,'[1]Raw Data'!$A$3:$FB$285,103,FALSE)</f>
        <v/>
      </c>
      <c r="CY223" s="27" t="str">
        <f>VLOOKUP($A223,'[1]Raw Data'!$A$3:$FB$285,105,FALSE)</f>
        <v/>
      </c>
      <c r="DA223" s="27" t="str">
        <f>VLOOKUP($A223,'[1]Raw Data'!$A$3:$FB$285,106,FALSE)</f>
        <v>Deputy Chairman</v>
      </c>
      <c r="DB223" s="27" t="s">
        <v>879</v>
      </c>
      <c r="DC223" s="27" t="str">
        <f>VLOOKUP($A223,'[1]Raw Data'!$A$3:$FB$285,107,FALSE)</f>
        <v/>
      </c>
      <c r="DD223" s="27" t="str">
        <f>VLOOKUP($A223,'[1]Raw Data'!$A$3:$FB$285,109,FALSE)</f>
        <v/>
      </c>
      <c r="DF223" s="27" t="str">
        <f>VLOOKUP($A223,'[1]Raw Data'!$A$3:$FB$285,110,FALSE)</f>
        <v>Chief Adminstration Officer</v>
      </c>
      <c r="DG223" s="27" t="s">
        <v>880</v>
      </c>
      <c r="DH223" s="27" t="str">
        <f>VLOOKUP($A223,'[1]Raw Data'!$A$3:$FB$285,111,FALSE)</f>
        <v/>
      </c>
      <c r="DI223" s="27" t="str">
        <f>VLOOKUP($A223,'[1]Raw Data'!$A$3:$FB$285,121,FALSE)</f>
        <v/>
      </c>
      <c r="DK223" s="27" t="str">
        <f>VLOOKUP($A223,'[1]Raw Data'!$A$3:$FB$285,122,FALSE)</f>
        <v>Focal Person</v>
      </c>
      <c r="DL223" s="27" t="s">
        <v>881</v>
      </c>
      <c r="DM223" s="27" t="str">
        <f>VLOOKUP($A223,'[1]Raw Data'!$A$3:$FB$285,123,FALSE)</f>
        <v/>
      </c>
      <c r="DN223" s="27" t="str">
        <f>VLOOKUP($A223,'[1]Raw Data'!$A$3:$FB$285,113,FALSE)</f>
        <v/>
      </c>
      <c r="DP223" s="27" t="str">
        <f>VLOOKUP($A223,'[1]Raw Data'!$A$3:$FB$285,114,FALSE)</f>
        <v>NRA Chief-District</v>
      </c>
      <c r="DQ223" s="27" t="s">
        <v>882</v>
      </c>
      <c r="DR223" s="27" t="str">
        <f>VLOOKUP($A223,'[1]Raw Data'!$A$3:$FB$285,115,FALSE)</f>
        <v/>
      </c>
      <c r="DS223" s="27" t="str">
        <f>VLOOKUP($A223,'[1]Raw Data'!$A$3:$FB$285,117,FALSE)</f>
        <v/>
      </c>
      <c r="DU223" s="27" t="str">
        <f>VLOOKUP($A223,'[1]Raw Data'!$A$3:$FB$285,118,FALSE)</f>
        <v>DUDBC.DLPIU Chief</v>
      </c>
      <c r="DV223" s="27" t="s">
        <v>883</v>
      </c>
      <c r="DW223" s="27" t="str">
        <f>VLOOKUP($A223,'[1]Raw Data'!$A$3:$FB$285,119,FALSE)</f>
        <v/>
      </c>
      <c r="DX223" s="27" t="s">
        <v>339</v>
      </c>
      <c r="DY223" s="27" t="str">
        <f>VLOOKUP($A223,'[1]Raw Data'!$A$3:$FB$285,124,FALSE)</f>
        <v/>
      </c>
      <c r="DZ223" s="27" t="s">
        <v>884</v>
      </c>
      <c r="EA223" s="27" t="str">
        <f>VLOOKUP($A223,'[1]Raw Data'!$A$3:$FB$285,125,FALSE)</f>
        <v/>
      </c>
      <c r="EB223" s="27" t="s">
        <v>341</v>
      </c>
      <c r="EC223" s="27" t="str">
        <f>VLOOKUP($A223,'[1]Raw Data'!$A$3:$FB$285,126,FALSE)</f>
        <v/>
      </c>
      <c r="ED223" t="s">
        <v>478</v>
      </c>
      <c r="EE223" s="27" t="str">
        <f>VLOOKUP($A223,'[1]Raw Data'!$A$3:$FB$285,127,FALSE)</f>
        <v/>
      </c>
      <c r="EF223" s="27" t="s">
        <v>343</v>
      </c>
      <c r="EG223" s="27" t="str">
        <f>VLOOKUP($A223,'[1]Raw Data'!$A$3:$FB$285,128,FALSE)</f>
        <v/>
      </c>
      <c r="EH223" t="s">
        <v>344</v>
      </c>
      <c r="EI223" s="27" t="str">
        <f>VLOOKUP($A223,'[1]Raw Data'!$A$3:$FB$285,129,FALSE)</f>
        <v/>
      </c>
      <c r="EM223" s="27" t="str">
        <f>VLOOKUP($A223,'[1]Raw Data'!$A$3:$FB$285,130,FALSE)</f>
        <v/>
      </c>
      <c r="EN223" s="27" t="str">
        <f>VLOOKUP($A223,'[1]Raw Data'!$A$3:$FB$285,131,FALSE)</f>
        <v/>
      </c>
      <c r="EO223" s="27" t="str">
        <f>VLOOKUP($A223,'[1]Raw Data'!$A$3:$FB$285,132,FALSE)</f>
        <v/>
      </c>
      <c r="EP223" s="27" t="str">
        <f>VLOOKUP($A223,'[1]Raw Data'!$A$3:$FB$285,133,FALSE)</f>
        <v/>
      </c>
      <c r="EQ223" s="27" t="str">
        <f>VLOOKUP($A223,'[1]Raw Data'!$A$3:$FB$285,134,FALSE)</f>
        <v/>
      </c>
      <c r="ER223" s="27" t="str">
        <f>VLOOKUP($A223,'[1]Raw Data'!$A$3:$FB$285,135,FALSE)</f>
        <v/>
      </c>
      <c r="ES223" s="27" t="str">
        <f>VLOOKUP($A223,'[1]Raw Data'!$A$3:$FB$285,136,FALSE)</f>
        <v/>
      </c>
      <c r="ET223" s="27" t="str">
        <f>VLOOKUP($A223,'[1]Raw Data'!$A$3:$FB$285,137,FALSE)</f>
        <v/>
      </c>
      <c r="EU223" s="27" t="str">
        <f>VLOOKUP($A223,'[1]Raw Data'!$A$3:$FB$285,138,FALSE)</f>
        <v/>
      </c>
      <c r="EV223" s="27" t="str">
        <f>VLOOKUP($A223,'[1]Raw Data'!$A$3:$FB$285,139,FALSE)</f>
        <v/>
      </c>
      <c r="EW223" s="38">
        <f>VLOOKUP($A223,[1]Training!$A$2:$I$284,5,FALSE)</f>
        <v>2.3076923076923075</v>
      </c>
      <c r="EX223" s="31">
        <f>VLOOKUP($A223,[1]Training!$A$2:$I$284,6,FALSE)</f>
        <v>0</v>
      </c>
      <c r="EY223" s="38">
        <f>VLOOKUP($A223,[1]Training!$A$2:$I$284,8,FALSE)</f>
        <v>2.7272727272727271</v>
      </c>
      <c r="EZ223" s="31">
        <f>VLOOKUP($A223,[1]Training!$A$2:$I$284,9,FALSE)</f>
        <v>0</v>
      </c>
      <c r="FA223" s="27">
        <v>1</v>
      </c>
      <c r="FB223" s="27">
        <v>2</v>
      </c>
      <c r="FC223" s="27" t="str">
        <f>VLOOKUP($A223,'[1]Raw Data'!$A$3:$FB$285,148,FALSE)</f>
        <v/>
      </c>
      <c r="FE223" s="27" t="str">
        <f>VLOOKUP($A223,'[1]Raw Data'!$A$3:$FB$285,149,FALSE)</f>
        <v>District Coordinator</v>
      </c>
      <c r="FF223" s="27" t="s">
        <v>885</v>
      </c>
      <c r="FG223" s="27" t="str">
        <f>VLOOKUP($A223,'[1]Raw Data'!$A$3:$FB$285,150,FALSE)</f>
        <v/>
      </c>
      <c r="FH223" s="27" t="str">
        <f>VLOOKUP($A223,'[1]Raw Data'!$A$3:$FB$285,156,FALSE)</f>
        <v/>
      </c>
      <c r="FJ223" s="27" t="str">
        <f>VLOOKUP($A223,'[1]Raw Data'!$A$3:$FB$285,157,FALSE)</f>
        <v>District Technical Officer</v>
      </c>
      <c r="FK223" s="27" t="s">
        <v>886</v>
      </c>
      <c r="FL223" s="27" t="str">
        <f>VLOOKUP($A223,'[1]Raw Data'!$A$3:$FB$285,158,FALSE)</f>
        <v/>
      </c>
      <c r="FM223" s="27" t="str">
        <f>VLOOKUP($A223,'[1]Raw Data'!$A$3:$FB$285,152,FALSE)</f>
        <v/>
      </c>
      <c r="FO223" s="27" t="str">
        <f>VLOOKUP($A223,'[1]Raw Data'!$A$3:$FB$285,153,FALSE)</f>
        <v>DIstrict Information Management Officer</v>
      </c>
      <c r="FP223" s="27" t="s">
        <v>887</v>
      </c>
      <c r="FQ223" s="27" t="str">
        <f>VLOOKUP($A223,'[1]Raw Data'!$A$3:$FB$285,154,FALSE)</f>
        <v/>
      </c>
    </row>
    <row r="224" spans="1:173" ht="24" x14ac:dyDescent="0.45">
      <c r="A224" s="27">
        <v>43004</v>
      </c>
      <c r="B224" s="36" t="str">
        <f ca="1">IFERROR(__xludf.DUMMYFUNCTION("""COMPUTED_VALUE"""),"Malika Gaunpalika")</f>
        <v>Malika Gaunpalika</v>
      </c>
      <c r="C224" s="37" t="str">
        <f>VLOOKUP(A224,'[1]Palika and District in Nepali '!$D$1:$F$283,3,FALSE)</f>
        <v>मालिका गाउँपालिका</v>
      </c>
      <c r="D224" s="36" t="str">
        <f ca="1">IFERROR(__xludf.DUMMYFUNCTION("""COMPUTED_VALUE"""),"Myagdi")</f>
        <v>Myagdi</v>
      </c>
      <c r="E224" s="36"/>
      <c r="F224" s="27">
        <f>VLOOKUP(A224,'[1]Raw Data'!$A$3:$FB$285,4,FALSE)</f>
        <v>62</v>
      </c>
      <c r="G224" s="27">
        <f>VLOOKUP(A224,'[1]Raw Data'!$A$3:$FB$285,5,FALSE)</f>
        <v>35</v>
      </c>
      <c r="H224" s="27">
        <f>VLOOKUP(A224,'[1]Raw Data'!$A$3:$FB$285,6,FALSE)</f>
        <v>97</v>
      </c>
      <c r="I224" s="27">
        <f>VLOOKUP($A224,'[1]Raw Data'!$A$3:$FB$285,8,FALSE)</f>
        <v>2.06</v>
      </c>
      <c r="J224" s="27">
        <f>VLOOKUP($A224,'[1]Raw Data'!$A$3:$FB$285,9,FALSE)</f>
        <v>1.63</v>
      </c>
      <c r="K224" s="27">
        <f>VLOOKUP($A224,'[1]Raw Data'!$A$3:$FB$285,11,FALSE)</f>
        <v>97.94</v>
      </c>
      <c r="L224" s="27">
        <f>VLOOKUP($A224,'[1]Raw Data'!$A$3:$FB$285,12,FALSE)</f>
        <v>94.41</v>
      </c>
      <c r="M224" s="27">
        <f>VLOOKUP($A224,'[1]Raw Data'!$A$3:$FB$285,14,FALSE)</f>
        <v>0</v>
      </c>
      <c r="N224" s="27">
        <f>VLOOKUP($A224,'[1]Raw Data'!$A$3:$FB$285,15,FALSE)</f>
        <v>1.27</v>
      </c>
      <c r="O224" s="27">
        <f>VLOOKUP($A224,'[1]Raw Data'!$A$3:$FB$285,17,FALSE)</f>
        <v>0</v>
      </c>
      <c r="P224" s="27">
        <f>VLOOKUP($A224,'[1]Raw Data'!$A$3:$FB$285,18,FALSE)</f>
        <v>0.5</v>
      </c>
      <c r="Q224" s="27">
        <f>VLOOKUP($A224,'[1]Raw Data'!$A$3:$FB$285,20,FALSE)</f>
        <v>0</v>
      </c>
      <c r="R224" s="27">
        <f>VLOOKUP($A224,'[1]Raw Data'!$A$3:$FB$285,21,FALSE)</f>
        <v>0</v>
      </c>
      <c r="S224" s="27">
        <f>VLOOKUP($A224,'[1]Raw Data'!$A$3:$FB$285,23,FALSE)</f>
        <v>0</v>
      </c>
      <c r="T224" s="27">
        <f>VLOOKUP($A224,'[1]Raw Data'!$A$3:$FB$285,24,FALSE)</f>
        <v>0</v>
      </c>
      <c r="U224" s="27">
        <f>VLOOKUP($A224,'[1]Raw Data'!$A$3:$FB$285,26,FALSE)</f>
        <v>0</v>
      </c>
      <c r="V224" s="27">
        <f>VLOOKUP($A224,'[1]Raw Data'!$A$3:$FB$285,27,FALSE)</f>
        <v>7.0000000000000007E-2</v>
      </c>
      <c r="W224" s="27">
        <f>VLOOKUP($A224,'[1]Raw Data'!$A$3:$FB$285,29,FALSE)</f>
        <v>0</v>
      </c>
      <c r="X224" s="27">
        <f>VLOOKUP($A224,'[1]Raw Data'!$A$3:$FB$285,30,FALSE)</f>
        <v>0</v>
      </c>
      <c r="Y224" s="27">
        <f>VLOOKUP($A224,'[1]Raw Data'!$A$3:$FB$285,32,FALSE)</f>
        <v>0</v>
      </c>
      <c r="Z224" s="27">
        <f>VLOOKUP($A224,'[1]Raw Data'!$A$3:$FB$285,33,FALSE)</f>
        <v>0.99</v>
      </c>
      <c r="AA224" s="27">
        <f>VLOOKUP($A224,'[1]Raw Data'!$A$3:$FB$285,35,FALSE)</f>
        <v>0</v>
      </c>
      <c r="AB224" s="27">
        <f>VLOOKUP($A224,'[1]Raw Data'!$A$3:$FB$285,36,FALSE)</f>
        <v>1.1299999999999999</v>
      </c>
      <c r="AC224" s="27">
        <f>VLOOKUP($A224,'[1]Raw Data'!$A$3:$FB$285,38,FALSE)</f>
        <v>0</v>
      </c>
      <c r="AD224" s="27">
        <f>VLOOKUP($A224,'[1]Raw Data'!$A$3:$FB$285,39,FALSE)</f>
        <v>0</v>
      </c>
      <c r="AE224" s="27">
        <f>VLOOKUP($A224,'[1]Raw Data'!$A$3:$FB$285,41,FALSE)</f>
        <v>0</v>
      </c>
      <c r="AF224" s="27">
        <f>VLOOKUP($A224,'[1]Raw Data'!$A$3:$FB$285,42,FALSE)</f>
        <v>0</v>
      </c>
      <c r="AG224" s="27">
        <f>VLOOKUP($A224,'[1]Raw Data'!$A$3:$FB$285,44,FALSE)</f>
        <v>0</v>
      </c>
      <c r="AH224" s="27">
        <f>VLOOKUP($A224,'[1]Raw Data'!$A$3:$FB$285,45,FALSE)</f>
        <v>0</v>
      </c>
      <c r="AI224" s="27">
        <f>VLOOKUP($A224,'[1]Raw Data'!$A$3:$FB$285,46,FALSE)</f>
        <v>35</v>
      </c>
      <c r="AJ224" s="27">
        <f>VLOOKUP($A224,'[1]Raw Data'!$A$3:$FB$285,47,FALSE)</f>
        <v>0</v>
      </c>
      <c r="AK224" s="27">
        <f>VLOOKUP($A224,'[1]Raw Data'!$A$3:$FB$285,48,FALSE)</f>
        <v>0</v>
      </c>
      <c r="AL224" s="27">
        <f>VLOOKUP($A224,'[1]Raw Data'!$A$3:$FB$285,49,FALSE)</f>
        <v>0</v>
      </c>
      <c r="AM224" s="27">
        <f>VLOOKUP($A224,'[1]Raw Data'!$A$3:$FB$285,50,FALSE)</f>
        <v>0</v>
      </c>
      <c r="AN224" s="27" t="str">
        <f>VLOOKUP($A224,'[1]Raw Data'!$A$3:$FB$285,51,FALSE)</f>
        <v/>
      </c>
      <c r="AO224" s="27" t="str">
        <f>VLOOKUP($A224,'[1]Raw Data'!$A$3:$FB$285,52,FALSE)</f>
        <v/>
      </c>
      <c r="AP224" s="27">
        <f>VLOOKUP($A224,'[1]Raw Data'!$A$3:$FB$285,53,FALSE)</f>
        <v>0</v>
      </c>
      <c r="AQ224" s="27" t="str">
        <f>VLOOKUP($A224,'[1]Raw Data'!$A$3:$FB$285,54,FALSE)</f>
        <v/>
      </c>
      <c r="AR224" s="27" t="str">
        <f>VLOOKUP($A224,'[1]Raw Data'!$A$3:$FB$285,55,FALSE)</f>
        <v/>
      </c>
      <c r="AS224" s="27" t="str">
        <f>VLOOKUP($A224,'[1]Raw Data'!$A$3:$FB$285,56,FALSE)</f>
        <v/>
      </c>
      <c r="AT224" s="27" t="str">
        <f>VLOOKUP($A224,'[1]Raw Data'!$A$3:$FB$285,57,FALSE)</f>
        <v/>
      </c>
      <c r="AU224" s="27" t="str">
        <f>VLOOKUP($A224,'[1]Raw Data'!$A$3:$FB$285,58,FALSE)</f>
        <v/>
      </c>
      <c r="AV224" s="27" t="str">
        <f>VLOOKUP($A224,'[1]Raw Data'!$A$3:$FB$285,59,FALSE)</f>
        <v/>
      </c>
      <c r="AW224" s="27" t="str">
        <f>VLOOKUP($A224,'[1]Raw Data'!$A$3:$FB$285,60,FALSE)</f>
        <v/>
      </c>
      <c r="AX224" s="27" t="str">
        <f>VLOOKUP(A224,'[1]PO''s List'!A222:E504,4,FALSE)</f>
        <v/>
      </c>
      <c r="AZ224" s="27" t="str">
        <f>VLOOKUP(A224,'[1]PO''s List'!$A$3:$E$285,5,FALSE)</f>
        <v/>
      </c>
      <c r="BB224" s="27">
        <f>VLOOKUP($A224,'[1]Raw Data'!$A$3:$FB$285,63,FALSE)</f>
        <v>1024</v>
      </c>
      <c r="BC224" s="27" t="str">
        <f>VLOOKUP($A224,'[1]Raw Data'!$A$3:$FB$285,64,FALSE)</f>
        <v/>
      </c>
      <c r="BD224" s="27" t="str">
        <f t="shared" si="27"/>
        <v/>
      </c>
      <c r="BE224" s="27" t="str">
        <f>VLOOKUP($A224,'[1]Raw Data'!$A$3:$FB$285,65,FALSE)</f>
        <v/>
      </c>
      <c r="BF224" s="27">
        <f>VLOOKUP($A224,'[1]Raw Data'!$A$3:$FB$285,66,FALSE)</f>
        <v>1000</v>
      </c>
      <c r="BG224" s="27" t="str">
        <f>VLOOKUP($A224,'[1]Raw Data'!$A$3:$FB$285,67,FALSE)</f>
        <v/>
      </c>
      <c r="BH224" s="27" t="str">
        <f t="shared" si="28"/>
        <v/>
      </c>
      <c r="BI224" s="27" t="str">
        <f>VLOOKUP($A224,'[1]Raw Data'!$A$3:$FB$285,68,FALSE)</f>
        <v/>
      </c>
      <c r="BJ224" s="27">
        <f>VLOOKUP($A224,'[1]Raw Data'!$A$3:$FB$285,69,FALSE)</f>
        <v>109</v>
      </c>
      <c r="BK224" s="27" t="str">
        <f>VLOOKUP($A224,'[1]Raw Data'!$A$3:$FB$285,70,FALSE)</f>
        <v/>
      </c>
      <c r="BL224" s="27" t="str">
        <f t="shared" si="29"/>
        <v/>
      </c>
      <c r="BM224" s="27" t="str">
        <f>VLOOKUP($A224,'[1]Raw Data'!$A$3:$FB$285,71,FALSE)</f>
        <v/>
      </c>
      <c r="BN224" s="27">
        <f>VLOOKUP($A224,'[1]Raw Data'!$A$3:$FB$285,72,FALSE)</f>
        <v>125</v>
      </c>
      <c r="BO224" s="27" t="str">
        <f>VLOOKUP($A224,'[1]Raw Data'!$A$3:$FB$285,73,FALSE)</f>
        <v/>
      </c>
      <c r="BP224" s="27" t="str">
        <f t="shared" si="30"/>
        <v/>
      </c>
      <c r="BQ224" s="27" t="str">
        <f>VLOOKUP($A224,'[1]Raw Data'!$A$3:$FB$285,74,FALSE)</f>
        <v/>
      </c>
      <c r="BR224" s="27" t="str">
        <f>VLOOKUP($A224,'[1]Raw Data'!$A$3:$FB$285,75,FALSE)</f>
        <v/>
      </c>
      <c r="BS224" s="27" t="str">
        <f>VLOOKUP($A224,'[1]Raw Data'!$A$3:$FB$285,76,FALSE)</f>
        <v/>
      </c>
      <c r="BT224" s="27" t="str">
        <f t="shared" si="31"/>
        <v/>
      </c>
      <c r="BU224" s="27" t="str">
        <f>VLOOKUP($A224,'[1]Raw Data'!$A$3:$FB$285,77,FALSE)</f>
        <v/>
      </c>
      <c r="BV224" s="27">
        <f>VLOOKUP($A224,'[1]Raw Data'!$A$3:$FB$285,78,FALSE)</f>
        <v>3414</v>
      </c>
      <c r="BW224" s="27" t="str">
        <f>VLOOKUP($A224,'[1]Raw Data'!$A$3:$FB$285,79,FALSE)</f>
        <v/>
      </c>
      <c r="BX224" s="27" t="str">
        <f t="shared" si="32"/>
        <v/>
      </c>
      <c r="BY224" s="27" t="str">
        <f>VLOOKUP($A224,'[1]Raw Data'!$A$3:$FB$285,80,FALSE)</f>
        <v/>
      </c>
      <c r="BZ224" s="27">
        <f>VLOOKUP($A224,'[1]Raw Data'!$A$3:$FB$285,81,FALSE)</f>
        <v>11300</v>
      </c>
      <c r="CA224" s="27" t="str">
        <f>VLOOKUP($A224,'[1]Raw Data'!$A$3:$FB$285,82,FALSE)</f>
        <v/>
      </c>
      <c r="CB224" s="27" t="str">
        <f t="shared" si="33"/>
        <v/>
      </c>
      <c r="CC224" s="27" t="str">
        <f>VLOOKUP($A224,'[1]Raw Data'!$A$3:$FB$285,83,FALSE)</f>
        <v/>
      </c>
      <c r="CD224" s="27">
        <f>VLOOKUP($A224,'[1]Raw Data'!$A$3:$FB$285,84,FALSE)</f>
        <v>140</v>
      </c>
      <c r="CE224" s="27" t="str">
        <f>VLOOKUP($A224,'[1]Raw Data'!$A$3:$FB$285,85,FALSE)</f>
        <v/>
      </c>
      <c r="CF224" s="27" t="str">
        <f t="shared" si="34"/>
        <v/>
      </c>
      <c r="CG224" s="27" t="str">
        <f>VLOOKUP($A224,'[1]Raw Data'!$A$3:$FB$285,86,FALSE)</f>
        <v/>
      </c>
      <c r="CH224" s="27">
        <f>VLOOKUP($A224,'[1]Raw Data'!$A$3:$FB$285,87,FALSE)</f>
        <v>27960</v>
      </c>
      <c r="CI224" s="27" t="str">
        <f>VLOOKUP($A224,'[1]Raw Data'!$A$3:$FB$285,88,FALSE)</f>
        <v/>
      </c>
      <c r="CJ224" s="27" t="str">
        <f t="shared" si="35"/>
        <v/>
      </c>
      <c r="CK224" s="27" t="str">
        <f>VLOOKUP($A224,'[1]Raw Data'!$A$3:$FB$285,89,FALSE)</f>
        <v/>
      </c>
      <c r="CL224" s="27" t="str">
        <f>VLOOKUP($A224,'[1]Raw Data'!$A$3:$FB$285,91,FALSE)</f>
        <v/>
      </c>
      <c r="CM224" s="27" t="str">
        <f>VLOOKUP($A224,'[1]Raw Data'!$A$3:$FB$285,93,FALSE)</f>
        <v/>
      </c>
      <c r="CN224" s="27" t="str">
        <f>VLOOKUP($A224,'[1]Raw Data'!$A$3:$FB$285,94,FALSE)</f>
        <v/>
      </c>
      <c r="CO224" s="27" t="str">
        <f>VLOOKUP($A224,'[1]Raw Data'!$A$3:$FB$285,95,FALSE)</f>
        <v/>
      </c>
      <c r="CP224" s="27" t="str">
        <f>VLOOKUP($A224,'[1]Raw Data'!$A$3:$FB$285,96,FALSE)</f>
        <v/>
      </c>
      <c r="CQ224" s="27" t="str">
        <f>VLOOKUP($A224,'[1]Raw Data'!$A$3:$FB$285,97,FALSE)</f>
        <v/>
      </c>
      <c r="CR224" s="27" t="str">
        <f>VLOOKUP($A224,'[1]Raw Data'!$A$3:$FB$285,98,FALSE)</f>
        <v/>
      </c>
      <c r="CS224" s="27" t="str">
        <f>VLOOKUP($A224,'[1]Raw Data'!$A$3:$FB$285,99,FALSE)</f>
        <v/>
      </c>
      <c r="CT224" s="27" t="str">
        <f>VLOOKUP($A224,'[1]Raw Data'!$A$3:$FB$285,101,FALSE)</f>
        <v/>
      </c>
      <c r="CV224" s="27" t="str">
        <f>VLOOKUP($A224,'[1]Raw Data'!$A$3:$FB$285,102,FALSE)</f>
        <v>Chairman</v>
      </c>
      <c r="CW224" s="27" t="s">
        <v>878</v>
      </c>
      <c r="CX224" s="27" t="str">
        <f>VLOOKUP($A224,'[1]Raw Data'!$A$3:$FB$285,103,FALSE)</f>
        <v/>
      </c>
      <c r="CY224" s="27" t="str">
        <f>VLOOKUP($A224,'[1]Raw Data'!$A$3:$FB$285,105,FALSE)</f>
        <v/>
      </c>
      <c r="DA224" s="27" t="str">
        <f>VLOOKUP($A224,'[1]Raw Data'!$A$3:$FB$285,106,FALSE)</f>
        <v>Deputy Chairman</v>
      </c>
      <c r="DB224" s="27" t="s">
        <v>879</v>
      </c>
      <c r="DC224" s="27" t="str">
        <f>VLOOKUP($A224,'[1]Raw Data'!$A$3:$FB$285,107,FALSE)</f>
        <v/>
      </c>
      <c r="DD224" s="27" t="str">
        <f>VLOOKUP($A224,'[1]Raw Data'!$A$3:$FB$285,109,FALSE)</f>
        <v/>
      </c>
      <c r="DF224" s="27" t="str">
        <f>VLOOKUP($A224,'[1]Raw Data'!$A$3:$FB$285,110,FALSE)</f>
        <v>Chief Adminstration Officer</v>
      </c>
      <c r="DG224" s="27" t="s">
        <v>880</v>
      </c>
      <c r="DH224" s="27" t="str">
        <f>VLOOKUP($A224,'[1]Raw Data'!$A$3:$FB$285,111,FALSE)</f>
        <v/>
      </c>
      <c r="DI224" s="27" t="str">
        <f>VLOOKUP($A224,'[1]Raw Data'!$A$3:$FB$285,121,FALSE)</f>
        <v/>
      </c>
      <c r="DK224" s="27" t="str">
        <f>VLOOKUP($A224,'[1]Raw Data'!$A$3:$FB$285,122,FALSE)</f>
        <v>Focal Person</v>
      </c>
      <c r="DL224" s="27" t="s">
        <v>881</v>
      </c>
      <c r="DM224" s="27" t="str">
        <f>VLOOKUP($A224,'[1]Raw Data'!$A$3:$FB$285,123,FALSE)</f>
        <v/>
      </c>
      <c r="DN224" s="27" t="str">
        <f>VLOOKUP($A224,'[1]Raw Data'!$A$3:$FB$285,113,FALSE)</f>
        <v/>
      </c>
      <c r="DP224" s="27" t="str">
        <f>VLOOKUP($A224,'[1]Raw Data'!$A$3:$FB$285,114,FALSE)</f>
        <v>NRA Chief-District</v>
      </c>
      <c r="DQ224" s="27" t="s">
        <v>882</v>
      </c>
      <c r="DR224" s="27" t="str">
        <f>VLOOKUP($A224,'[1]Raw Data'!$A$3:$FB$285,115,FALSE)</f>
        <v/>
      </c>
      <c r="DS224" s="27" t="str">
        <f>VLOOKUP($A224,'[1]Raw Data'!$A$3:$FB$285,117,FALSE)</f>
        <v/>
      </c>
      <c r="DU224" s="27" t="str">
        <f>VLOOKUP($A224,'[1]Raw Data'!$A$3:$FB$285,118,FALSE)</f>
        <v>DUDBC.DLPIU Chief</v>
      </c>
      <c r="DV224" s="27" t="s">
        <v>883</v>
      </c>
      <c r="DW224" s="27" t="str">
        <f>VLOOKUP($A224,'[1]Raw Data'!$A$3:$FB$285,119,FALSE)</f>
        <v/>
      </c>
      <c r="DX224" s="27" t="s">
        <v>339</v>
      </c>
      <c r="DY224" s="27" t="str">
        <f>VLOOKUP($A224,'[1]Raw Data'!$A$3:$FB$285,124,FALSE)</f>
        <v/>
      </c>
      <c r="DZ224" s="27" t="s">
        <v>884</v>
      </c>
      <c r="EA224" s="27" t="str">
        <f>VLOOKUP($A224,'[1]Raw Data'!$A$3:$FB$285,125,FALSE)</f>
        <v/>
      </c>
      <c r="EB224" s="27" t="s">
        <v>341</v>
      </c>
      <c r="EC224" s="27" t="str">
        <f>VLOOKUP($A224,'[1]Raw Data'!$A$3:$FB$285,126,FALSE)</f>
        <v/>
      </c>
      <c r="ED224" t="s">
        <v>478</v>
      </c>
      <c r="EE224" s="27" t="str">
        <f>VLOOKUP($A224,'[1]Raw Data'!$A$3:$FB$285,127,FALSE)</f>
        <v/>
      </c>
      <c r="EF224" s="27" t="s">
        <v>343</v>
      </c>
      <c r="EG224" s="27" t="str">
        <f>VLOOKUP($A224,'[1]Raw Data'!$A$3:$FB$285,128,FALSE)</f>
        <v/>
      </c>
      <c r="EH224" t="s">
        <v>344</v>
      </c>
      <c r="EI224" s="27" t="str">
        <f>VLOOKUP($A224,'[1]Raw Data'!$A$3:$FB$285,129,FALSE)</f>
        <v/>
      </c>
      <c r="EM224" s="27" t="str">
        <f>VLOOKUP($A224,'[1]Raw Data'!$A$3:$FB$285,130,FALSE)</f>
        <v/>
      </c>
      <c r="EN224" s="27" t="str">
        <f>VLOOKUP($A224,'[1]Raw Data'!$A$3:$FB$285,131,FALSE)</f>
        <v/>
      </c>
      <c r="EO224" s="27" t="str">
        <f>VLOOKUP($A224,'[1]Raw Data'!$A$3:$FB$285,132,FALSE)</f>
        <v/>
      </c>
      <c r="EP224" s="27" t="str">
        <f>VLOOKUP($A224,'[1]Raw Data'!$A$3:$FB$285,133,FALSE)</f>
        <v/>
      </c>
      <c r="EQ224" s="27" t="str">
        <f>VLOOKUP($A224,'[1]Raw Data'!$A$3:$FB$285,134,FALSE)</f>
        <v/>
      </c>
      <c r="ER224" s="27" t="str">
        <f>VLOOKUP($A224,'[1]Raw Data'!$A$3:$FB$285,135,FALSE)</f>
        <v/>
      </c>
      <c r="ES224" s="27" t="str">
        <f>VLOOKUP($A224,'[1]Raw Data'!$A$3:$FB$285,136,FALSE)</f>
        <v/>
      </c>
      <c r="ET224" s="27" t="str">
        <f>VLOOKUP($A224,'[1]Raw Data'!$A$3:$FB$285,137,FALSE)</f>
        <v/>
      </c>
      <c r="EU224" s="27" t="str">
        <f>VLOOKUP($A224,'[1]Raw Data'!$A$3:$FB$285,138,FALSE)</f>
        <v/>
      </c>
      <c r="EV224" s="27" t="str">
        <f>VLOOKUP($A224,'[1]Raw Data'!$A$3:$FB$285,139,FALSE)</f>
        <v/>
      </c>
      <c r="EW224" s="38">
        <f>VLOOKUP($A224,[1]Training!$A$2:$I$284,5,FALSE)</f>
        <v>2.6923076923076925</v>
      </c>
      <c r="EX224" s="31">
        <f>VLOOKUP($A224,[1]Training!$A$2:$I$284,6,FALSE)</f>
        <v>0</v>
      </c>
      <c r="EY224" s="38">
        <f>VLOOKUP($A224,[1]Training!$A$2:$I$284,8,FALSE)</f>
        <v>3.1818181818181817</v>
      </c>
      <c r="EZ224" s="31">
        <f>VLOOKUP($A224,[1]Training!$A$2:$I$284,9,FALSE)</f>
        <v>0</v>
      </c>
      <c r="FA224" s="27">
        <v>1</v>
      </c>
      <c r="FB224" s="27">
        <v>2</v>
      </c>
      <c r="FC224" s="27" t="str">
        <f>VLOOKUP($A224,'[1]Raw Data'!$A$3:$FB$285,148,FALSE)</f>
        <v/>
      </c>
      <c r="FE224" s="27" t="str">
        <f>VLOOKUP($A224,'[1]Raw Data'!$A$3:$FB$285,149,FALSE)</f>
        <v>District Coordinator</v>
      </c>
      <c r="FF224" s="27" t="s">
        <v>885</v>
      </c>
      <c r="FG224" s="27" t="str">
        <f>VLOOKUP($A224,'[1]Raw Data'!$A$3:$FB$285,150,FALSE)</f>
        <v/>
      </c>
      <c r="FH224" s="27" t="str">
        <f>VLOOKUP($A224,'[1]Raw Data'!$A$3:$FB$285,156,FALSE)</f>
        <v/>
      </c>
      <c r="FJ224" s="27" t="str">
        <f>VLOOKUP($A224,'[1]Raw Data'!$A$3:$FB$285,157,FALSE)</f>
        <v>District Technical Officer</v>
      </c>
      <c r="FK224" s="27" t="s">
        <v>886</v>
      </c>
      <c r="FL224" s="27" t="str">
        <f>VLOOKUP($A224,'[1]Raw Data'!$A$3:$FB$285,158,FALSE)</f>
        <v/>
      </c>
      <c r="FM224" s="27" t="str">
        <f>VLOOKUP($A224,'[1]Raw Data'!$A$3:$FB$285,152,FALSE)</f>
        <v/>
      </c>
      <c r="FO224" s="27" t="str">
        <f>VLOOKUP($A224,'[1]Raw Data'!$A$3:$FB$285,153,FALSE)</f>
        <v>DIstrict Information Management Officer</v>
      </c>
      <c r="FP224" s="27" t="s">
        <v>887</v>
      </c>
      <c r="FQ224" s="27" t="str">
        <f>VLOOKUP($A224,'[1]Raw Data'!$A$3:$FB$285,154,FALSE)</f>
        <v/>
      </c>
    </row>
    <row r="225" spans="1:173" ht="24" x14ac:dyDescent="0.45">
      <c r="A225" s="27">
        <v>43005</v>
      </c>
      <c r="B225" s="36" t="str">
        <f ca="1">IFERROR(__xludf.DUMMYFUNCTION("""COMPUTED_VALUE"""),"Mangala Gaunpalika")</f>
        <v>Mangala Gaunpalika</v>
      </c>
      <c r="C225" s="37" t="str">
        <f>VLOOKUP(A225,'[1]Palika and District in Nepali '!$D$1:$F$283,3,FALSE)</f>
        <v>मंगला गाउँपालिका</v>
      </c>
      <c r="D225" s="36" t="str">
        <f ca="1">IFERROR(__xludf.DUMMYFUNCTION("""COMPUTED_VALUE"""),"Myagdi")</f>
        <v>Myagdi</v>
      </c>
      <c r="E225" s="36"/>
      <c r="F225" s="27">
        <f>VLOOKUP(A225,'[1]Raw Data'!$A$3:$FB$285,4,FALSE)</f>
        <v>149</v>
      </c>
      <c r="G225" s="27">
        <f>VLOOKUP(A225,'[1]Raw Data'!$A$3:$FB$285,5,FALSE)</f>
        <v>134</v>
      </c>
      <c r="H225" s="27">
        <f>VLOOKUP(A225,'[1]Raw Data'!$A$3:$FB$285,6,FALSE)</f>
        <v>283</v>
      </c>
      <c r="I225" s="27">
        <f>VLOOKUP($A225,'[1]Raw Data'!$A$3:$FB$285,8,FALSE)</f>
        <v>1.41</v>
      </c>
      <c r="J225" s="27">
        <f>VLOOKUP($A225,'[1]Raw Data'!$A$3:$FB$285,9,FALSE)</f>
        <v>1.63</v>
      </c>
      <c r="K225" s="27">
        <f>VLOOKUP($A225,'[1]Raw Data'!$A$3:$FB$285,11,FALSE)</f>
        <v>96.47</v>
      </c>
      <c r="L225" s="27">
        <f>VLOOKUP($A225,'[1]Raw Data'!$A$3:$FB$285,12,FALSE)</f>
        <v>94.41</v>
      </c>
      <c r="M225" s="27">
        <f>VLOOKUP($A225,'[1]Raw Data'!$A$3:$FB$285,14,FALSE)</f>
        <v>0.35</v>
      </c>
      <c r="N225" s="27">
        <f>VLOOKUP($A225,'[1]Raw Data'!$A$3:$FB$285,15,FALSE)</f>
        <v>1.27</v>
      </c>
      <c r="O225" s="27">
        <f>VLOOKUP($A225,'[1]Raw Data'!$A$3:$FB$285,17,FALSE)</f>
        <v>0</v>
      </c>
      <c r="P225" s="27">
        <f>VLOOKUP($A225,'[1]Raw Data'!$A$3:$FB$285,18,FALSE)</f>
        <v>0.5</v>
      </c>
      <c r="Q225" s="27">
        <f>VLOOKUP($A225,'[1]Raw Data'!$A$3:$FB$285,20,FALSE)</f>
        <v>0</v>
      </c>
      <c r="R225" s="27">
        <f>VLOOKUP($A225,'[1]Raw Data'!$A$3:$FB$285,21,FALSE)</f>
        <v>0</v>
      </c>
      <c r="S225" s="27">
        <f>VLOOKUP($A225,'[1]Raw Data'!$A$3:$FB$285,23,FALSE)</f>
        <v>0</v>
      </c>
      <c r="T225" s="27">
        <f>VLOOKUP($A225,'[1]Raw Data'!$A$3:$FB$285,24,FALSE)</f>
        <v>0</v>
      </c>
      <c r="U225" s="27">
        <f>VLOOKUP($A225,'[1]Raw Data'!$A$3:$FB$285,26,FALSE)</f>
        <v>0</v>
      </c>
      <c r="V225" s="27">
        <f>VLOOKUP($A225,'[1]Raw Data'!$A$3:$FB$285,27,FALSE)</f>
        <v>7.0000000000000007E-2</v>
      </c>
      <c r="W225" s="27">
        <f>VLOOKUP($A225,'[1]Raw Data'!$A$3:$FB$285,29,FALSE)</f>
        <v>0</v>
      </c>
      <c r="X225" s="27">
        <f>VLOOKUP($A225,'[1]Raw Data'!$A$3:$FB$285,30,FALSE)</f>
        <v>0</v>
      </c>
      <c r="Y225" s="27">
        <f>VLOOKUP($A225,'[1]Raw Data'!$A$3:$FB$285,32,FALSE)</f>
        <v>1.77</v>
      </c>
      <c r="Z225" s="27">
        <f>VLOOKUP($A225,'[1]Raw Data'!$A$3:$FB$285,33,FALSE)</f>
        <v>0.99</v>
      </c>
      <c r="AA225" s="27">
        <f>VLOOKUP($A225,'[1]Raw Data'!$A$3:$FB$285,35,FALSE)</f>
        <v>0</v>
      </c>
      <c r="AB225" s="27">
        <f>VLOOKUP($A225,'[1]Raw Data'!$A$3:$FB$285,36,FALSE)</f>
        <v>1.1299999999999999</v>
      </c>
      <c r="AC225" s="27">
        <f>VLOOKUP($A225,'[1]Raw Data'!$A$3:$FB$285,38,FALSE)</f>
        <v>0</v>
      </c>
      <c r="AD225" s="27">
        <f>VLOOKUP($A225,'[1]Raw Data'!$A$3:$FB$285,39,FALSE)</f>
        <v>0</v>
      </c>
      <c r="AE225" s="27">
        <f>VLOOKUP($A225,'[1]Raw Data'!$A$3:$FB$285,41,FALSE)</f>
        <v>0</v>
      </c>
      <c r="AF225" s="27">
        <f>VLOOKUP($A225,'[1]Raw Data'!$A$3:$FB$285,42,FALSE)</f>
        <v>0</v>
      </c>
      <c r="AG225" s="27">
        <f>VLOOKUP($A225,'[1]Raw Data'!$A$3:$FB$285,44,FALSE)</f>
        <v>0</v>
      </c>
      <c r="AH225" s="27">
        <f>VLOOKUP($A225,'[1]Raw Data'!$A$3:$FB$285,45,FALSE)</f>
        <v>0</v>
      </c>
      <c r="AI225" s="27">
        <f>VLOOKUP($A225,'[1]Raw Data'!$A$3:$FB$285,46,FALSE)</f>
        <v>127</v>
      </c>
      <c r="AJ225" s="27">
        <f>VLOOKUP($A225,'[1]Raw Data'!$A$3:$FB$285,47,FALSE)</f>
        <v>35</v>
      </c>
      <c r="AK225" s="27">
        <f>VLOOKUP($A225,'[1]Raw Data'!$A$3:$FB$285,48,FALSE)</f>
        <v>35</v>
      </c>
      <c r="AL225" s="27">
        <f>VLOOKUP($A225,'[1]Raw Data'!$A$3:$FB$285,49,FALSE)</f>
        <v>34</v>
      </c>
      <c r="AM225" s="27">
        <f>VLOOKUP($A225,'[1]Raw Data'!$A$3:$FB$285,50,FALSE)</f>
        <v>0</v>
      </c>
      <c r="AN225" s="27" t="str">
        <f>VLOOKUP($A225,'[1]Raw Data'!$A$3:$FB$285,51,FALSE)</f>
        <v/>
      </c>
      <c r="AO225" s="27" t="str">
        <f>VLOOKUP($A225,'[1]Raw Data'!$A$3:$FB$285,52,FALSE)</f>
        <v/>
      </c>
      <c r="AP225" s="27">
        <f>VLOOKUP($A225,'[1]Raw Data'!$A$3:$FB$285,53,FALSE)</f>
        <v>0</v>
      </c>
      <c r="AQ225" s="27" t="str">
        <f>VLOOKUP($A225,'[1]Raw Data'!$A$3:$FB$285,54,FALSE)</f>
        <v/>
      </c>
      <c r="AR225" s="27" t="str">
        <f>VLOOKUP($A225,'[1]Raw Data'!$A$3:$FB$285,55,FALSE)</f>
        <v/>
      </c>
      <c r="AS225" s="27" t="str">
        <f>VLOOKUP($A225,'[1]Raw Data'!$A$3:$FB$285,56,FALSE)</f>
        <v/>
      </c>
      <c r="AT225" s="27" t="str">
        <f>VLOOKUP($A225,'[1]Raw Data'!$A$3:$FB$285,57,FALSE)</f>
        <v/>
      </c>
      <c r="AU225" s="27" t="str">
        <f>VLOOKUP($A225,'[1]Raw Data'!$A$3:$FB$285,58,FALSE)</f>
        <v/>
      </c>
      <c r="AV225" s="27" t="str">
        <f>VLOOKUP($A225,'[1]Raw Data'!$A$3:$FB$285,59,FALSE)</f>
        <v/>
      </c>
      <c r="AW225" s="27" t="str">
        <f>VLOOKUP($A225,'[1]Raw Data'!$A$3:$FB$285,60,FALSE)</f>
        <v/>
      </c>
      <c r="AX225" s="27" t="str">
        <f>VLOOKUP(A225,'[1]PO''s List'!A223:E505,4,FALSE)</f>
        <v/>
      </c>
      <c r="AZ225" s="27" t="str">
        <f>VLOOKUP(A225,'[1]PO''s List'!$A$3:$E$285,5,FALSE)</f>
        <v/>
      </c>
      <c r="BB225" s="27">
        <f>VLOOKUP($A225,'[1]Raw Data'!$A$3:$FB$285,63,FALSE)</f>
        <v>728</v>
      </c>
      <c r="BC225" s="27" t="str">
        <f>VLOOKUP($A225,'[1]Raw Data'!$A$3:$FB$285,64,FALSE)</f>
        <v/>
      </c>
      <c r="BD225" s="27" t="str">
        <f t="shared" si="27"/>
        <v/>
      </c>
      <c r="BE225" s="27" t="str">
        <f>VLOOKUP($A225,'[1]Raw Data'!$A$3:$FB$285,65,FALSE)</f>
        <v/>
      </c>
      <c r="BF225" s="27">
        <f>VLOOKUP($A225,'[1]Raw Data'!$A$3:$FB$285,66,FALSE)</f>
        <v>780</v>
      </c>
      <c r="BG225" s="27" t="str">
        <f>VLOOKUP($A225,'[1]Raw Data'!$A$3:$FB$285,67,FALSE)</f>
        <v/>
      </c>
      <c r="BH225" s="27" t="str">
        <f t="shared" si="28"/>
        <v/>
      </c>
      <c r="BI225" s="27" t="str">
        <f>VLOOKUP($A225,'[1]Raw Data'!$A$3:$FB$285,68,FALSE)</f>
        <v/>
      </c>
      <c r="BJ225" s="27">
        <f>VLOOKUP($A225,'[1]Raw Data'!$A$3:$FB$285,69,FALSE)</f>
        <v>78</v>
      </c>
      <c r="BK225" s="27" t="str">
        <f>VLOOKUP($A225,'[1]Raw Data'!$A$3:$FB$285,70,FALSE)</f>
        <v/>
      </c>
      <c r="BL225" s="27" t="str">
        <f t="shared" si="29"/>
        <v/>
      </c>
      <c r="BM225" s="27" t="str">
        <f>VLOOKUP($A225,'[1]Raw Data'!$A$3:$FB$285,71,FALSE)</f>
        <v/>
      </c>
      <c r="BN225" s="27">
        <f>VLOOKUP($A225,'[1]Raw Data'!$A$3:$FB$285,72,FALSE)</f>
        <v>91</v>
      </c>
      <c r="BO225" s="27" t="str">
        <f>VLOOKUP($A225,'[1]Raw Data'!$A$3:$FB$285,73,FALSE)</f>
        <v/>
      </c>
      <c r="BP225" s="27" t="str">
        <f t="shared" si="30"/>
        <v/>
      </c>
      <c r="BQ225" s="27" t="str">
        <f>VLOOKUP($A225,'[1]Raw Data'!$A$3:$FB$285,74,FALSE)</f>
        <v/>
      </c>
      <c r="BR225" s="27" t="str">
        <f>VLOOKUP($A225,'[1]Raw Data'!$A$3:$FB$285,75,FALSE)</f>
        <v/>
      </c>
      <c r="BS225" s="27" t="str">
        <f>VLOOKUP($A225,'[1]Raw Data'!$A$3:$FB$285,76,FALSE)</f>
        <v/>
      </c>
      <c r="BT225" s="27" t="str">
        <f t="shared" si="31"/>
        <v/>
      </c>
      <c r="BU225" s="27" t="str">
        <f>VLOOKUP($A225,'[1]Raw Data'!$A$3:$FB$285,77,FALSE)</f>
        <v/>
      </c>
      <c r="BV225" s="27">
        <f>VLOOKUP($A225,'[1]Raw Data'!$A$3:$FB$285,78,FALSE)</f>
        <v>2548</v>
      </c>
      <c r="BW225" s="27" t="str">
        <f>VLOOKUP($A225,'[1]Raw Data'!$A$3:$FB$285,79,FALSE)</f>
        <v/>
      </c>
      <c r="BX225" s="27" t="str">
        <f t="shared" si="32"/>
        <v/>
      </c>
      <c r="BY225" s="27" t="str">
        <f>VLOOKUP($A225,'[1]Raw Data'!$A$3:$FB$285,80,FALSE)</f>
        <v/>
      </c>
      <c r="BZ225" s="27">
        <f>VLOOKUP($A225,'[1]Raw Data'!$A$3:$FB$285,81,FALSE)</f>
        <v>7800</v>
      </c>
      <c r="CA225" s="27" t="str">
        <f>VLOOKUP($A225,'[1]Raw Data'!$A$3:$FB$285,82,FALSE)</f>
        <v/>
      </c>
      <c r="CB225" s="27" t="str">
        <f t="shared" si="33"/>
        <v/>
      </c>
      <c r="CC225" s="27" t="str">
        <f>VLOOKUP($A225,'[1]Raw Data'!$A$3:$FB$285,83,FALSE)</f>
        <v/>
      </c>
      <c r="CD225" s="27">
        <f>VLOOKUP($A225,'[1]Raw Data'!$A$3:$FB$285,84,FALSE)</f>
        <v>104</v>
      </c>
      <c r="CE225" s="27" t="str">
        <f>VLOOKUP($A225,'[1]Raw Data'!$A$3:$FB$285,85,FALSE)</f>
        <v/>
      </c>
      <c r="CF225" s="27" t="str">
        <f t="shared" si="34"/>
        <v/>
      </c>
      <c r="CG225" s="27" t="str">
        <f>VLOOKUP($A225,'[1]Raw Data'!$A$3:$FB$285,86,FALSE)</f>
        <v/>
      </c>
      <c r="CH225" s="27">
        <f>VLOOKUP($A225,'[1]Raw Data'!$A$3:$FB$285,87,FALSE)</f>
        <v>0</v>
      </c>
      <c r="CI225" s="27" t="str">
        <f>VLOOKUP($A225,'[1]Raw Data'!$A$3:$FB$285,88,FALSE)</f>
        <v/>
      </c>
      <c r="CJ225" s="27" t="str">
        <f t="shared" si="35"/>
        <v/>
      </c>
      <c r="CK225" s="27" t="str">
        <f>VLOOKUP($A225,'[1]Raw Data'!$A$3:$FB$285,89,FALSE)</f>
        <v/>
      </c>
      <c r="CL225" s="27" t="str">
        <f>VLOOKUP($A225,'[1]Raw Data'!$A$3:$FB$285,91,FALSE)</f>
        <v/>
      </c>
      <c r="CM225" s="27" t="str">
        <f>VLOOKUP($A225,'[1]Raw Data'!$A$3:$FB$285,93,FALSE)</f>
        <v/>
      </c>
      <c r="CN225" s="27" t="str">
        <f>VLOOKUP($A225,'[1]Raw Data'!$A$3:$FB$285,94,FALSE)</f>
        <v/>
      </c>
      <c r="CO225" s="27" t="str">
        <f>VLOOKUP($A225,'[1]Raw Data'!$A$3:$FB$285,95,FALSE)</f>
        <v/>
      </c>
      <c r="CP225" s="27" t="str">
        <f>VLOOKUP($A225,'[1]Raw Data'!$A$3:$FB$285,96,FALSE)</f>
        <v/>
      </c>
      <c r="CQ225" s="27" t="str">
        <f>VLOOKUP($A225,'[1]Raw Data'!$A$3:$FB$285,97,FALSE)</f>
        <v/>
      </c>
      <c r="CR225" s="27" t="str">
        <f>VLOOKUP($A225,'[1]Raw Data'!$A$3:$FB$285,98,FALSE)</f>
        <v/>
      </c>
      <c r="CS225" s="27" t="str">
        <f>VLOOKUP($A225,'[1]Raw Data'!$A$3:$FB$285,99,FALSE)</f>
        <v/>
      </c>
      <c r="CT225" s="27" t="str">
        <f>VLOOKUP($A225,'[1]Raw Data'!$A$3:$FB$285,101,FALSE)</f>
        <v/>
      </c>
      <c r="CV225" s="27" t="str">
        <f>VLOOKUP($A225,'[1]Raw Data'!$A$3:$FB$285,102,FALSE)</f>
        <v>Chairman</v>
      </c>
      <c r="CW225" s="27" t="s">
        <v>878</v>
      </c>
      <c r="CX225" s="27" t="str">
        <f>VLOOKUP($A225,'[1]Raw Data'!$A$3:$FB$285,103,FALSE)</f>
        <v/>
      </c>
      <c r="CY225" s="27" t="str">
        <f>VLOOKUP($A225,'[1]Raw Data'!$A$3:$FB$285,105,FALSE)</f>
        <v/>
      </c>
      <c r="DA225" s="27" t="str">
        <f>VLOOKUP($A225,'[1]Raw Data'!$A$3:$FB$285,106,FALSE)</f>
        <v>Deputy Chairman</v>
      </c>
      <c r="DB225" s="27" t="s">
        <v>879</v>
      </c>
      <c r="DC225" s="27" t="str">
        <f>VLOOKUP($A225,'[1]Raw Data'!$A$3:$FB$285,107,FALSE)</f>
        <v/>
      </c>
      <c r="DD225" s="27" t="str">
        <f>VLOOKUP($A225,'[1]Raw Data'!$A$3:$FB$285,109,FALSE)</f>
        <v/>
      </c>
      <c r="DF225" s="27" t="str">
        <f>VLOOKUP($A225,'[1]Raw Data'!$A$3:$FB$285,110,FALSE)</f>
        <v>Chief Adminstration Officer</v>
      </c>
      <c r="DG225" s="27" t="s">
        <v>880</v>
      </c>
      <c r="DH225" s="27" t="str">
        <f>VLOOKUP($A225,'[1]Raw Data'!$A$3:$FB$285,111,FALSE)</f>
        <v/>
      </c>
      <c r="DI225" s="27" t="str">
        <f>VLOOKUP($A225,'[1]Raw Data'!$A$3:$FB$285,121,FALSE)</f>
        <v/>
      </c>
      <c r="DK225" s="27" t="str">
        <f>VLOOKUP($A225,'[1]Raw Data'!$A$3:$FB$285,122,FALSE)</f>
        <v>Focal Person</v>
      </c>
      <c r="DL225" s="27" t="s">
        <v>881</v>
      </c>
      <c r="DM225" s="27" t="str">
        <f>VLOOKUP($A225,'[1]Raw Data'!$A$3:$FB$285,123,FALSE)</f>
        <v/>
      </c>
      <c r="DN225" s="27" t="str">
        <f>VLOOKUP($A225,'[1]Raw Data'!$A$3:$FB$285,113,FALSE)</f>
        <v/>
      </c>
      <c r="DP225" s="27" t="str">
        <f>VLOOKUP($A225,'[1]Raw Data'!$A$3:$FB$285,114,FALSE)</f>
        <v>NRA Chief-District</v>
      </c>
      <c r="DQ225" s="27" t="s">
        <v>882</v>
      </c>
      <c r="DR225" s="27" t="str">
        <f>VLOOKUP($A225,'[1]Raw Data'!$A$3:$FB$285,115,FALSE)</f>
        <v/>
      </c>
      <c r="DS225" s="27" t="str">
        <f>VLOOKUP($A225,'[1]Raw Data'!$A$3:$FB$285,117,FALSE)</f>
        <v/>
      </c>
      <c r="DU225" s="27" t="str">
        <f>VLOOKUP($A225,'[1]Raw Data'!$A$3:$FB$285,118,FALSE)</f>
        <v>DUDBC.DLPIU Chief</v>
      </c>
      <c r="DV225" s="27" t="s">
        <v>883</v>
      </c>
      <c r="DW225" s="27" t="str">
        <f>VLOOKUP($A225,'[1]Raw Data'!$A$3:$FB$285,119,FALSE)</f>
        <v/>
      </c>
      <c r="DX225" s="27" t="s">
        <v>339</v>
      </c>
      <c r="DY225" s="27" t="str">
        <f>VLOOKUP($A225,'[1]Raw Data'!$A$3:$FB$285,124,FALSE)</f>
        <v/>
      </c>
      <c r="DZ225" s="27" t="s">
        <v>884</v>
      </c>
      <c r="EA225" s="27" t="str">
        <f>VLOOKUP($A225,'[1]Raw Data'!$A$3:$FB$285,125,FALSE)</f>
        <v/>
      </c>
      <c r="EB225" s="27" t="s">
        <v>341</v>
      </c>
      <c r="EC225" s="27" t="str">
        <f>VLOOKUP($A225,'[1]Raw Data'!$A$3:$FB$285,126,FALSE)</f>
        <v/>
      </c>
      <c r="ED225" t="s">
        <v>478</v>
      </c>
      <c r="EE225" s="27" t="str">
        <f>VLOOKUP($A225,'[1]Raw Data'!$A$3:$FB$285,127,FALSE)</f>
        <v/>
      </c>
      <c r="EF225" s="27" t="s">
        <v>343</v>
      </c>
      <c r="EG225" s="27" t="str">
        <f>VLOOKUP($A225,'[1]Raw Data'!$A$3:$FB$285,128,FALSE)</f>
        <v/>
      </c>
      <c r="EH225" t="s">
        <v>344</v>
      </c>
      <c r="EI225" s="27" t="str">
        <f>VLOOKUP($A225,'[1]Raw Data'!$A$3:$FB$285,129,FALSE)</f>
        <v/>
      </c>
      <c r="EM225" s="27" t="str">
        <f>VLOOKUP($A225,'[1]Raw Data'!$A$3:$FB$285,130,FALSE)</f>
        <v/>
      </c>
      <c r="EN225" s="27" t="str">
        <f>VLOOKUP($A225,'[1]Raw Data'!$A$3:$FB$285,131,FALSE)</f>
        <v/>
      </c>
      <c r="EO225" s="27" t="str">
        <f>VLOOKUP($A225,'[1]Raw Data'!$A$3:$FB$285,132,FALSE)</f>
        <v/>
      </c>
      <c r="EP225" s="27" t="str">
        <f>VLOOKUP($A225,'[1]Raw Data'!$A$3:$FB$285,133,FALSE)</f>
        <v/>
      </c>
      <c r="EQ225" s="27" t="str">
        <f>VLOOKUP($A225,'[1]Raw Data'!$A$3:$FB$285,134,FALSE)</f>
        <v/>
      </c>
      <c r="ER225" s="27" t="str">
        <f>VLOOKUP($A225,'[1]Raw Data'!$A$3:$FB$285,135,FALSE)</f>
        <v/>
      </c>
      <c r="ES225" s="27" t="str">
        <f>VLOOKUP($A225,'[1]Raw Data'!$A$3:$FB$285,136,FALSE)</f>
        <v/>
      </c>
      <c r="ET225" s="27" t="str">
        <f>VLOOKUP($A225,'[1]Raw Data'!$A$3:$FB$285,137,FALSE)</f>
        <v/>
      </c>
      <c r="EU225" s="27" t="str">
        <f>VLOOKUP($A225,'[1]Raw Data'!$A$3:$FB$285,138,FALSE)</f>
        <v/>
      </c>
      <c r="EV225" s="27" t="str">
        <f>VLOOKUP($A225,'[1]Raw Data'!$A$3:$FB$285,139,FALSE)</f>
        <v/>
      </c>
      <c r="EW225" s="38">
        <f>VLOOKUP($A225,[1]Training!$A$2:$I$284,5,FALSE)</f>
        <v>9.7692307692307701</v>
      </c>
      <c r="EX225" s="31">
        <f>VLOOKUP($A225,[1]Training!$A$2:$I$284,6,FALSE)</f>
        <v>0</v>
      </c>
      <c r="EY225" s="38">
        <f>VLOOKUP($A225,[1]Training!$A$2:$I$284,8,FALSE)</f>
        <v>11.545454545454545</v>
      </c>
      <c r="EZ225" s="31">
        <f>VLOOKUP($A225,[1]Training!$A$2:$I$284,9,FALSE)</f>
        <v>0</v>
      </c>
      <c r="FA225" s="27">
        <v>1</v>
      </c>
      <c r="FB225" s="27">
        <v>2</v>
      </c>
      <c r="FC225" s="27" t="str">
        <f>VLOOKUP($A225,'[1]Raw Data'!$A$3:$FB$285,148,FALSE)</f>
        <v/>
      </c>
      <c r="FE225" s="27" t="str">
        <f>VLOOKUP($A225,'[1]Raw Data'!$A$3:$FB$285,149,FALSE)</f>
        <v>District Coordinator</v>
      </c>
      <c r="FF225" s="27" t="s">
        <v>885</v>
      </c>
      <c r="FG225" s="27" t="str">
        <f>VLOOKUP($A225,'[1]Raw Data'!$A$3:$FB$285,150,FALSE)</f>
        <v/>
      </c>
      <c r="FH225" s="27" t="str">
        <f>VLOOKUP($A225,'[1]Raw Data'!$A$3:$FB$285,156,FALSE)</f>
        <v/>
      </c>
      <c r="FJ225" s="27" t="str">
        <f>VLOOKUP($A225,'[1]Raw Data'!$A$3:$FB$285,157,FALSE)</f>
        <v>District Technical Officer</v>
      </c>
      <c r="FK225" s="27" t="s">
        <v>886</v>
      </c>
      <c r="FL225" s="27" t="str">
        <f>VLOOKUP($A225,'[1]Raw Data'!$A$3:$FB$285,158,FALSE)</f>
        <v/>
      </c>
      <c r="FM225" s="27" t="str">
        <f>VLOOKUP($A225,'[1]Raw Data'!$A$3:$FB$285,152,FALSE)</f>
        <v/>
      </c>
      <c r="FO225" s="27" t="str">
        <f>VLOOKUP($A225,'[1]Raw Data'!$A$3:$FB$285,153,FALSE)</f>
        <v>DIstrict Information Management Officer</v>
      </c>
      <c r="FP225" s="27" t="s">
        <v>887</v>
      </c>
      <c r="FQ225" s="27" t="str">
        <f>VLOOKUP($A225,'[1]Raw Data'!$A$3:$FB$285,154,FALSE)</f>
        <v/>
      </c>
    </row>
    <row r="226" spans="1:173" ht="24" x14ac:dyDescent="0.45">
      <c r="A226" s="27">
        <v>43006</v>
      </c>
      <c r="B226" s="36" t="str">
        <f ca="1">IFERROR(__xludf.DUMMYFUNCTION("""COMPUTED_VALUE"""),"Raghuganga Gaunpalika")</f>
        <v>Raghuganga Gaunpalika</v>
      </c>
      <c r="C226" s="37" t="str">
        <f>VLOOKUP(A226,'[1]Palika and District in Nepali '!$D$1:$F$283,3,FALSE)</f>
        <v>राहुगंगा गाउँपालिका</v>
      </c>
      <c r="D226" s="36" t="str">
        <f ca="1">IFERROR(__xludf.DUMMYFUNCTION("""COMPUTED_VALUE"""),"Myagdi")</f>
        <v>Myagdi</v>
      </c>
      <c r="E226" s="36"/>
      <c r="F226" s="27">
        <f>VLOOKUP(A226,'[1]Raw Data'!$A$3:$FB$285,4,FALSE)</f>
        <v>92</v>
      </c>
      <c r="G226" s="27">
        <f>VLOOKUP(A226,'[1]Raw Data'!$A$3:$FB$285,5,FALSE)</f>
        <v>167</v>
      </c>
      <c r="H226" s="27">
        <f>VLOOKUP(A226,'[1]Raw Data'!$A$3:$FB$285,6,FALSE)</f>
        <v>259</v>
      </c>
      <c r="I226" s="27">
        <f>VLOOKUP($A226,'[1]Raw Data'!$A$3:$FB$285,8,FALSE)</f>
        <v>1.1599999999999999</v>
      </c>
      <c r="J226" s="27">
        <f>VLOOKUP($A226,'[1]Raw Data'!$A$3:$FB$285,9,FALSE)</f>
        <v>1.63</v>
      </c>
      <c r="K226" s="27">
        <f>VLOOKUP($A226,'[1]Raw Data'!$A$3:$FB$285,11,FALSE)</f>
        <v>98.84</v>
      </c>
      <c r="L226" s="27">
        <f>VLOOKUP($A226,'[1]Raw Data'!$A$3:$FB$285,12,FALSE)</f>
        <v>94.41</v>
      </c>
      <c r="M226" s="27">
        <f>VLOOKUP($A226,'[1]Raw Data'!$A$3:$FB$285,14,FALSE)</f>
        <v>0</v>
      </c>
      <c r="N226" s="27">
        <f>VLOOKUP($A226,'[1]Raw Data'!$A$3:$FB$285,15,FALSE)</f>
        <v>1.27</v>
      </c>
      <c r="O226" s="27">
        <f>VLOOKUP($A226,'[1]Raw Data'!$A$3:$FB$285,17,FALSE)</f>
        <v>0</v>
      </c>
      <c r="P226" s="27">
        <f>VLOOKUP($A226,'[1]Raw Data'!$A$3:$FB$285,18,FALSE)</f>
        <v>0.5</v>
      </c>
      <c r="Q226" s="27">
        <f>VLOOKUP($A226,'[1]Raw Data'!$A$3:$FB$285,20,FALSE)</f>
        <v>0</v>
      </c>
      <c r="R226" s="27">
        <f>VLOOKUP($A226,'[1]Raw Data'!$A$3:$FB$285,21,FALSE)</f>
        <v>0</v>
      </c>
      <c r="S226" s="27">
        <f>VLOOKUP($A226,'[1]Raw Data'!$A$3:$FB$285,23,FALSE)</f>
        <v>0</v>
      </c>
      <c r="T226" s="27">
        <f>VLOOKUP($A226,'[1]Raw Data'!$A$3:$FB$285,24,FALSE)</f>
        <v>0</v>
      </c>
      <c r="U226" s="27">
        <f>VLOOKUP($A226,'[1]Raw Data'!$A$3:$FB$285,26,FALSE)</f>
        <v>0</v>
      </c>
      <c r="V226" s="27">
        <f>VLOOKUP($A226,'[1]Raw Data'!$A$3:$FB$285,27,FALSE)</f>
        <v>7.0000000000000007E-2</v>
      </c>
      <c r="W226" s="27">
        <f>VLOOKUP($A226,'[1]Raw Data'!$A$3:$FB$285,29,FALSE)</f>
        <v>0</v>
      </c>
      <c r="X226" s="27">
        <f>VLOOKUP($A226,'[1]Raw Data'!$A$3:$FB$285,30,FALSE)</f>
        <v>0</v>
      </c>
      <c r="Y226" s="27">
        <f>VLOOKUP($A226,'[1]Raw Data'!$A$3:$FB$285,32,FALSE)</f>
        <v>0</v>
      </c>
      <c r="Z226" s="27">
        <f>VLOOKUP($A226,'[1]Raw Data'!$A$3:$FB$285,33,FALSE)</f>
        <v>0.99</v>
      </c>
      <c r="AA226" s="27">
        <f>VLOOKUP($A226,'[1]Raw Data'!$A$3:$FB$285,35,FALSE)</f>
        <v>0</v>
      </c>
      <c r="AB226" s="27">
        <f>VLOOKUP($A226,'[1]Raw Data'!$A$3:$FB$285,36,FALSE)</f>
        <v>1.1299999999999999</v>
      </c>
      <c r="AC226" s="27">
        <f>VLOOKUP($A226,'[1]Raw Data'!$A$3:$FB$285,38,FALSE)</f>
        <v>0</v>
      </c>
      <c r="AD226" s="27">
        <f>VLOOKUP($A226,'[1]Raw Data'!$A$3:$FB$285,39,FALSE)</f>
        <v>0</v>
      </c>
      <c r="AE226" s="27">
        <f>VLOOKUP($A226,'[1]Raw Data'!$A$3:$FB$285,41,FALSE)</f>
        <v>0</v>
      </c>
      <c r="AF226" s="27">
        <f>VLOOKUP($A226,'[1]Raw Data'!$A$3:$FB$285,42,FALSE)</f>
        <v>0</v>
      </c>
      <c r="AG226" s="27">
        <f>VLOOKUP($A226,'[1]Raw Data'!$A$3:$FB$285,44,FALSE)</f>
        <v>0</v>
      </c>
      <c r="AH226" s="27">
        <f>VLOOKUP($A226,'[1]Raw Data'!$A$3:$FB$285,45,FALSE)</f>
        <v>0</v>
      </c>
      <c r="AI226" s="27">
        <f>VLOOKUP($A226,'[1]Raw Data'!$A$3:$FB$285,46,FALSE)</f>
        <v>145</v>
      </c>
      <c r="AJ226" s="27">
        <f>VLOOKUP($A226,'[1]Raw Data'!$A$3:$FB$285,47,FALSE)</f>
        <v>26</v>
      </c>
      <c r="AK226" s="27">
        <f>VLOOKUP($A226,'[1]Raw Data'!$A$3:$FB$285,48,FALSE)</f>
        <v>26</v>
      </c>
      <c r="AL226" s="27">
        <f>VLOOKUP($A226,'[1]Raw Data'!$A$3:$FB$285,49,FALSE)</f>
        <v>13</v>
      </c>
      <c r="AM226" s="27">
        <f>VLOOKUP($A226,'[1]Raw Data'!$A$3:$FB$285,50,FALSE)</f>
        <v>0</v>
      </c>
      <c r="AN226" s="27" t="str">
        <f>VLOOKUP($A226,'[1]Raw Data'!$A$3:$FB$285,51,FALSE)</f>
        <v/>
      </c>
      <c r="AO226" s="27" t="str">
        <f>VLOOKUP($A226,'[1]Raw Data'!$A$3:$FB$285,52,FALSE)</f>
        <v/>
      </c>
      <c r="AP226" s="27">
        <f>VLOOKUP($A226,'[1]Raw Data'!$A$3:$FB$285,53,FALSE)</f>
        <v>0</v>
      </c>
      <c r="AQ226" s="27" t="str">
        <f>VLOOKUP($A226,'[1]Raw Data'!$A$3:$FB$285,54,FALSE)</f>
        <v/>
      </c>
      <c r="AR226" s="27" t="str">
        <f>VLOOKUP($A226,'[1]Raw Data'!$A$3:$FB$285,55,FALSE)</f>
        <v/>
      </c>
      <c r="AS226" s="27" t="str">
        <f>VLOOKUP($A226,'[1]Raw Data'!$A$3:$FB$285,56,FALSE)</f>
        <v/>
      </c>
      <c r="AT226" s="27" t="str">
        <f>VLOOKUP($A226,'[1]Raw Data'!$A$3:$FB$285,57,FALSE)</f>
        <v/>
      </c>
      <c r="AU226" s="27" t="str">
        <f>VLOOKUP($A226,'[1]Raw Data'!$A$3:$FB$285,58,FALSE)</f>
        <v/>
      </c>
      <c r="AV226" s="27" t="str">
        <f>VLOOKUP($A226,'[1]Raw Data'!$A$3:$FB$285,59,FALSE)</f>
        <v/>
      </c>
      <c r="AW226" s="27" t="str">
        <f>VLOOKUP($A226,'[1]Raw Data'!$A$3:$FB$285,60,FALSE)</f>
        <v/>
      </c>
      <c r="AX226" s="27" t="str">
        <f>VLOOKUP(A226,'[1]PO''s List'!A224:E506,4,FALSE)</f>
        <v/>
      </c>
      <c r="AZ226" s="27" t="str">
        <f>VLOOKUP(A226,'[1]PO''s List'!$A$3:$E$285,5,FALSE)</f>
        <v/>
      </c>
      <c r="BB226" s="27">
        <f>VLOOKUP($A226,'[1]Raw Data'!$A$3:$FB$285,63,FALSE)</f>
        <v>115</v>
      </c>
      <c r="BC226" s="27" t="str">
        <f>VLOOKUP($A226,'[1]Raw Data'!$A$3:$FB$285,64,FALSE)</f>
        <v/>
      </c>
      <c r="BD226" s="27" t="str">
        <f t="shared" si="27"/>
        <v/>
      </c>
      <c r="BE226" s="27" t="str">
        <f>VLOOKUP($A226,'[1]Raw Data'!$A$3:$FB$285,65,FALSE)</f>
        <v/>
      </c>
      <c r="BF226" s="27">
        <f>VLOOKUP($A226,'[1]Raw Data'!$A$3:$FB$285,66,FALSE)</f>
        <v>117</v>
      </c>
      <c r="BG226" s="27" t="str">
        <f>VLOOKUP($A226,'[1]Raw Data'!$A$3:$FB$285,67,FALSE)</f>
        <v/>
      </c>
      <c r="BH226" s="27" t="str">
        <f t="shared" si="28"/>
        <v/>
      </c>
      <c r="BI226" s="27" t="str">
        <f>VLOOKUP($A226,'[1]Raw Data'!$A$3:$FB$285,68,FALSE)</f>
        <v/>
      </c>
      <c r="BJ226" s="27">
        <f>VLOOKUP($A226,'[1]Raw Data'!$A$3:$FB$285,69,FALSE)</f>
        <v>12</v>
      </c>
      <c r="BK226" s="27" t="str">
        <f>VLOOKUP($A226,'[1]Raw Data'!$A$3:$FB$285,70,FALSE)</f>
        <v/>
      </c>
      <c r="BL226" s="27" t="str">
        <f t="shared" si="29"/>
        <v/>
      </c>
      <c r="BM226" s="27" t="str">
        <f>VLOOKUP($A226,'[1]Raw Data'!$A$3:$FB$285,71,FALSE)</f>
        <v/>
      </c>
      <c r="BN226" s="27">
        <f>VLOOKUP($A226,'[1]Raw Data'!$A$3:$FB$285,72,FALSE)</f>
        <v>14</v>
      </c>
      <c r="BO226" s="27" t="str">
        <f>VLOOKUP($A226,'[1]Raw Data'!$A$3:$FB$285,73,FALSE)</f>
        <v/>
      </c>
      <c r="BP226" s="27" t="str">
        <f t="shared" si="30"/>
        <v/>
      </c>
      <c r="BQ226" s="27" t="str">
        <f>VLOOKUP($A226,'[1]Raw Data'!$A$3:$FB$285,74,FALSE)</f>
        <v/>
      </c>
      <c r="BR226" s="27" t="str">
        <f>VLOOKUP($A226,'[1]Raw Data'!$A$3:$FB$285,75,FALSE)</f>
        <v/>
      </c>
      <c r="BS226" s="27" t="str">
        <f>VLOOKUP($A226,'[1]Raw Data'!$A$3:$FB$285,76,FALSE)</f>
        <v/>
      </c>
      <c r="BT226" s="27" t="str">
        <f t="shared" si="31"/>
        <v/>
      </c>
      <c r="BU226" s="27" t="str">
        <f>VLOOKUP($A226,'[1]Raw Data'!$A$3:$FB$285,77,FALSE)</f>
        <v/>
      </c>
      <c r="BV226" s="27">
        <f>VLOOKUP($A226,'[1]Raw Data'!$A$3:$FB$285,78,FALSE)</f>
        <v>391</v>
      </c>
      <c r="BW226" s="27" t="str">
        <f>VLOOKUP($A226,'[1]Raw Data'!$A$3:$FB$285,79,FALSE)</f>
        <v/>
      </c>
      <c r="BX226" s="27" t="str">
        <f t="shared" si="32"/>
        <v/>
      </c>
      <c r="BY226" s="27" t="str">
        <f>VLOOKUP($A226,'[1]Raw Data'!$A$3:$FB$285,80,FALSE)</f>
        <v/>
      </c>
      <c r="BZ226" s="27">
        <f>VLOOKUP($A226,'[1]Raw Data'!$A$3:$FB$285,81,FALSE)</f>
        <v>1248</v>
      </c>
      <c r="CA226" s="27" t="str">
        <f>VLOOKUP($A226,'[1]Raw Data'!$A$3:$FB$285,82,FALSE)</f>
        <v/>
      </c>
      <c r="CB226" s="27" t="str">
        <f t="shared" si="33"/>
        <v/>
      </c>
      <c r="CC226" s="27" t="str">
        <f>VLOOKUP($A226,'[1]Raw Data'!$A$3:$FB$285,83,FALSE)</f>
        <v/>
      </c>
      <c r="CD226" s="27">
        <f>VLOOKUP($A226,'[1]Raw Data'!$A$3:$FB$285,84,FALSE)</f>
        <v>16</v>
      </c>
      <c r="CE226" s="27" t="str">
        <f>VLOOKUP($A226,'[1]Raw Data'!$A$3:$FB$285,85,FALSE)</f>
        <v/>
      </c>
      <c r="CF226" s="27" t="str">
        <f t="shared" si="34"/>
        <v/>
      </c>
      <c r="CG226" s="27" t="str">
        <f>VLOOKUP($A226,'[1]Raw Data'!$A$3:$FB$285,86,FALSE)</f>
        <v/>
      </c>
      <c r="CH226" s="27">
        <f>VLOOKUP($A226,'[1]Raw Data'!$A$3:$FB$285,87,FALSE)</f>
        <v>1674</v>
      </c>
      <c r="CI226" s="27" t="str">
        <f>VLOOKUP($A226,'[1]Raw Data'!$A$3:$FB$285,88,FALSE)</f>
        <v/>
      </c>
      <c r="CJ226" s="27" t="str">
        <f t="shared" si="35"/>
        <v/>
      </c>
      <c r="CK226" s="27" t="str">
        <f>VLOOKUP($A226,'[1]Raw Data'!$A$3:$FB$285,89,FALSE)</f>
        <v/>
      </c>
      <c r="CL226" s="27" t="str">
        <f>VLOOKUP($A226,'[1]Raw Data'!$A$3:$FB$285,91,FALSE)</f>
        <v/>
      </c>
      <c r="CM226" s="27" t="str">
        <f>VLOOKUP($A226,'[1]Raw Data'!$A$3:$FB$285,93,FALSE)</f>
        <v/>
      </c>
      <c r="CN226" s="27" t="str">
        <f>VLOOKUP($A226,'[1]Raw Data'!$A$3:$FB$285,94,FALSE)</f>
        <v/>
      </c>
      <c r="CO226" s="27" t="str">
        <f>VLOOKUP($A226,'[1]Raw Data'!$A$3:$FB$285,95,FALSE)</f>
        <v/>
      </c>
      <c r="CP226" s="27" t="str">
        <f>VLOOKUP($A226,'[1]Raw Data'!$A$3:$FB$285,96,FALSE)</f>
        <v/>
      </c>
      <c r="CQ226" s="27" t="str">
        <f>VLOOKUP($A226,'[1]Raw Data'!$A$3:$FB$285,97,FALSE)</f>
        <v/>
      </c>
      <c r="CR226" s="27" t="str">
        <f>VLOOKUP($A226,'[1]Raw Data'!$A$3:$FB$285,98,FALSE)</f>
        <v/>
      </c>
      <c r="CS226" s="27" t="str">
        <f>VLOOKUP($A226,'[1]Raw Data'!$A$3:$FB$285,99,FALSE)</f>
        <v/>
      </c>
      <c r="CT226" s="27" t="str">
        <f>VLOOKUP($A226,'[1]Raw Data'!$A$3:$FB$285,101,FALSE)</f>
        <v/>
      </c>
      <c r="CV226" s="27" t="str">
        <f>VLOOKUP($A226,'[1]Raw Data'!$A$3:$FB$285,102,FALSE)</f>
        <v>Chairman</v>
      </c>
      <c r="CW226" s="27" t="s">
        <v>878</v>
      </c>
      <c r="CX226" s="27" t="str">
        <f>VLOOKUP($A226,'[1]Raw Data'!$A$3:$FB$285,103,FALSE)</f>
        <v/>
      </c>
      <c r="CY226" s="27" t="str">
        <f>VLOOKUP($A226,'[1]Raw Data'!$A$3:$FB$285,105,FALSE)</f>
        <v/>
      </c>
      <c r="DA226" s="27" t="str">
        <f>VLOOKUP($A226,'[1]Raw Data'!$A$3:$FB$285,106,FALSE)</f>
        <v>Deputy Chairman</v>
      </c>
      <c r="DB226" s="27" t="s">
        <v>879</v>
      </c>
      <c r="DC226" s="27" t="str">
        <f>VLOOKUP($A226,'[1]Raw Data'!$A$3:$FB$285,107,FALSE)</f>
        <v/>
      </c>
      <c r="DD226" s="27" t="str">
        <f>VLOOKUP($A226,'[1]Raw Data'!$A$3:$FB$285,109,FALSE)</f>
        <v/>
      </c>
      <c r="DF226" s="27" t="str">
        <f>VLOOKUP($A226,'[1]Raw Data'!$A$3:$FB$285,110,FALSE)</f>
        <v>Chief Adminstration Officer</v>
      </c>
      <c r="DG226" s="27" t="s">
        <v>880</v>
      </c>
      <c r="DH226" s="27" t="str">
        <f>VLOOKUP($A226,'[1]Raw Data'!$A$3:$FB$285,111,FALSE)</f>
        <v/>
      </c>
      <c r="DI226" s="27" t="str">
        <f>VLOOKUP($A226,'[1]Raw Data'!$A$3:$FB$285,121,FALSE)</f>
        <v/>
      </c>
      <c r="DK226" s="27" t="str">
        <f>VLOOKUP($A226,'[1]Raw Data'!$A$3:$FB$285,122,FALSE)</f>
        <v>Focal Person</v>
      </c>
      <c r="DL226" s="27" t="s">
        <v>881</v>
      </c>
      <c r="DM226" s="27" t="str">
        <f>VLOOKUP($A226,'[1]Raw Data'!$A$3:$FB$285,123,FALSE)</f>
        <v/>
      </c>
      <c r="DN226" s="27" t="str">
        <f>VLOOKUP($A226,'[1]Raw Data'!$A$3:$FB$285,113,FALSE)</f>
        <v/>
      </c>
      <c r="DP226" s="27" t="str">
        <f>VLOOKUP($A226,'[1]Raw Data'!$A$3:$FB$285,114,FALSE)</f>
        <v>NRA Chief-District</v>
      </c>
      <c r="DQ226" s="27" t="s">
        <v>882</v>
      </c>
      <c r="DR226" s="27" t="str">
        <f>VLOOKUP($A226,'[1]Raw Data'!$A$3:$FB$285,115,FALSE)</f>
        <v/>
      </c>
      <c r="DS226" s="27" t="str">
        <f>VLOOKUP($A226,'[1]Raw Data'!$A$3:$FB$285,117,FALSE)</f>
        <v/>
      </c>
      <c r="DU226" s="27" t="str">
        <f>VLOOKUP($A226,'[1]Raw Data'!$A$3:$FB$285,118,FALSE)</f>
        <v>DUDBC.DLPIU Chief</v>
      </c>
      <c r="DV226" s="27" t="s">
        <v>883</v>
      </c>
      <c r="DW226" s="27" t="str">
        <f>VLOOKUP($A226,'[1]Raw Data'!$A$3:$FB$285,119,FALSE)</f>
        <v/>
      </c>
      <c r="DX226" s="27" t="s">
        <v>339</v>
      </c>
      <c r="DY226" s="27" t="str">
        <f>VLOOKUP($A226,'[1]Raw Data'!$A$3:$FB$285,124,FALSE)</f>
        <v/>
      </c>
      <c r="DZ226" s="27" t="s">
        <v>884</v>
      </c>
      <c r="EA226" s="27" t="str">
        <f>VLOOKUP($A226,'[1]Raw Data'!$A$3:$FB$285,125,FALSE)</f>
        <v/>
      </c>
      <c r="EB226" s="27" t="s">
        <v>341</v>
      </c>
      <c r="EC226" s="27" t="str">
        <f>VLOOKUP($A226,'[1]Raw Data'!$A$3:$FB$285,126,FALSE)</f>
        <v/>
      </c>
      <c r="ED226" t="s">
        <v>478</v>
      </c>
      <c r="EE226" s="27" t="str">
        <f>VLOOKUP($A226,'[1]Raw Data'!$A$3:$FB$285,127,FALSE)</f>
        <v/>
      </c>
      <c r="EF226" s="27" t="s">
        <v>343</v>
      </c>
      <c r="EG226" s="27" t="str">
        <f>VLOOKUP($A226,'[1]Raw Data'!$A$3:$FB$285,128,FALSE)</f>
        <v/>
      </c>
      <c r="EH226" t="s">
        <v>344</v>
      </c>
      <c r="EI226" s="27" t="str">
        <f>VLOOKUP($A226,'[1]Raw Data'!$A$3:$FB$285,129,FALSE)</f>
        <v/>
      </c>
      <c r="EM226" s="27" t="str">
        <f>VLOOKUP($A226,'[1]Raw Data'!$A$3:$FB$285,130,FALSE)</f>
        <v/>
      </c>
      <c r="EN226" s="27" t="str">
        <f>VLOOKUP($A226,'[1]Raw Data'!$A$3:$FB$285,131,FALSE)</f>
        <v/>
      </c>
      <c r="EO226" s="27" t="str">
        <f>VLOOKUP($A226,'[1]Raw Data'!$A$3:$FB$285,132,FALSE)</f>
        <v/>
      </c>
      <c r="EP226" s="27" t="str">
        <f>VLOOKUP($A226,'[1]Raw Data'!$A$3:$FB$285,133,FALSE)</f>
        <v/>
      </c>
      <c r="EQ226" s="27" t="str">
        <f>VLOOKUP($A226,'[1]Raw Data'!$A$3:$FB$285,134,FALSE)</f>
        <v/>
      </c>
      <c r="ER226" s="27" t="str">
        <f>VLOOKUP($A226,'[1]Raw Data'!$A$3:$FB$285,135,FALSE)</f>
        <v/>
      </c>
      <c r="ES226" s="27" t="str">
        <f>VLOOKUP($A226,'[1]Raw Data'!$A$3:$FB$285,136,FALSE)</f>
        <v/>
      </c>
      <c r="ET226" s="27" t="str">
        <f>VLOOKUP($A226,'[1]Raw Data'!$A$3:$FB$285,137,FALSE)</f>
        <v/>
      </c>
      <c r="EU226" s="27" t="str">
        <f>VLOOKUP($A226,'[1]Raw Data'!$A$3:$FB$285,138,FALSE)</f>
        <v/>
      </c>
      <c r="EV226" s="27" t="str">
        <f>VLOOKUP($A226,'[1]Raw Data'!$A$3:$FB$285,139,FALSE)</f>
        <v/>
      </c>
      <c r="EW226" s="38">
        <f>VLOOKUP($A226,[1]Training!$A$2:$I$284,5,FALSE)</f>
        <v>11.153846153846153</v>
      </c>
      <c r="EX226" s="31">
        <f>VLOOKUP($A226,[1]Training!$A$2:$I$284,6,FALSE)</f>
        <v>0</v>
      </c>
      <c r="EY226" s="38">
        <f>VLOOKUP($A226,[1]Training!$A$2:$I$284,8,FALSE)</f>
        <v>13.181818181818182</v>
      </c>
      <c r="EZ226" s="31">
        <f>VLOOKUP($A226,[1]Training!$A$2:$I$284,9,FALSE)</f>
        <v>0</v>
      </c>
      <c r="FA226" s="27">
        <v>1</v>
      </c>
      <c r="FB226" s="27">
        <v>2</v>
      </c>
      <c r="FC226" s="27" t="str">
        <f>VLOOKUP($A226,'[1]Raw Data'!$A$3:$FB$285,148,FALSE)</f>
        <v/>
      </c>
      <c r="FE226" s="27" t="str">
        <f>VLOOKUP($A226,'[1]Raw Data'!$A$3:$FB$285,149,FALSE)</f>
        <v>District Coordinator</v>
      </c>
      <c r="FF226" s="27" t="s">
        <v>885</v>
      </c>
      <c r="FG226" s="27" t="str">
        <f>VLOOKUP($A226,'[1]Raw Data'!$A$3:$FB$285,150,FALSE)</f>
        <v/>
      </c>
      <c r="FH226" s="27" t="str">
        <f>VLOOKUP($A226,'[1]Raw Data'!$A$3:$FB$285,156,FALSE)</f>
        <v/>
      </c>
      <c r="FJ226" s="27" t="str">
        <f>VLOOKUP($A226,'[1]Raw Data'!$A$3:$FB$285,157,FALSE)</f>
        <v>District Technical Officer</v>
      </c>
      <c r="FK226" s="27" t="s">
        <v>886</v>
      </c>
      <c r="FL226" s="27" t="str">
        <f>VLOOKUP($A226,'[1]Raw Data'!$A$3:$FB$285,158,FALSE)</f>
        <v/>
      </c>
      <c r="FM226" s="27" t="str">
        <f>VLOOKUP($A226,'[1]Raw Data'!$A$3:$FB$285,152,FALSE)</f>
        <v/>
      </c>
      <c r="FO226" s="27" t="str">
        <f>VLOOKUP($A226,'[1]Raw Data'!$A$3:$FB$285,153,FALSE)</f>
        <v>DIstrict Information Management Officer</v>
      </c>
      <c r="FP226" s="27" t="s">
        <v>887</v>
      </c>
      <c r="FQ226" s="27" t="str">
        <f>VLOOKUP($A226,'[1]Raw Data'!$A$3:$FB$285,154,FALSE)</f>
        <v/>
      </c>
    </row>
    <row r="227" spans="1:173" ht="24" x14ac:dyDescent="0.45">
      <c r="A227" s="27">
        <v>44001</v>
      </c>
      <c r="B227" s="36" t="str">
        <f ca="1">IFERROR(__xludf.DUMMYFUNCTION("""COMPUTED_VALUE"""),"Bihadi Gaunpalika")</f>
        <v>Bihadi Gaunpalika</v>
      </c>
      <c r="C227" s="37" t="str">
        <f>VLOOKUP(A227,'[1]Palika and District in Nepali '!$D$1:$F$283,3,FALSE)</f>
        <v>बिहादी गाउँपालिका</v>
      </c>
      <c r="D227" s="36" t="str">
        <f ca="1">IFERROR(__xludf.DUMMYFUNCTION("""COMPUTED_VALUE"""),"Parbat")</f>
        <v>Parbat</v>
      </c>
      <c r="E227" s="36"/>
      <c r="F227" s="27">
        <f>VLOOKUP(A227,'[1]Raw Data'!$A$3:$FB$285,4,FALSE)</f>
        <v>1213</v>
      </c>
      <c r="G227" s="27">
        <f>VLOOKUP(A227,'[1]Raw Data'!$A$3:$FB$285,5,FALSE)</f>
        <v>1281</v>
      </c>
      <c r="H227" s="27">
        <f>VLOOKUP(A227,'[1]Raw Data'!$A$3:$FB$285,6,FALSE)</f>
        <v>2494</v>
      </c>
      <c r="I227" s="27">
        <f>VLOOKUP($A227,'[1]Raw Data'!$A$3:$FB$285,8,FALSE)</f>
        <v>1.1200000000000001</v>
      </c>
      <c r="J227" s="27">
        <f>VLOOKUP($A227,'[1]Raw Data'!$A$3:$FB$285,9,FALSE)</f>
        <v>0.59</v>
      </c>
      <c r="K227" s="27">
        <f>VLOOKUP($A227,'[1]Raw Data'!$A$3:$FB$285,11,FALSE)</f>
        <v>96.59</v>
      </c>
      <c r="L227" s="27">
        <f>VLOOKUP($A227,'[1]Raw Data'!$A$3:$FB$285,12,FALSE)</f>
        <v>88.88</v>
      </c>
      <c r="M227" s="27">
        <f>VLOOKUP($A227,'[1]Raw Data'!$A$3:$FB$285,14,FALSE)</f>
        <v>0.2</v>
      </c>
      <c r="N227" s="27">
        <f>VLOOKUP($A227,'[1]Raw Data'!$A$3:$FB$285,15,FALSE)</f>
        <v>0.68</v>
      </c>
      <c r="O227" s="27">
        <f>VLOOKUP($A227,'[1]Raw Data'!$A$3:$FB$285,17,FALSE)</f>
        <v>0.04</v>
      </c>
      <c r="P227" s="27">
        <f>VLOOKUP($A227,'[1]Raw Data'!$A$3:$FB$285,18,FALSE)</f>
        <v>0.69</v>
      </c>
      <c r="Q227" s="27">
        <f>VLOOKUP($A227,'[1]Raw Data'!$A$3:$FB$285,20,FALSE)</f>
        <v>0.56000000000000005</v>
      </c>
      <c r="R227" s="27">
        <f>VLOOKUP($A227,'[1]Raw Data'!$A$3:$FB$285,21,FALSE)</f>
        <v>0.34</v>
      </c>
      <c r="S227" s="27">
        <f>VLOOKUP($A227,'[1]Raw Data'!$A$3:$FB$285,23,FALSE)</f>
        <v>0</v>
      </c>
      <c r="T227" s="27">
        <f>VLOOKUP($A227,'[1]Raw Data'!$A$3:$FB$285,24,FALSE)</f>
        <v>0</v>
      </c>
      <c r="U227" s="27">
        <f>VLOOKUP($A227,'[1]Raw Data'!$A$3:$FB$285,26,FALSE)</f>
        <v>0.28000000000000003</v>
      </c>
      <c r="V227" s="27">
        <f>VLOOKUP($A227,'[1]Raw Data'!$A$3:$FB$285,27,FALSE)</f>
        <v>0.2</v>
      </c>
      <c r="W227" s="27">
        <f>VLOOKUP($A227,'[1]Raw Data'!$A$3:$FB$285,29,FALSE)</f>
        <v>0</v>
      </c>
      <c r="X227" s="27">
        <f>VLOOKUP($A227,'[1]Raw Data'!$A$3:$FB$285,30,FALSE)</f>
        <v>0</v>
      </c>
      <c r="Y227" s="27">
        <f>VLOOKUP($A227,'[1]Raw Data'!$A$3:$FB$285,32,FALSE)</f>
        <v>0.08</v>
      </c>
      <c r="Z227" s="27">
        <f>VLOOKUP($A227,'[1]Raw Data'!$A$3:$FB$285,33,FALSE)</f>
        <v>0.04</v>
      </c>
      <c r="AA227" s="27">
        <f>VLOOKUP($A227,'[1]Raw Data'!$A$3:$FB$285,35,FALSE)</f>
        <v>0.2</v>
      </c>
      <c r="AB227" s="27">
        <f>VLOOKUP($A227,'[1]Raw Data'!$A$3:$FB$285,36,FALSE)</f>
        <v>8.2799999999999994</v>
      </c>
      <c r="AC227" s="27">
        <f>VLOOKUP($A227,'[1]Raw Data'!$A$3:$FB$285,38,FALSE)</f>
        <v>0.92</v>
      </c>
      <c r="AD227" s="27">
        <f>VLOOKUP($A227,'[1]Raw Data'!$A$3:$FB$285,39,FALSE)</f>
        <v>0.3</v>
      </c>
      <c r="AE227" s="27">
        <f>VLOOKUP($A227,'[1]Raw Data'!$A$3:$FB$285,41,FALSE)</f>
        <v>0</v>
      </c>
      <c r="AF227" s="27">
        <f>VLOOKUP($A227,'[1]Raw Data'!$A$3:$FB$285,42,FALSE)</f>
        <v>0</v>
      </c>
      <c r="AG227" s="27">
        <f>VLOOKUP($A227,'[1]Raw Data'!$A$3:$FB$285,44,FALSE)</f>
        <v>0</v>
      </c>
      <c r="AH227" s="27">
        <f>VLOOKUP($A227,'[1]Raw Data'!$A$3:$FB$285,45,FALSE)</f>
        <v>0</v>
      </c>
      <c r="AI227" s="27">
        <f>VLOOKUP($A227,'[1]Raw Data'!$A$3:$FB$285,46,FALSE)</f>
        <v>1139</v>
      </c>
      <c r="AJ227" s="27">
        <f>VLOOKUP($A227,'[1]Raw Data'!$A$3:$FB$285,47,FALSE)</f>
        <v>66</v>
      </c>
      <c r="AK227" s="27">
        <f>VLOOKUP($A227,'[1]Raw Data'!$A$3:$FB$285,48,FALSE)</f>
        <v>66</v>
      </c>
      <c r="AL227" s="27">
        <f>VLOOKUP($A227,'[1]Raw Data'!$A$3:$FB$285,49,FALSE)</f>
        <v>0</v>
      </c>
      <c r="AM227" s="27">
        <f>VLOOKUP($A227,'[1]Raw Data'!$A$3:$FB$285,50,FALSE)</f>
        <v>0</v>
      </c>
      <c r="AN227" s="27" t="str">
        <f>VLOOKUP($A227,'[1]Raw Data'!$A$3:$FB$285,51,FALSE)</f>
        <v/>
      </c>
      <c r="AO227" s="27" t="str">
        <f>VLOOKUP($A227,'[1]Raw Data'!$A$3:$FB$285,52,FALSE)</f>
        <v/>
      </c>
      <c r="AP227" s="27">
        <f>VLOOKUP($A227,'[1]Raw Data'!$A$3:$FB$285,53,FALSE)</f>
        <v>123</v>
      </c>
      <c r="AQ227" s="27" t="str">
        <f>VLOOKUP($A227,'[1]Raw Data'!$A$3:$FB$285,54,FALSE)</f>
        <v/>
      </c>
      <c r="AR227" s="27" t="str">
        <f>VLOOKUP($A227,'[1]Raw Data'!$A$3:$FB$285,55,FALSE)</f>
        <v/>
      </c>
      <c r="AS227" s="27" t="str">
        <f>VLOOKUP($A227,'[1]Raw Data'!$A$3:$FB$285,56,FALSE)</f>
        <v/>
      </c>
      <c r="AT227" s="27" t="str">
        <f>VLOOKUP($A227,'[1]Raw Data'!$A$3:$FB$285,57,FALSE)</f>
        <v/>
      </c>
      <c r="AU227" s="27" t="str">
        <f>VLOOKUP($A227,'[1]Raw Data'!$A$3:$FB$285,58,FALSE)</f>
        <v/>
      </c>
      <c r="AV227" s="27" t="str">
        <f>VLOOKUP($A227,'[1]Raw Data'!$A$3:$FB$285,59,FALSE)</f>
        <v/>
      </c>
      <c r="AW227" s="27" t="str">
        <f>VLOOKUP($A227,'[1]Raw Data'!$A$3:$FB$285,60,FALSE)</f>
        <v/>
      </c>
      <c r="AX227" s="27" t="str">
        <f>VLOOKUP(A227,'[1]PO''s List'!A225:E507,4,FALSE)</f>
        <v/>
      </c>
      <c r="AZ227" s="27" t="str">
        <f>VLOOKUP(A227,'[1]PO''s List'!$A$3:$E$285,5,FALSE)</f>
        <v/>
      </c>
      <c r="BB227" s="27">
        <f>VLOOKUP($A227,'[1]Raw Data'!$A$3:$FB$285,63,FALSE)</f>
        <v>1954</v>
      </c>
      <c r="BC227" s="27" t="str">
        <f>VLOOKUP($A227,'[1]Raw Data'!$A$3:$FB$285,64,FALSE)</f>
        <v/>
      </c>
      <c r="BD227" s="27" t="str">
        <f t="shared" si="27"/>
        <v/>
      </c>
      <c r="BE227" s="27" t="str">
        <f>VLOOKUP($A227,'[1]Raw Data'!$A$3:$FB$285,65,FALSE)</f>
        <v/>
      </c>
      <c r="BF227" s="27">
        <f>VLOOKUP($A227,'[1]Raw Data'!$A$3:$FB$285,66,FALSE)</f>
        <v>1928</v>
      </c>
      <c r="BG227" s="27" t="str">
        <f>VLOOKUP($A227,'[1]Raw Data'!$A$3:$FB$285,67,FALSE)</f>
        <v/>
      </c>
      <c r="BH227" s="27" t="str">
        <f t="shared" si="28"/>
        <v/>
      </c>
      <c r="BI227" s="27" t="str">
        <f>VLOOKUP($A227,'[1]Raw Data'!$A$3:$FB$285,68,FALSE)</f>
        <v/>
      </c>
      <c r="BJ227" s="27">
        <f>VLOOKUP($A227,'[1]Raw Data'!$A$3:$FB$285,69,FALSE)</f>
        <v>208</v>
      </c>
      <c r="BK227" s="27" t="str">
        <f>VLOOKUP($A227,'[1]Raw Data'!$A$3:$FB$285,70,FALSE)</f>
        <v/>
      </c>
      <c r="BL227" s="27" t="str">
        <f t="shared" si="29"/>
        <v/>
      </c>
      <c r="BM227" s="27" t="str">
        <f>VLOOKUP($A227,'[1]Raw Data'!$A$3:$FB$285,71,FALSE)</f>
        <v/>
      </c>
      <c r="BN227" s="27">
        <f>VLOOKUP($A227,'[1]Raw Data'!$A$3:$FB$285,72,FALSE)</f>
        <v>237</v>
      </c>
      <c r="BO227" s="27" t="str">
        <f>VLOOKUP($A227,'[1]Raw Data'!$A$3:$FB$285,73,FALSE)</f>
        <v/>
      </c>
      <c r="BP227" s="27" t="str">
        <f t="shared" si="30"/>
        <v/>
      </c>
      <c r="BQ227" s="27" t="str">
        <f>VLOOKUP($A227,'[1]Raw Data'!$A$3:$FB$285,74,FALSE)</f>
        <v/>
      </c>
      <c r="BR227" s="27" t="str">
        <f>VLOOKUP($A227,'[1]Raw Data'!$A$3:$FB$285,75,FALSE)</f>
        <v/>
      </c>
      <c r="BS227" s="27" t="str">
        <f>VLOOKUP($A227,'[1]Raw Data'!$A$3:$FB$285,76,FALSE)</f>
        <v/>
      </c>
      <c r="BT227" s="27" t="str">
        <f t="shared" si="31"/>
        <v/>
      </c>
      <c r="BU227" s="27" t="str">
        <f>VLOOKUP($A227,'[1]Raw Data'!$A$3:$FB$285,77,FALSE)</f>
        <v/>
      </c>
      <c r="BV227" s="27">
        <f>VLOOKUP($A227,'[1]Raw Data'!$A$3:$FB$285,78,FALSE)</f>
        <v>6380</v>
      </c>
      <c r="BW227" s="27" t="str">
        <f>VLOOKUP($A227,'[1]Raw Data'!$A$3:$FB$285,79,FALSE)</f>
        <v/>
      </c>
      <c r="BX227" s="27" t="str">
        <f t="shared" si="32"/>
        <v/>
      </c>
      <c r="BY227" s="27" t="str">
        <f>VLOOKUP($A227,'[1]Raw Data'!$A$3:$FB$285,80,FALSE)</f>
        <v/>
      </c>
      <c r="BZ227" s="27">
        <f>VLOOKUP($A227,'[1]Raw Data'!$A$3:$FB$285,81,FALSE)</f>
        <v>21274</v>
      </c>
      <c r="CA227" s="27" t="str">
        <f>VLOOKUP($A227,'[1]Raw Data'!$A$3:$FB$285,82,FALSE)</f>
        <v/>
      </c>
      <c r="CB227" s="27" t="str">
        <f t="shared" si="33"/>
        <v/>
      </c>
      <c r="CC227" s="27" t="str">
        <f>VLOOKUP($A227,'[1]Raw Data'!$A$3:$FB$285,83,FALSE)</f>
        <v/>
      </c>
      <c r="CD227" s="27">
        <f>VLOOKUP($A227,'[1]Raw Data'!$A$3:$FB$285,84,FALSE)</f>
        <v>260</v>
      </c>
      <c r="CE227" s="27" t="str">
        <f>VLOOKUP($A227,'[1]Raw Data'!$A$3:$FB$285,85,FALSE)</f>
        <v/>
      </c>
      <c r="CF227" s="27" t="str">
        <f t="shared" si="34"/>
        <v/>
      </c>
      <c r="CG227" s="27" t="str">
        <f>VLOOKUP($A227,'[1]Raw Data'!$A$3:$FB$285,86,FALSE)</f>
        <v/>
      </c>
      <c r="CH227" s="27">
        <f>VLOOKUP($A227,'[1]Raw Data'!$A$3:$FB$285,87,FALSE)</f>
        <v>21634</v>
      </c>
      <c r="CI227" s="27" t="str">
        <f>VLOOKUP($A227,'[1]Raw Data'!$A$3:$FB$285,88,FALSE)</f>
        <v/>
      </c>
      <c r="CJ227" s="27" t="str">
        <f t="shared" si="35"/>
        <v/>
      </c>
      <c r="CK227" s="27" t="str">
        <f>VLOOKUP($A227,'[1]Raw Data'!$A$3:$FB$285,89,FALSE)</f>
        <v/>
      </c>
      <c r="CL227" s="27" t="str">
        <f>VLOOKUP($A227,'[1]Raw Data'!$A$3:$FB$285,91,FALSE)</f>
        <v/>
      </c>
      <c r="CM227" s="27" t="str">
        <f>VLOOKUP($A227,'[1]Raw Data'!$A$3:$FB$285,93,FALSE)</f>
        <v/>
      </c>
      <c r="CN227" s="27" t="str">
        <f>VLOOKUP($A227,'[1]Raw Data'!$A$3:$FB$285,94,FALSE)</f>
        <v/>
      </c>
      <c r="CO227" s="27" t="str">
        <f>VLOOKUP($A227,'[1]Raw Data'!$A$3:$FB$285,95,FALSE)</f>
        <v/>
      </c>
      <c r="CP227" s="27" t="str">
        <f>VLOOKUP($A227,'[1]Raw Data'!$A$3:$FB$285,96,FALSE)</f>
        <v/>
      </c>
      <c r="CQ227" s="27" t="str">
        <f>VLOOKUP($A227,'[1]Raw Data'!$A$3:$FB$285,97,FALSE)</f>
        <v/>
      </c>
      <c r="CR227" s="27" t="str">
        <f>VLOOKUP($A227,'[1]Raw Data'!$A$3:$FB$285,98,FALSE)</f>
        <v/>
      </c>
      <c r="CS227" s="27" t="str">
        <f>VLOOKUP($A227,'[1]Raw Data'!$A$3:$FB$285,99,FALSE)</f>
        <v/>
      </c>
      <c r="CT227" s="27" t="str">
        <f>VLOOKUP($A227,'[1]Raw Data'!$A$3:$FB$285,101,FALSE)</f>
        <v/>
      </c>
      <c r="CV227" s="27" t="str">
        <f>VLOOKUP($A227,'[1]Raw Data'!$A$3:$FB$285,102,FALSE)</f>
        <v>Chairman</v>
      </c>
      <c r="CW227" s="27" t="s">
        <v>878</v>
      </c>
      <c r="CX227" s="27" t="str">
        <f>VLOOKUP($A227,'[1]Raw Data'!$A$3:$FB$285,103,FALSE)</f>
        <v/>
      </c>
      <c r="CY227" s="27" t="str">
        <f>VLOOKUP($A227,'[1]Raw Data'!$A$3:$FB$285,105,FALSE)</f>
        <v/>
      </c>
      <c r="DA227" s="27" t="str">
        <f>VLOOKUP($A227,'[1]Raw Data'!$A$3:$FB$285,106,FALSE)</f>
        <v>Deputy Chairman</v>
      </c>
      <c r="DB227" s="27" t="s">
        <v>879</v>
      </c>
      <c r="DC227" s="27" t="str">
        <f>VLOOKUP($A227,'[1]Raw Data'!$A$3:$FB$285,107,FALSE)</f>
        <v/>
      </c>
      <c r="DD227" s="27" t="str">
        <f>VLOOKUP($A227,'[1]Raw Data'!$A$3:$FB$285,109,FALSE)</f>
        <v/>
      </c>
      <c r="DF227" s="27" t="str">
        <f>VLOOKUP($A227,'[1]Raw Data'!$A$3:$FB$285,110,FALSE)</f>
        <v>Chief Adminstration Officer</v>
      </c>
      <c r="DG227" s="27" t="s">
        <v>880</v>
      </c>
      <c r="DH227" s="27" t="str">
        <f>VLOOKUP($A227,'[1]Raw Data'!$A$3:$FB$285,111,FALSE)</f>
        <v/>
      </c>
      <c r="DI227" s="27" t="str">
        <f>VLOOKUP($A227,'[1]Raw Data'!$A$3:$FB$285,121,FALSE)</f>
        <v/>
      </c>
      <c r="DK227" s="27" t="str">
        <f>VLOOKUP($A227,'[1]Raw Data'!$A$3:$FB$285,122,FALSE)</f>
        <v>Focal Person</v>
      </c>
      <c r="DL227" s="27" t="s">
        <v>881</v>
      </c>
      <c r="DM227" s="27" t="str">
        <f>VLOOKUP($A227,'[1]Raw Data'!$A$3:$FB$285,123,FALSE)</f>
        <v/>
      </c>
      <c r="DN227" s="27" t="str">
        <f>VLOOKUP($A227,'[1]Raw Data'!$A$3:$FB$285,113,FALSE)</f>
        <v/>
      </c>
      <c r="DP227" s="27" t="str">
        <f>VLOOKUP($A227,'[1]Raw Data'!$A$3:$FB$285,114,FALSE)</f>
        <v>NRA Chief-District</v>
      </c>
      <c r="DQ227" s="27" t="s">
        <v>882</v>
      </c>
      <c r="DR227" s="27" t="str">
        <f>VLOOKUP($A227,'[1]Raw Data'!$A$3:$FB$285,115,FALSE)</f>
        <v/>
      </c>
      <c r="DS227" s="27" t="str">
        <f>VLOOKUP($A227,'[1]Raw Data'!$A$3:$FB$285,117,FALSE)</f>
        <v/>
      </c>
      <c r="DU227" s="27" t="str">
        <f>VLOOKUP($A227,'[1]Raw Data'!$A$3:$FB$285,118,FALSE)</f>
        <v>DUDBC.DLPIU Chief</v>
      </c>
      <c r="DV227" s="27" t="s">
        <v>883</v>
      </c>
      <c r="DW227" s="27" t="str">
        <f>VLOOKUP($A227,'[1]Raw Data'!$A$3:$FB$285,119,FALSE)</f>
        <v/>
      </c>
      <c r="DX227" s="27" t="s">
        <v>339</v>
      </c>
      <c r="DY227" s="27" t="str">
        <f>VLOOKUP($A227,'[1]Raw Data'!$A$3:$FB$285,124,FALSE)</f>
        <v/>
      </c>
      <c r="DZ227" s="27" t="s">
        <v>884</v>
      </c>
      <c r="EA227" s="27" t="str">
        <f>VLOOKUP($A227,'[1]Raw Data'!$A$3:$FB$285,125,FALSE)</f>
        <v/>
      </c>
      <c r="EB227" s="27" t="s">
        <v>341</v>
      </c>
      <c r="EC227" s="27" t="str">
        <f>VLOOKUP($A227,'[1]Raw Data'!$A$3:$FB$285,126,FALSE)</f>
        <v/>
      </c>
      <c r="ED227" t="s">
        <v>478</v>
      </c>
      <c r="EE227" s="27" t="str">
        <f>VLOOKUP($A227,'[1]Raw Data'!$A$3:$FB$285,127,FALSE)</f>
        <v/>
      </c>
      <c r="EF227" s="27" t="s">
        <v>343</v>
      </c>
      <c r="EG227" s="27" t="str">
        <f>VLOOKUP($A227,'[1]Raw Data'!$A$3:$FB$285,128,FALSE)</f>
        <v/>
      </c>
      <c r="EH227" t="s">
        <v>344</v>
      </c>
      <c r="EI227" s="27" t="str">
        <f>VLOOKUP($A227,'[1]Raw Data'!$A$3:$FB$285,129,FALSE)</f>
        <v/>
      </c>
      <c r="EM227" s="27" t="str">
        <f>VLOOKUP($A227,'[1]Raw Data'!$A$3:$FB$285,130,FALSE)</f>
        <v/>
      </c>
      <c r="EN227" s="27" t="str">
        <f>VLOOKUP($A227,'[1]Raw Data'!$A$3:$FB$285,131,FALSE)</f>
        <v/>
      </c>
      <c r="EO227" s="27" t="str">
        <f>VLOOKUP($A227,'[1]Raw Data'!$A$3:$FB$285,132,FALSE)</f>
        <v/>
      </c>
      <c r="EP227" s="27" t="str">
        <f>VLOOKUP($A227,'[1]Raw Data'!$A$3:$FB$285,133,FALSE)</f>
        <v/>
      </c>
      <c r="EQ227" s="27" t="str">
        <f>VLOOKUP($A227,'[1]Raw Data'!$A$3:$FB$285,134,FALSE)</f>
        <v/>
      </c>
      <c r="ER227" s="27" t="str">
        <f>VLOOKUP($A227,'[1]Raw Data'!$A$3:$FB$285,135,FALSE)</f>
        <v/>
      </c>
      <c r="ES227" s="27" t="str">
        <f>VLOOKUP($A227,'[1]Raw Data'!$A$3:$FB$285,136,FALSE)</f>
        <v/>
      </c>
      <c r="ET227" s="27" t="str">
        <f>VLOOKUP($A227,'[1]Raw Data'!$A$3:$FB$285,137,FALSE)</f>
        <v/>
      </c>
      <c r="EU227" s="27" t="str">
        <f>VLOOKUP($A227,'[1]Raw Data'!$A$3:$FB$285,138,FALSE)</f>
        <v/>
      </c>
      <c r="EV227" s="27" t="str">
        <f>VLOOKUP($A227,'[1]Raw Data'!$A$3:$FB$285,139,FALSE)</f>
        <v/>
      </c>
      <c r="EW227" s="38">
        <f>VLOOKUP($A227,[1]Training!$A$2:$I$284,5,FALSE)</f>
        <v>87.615384615384613</v>
      </c>
      <c r="EX227" s="31">
        <f>VLOOKUP($A227,[1]Training!$A$2:$I$284,6,FALSE)</f>
        <v>0</v>
      </c>
      <c r="EY227" s="38">
        <f>VLOOKUP($A227,[1]Training!$A$2:$I$284,8,FALSE)</f>
        <v>103.54545454545455</v>
      </c>
      <c r="EZ227" s="31">
        <f>VLOOKUP($A227,[1]Training!$A$2:$I$284,9,FALSE)</f>
        <v>0</v>
      </c>
      <c r="FA227" s="27">
        <v>1</v>
      </c>
      <c r="FB227" s="27">
        <v>2</v>
      </c>
      <c r="FC227" s="27" t="str">
        <f>VLOOKUP($A227,'[1]Raw Data'!$A$3:$FB$285,148,FALSE)</f>
        <v/>
      </c>
      <c r="FE227" s="27" t="str">
        <f>VLOOKUP($A227,'[1]Raw Data'!$A$3:$FB$285,149,FALSE)</f>
        <v>District Coordinator</v>
      </c>
      <c r="FF227" s="27" t="s">
        <v>885</v>
      </c>
      <c r="FG227" s="27" t="str">
        <f>VLOOKUP($A227,'[1]Raw Data'!$A$3:$FB$285,150,FALSE)</f>
        <v/>
      </c>
      <c r="FH227" s="27" t="str">
        <f>VLOOKUP($A227,'[1]Raw Data'!$A$3:$FB$285,156,FALSE)</f>
        <v/>
      </c>
      <c r="FJ227" s="27" t="str">
        <f>VLOOKUP($A227,'[1]Raw Data'!$A$3:$FB$285,157,FALSE)</f>
        <v>District Technical Officer</v>
      </c>
      <c r="FK227" s="27" t="s">
        <v>886</v>
      </c>
      <c r="FL227" s="27" t="str">
        <f>VLOOKUP($A227,'[1]Raw Data'!$A$3:$FB$285,158,FALSE)</f>
        <v/>
      </c>
      <c r="FM227" s="27" t="str">
        <f>VLOOKUP($A227,'[1]Raw Data'!$A$3:$FB$285,152,FALSE)</f>
        <v/>
      </c>
      <c r="FO227" s="27" t="str">
        <f>VLOOKUP($A227,'[1]Raw Data'!$A$3:$FB$285,153,FALSE)</f>
        <v>DIstrict Information Management Officer</v>
      </c>
      <c r="FP227" s="27" t="s">
        <v>887</v>
      </c>
      <c r="FQ227" s="27" t="str">
        <f>VLOOKUP($A227,'[1]Raw Data'!$A$3:$FB$285,154,FALSE)</f>
        <v/>
      </c>
    </row>
    <row r="228" spans="1:173" ht="24" x14ac:dyDescent="0.45">
      <c r="A228" s="27">
        <v>44002</v>
      </c>
      <c r="B228" s="36" t="str">
        <f ca="1">IFERROR(__xludf.DUMMYFUNCTION("""COMPUTED_VALUE"""),"Jaljala Gaunpalika")</f>
        <v>Jaljala Gaunpalika</v>
      </c>
      <c r="C228" s="37" t="str">
        <f>VLOOKUP(A228,'[1]Palika and District in Nepali '!$D$1:$F$283,3,FALSE)</f>
        <v>जलजला गाउँपालिका</v>
      </c>
      <c r="D228" s="36" t="str">
        <f ca="1">IFERROR(__xludf.DUMMYFUNCTION("""COMPUTED_VALUE"""),"Parbat")</f>
        <v>Parbat</v>
      </c>
      <c r="E228" s="36"/>
      <c r="F228" s="27">
        <f>VLOOKUP(A228,'[1]Raw Data'!$A$3:$FB$285,4,FALSE)</f>
        <v>284</v>
      </c>
      <c r="G228" s="27">
        <f>VLOOKUP(A228,'[1]Raw Data'!$A$3:$FB$285,5,FALSE)</f>
        <v>201</v>
      </c>
      <c r="H228" s="27">
        <f>VLOOKUP(A228,'[1]Raw Data'!$A$3:$FB$285,6,FALSE)</f>
        <v>485</v>
      </c>
      <c r="I228" s="27">
        <f>VLOOKUP($A228,'[1]Raw Data'!$A$3:$FB$285,8,FALSE)</f>
        <v>0.82</v>
      </c>
      <c r="J228" s="27">
        <f>VLOOKUP($A228,'[1]Raw Data'!$A$3:$FB$285,9,FALSE)</f>
        <v>0.59</v>
      </c>
      <c r="K228" s="27">
        <f>VLOOKUP($A228,'[1]Raw Data'!$A$3:$FB$285,11,FALSE)</f>
        <v>99.18</v>
      </c>
      <c r="L228" s="27">
        <f>VLOOKUP($A228,'[1]Raw Data'!$A$3:$FB$285,12,FALSE)</f>
        <v>88.88</v>
      </c>
      <c r="M228" s="27">
        <f>VLOOKUP($A228,'[1]Raw Data'!$A$3:$FB$285,14,FALSE)</f>
        <v>0</v>
      </c>
      <c r="N228" s="27">
        <f>VLOOKUP($A228,'[1]Raw Data'!$A$3:$FB$285,15,FALSE)</f>
        <v>0.68</v>
      </c>
      <c r="O228" s="27">
        <f>VLOOKUP($A228,'[1]Raw Data'!$A$3:$FB$285,17,FALSE)</f>
        <v>0</v>
      </c>
      <c r="P228" s="27">
        <f>VLOOKUP($A228,'[1]Raw Data'!$A$3:$FB$285,18,FALSE)</f>
        <v>0.69</v>
      </c>
      <c r="Q228" s="27">
        <f>VLOOKUP($A228,'[1]Raw Data'!$A$3:$FB$285,20,FALSE)</f>
        <v>0</v>
      </c>
      <c r="R228" s="27">
        <f>VLOOKUP($A228,'[1]Raw Data'!$A$3:$FB$285,21,FALSE)</f>
        <v>0.34</v>
      </c>
      <c r="S228" s="27">
        <f>VLOOKUP($A228,'[1]Raw Data'!$A$3:$FB$285,23,FALSE)</f>
        <v>0</v>
      </c>
      <c r="T228" s="27">
        <f>VLOOKUP($A228,'[1]Raw Data'!$A$3:$FB$285,24,FALSE)</f>
        <v>0</v>
      </c>
      <c r="U228" s="27">
        <f>VLOOKUP($A228,'[1]Raw Data'!$A$3:$FB$285,26,FALSE)</f>
        <v>0</v>
      </c>
      <c r="V228" s="27">
        <f>VLOOKUP($A228,'[1]Raw Data'!$A$3:$FB$285,27,FALSE)</f>
        <v>0.2</v>
      </c>
      <c r="W228" s="27">
        <f>VLOOKUP($A228,'[1]Raw Data'!$A$3:$FB$285,29,FALSE)</f>
        <v>0</v>
      </c>
      <c r="X228" s="27">
        <f>VLOOKUP($A228,'[1]Raw Data'!$A$3:$FB$285,30,FALSE)</f>
        <v>0</v>
      </c>
      <c r="Y228" s="27">
        <f>VLOOKUP($A228,'[1]Raw Data'!$A$3:$FB$285,32,FALSE)</f>
        <v>0</v>
      </c>
      <c r="Z228" s="27">
        <f>VLOOKUP($A228,'[1]Raw Data'!$A$3:$FB$285,33,FALSE)</f>
        <v>0.04</v>
      </c>
      <c r="AA228" s="27">
        <f>VLOOKUP($A228,'[1]Raw Data'!$A$3:$FB$285,35,FALSE)</f>
        <v>0</v>
      </c>
      <c r="AB228" s="27">
        <f>VLOOKUP($A228,'[1]Raw Data'!$A$3:$FB$285,36,FALSE)</f>
        <v>8.2799999999999994</v>
      </c>
      <c r="AC228" s="27">
        <f>VLOOKUP($A228,'[1]Raw Data'!$A$3:$FB$285,38,FALSE)</f>
        <v>0</v>
      </c>
      <c r="AD228" s="27">
        <f>VLOOKUP($A228,'[1]Raw Data'!$A$3:$FB$285,39,FALSE)</f>
        <v>0.3</v>
      </c>
      <c r="AE228" s="27">
        <f>VLOOKUP($A228,'[1]Raw Data'!$A$3:$FB$285,41,FALSE)</f>
        <v>0</v>
      </c>
      <c r="AF228" s="27">
        <f>VLOOKUP($A228,'[1]Raw Data'!$A$3:$FB$285,42,FALSE)</f>
        <v>0</v>
      </c>
      <c r="AG228" s="27">
        <f>VLOOKUP($A228,'[1]Raw Data'!$A$3:$FB$285,44,FALSE)</f>
        <v>0</v>
      </c>
      <c r="AH228" s="27">
        <f>VLOOKUP($A228,'[1]Raw Data'!$A$3:$FB$285,45,FALSE)</f>
        <v>0</v>
      </c>
      <c r="AI228" s="27">
        <f>VLOOKUP($A228,'[1]Raw Data'!$A$3:$FB$285,46,FALSE)</f>
        <v>187</v>
      </c>
      <c r="AJ228" s="27">
        <f>VLOOKUP($A228,'[1]Raw Data'!$A$3:$FB$285,47,FALSE)</f>
        <v>112</v>
      </c>
      <c r="AK228" s="27">
        <f>VLOOKUP($A228,'[1]Raw Data'!$A$3:$FB$285,48,FALSE)</f>
        <v>112</v>
      </c>
      <c r="AL228" s="27">
        <f>VLOOKUP($A228,'[1]Raw Data'!$A$3:$FB$285,49,FALSE)</f>
        <v>31</v>
      </c>
      <c r="AM228" s="27">
        <f>VLOOKUP($A228,'[1]Raw Data'!$A$3:$FB$285,50,FALSE)</f>
        <v>0</v>
      </c>
      <c r="AN228" s="27" t="str">
        <f>VLOOKUP($A228,'[1]Raw Data'!$A$3:$FB$285,51,FALSE)</f>
        <v/>
      </c>
      <c r="AO228" s="27" t="str">
        <f>VLOOKUP($A228,'[1]Raw Data'!$A$3:$FB$285,52,FALSE)</f>
        <v/>
      </c>
      <c r="AP228" s="27">
        <f>VLOOKUP($A228,'[1]Raw Data'!$A$3:$FB$285,53,FALSE)</f>
        <v>0</v>
      </c>
      <c r="AQ228" s="27" t="str">
        <f>VLOOKUP($A228,'[1]Raw Data'!$A$3:$FB$285,54,FALSE)</f>
        <v/>
      </c>
      <c r="AR228" s="27" t="str">
        <f>VLOOKUP($A228,'[1]Raw Data'!$A$3:$FB$285,55,FALSE)</f>
        <v/>
      </c>
      <c r="AS228" s="27" t="str">
        <f>VLOOKUP($A228,'[1]Raw Data'!$A$3:$FB$285,56,FALSE)</f>
        <v/>
      </c>
      <c r="AT228" s="27" t="str">
        <f>VLOOKUP($A228,'[1]Raw Data'!$A$3:$FB$285,57,FALSE)</f>
        <v/>
      </c>
      <c r="AU228" s="27" t="str">
        <f>VLOOKUP($A228,'[1]Raw Data'!$A$3:$FB$285,58,FALSE)</f>
        <v/>
      </c>
      <c r="AV228" s="27" t="str">
        <f>VLOOKUP($A228,'[1]Raw Data'!$A$3:$FB$285,59,FALSE)</f>
        <v/>
      </c>
      <c r="AW228" s="27" t="str">
        <f>VLOOKUP($A228,'[1]Raw Data'!$A$3:$FB$285,60,FALSE)</f>
        <v/>
      </c>
      <c r="AX228" s="27" t="str">
        <f>VLOOKUP(A228,'[1]PO''s List'!A226:E508,4,FALSE)</f>
        <v/>
      </c>
      <c r="AZ228" s="27" t="str">
        <f>VLOOKUP(A228,'[1]PO''s List'!$A$3:$E$285,5,FALSE)</f>
        <v/>
      </c>
      <c r="BB228" s="27">
        <f>VLOOKUP($A228,'[1]Raw Data'!$A$3:$FB$285,63,FALSE)</f>
        <v>3462</v>
      </c>
      <c r="BC228" s="27" t="str">
        <f>VLOOKUP($A228,'[1]Raw Data'!$A$3:$FB$285,64,FALSE)</f>
        <v/>
      </c>
      <c r="BD228" s="27" t="str">
        <f t="shared" si="27"/>
        <v/>
      </c>
      <c r="BE228" s="27" t="str">
        <f>VLOOKUP($A228,'[1]Raw Data'!$A$3:$FB$285,65,FALSE)</f>
        <v/>
      </c>
      <c r="BF228" s="27">
        <f>VLOOKUP($A228,'[1]Raw Data'!$A$3:$FB$285,66,FALSE)</f>
        <v>3304</v>
      </c>
      <c r="BG228" s="27" t="str">
        <f>VLOOKUP($A228,'[1]Raw Data'!$A$3:$FB$285,67,FALSE)</f>
        <v/>
      </c>
      <c r="BH228" s="27" t="str">
        <f t="shared" si="28"/>
        <v/>
      </c>
      <c r="BI228" s="27" t="str">
        <f>VLOOKUP($A228,'[1]Raw Data'!$A$3:$FB$285,68,FALSE)</f>
        <v/>
      </c>
      <c r="BJ228" s="27">
        <f>VLOOKUP($A228,'[1]Raw Data'!$A$3:$FB$285,69,FALSE)</f>
        <v>367</v>
      </c>
      <c r="BK228" s="27" t="str">
        <f>VLOOKUP($A228,'[1]Raw Data'!$A$3:$FB$285,70,FALSE)</f>
        <v/>
      </c>
      <c r="BL228" s="27" t="str">
        <f t="shared" si="29"/>
        <v/>
      </c>
      <c r="BM228" s="27" t="str">
        <f>VLOOKUP($A228,'[1]Raw Data'!$A$3:$FB$285,71,FALSE)</f>
        <v/>
      </c>
      <c r="BN228" s="27">
        <f>VLOOKUP($A228,'[1]Raw Data'!$A$3:$FB$285,72,FALSE)</f>
        <v>415</v>
      </c>
      <c r="BO228" s="27" t="str">
        <f>VLOOKUP($A228,'[1]Raw Data'!$A$3:$FB$285,73,FALSE)</f>
        <v/>
      </c>
      <c r="BP228" s="27" t="str">
        <f t="shared" si="30"/>
        <v/>
      </c>
      <c r="BQ228" s="27" t="str">
        <f>VLOOKUP($A228,'[1]Raw Data'!$A$3:$FB$285,74,FALSE)</f>
        <v/>
      </c>
      <c r="BR228" s="27" t="str">
        <f>VLOOKUP($A228,'[1]Raw Data'!$A$3:$FB$285,75,FALSE)</f>
        <v/>
      </c>
      <c r="BS228" s="27" t="str">
        <f>VLOOKUP($A228,'[1]Raw Data'!$A$3:$FB$285,76,FALSE)</f>
        <v/>
      </c>
      <c r="BT228" s="27" t="str">
        <f t="shared" si="31"/>
        <v/>
      </c>
      <c r="BU228" s="27" t="str">
        <f>VLOOKUP($A228,'[1]Raw Data'!$A$3:$FB$285,77,FALSE)</f>
        <v/>
      </c>
      <c r="BV228" s="27">
        <f>VLOOKUP($A228,'[1]Raw Data'!$A$3:$FB$285,78,FALSE)</f>
        <v>10862</v>
      </c>
      <c r="BW228" s="27" t="str">
        <f>VLOOKUP($A228,'[1]Raw Data'!$A$3:$FB$285,79,FALSE)</f>
        <v/>
      </c>
      <c r="BX228" s="27" t="str">
        <f t="shared" si="32"/>
        <v/>
      </c>
      <c r="BY228" s="27" t="str">
        <f>VLOOKUP($A228,'[1]Raw Data'!$A$3:$FB$285,80,FALSE)</f>
        <v/>
      </c>
      <c r="BZ228" s="27">
        <f>VLOOKUP($A228,'[1]Raw Data'!$A$3:$FB$285,81,FALSE)</f>
        <v>37729</v>
      </c>
      <c r="CA228" s="27" t="str">
        <f>VLOOKUP($A228,'[1]Raw Data'!$A$3:$FB$285,82,FALSE)</f>
        <v/>
      </c>
      <c r="CB228" s="27" t="str">
        <f t="shared" si="33"/>
        <v/>
      </c>
      <c r="CC228" s="27" t="str">
        <f>VLOOKUP($A228,'[1]Raw Data'!$A$3:$FB$285,83,FALSE)</f>
        <v/>
      </c>
      <c r="CD228" s="27">
        <f>VLOOKUP($A228,'[1]Raw Data'!$A$3:$FB$285,84,FALSE)</f>
        <v>443</v>
      </c>
      <c r="CE228" s="27" t="str">
        <f>VLOOKUP($A228,'[1]Raw Data'!$A$3:$FB$285,85,FALSE)</f>
        <v/>
      </c>
      <c r="CF228" s="27" t="str">
        <f t="shared" si="34"/>
        <v/>
      </c>
      <c r="CG228" s="27" t="str">
        <f>VLOOKUP($A228,'[1]Raw Data'!$A$3:$FB$285,86,FALSE)</f>
        <v/>
      </c>
      <c r="CH228" s="27">
        <f>VLOOKUP($A228,'[1]Raw Data'!$A$3:$FB$285,87,FALSE)</f>
        <v>33267</v>
      </c>
      <c r="CI228" s="27" t="str">
        <f>VLOOKUP($A228,'[1]Raw Data'!$A$3:$FB$285,88,FALSE)</f>
        <v/>
      </c>
      <c r="CJ228" s="27" t="str">
        <f t="shared" si="35"/>
        <v/>
      </c>
      <c r="CK228" s="27" t="str">
        <f>VLOOKUP($A228,'[1]Raw Data'!$A$3:$FB$285,89,FALSE)</f>
        <v/>
      </c>
      <c r="CL228" s="27" t="str">
        <f>VLOOKUP($A228,'[1]Raw Data'!$A$3:$FB$285,91,FALSE)</f>
        <v/>
      </c>
      <c r="CM228" s="27" t="str">
        <f>VLOOKUP($A228,'[1]Raw Data'!$A$3:$FB$285,93,FALSE)</f>
        <v/>
      </c>
      <c r="CN228" s="27" t="str">
        <f>VLOOKUP($A228,'[1]Raw Data'!$A$3:$FB$285,94,FALSE)</f>
        <v/>
      </c>
      <c r="CO228" s="27" t="str">
        <f>VLOOKUP($A228,'[1]Raw Data'!$A$3:$FB$285,95,FALSE)</f>
        <v/>
      </c>
      <c r="CP228" s="27" t="str">
        <f>VLOOKUP($A228,'[1]Raw Data'!$A$3:$FB$285,96,FALSE)</f>
        <v/>
      </c>
      <c r="CQ228" s="27" t="str">
        <f>VLOOKUP($A228,'[1]Raw Data'!$A$3:$FB$285,97,FALSE)</f>
        <v/>
      </c>
      <c r="CR228" s="27" t="str">
        <f>VLOOKUP($A228,'[1]Raw Data'!$A$3:$FB$285,98,FALSE)</f>
        <v/>
      </c>
      <c r="CS228" s="27" t="str">
        <f>VLOOKUP($A228,'[1]Raw Data'!$A$3:$FB$285,99,FALSE)</f>
        <v/>
      </c>
      <c r="CT228" s="27" t="str">
        <f>VLOOKUP($A228,'[1]Raw Data'!$A$3:$FB$285,101,FALSE)</f>
        <v/>
      </c>
      <c r="CV228" s="27" t="str">
        <f>VLOOKUP($A228,'[1]Raw Data'!$A$3:$FB$285,102,FALSE)</f>
        <v>Chairman</v>
      </c>
      <c r="CW228" s="27" t="s">
        <v>878</v>
      </c>
      <c r="CX228" s="27" t="str">
        <f>VLOOKUP($A228,'[1]Raw Data'!$A$3:$FB$285,103,FALSE)</f>
        <v/>
      </c>
      <c r="CY228" s="27" t="str">
        <f>VLOOKUP($A228,'[1]Raw Data'!$A$3:$FB$285,105,FALSE)</f>
        <v/>
      </c>
      <c r="DA228" s="27" t="str">
        <f>VLOOKUP($A228,'[1]Raw Data'!$A$3:$FB$285,106,FALSE)</f>
        <v>Deputy Chairman</v>
      </c>
      <c r="DB228" s="27" t="s">
        <v>879</v>
      </c>
      <c r="DC228" s="27" t="str">
        <f>VLOOKUP($A228,'[1]Raw Data'!$A$3:$FB$285,107,FALSE)</f>
        <v/>
      </c>
      <c r="DD228" s="27" t="str">
        <f>VLOOKUP($A228,'[1]Raw Data'!$A$3:$FB$285,109,FALSE)</f>
        <v/>
      </c>
      <c r="DF228" s="27" t="str">
        <f>VLOOKUP($A228,'[1]Raw Data'!$A$3:$FB$285,110,FALSE)</f>
        <v>Chief Adminstration Officer</v>
      </c>
      <c r="DG228" s="27" t="s">
        <v>880</v>
      </c>
      <c r="DH228" s="27" t="str">
        <f>VLOOKUP($A228,'[1]Raw Data'!$A$3:$FB$285,111,FALSE)</f>
        <v/>
      </c>
      <c r="DI228" s="27" t="str">
        <f>VLOOKUP($A228,'[1]Raw Data'!$A$3:$FB$285,121,FALSE)</f>
        <v/>
      </c>
      <c r="DK228" s="27" t="str">
        <f>VLOOKUP($A228,'[1]Raw Data'!$A$3:$FB$285,122,FALSE)</f>
        <v>Focal Person</v>
      </c>
      <c r="DL228" s="27" t="s">
        <v>881</v>
      </c>
      <c r="DM228" s="27" t="str">
        <f>VLOOKUP($A228,'[1]Raw Data'!$A$3:$FB$285,123,FALSE)</f>
        <v/>
      </c>
      <c r="DN228" s="27" t="str">
        <f>VLOOKUP($A228,'[1]Raw Data'!$A$3:$FB$285,113,FALSE)</f>
        <v/>
      </c>
      <c r="DP228" s="27" t="str">
        <f>VLOOKUP($A228,'[1]Raw Data'!$A$3:$FB$285,114,FALSE)</f>
        <v>NRA Chief-District</v>
      </c>
      <c r="DQ228" s="27" t="s">
        <v>882</v>
      </c>
      <c r="DR228" s="27" t="str">
        <f>VLOOKUP($A228,'[1]Raw Data'!$A$3:$FB$285,115,FALSE)</f>
        <v/>
      </c>
      <c r="DS228" s="27" t="str">
        <f>VLOOKUP($A228,'[1]Raw Data'!$A$3:$FB$285,117,FALSE)</f>
        <v/>
      </c>
      <c r="DU228" s="27" t="str">
        <f>VLOOKUP($A228,'[1]Raw Data'!$A$3:$FB$285,118,FALSE)</f>
        <v>DUDBC.DLPIU Chief</v>
      </c>
      <c r="DV228" s="27" t="s">
        <v>883</v>
      </c>
      <c r="DW228" s="27" t="str">
        <f>VLOOKUP($A228,'[1]Raw Data'!$A$3:$FB$285,119,FALSE)</f>
        <v/>
      </c>
      <c r="DX228" s="27" t="s">
        <v>339</v>
      </c>
      <c r="DY228" s="27" t="str">
        <f>VLOOKUP($A228,'[1]Raw Data'!$A$3:$FB$285,124,FALSE)</f>
        <v/>
      </c>
      <c r="DZ228" s="27" t="s">
        <v>884</v>
      </c>
      <c r="EA228" s="27" t="str">
        <f>VLOOKUP($A228,'[1]Raw Data'!$A$3:$FB$285,125,FALSE)</f>
        <v/>
      </c>
      <c r="EB228" s="27" t="s">
        <v>341</v>
      </c>
      <c r="EC228" s="27" t="str">
        <f>VLOOKUP($A228,'[1]Raw Data'!$A$3:$FB$285,126,FALSE)</f>
        <v/>
      </c>
      <c r="ED228" t="s">
        <v>478</v>
      </c>
      <c r="EE228" s="27" t="str">
        <f>VLOOKUP($A228,'[1]Raw Data'!$A$3:$FB$285,127,FALSE)</f>
        <v/>
      </c>
      <c r="EF228" s="27" t="s">
        <v>343</v>
      </c>
      <c r="EG228" s="27" t="str">
        <f>VLOOKUP($A228,'[1]Raw Data'!$A$3:$FB$285,128,FALSE)</f>
        <v/>
      </c>
      <c r="EH228" t="s">
        <v>344</v>
      </c>
      <c r="EI228" s="27" t="str">
        <f>VLOOKUP($A228,'[1]Raw Data'!$A$3:$FB$285,129,FALSE)</f>
        <v/>
      </c>
      <c r="EM228" s="27" t="str">
        <f>VLOOKUP($A228,'[1]Raw Data'!$A$3:$FB$285,130,FALSE)</f>
        <v/>
      </c>
      <c r="EN228" s="27" t="str">
        <f>VLOOKUP($A228,'[1]Raw Data'!$A$3:$FB$285,131,FALSE)</f>
        <v/>
      </c>
      <c r="EO228" s="27" t="str">
        <f>VLOOKUP($A228,'[1]Raw Data'!$A$3:$FB$285,132,FALSE)</f>
        <v/>
      </c>
      <c r="EP228" s="27" t="str">
        <f>VLOOKUP($A228,'[1]Raw Data'!$A$3:$FB$285,133,FALSE)</f>
        <v/>
      </c>
      <c r="EQ228" s="27" t="str">
        <f>VLOOKUP($A228,'[1]Raw Data'!$A$3:$FB$285,134,FALSE)</f>
        <v/>
      </c>
      <c r="ER228" s="27" t="str">
        <f>VLOOKUP($A228,'[1]Raw Data'!$A$3:$FB$285,135,FALSE)</f>
        <v/>
      </c>
      <c r="ES228" s="27" t="str">
        <f>VLOOKUP($A228,'[1]Raw Data'!$A$3:$FB$285,136,FALSE)</f>
        <v/>
      </c>
      <c r="ET228" s="27" t="str">
        <f>VLOOKUP($A228,'[1]Raw Data'!$A$3:$FB$285,137,FALSE)</f>
        <v/>
      </c>
      <c r="EU228" s="27" t="str">
        <f>VLOOKUP($A228,'[1]Raw Data'!$A$3:$FB$285,138,FALSE)</f>
        <v/>
      </c>
      <c r="EV228" s="27" t="str">
        <f>VLOOKUP($A228,'[1]Raw Data'!$A$3:$FB$285,139,FALSE)</f>
        <v/>
      </c>
      <c r="EW228" s="38">
        <f>VLOOKUP($A228,[1]Training!$A$2:$I$284,5,FALSE)</f>
        <v>14.384615384615385</v>
      </c>
      <c r="EX228" s="31">
        <f>VLOOKUP($A228,[1]Training!$A$2:$I$284,6,FALSE)</f>
        <v>0</v>
      </c>
      <c r="EY228" s="38">
        <f>VLOOKUP($A228,[1]Training!$A$2:$I$284,8,FALSE)</f>
        <v>17</v>
      </c>
      <c r="EZ228" s="31">
        <f>VLOOKUP($A228,[1]Training!$A$2:$I$284,9,FALSE)</f>
        <v>0</v>
      </c>
      <c r="FA228" s="27">
        <v>1</v>
      </c>
      <c r="FB228" s="27">
        <v>2</v>
      </c>
      <c r="FC228" s="27" t="str">
        <f>VLOOKUP($A228,'[1]Raw Data'!$A$3:$FB$285,148,FALSE)</f>
        <v/>
      </c>
      <c r="FE228" s="27" t="str">
        <f>VLOOKUP($A228,'[1]Raw Data'!$A$3:$FB$285,149,FALSE)</f>
        <v>District Coordinator</v>
      </c>
      <c r="FF228" s="27" t="s">
        <v>885</v>
      </c>
      <c r="FG228" s="27" t="str">
        <f>VLOOKUP($A228,'[1]Raw Data'!$A$3:$FB$285,150,FALSE)</f>
        <v/>
      </c>
      <c r="FH228" s="27" t="str">
        <f>VLOOKUP($A228,'[1]Raw Data'!$A$3:$FB$285,156,FALSE)</f>
        <v/>
      </c>
      <c r="FJ228" s="27" t="str">
        <f>VLOOKUP($A228,'[1]Raw Data'!$A$3:$FB$285,157,FALSE)</f>
        <v>District Technical Officer</v>
      </c>
      <c r="FK228" s="27" t="s">
        <v>886</v>
      </c>
      <c r="FL228" s="27" t="str">
        <f>VLOOKUP($A228,'[1]Raw Data'!$A$3:$FB$285,158,FALSE)</f>
        <v/>
      </c>
      <c r="FM228" s="27" t="str">
        <f>VLOOKUP($A228,'[1]Raw Data'!$A$3:$FB$285,152,FALSE)</f>
        <v/>
      </c>
      <c r="FO228" s="27" t="str">
        <f>VLOOKUP($A228,'[1]Raw Data'!$A$3:$FB$285,153,FALSE)</f>
        <v>DIstrict Information Management Officer</v>
      </c>
      <c r="FP228" s="27" t="s">
        <v>887</v>
      </c>
      <c r="FQ228" s="27" t="str">
        <f>VLOOKUP($A228,'[1]Raw Data'!$A$3:$FB$285,154,FALSE)</f>
        <v/>
      </c>
    </row>
    <row r="229" spans="1:173" ht="24" x14ac:dyDescent="0.45">
      <c r="A229" s="27">
        <v>44003</v>
      </c>
      <c r="B229" s="36" t="str">
        <f ca="1">IFERROR(__xludf.DUMMYFUNCTION("""COMPUTED_VALUE"""),"Kushma Nagarpalika")</f>
        <v>Kushma Nagarpalika</v>
      </c>
      <c r="C229" s="37" t="str">
        <f>VLOOKUP(A229,'[1]Palika and District in Nepali '!$D$1:$F$283,3,FALSE)</f>
        <v>कुश्मा गाउँपालिका</v>
      </c>
      <c r="D229" s="36" t="str">
        <f ca="1">IFERROR(__xludf.DUMMYFUNCTION("""COMPUTED_VALUE"""),"Parbat")</f>
        <v>Parbat</v>
      </c>
      <c r="E229" s="36"/>
      <c r="F229" s="27">
        <f>VLOOKUP(A229,'[1]Raw Data'!$A$3:$FB$285,4,FALSE)</f>
        <v>1627</v>
      </c>
      <c r="G229" s="27">
        <f>VLOOKUP(A229,'[1]Raw Data'!$A$3:$FB$285,5,FALSE)</f>
        <v>1024</v>
      </c>
      <c r="H229" s="27">
        <f>VLOOKUP(A229,'[1]Raw Data'!$A$3:$FB$285,6,FALSE)</f>
        <v>2651</v>
      </c>
      <c r="I229" s="27">
        <f>VLOOKUP($A229,'[1]Raw Data'!$A$3:$FB$285,8,FALSE)</f>
        <v>0.38</v>
      </c>
      <c r="J229" s="27">
        <f>VLOOKUP($A229,'[1]Raw Data'!$A$3:$FB$285,9,FALSE)</f>
        <v>0.59</v>
      </c>
      <c r="K229" s="27">
        <f>VLOOKUP($A229,'[1]Raw Data'!$A$3:$FB$285,11,FALSE)</f>
        <v>81.67</v>
      </c>
      <c r="L229" s="27">
        <f>VLOOKUP($A229,'[1]Raw Data'!$A$3:$FB$285,12,FALSE)</f>
        <v>88.88</v>
      </c>
      <c r="M229" s="27">
        <f>VLOOKUP($A229,'[1]Raw Data'!$A$3:$FB$285,14,FALSE)</f>
        <v>1.58</v>
      </c>
      <c r="N229" s="27">
        <f>VLOOKUP($A229,'[1]Raw Data'!$A$3:$FB$285,15,FALSE)</f>
        <v>0.68</v>
      </c>
      <c r="O229" s="27">
        <f>VLOOKUP($A229,'[1]Raw Data'!$A$3:$FB$285,17,FALSE)</f>
        <v>1.96</v>
      </c>
      <c r="P229" s="27">
        <f>VLOOKUP($A229,'[1]Raw Data'!$A$3:$FB$285,18,FALSE)</f>
        <v>0.69</v>
      </c>
      <c r="Q229" s="27">
        <f>VLOOKUP($A229,'[1]Raw Data'!$A$3:$FB$285,20,FALSE)</f>
        <v>0</v>
      </c>
      <c r="R229" s="27">
        <f>VLOOKUP($A229,'[1]Raw Data'!$A$3:$FB$285,21,FALSE)</f>
        <v>0.34</v>
      </c>
      <c r="S229" s="27">
        <f>VLOOKUP($A229,'[1]Raw Data'!$A$3:$FB$285,23,FALSE)</f>
        <v>0</v>
      </c>
      <c r="T229" s="27">
        <f>VLOOKUP($A229,'[1]Raw Data'!$A$3:$FB$285,24,FALSE)</f>
        <v>0</v>
      </c>
      <c r="U229" s="27">
        <f>VLOOKUP($A229,'[1]Raw Data'!$A$3:$FB$285,26,FALSE)</f>
        <v>0.19</v>
      </c>
      <c r="V229" s="27">
        <f>VLOOKUP($A229,'[1]Raw Data'!$A$3:$FB$285,27,FALSE)</f>
        <v>0.2</v>
      </c>
      <c r="W229" s="27">
        <f>VLOOKUP($A229,'[1]Raw Data'!$A$3:$FB$285,29,FALSE)</f>
        <v>0</v>
      </c>
      <c r="X229" s="27">
        <f>VLOOKUP($A229,'[1]Raw Data'!$A$3:$FB$285,30,FALSE)</f>
        <v>0</v>
      </c>
      <c r="Y229" s="27">
        <f>VLOOKUP($A229,'[1]Raw Data'!$A$3:$FB$285,32,FALSE)</f>
        <v>0.04</v>
      </c>
      <c r="Z229" s="27">
        <f>VLOOKUP($A229,'[1]Raw Data'!$A$3:$FB$285,33,FALSE)</f>
        <v>0.04</v>
      </c>
      <c r="AA229" s="27">
        <f>VLOOKUP($A229,'[1]Raw Data'!$A$3:$FB$285,35,FALSE)</f>
        <v>14.15</v>
      </c>
      <c r="AB229" s="27">
        <f>VLOOKUP($A229,'[1]Raw Data'!$A$3:$FB$285,36,FALSE)</f>
        <v>8.2799999999999994</v>
      </c>
      <c r="AC229" s="27">
        <f>VLOOKUP($A229,'[1]Raw Data'!$A$3:$FB$285,38,FALSE)</f>
        <v>0.04</v>
      </c>
      <c r="AD229" s="27">
        <f>VLOOKUP($A229,'[1]Raw Data'!$A$3:$FB$285,39,FALSE)</f>
        <v>0.3</v>
      </c>
      <c r="AE229" s="27">
        <f>VLOOKUP($A229,'[1]Raw Data'!$A$3:$FB$285,41,FALSE)</f>
        <v>0</v>
      </c>
      <c r="AF229" s="27">
        <f>VLOOKUP($A229,'[1]Raw Data'!$A$3:$FB$285,42,FALSE)</f>
        <v>0</v>
      </c>
      <c r="AG229" s="27">
        <f>VLOOKUP($A229,'[1]Raw Data'!$A$3:$FB$285,44,FALSE)</f>
        <v>0</v>
      </c>
      <c r="AH229" s="27">
        <f>VLOOKUP($A229,'[1]Raw Data'!$A$3:$FB$285,45,FALSE)</f>
        <v>0</v>
      </c>
      <c r="AI229" s="27">
        <f>VLOOKUP($A229,'[1]Raw Data'!$A$3:$FB$285,46,FALSE)</f>
        <v>943</v>
      </c>
      <c r="AJ229" s="27">
        <f>VLOOKUP($A229,'[1]Raw Data'!$A$3:$FB$285,47,FALSE)</f>
        <v>346</v>
      </c>
      <c r="AK229" s="27">
        <f>VLOOKUP($A229,'[1]Raw Data'!$A$3:$FB$285,48,FALSE)</f>
        <v>346</v>
      </c>
      <c r="AL229" s="27">
        <f>VLOOKUP($A229,'[1]Raw Data'!$A$3:$FB$285,49,FALSE)</f>
        <v>132</v>
      </c>
      <c r="AM229" s="27">
        <f>VLOOKUP($A229,'[1]Raw Data'!$A$3:$FB$285,50,FALSE)</f>
        <v>0</v>
      </c>
      <c r="AN229" s="27" t="str">
        <f>VLOOKUP($A229,'[1]Raw Data'!$A$3:$FB$285,51,FALSE)</f>
        <v/>
      </c>
      <c r="AO229" s="27" t="str">
        <f>VLOOKUP($A229,'[1]Raw Data'!$A$3:$FB$285,52,FALSE)</f>
        <v/>
      </c>
      <c r="AP229" s="27">
        <f>VLOOKUP($A229,'[1]Raw Data'!$A$3:$FB$285,53,FALSE)</f>
        <v>23</v>
      </c>
      <c r="AQ229" s="27" t="str">
        <f>VLOOKUP($A229,'[1]Raw Data'!$A$3:$FB$285,54,FALSE)</f>
        <v/>
      </c>
      <c r="AR229" s="27" t="str">
        <f>VLOOKUP($A229,'[1]Raw Data'!$A$3:$FB$285,55,FALSE)</f>
        <v/>
      </c>
      <c r="AS229" s="27" t="str">
        <f>VLOOKUP($A229,'[1]Raw Data'!$A$3:$FB$285,56,FALSE)</f>
        <v/>
      </c>
      <c r="AT229" s="27" t="str">
        <f>VLOOKUP($A229,'[1]Raw Data'!$A$3:$FB$285,57,FALSE)</f>
        <v/>
      </c>
      <c r="AU229" s="27" t="str">
        <f>VLOOKUP($A229,'[1]Raw Data'!$A$3:$FB$285,58,FALSE)</f>
        <v/>
      </c>
      <c r="AV229" s="27" t="str">
        <f>VLOOKUP($A229,'[1]Raw Data'!$A$3:$FB$285,59,FALSE)</f>
        <v/>
      </c>
      <c r="AW229" s="27" t="str">
        <f>VLOOKUP($A229,'[1]Raw Data'!$A$3:$FB$285,60,FALSE)</f>
        <v/>
      </c>
      <c r="AX229" s="27" t="str">
        <f>VLOOKUP(A229,'[1]PO''s List'!A227:E509,4,FALSE)</f>
        <v/>
      </c>
      <c r="AZ229" s="27" t="str">
        <f>VLOOKUP(A229,'[1]PO''s List'!$A$3:$E$285,5,FALSE)</f>
        <v/>
      </c>
      <c r="BB229" s="27">
        <f>VLOOKUP($A229,'[1]Raw Data'!$A$3:$FB$285,63,FALSE)</f>
        <v>9877</v>
      </c>
      <c r="BC229" s="27" t="str">
        <f>VLOOKUP($A229,'[1]Raw Data'!$A$3:$FB$285,64,FALSE)</f>
        <v/>
      </c>
      <c r="BD229" s="27" t="str">
        <f t="shared" si="27"/>
        <v/>
      </c>
      <c r="BE229" s="27" t="str">
        <f>VLOOKUP($A229,'[1]Raw Data'!$A$3:$FB$285,65,FALSE)</f>
        <v/>
      </c>
      <c r="BF229" s="27">
        <f>VLOOKUP($A229,'[1]Raw Data'!$A$3:$FB$285,66,FALSE)</f>
        <v>10165</v>
      </c>
      <c r="BG229" s="27" t="str">
        <f>VLOOKUP($A229,'[1]Raw Data'!$A$3:$FB$285,67,FALSE)</f>
        <v/>
      </c>
      <c r="BH229" s="27" t="str">
        <f t="shared" si="28"/>
        <v/>
      </c>
      <c r="BI229" s="27" t="str">
        <f>VLOOKUP($A229,'[1]Raw Data'!$A$3:$FB$285,68,FALSE)</f>
        <v/>
      </c>
      <c r="BJ229" s="27">
        <f>VLOOKUP($A229,'[1]Raw Data'!$A$3:$FB$285,69,FALSE)</f>
        <v>1055</v>
      </c>
      <c r="BK229" s="27" t="str">
        <f>VLOOKUP($A229,'[1]Raw Data'!$A$3:$FB$285,70,FALSE)</f>
        <v/>
      </c>
      <c r="BL229" s="27" t="str">
        <f t="shared" si="29"/>
        <v/>
      </c>
      <c r="BM229" s="27" t="str">
        <f>VLOOKUP($A229,'[1]Raw Data'!$A$3:$FB$285,71,FALSE)</f>
        <v/>
      </c>
      <c r="BN229" s="27">
        <f>VLOOKUP($A229,'[1]Raw Data'!$A$3:$FB$285,72,FALSE)</f>
        <v>1220</v>
      </c>
      <c r="BO229" s="27" t="str">
        <f>VLOOKUP($A229,'[1]Raw Data'!$A$3:$FB$285,73,FALSE)</f>
        <v/>
      </c>
      <c r="BP229" s="27" t="str">
        <f t="shared" si="30"/>
        <v/>
      </c>
      <c r="BQ229" s="27" t="str">
        <f>VLOOKUP($A229,'[1]Raw Data'!$A$3:$FB$285,74,FALSE)</f>
        <v/>
      </c>
      <c r="BR229" s="27" t="str">
        <f>VLOOKUP($A229,'[1]Raw Data'!$A$3:$FB$285,75,FALSE)</f>
        <v/>
      </c>
      <c r="BS229" s="27" t="str">
        <f>VLOOKUP($A229,'[1]Raw Data'!$A$3:$FB$285,76,FALSE)</f>
        <v/>
      </c>
      <c r="BT229" s="27" t="str">
        <f t="shared" si="31"/>
        <v/>
      </c>
      <c r="BU229" s="27" t="str">
        <f>VLOOKUP($A229,'[1]Raw Data'!$A$3:$FB$285,77,FALSE)</f>
        <v/>
      </c>
      <c r="BV229" s="27">
        <f>VLOOKUP($A229,'[1]Raw Data'!$A$3:$FB$285,78,FALSE)</f>
        <v>33839</v>
      </c>
      <c r="BW229" s="27" t="str">
        <f>VLOOKUP($A229,'[1]Raw Data'!$A$3:$FB$285,79,FALSE)</f>
        <v/>
      </c>
      <c r="BX229" s="27" t="str">
        <f t="shared" si="32"/>
        <v/>
      </c>
      <c r="BY229" s="27" t="str">
        <f>VLOOKUP($A229,'[1]Raw Data'!$A$3:$FB$285,80,FALSE)</f>
        <v/>
      </c>
      <c r="BZ229" s="27">
        <f>VLOOKUP($A229,'[1]Raw Data'!$A$3:$FB$285,81,FALSE)</f>
        <v>107243</v>
      </c>
      <c r="CA229" s="27" t="str">
        <f>VLOOKUP($A229,'[1]Raw Data'!$A$3:$FB$285,82,FALSE)</f>
        <v/>
      </c>
      <c r="CB229" s="27" t="str">
        <f t="shared" si="33"/>
        <v/>
      </c>
      <c r="CC229" s="27" t="str">
        <f>VLOOKUP($A229,'[1]Raw Data'!$A$3:$FB$285,83,FALSE)</f>
        <v/>
      </c>
      <c r="CD229" s="27">
        <f>VLOOKUP($A229,'[1]Raw Data'!$A$3:$FB$285,84,FALSE)</f>
        <v>1384</v>
      </c>
      <c r="CE229" s="27" t="str">
        <f>VLOOKUP($A229,'[1]Raw Data'!$A$3:$FB$285,85,FALSE)</f>
        <v/>
      </c>
      <c r="CF229" s="27" t="str">
        <f t="shared" si="34"/>
        <v/>
      </c>
      <c r="CG229" s="27" t="str">
        <f>VLOOKUP($A229,'[1]Raw Data'!$A$3:$FB$285,86,FALSE)</f>
        <v/>
      </c>
      <c r="CH229" s="27">
        <f>VLOOKUP($A229,'[1]Raw Data'!$A$3:$FB$285,87,FALSE)</f>
        <v>120325</v>
      </c>
      <c r="CI229" s="27" t="str">
        <f>VLOOKUP($A229,'[1]Raw Data'!$A$3:$FB$285,88,FALSE)</f>
        <v/>
      </c>
      <c r="CJ229" s="27" t="str">
        <f t="shared" si="35"/>
        <v/>
      </c>
      <c r="CK229" s="27" t="str">
        <f>VLOOKUP($A229,'[1]Raw Data'!$A$3:$FB$285,89,FALSE)</f>
        <v/>
      </c>
      <c r="CL229" s="27" t="str">
        <f>VLOOKUP($A229,'[1]Raw Data'!$A$3:$FB$285,91,FALSE)</f>
        <v/>
      </c>
      <c r="CM229" s="27" t="str">
        <f>VLOOKUP($A229,'[1]Raw Data'!$A$3:$FB$285,93,FALSE)</f>
        <v/>
      </c>
      <c r="CN229" s="27" t="str">
        <f>VLOOKUP($A229,'[1]Raw Data'!$A$3:$FB$285,94,FALSE)</f>
        <v/>
      </c>
      <c r="CO229" s="27" t="str">
        <f>VLOOKUP($A229,'[1]Raw Data'!$A$3:$FB$285,95,FALSE)</f>
        <v/>
      </c>
      <c r="CP229" s="27" t="str">
        <f>VLOOKUP($A229,'[1]Raw Data'!$A$3:$FB$285,96,FALSE)</f>
        <v/>
      </c>
      <c r="CQ229" s="27" t="str">
        <f>VLOOKUP($A229,'[1]Raw Data'!$A$3:$FB$285,97,FALSE)</f>
        <v/>
      </c>
      <c r="CR229" s="27" t="str">
        <f>VLOOKUP($A229,'[1]Raw Data'!$A$3:$FB$285,98,FALSE)</f>
        <v/>
      </c>
      <c r="CS229" s="27" t="str">
        <f>VLOOKUP($A229,'[1]Raw Data'!$A$3:$FB$285,99,FALSE)</f>
        <v/>
      </c>
      <c r="CT229" s="27" t="str">
        <f>VLOOKUP($A229,'[1]Raw Data'!$A$3:$FB$285,101,FALSE)</f>
        <v/>
      </c>
      <c r="CV229" s="27" t="str">
        <f>VLOOKUP($A229,'[1]Raw Data'!$A$3:$FB$285,102,FALSE)</f>
        <v>Mayor</v>
      </c>
      <c r="CW229" s="27" t="s">
        <v>834</v>
      </c>
      <c r="CX229" s="27" t="str">
        <f>VLOOKUP($A229,'[1]Raw Data'!$A$3:$FB$285,103,FALSE)</f>
        <v/>
      </c>
      <c r="CY229" s="27" t="str">
        <f>VLOOKUP($A229,'[1]Raw Data'!$A$3:$FB$285,105,FALSE)</f>
        <v/>
      </c>
      <c r="DA229" s="27" t="str">
        <f>VLOOKUP($A229,'[1]Raw Data'!$A$3:$FB$285,106,FALSE)</f>
        <v>Deputy Mayor</v>
      </c>
      <c r="DB229" s="27" t="s">
        <v>888</v>
      </c>
      <c r="DC229" s="27" t="str">
        <f>VLOOKUP($A229,'[1]Raw Data'!$A$3:$FB$285,107,FALSE)</f>
        <v/>
      </c>
      <c r="DD229" s="27" t="str">
        <f>VLOOKUP($A229,'[1]Raw Data'!$A$3:$FB$285,109,FALSE)</f>
        <v/>
      </c>
      <c r="DF229" s="27" t="str">
        <f>VLOOKUP($A229,'[1]Raw Data'!$A$3:$FB$285,110,FALSE)</f>
        <v>Chief Adminstration Officer</v>
      </c>
      <c r="DG229" s="27" t="s">
        <v>880</v>
      </c>
      <c r="DH229" s="27" t="str">
        <f>VLOOKUP($A229,'[1]Raw Data'!$A$3:$FB$285,111,FALSE)</f>
        <v/>
      </c>
      <c r="DI229" s="27" t="str">
        <f>VLOOKUP($A229,'[1]Raw Data'!$A$3:$FB$285,121,FALSE)</f>
        <v/>
      </c>
      <c r="DK229" s="27" t="str">
        <f>VLOOKUP($A229,'[1]Raw Data'!$A$3:$FB$285,122,FALSE)</f>
        <v>Focal Person</v>
      </c>
      <c r="DL229" s="27" t="s">
        <v>881</v>
      </c>
      <c r="DM229" s="27" t="str">
        <f>VLOOKUP($A229,'[1]Raw Data'!$A$3:$FB$285,123,FALSE)</f>
        <v/>
      </c>
      <c r="DN229" s="27" t="str">
        <f>VLOOKUP($A229,'[1]Raw Data'!$A$3:$FB$285,113,FALSE)</f>
        <v/>
      </c>
      <c r="DP229" s="27" t="str">
        <f>VLOOKUP($A229,'[1]Raw Data'!$A$3:$FB$285,114,FALSE)</f>
        <v>NRA Chief-District</v>
      </c>
      <c r="DQ229" s="27" t="s">
        <v>882</v>
      </c>
      <c r="DR229" s="27" t="str">
        <f>VLOOKUP($A229,'[1]Raw Data'!$A$3:$FB$285,115,FALSE)</f>
        <v/>
      </c>
      <c r="DS229" s="27" t="str">
        <f>VLOOKUP($A229,'[1]Raw Data'!$A$3:$FB$285,117,FALSE)</f>
        <v/>
      </c>
      <c r="DU229" s="27" t="str">
        <f>VLOOKUP($A229,'[1]Raw Data'!$A$3:$FB$285,118,FALSE)</f>
        <v>DUDBC.DLPIU Chief</v>
      </c>
      <c r="DV229" s="27" t="s">
        <v>883</v>
      </c>
      <c r="DW229" s="27" t="str">
        <f>VLOOKUP($A229,'[1]Raw Data'!$A$3:$FB$285,119,FALSE)</f>
        <v/>
      </c>
      <c r="DX229" s="27" t="s">
        <v>339</v>
      </c>
      <c r="DY229" s="27" t="str">
        <f>VLOOKUP($A229,'[1]Raw Data'!$A$3:$FB$285,124,FALSE)</f>
        <v/>
      </c>
      <c r="DZ229" s="27" t="s">
        <v>884</v>
      </c>
      <c r="EA229" s="27" t="str">
        <f>VLOOKUP($A229,'[1]Raw Data'!$A$3:$FB$285,125,FALSE)</f>
        <v/>
      </c>
      <c r="EB229" s="27" t="s">
        <v>341</v>
      </c>
      <c r="EC229" s="27" t="str">
        <f>VLOOKUP($A229,'[1]Raw Data'!$A$3:$FB$285,126,FALSE)</f>
        <v/>
      </c>
      <c r="ED229" t="s">
        <v>478</v>
      </c>
      <c r="EE229" s="27" t="str">
        <f>VLOOKUP($A229,'[1]Raw Data'!$A$3:$FB$285,127,FALSE)</f>
        <v/>
      </c>
      <c r="EF229" s="27" t="s">
        <v>343</v>
      </c>
      <c r="EG229" s="27" t="str">
        <f>VLOOKUP($A229,'[1]Raw Data'!$A$3:$FB$285,128,FALSE)</f>
        <v/>
      </c>
      <c r="EH229" t="s">
        <v>344</v>
      </c>
      <c r="EI229" s="27" t="str">
        <f>VLOOKUP($A229,'[1]Raw Data'!$A$3:$FB$285,129,FALSE)</f>
        <v/>
      </c>
      <c r="EM229" s="27" t="str">
        <f>VLOOKUP($A229,'[1]Raw Data'!$A$3:$FB$285,130,FALSE)</f>
        <v/>
      </c>
      <c r="EN229" s="27" t="str">
        <f>VLOOKUP($A229,'[1]Raw Data'!$A$3:$FB$285,131,FALSE)</f>
        <v/>
      </c>
      <c r="EO229" s="27" t="str">
        <f>VLOOKUP($A229,'[1]Raw Data'!$A$3:$FB$285,132,FALSE)</f>
        <v/>
      </c>
      <c r="EP229" s="27" t="str">
        <f>VLOOKUP($A229,'[1]Raw Data'!$A$3:$FB$285,133,FALSE)</f>
        <v/>
      </c>
      <c r="EQ229" s="27" t="str">
        <f>VLOOKUP($A229,'[1]Raw Data'!$A$3:$FB$285,134,FALSE)</f>
        <v/>
      </c>
      <c r="ER229" s="27" t="str">
        <f>VLOOKUP($A229,'[1]Raw Data'!$A$3:$FB$285,135,FALSE)</f>
        <v/>
      </c>
      <c r="ES229" s="27" t="str">
        <f>VLOOKUP($A229,'[1]Raw Data'!$A$3:$FB$285,136,FALSE)</f>
        <v/>
      </c>
      <c r="ET229" s="27" t="str">
        <f>VLOOKUP($A229,'[1]Raw Data'!$A$3:$FB$285,137,FALSE)</f>
        <v/>
      </c>
      <c r="EU229" s="27" t="str">
        <f>VLOOKUP($A229,'[1]Raw Data'!$A$3:$FB$285,138,FALSE)</f>
        <v/>
      </c>
      <c r="EV229" s="27" t="str">
        <f>VLOOKUP($A229,'[1]Raw Data'!$A$3:$FB$285,139,FALSE)</f>
        <v/>
      </c>
      <c r="EW229" s="38">
        <f>VLOOKUP($A229,[1]Training!$A$2:$I$284,5,FALSE)</f>
        <v>72.538461538461533</v>
      </c>
      <c r="EX229" s="31">
        <f>VLOOKUP($A229,[1]Training!$A$2:$I$284,6,FALSE)</f>
        <v>0</v>
      </c>
      <c r="EY229" s="38">
        <f>VLOOKUP($A229,[1]Training!$A$2:$I$284,8,FALSE)</f>
        <v>85.727272727272734</v>
      </c>
      <c r="EZ229" s="31">
        <f>VLOOKUP($A229,[1]Training!$A$2:$I$284,9,FALSE)</f>
        <v>0</v>
      </c>
      <c r="FA229" s="27">
        <v>1</v>
      </c>
      <c r="FB229" s="27">
        <v>2</v>
      </c>
      <c r="FC229" s="27" t="str">
        <f>VLOOKUP($A229,'[1]Raw Data'!$A$3:$FB$285,148,FALSE)</f>
        <v/>
      </c>
      <c r="FE229" s="27" t="str">
        <f>VLOOKUP($A229,'[1]Raw Data'!$A$3:$FB$285,149,FALSE)</f>
        <v>District Coordinator</v>
      </c>
      <c r="FF229" s="27" t="s">
        <v>885</v>
      </c>
      <c r="FG229" s="27" t="str">
        <f>VLOOKUP($A229,'[1]Raw Data'!$A$3:$FB$285,150,FALSE)</f>
        <v/>
      </c>
      <c r="FH229" s="27" t="str">
        <f>VLOOKUP($A229,'[1]Raw Data'!$A$3:$FB$285,156,FALSE)</f>
        <v/>
      </c>
      <c r="FJ229" s="27" t="str">
        <f>VLOOKUP($A229,'[1]Raw Data'!$A$3:$FB$285,157,FALSE)</f>
        <v>District Technical Officer</v>
      </c>
      <c r="FK229" s="27" t="s">
        <v>886</v>
      </c>
      <c r="FL229" s="27" t="str">
        <f>VLOOKUP($A229,'[1]Raw Data'!$A$3:$FB$285,158,FALSE)</f>
        <v/>
      </c>
      <c r="FM229" s="27" t="str">
        <f>VLOOKUP($A229,'[1]Raw Data'!$A$3:$FB$285,152,FALSE)</f>
        <v/>
      </c>
      <c r="FO229" s="27" t="str">
        <f>VLOOKUP($A229,'[1]Raw Data'!$A$3:$FB$285,153,FALSE)</f>
        <v>DIstrict Information Management Officer</v>
      </c>
      <c r="FP229" s="27" t="s">
        <v>887</v>
      </c>
      <c r="FQ229" s="27" t="str">
        <f>VLOOKUP($A229,'[1]Raw Data'!$A$3:$FB$285,154,FALSE)</f>
        <v/>
      </c>
    </row>
    <row r="230" spans="1:173" ht="24" x14ac:dyDescent="0.45">
      <c r="A230" s="27">
        <v>44004</v>
      </c>
      <c r="B230" s="36" t="str">
        <f ca="1">IFERROR(__xludf.DUMMYFUNCTION("""COMPUTED_VALUE"""),"Mahashila Gaunpalika")</f>
        <v>Mahashila Gaunpalika</v>
      </c>
      <c r="C230" s="37" t="str">
        <f>VLOOKUP(A230,'[1]Palika and District in Nepali '!$D$1:$F$283,3,FALSE)</f>
        <v>महाशिला गाउँपालिका</v>
      </c>
      <c r="D230" s="36" t="str">
        <f ca="1">IFERROR(__xludf.DUMMYFUNCTION("""COMPUTED_VALUE"""),"Parbat")</f>
        <v>Parbat</v>
      </c>
      <c r="E230" s="36"/>
      <c r="F230" s="27">
        <f>VLOOKUP(A230,'[1]Raw Data'!$A$3:$FB$285,4,FALSE)</f>
        <v>111</v>
      </c>
      <c r="G230" s="27">
        <f>VLOOKUP(A230,'[1]Raw Data'!$A$3:$FB$285,5,FALSE)</f>
        <v>438</v>
      </c>
      <c r="H230" s="27">
        <f>VLOOKUP(A230,'[1]Raw Data'!$A$3:$FB$285,6,FALSE)</f>
        <v>549</v>
      </c>
      <c r="I230" s="27">
        <f>VLOOKUP($A230,'[1]Raw Data'!$A$3:$FB$285,8,FALSE)</f>
        <v>0.18</v>
      </c>
      <c r="J230" s="27">
        <f>VLOOKUP($A230,'[1]Raw Data'!$A$3:$FB$285,9,FALSE)</f>
        <v>0.59</v>
      </c>
      <c r="K230" s="27">
        <f>VLOOKUP($A230,'[1]Raw Data'!$A$3:$FB$285,11,FALSE)</f>
        <v>99.64</v>
      </c>
      <c r="L230" s="27">
        <f>VLOOKUP($A230,'[1]Raw Data'!$A$3:$FB$285,12,FALSE)</f>
        <v>88.88</v>
      </c>
      <c r="M230" s="27">
        <f>VLOOKUP($A230,'[1]Raw Data'!$A$3:$FB$285,14,FALSE)</f>
        <v>0</v>
      </c>
      <c r="N230" s="27">
        <f>VLOOKUP($A230,'[1]Raw Data'!$A$3:$FB$285,15,FALSE)</f>
        <v>0.68</v>
      </c>
      <c r="O230" s="27">
        <f>VLOOKUP($A230,'[1]Raw Data'!$A$3:$FB$285,17,FALSE)</f>
        <v>0</v>
      </c>
      <c r="P230" s="27">
        <f>VLOOKUP($A230,'[1]Raw Data'!$A$3:$FB$285,18,FALSE)</f>
        <v>0.69</v>
      </c>
      <c r="Q230" s="27">
        <f>VLOOKUP($A230,'[1]Raw Data'!$A$3:$FB$285,20,FALSE)</f>
        <v>0</v>
      </c>
      <c r="R230" s="27">
        <f>VLOOKUP($A230,'[1]Raw Data'!$A$3:$FB$285,21,FALSE)</f>
        <v>0.34</v>
      </c>
      <c r="S230" s="27">
        <f>VLOOKUP($A230,'[1]Raw Data'!$A$3:$FB$285,23,FALSE)</f>
        <v>0</v>
      </c>
      <c r="T230" s="27">
        <f>VLOOKUP($A230,'[1]Raw Data'!$A$3:$FB$285,24,FALSE)</f>
        <v>0</v>
      </c>
      <c r="U230" s="27">
        <f>VLOOKUP($A230,'[1]Raw Data'!$A$3:$FB$285,26,FALSE)</f>
        <v>0</v>
      </c>
      <c r="V230" s="27">
        <f>VLOOKUP($A230,'[1]Raw Data'!$A$3:$FB$285,27,FALSE)</f>
        <v>0.2</v>
      </c>
      <c r="W230" s="27">
        <f>VLOOKUP($A230,'[1]Raw Data'!$A$3:$FB$285,29,FALSE)</f>
        <v>0</v>
      </c>
      <c r="X230" s="27">
        <f>VLOOKUP($A230,'[1]Raw Data'!$A$3:$FB$285,30,FALSE)</f>
        <v>0</v>
      </c>
      <c r="Y230" s="27">
        <f>VLOOKUP($A230,'[1]Raw Data'!$A$3:$FB$285,32,FALSE)</f>
        <v>0</v>
      </c>
      <c r="Z230" s="27">
        <f>VLOOKUP($A230,'[1]Raw Data'!$A$3:$FB$285,33,FALSE)</f>
        <v>0.04</v>
      </c>
      <c r="AA230" s="27">
        <f>VLOOKUP($A230,'[1]Raw Data'!$A$3:$FB$285,35,FALSE)</f>
        <v>0.18</v>
      </c>
      <c r="AB230" s="27">
        <f>VLOOKUP($A230,'[1]Raw Data'!$A$3:$FB$285,36,FALSE)</f>
        <v>8.2799999999999994</v>
      </c>
      <c r="AC230" s="27">
        <f>VLOOKUP($A230,'[1]Raw Data'!$A$3:$FB$285,38,FALSE)</f>
        <v>0</v>
      </c>
      <c r="AD230" s="27">
        <f>VLOOKUP($A230,'[1]Raw Data'!$A$3:$FB$285,39,FALSE)</f>
        <v>0.3</v>
      </c>
      <c r="AE230" s="27">
        <f>VLOOKUP($A230,'[1]Raw Data'!$A$3:$FB$285,41,FALSE)</f>
        <v>0</v>
      </c>
      <c r="AF230" s="27">
        <f>VLOOKUP($A230,'[1]Raw Data'!$A$3:$FB$285,42,FALSE)</f>
        <v>0</v>
      </c>
      <c r="AG230" s="27">
        <f>VLOOKUP($A230,'[1]Raw Data'!$A$3:$FB$285,44,FALSE)</f>
        <v>0</v>
      </c>
      <c r="AH230" s="27">
        <f>VLOOKUP($A230,'[1]Raw Data'!$A$3:$FB$285,45,FALSE)</f>
        <v>0</v>
      </c>
      <c r="AI230" s="27">
        <f>VLOOKUP($A230,'[1]Raw Data'!$A$3:$FB$285,46,FALSE)</f>
        <v>386</v>
      </c>
      <c r="AJ230" s="27">
        <f>VLOOKUP($A230,'[1]Raw Data'!$A$3:$FB$285,47,FALSE)</f>
        <v>170</v>
      </c>
      <c r="AK230" s="27">
        <f>VLOOKUP($A230,'[1]Raw Data'!$A$3:$FB$285,48,FALSE)</f>
        <v>170</v>
      </c>
      <c r="AL230" s="27">
        <f>VLOOKUP($A230,'[1]Raw Data'!$A$3:$FB$285,49,FALSE)</f>
        <v>45</v>
      </c>
      <c r="AM230" s="27">
        <f>VLOOKUP($A230,'[1]Raw Data'!$A$3:$FB$285,50,FALSE)</f>
        <v>0</v>
      </c>
      <c r="AN230" s="27" t="str">
        <f>VLOOKUP($A230,'[1]Raw Data'!$A$3:$FB$285,51,FALSE)</f>
        <v/>
      </c>
      <c r="AO230" s="27" t="str">
        <f>VLOOKUP($A230,'[1]Raw Data'!$A$3:$FB$285,52,FALSE)</f>
        <v/>
      </c>
      <c r="AP230" s="27">
        <f>VLOOKUP($A230,'[1]Raw Data'!$A$3:$FB$285,53,FALSE)</f>
        <v>41</v>
      </c>
      <c r="AQ230" s="27" t="str">
        <f>VLOOKUP($A230,'[1]Raw Data'!$A$3:$FB$285,54,FALSE)</f>
        <v/>
      </c>
      <c r="AR230" s="27" t="str">
        <f>VLOOKUP($A230,'[1]Raw Data'!$A$3:$FB$285,55,FALSE)</f>
        <v/>
      </c>
      <c r="AS230" s="27" t="str">
        <f>VLOOKUP($A230,'[1]Raw Data'!$A$3:$FB$285,56,FALSE)</f>
        <v/>
      </c>
      <c r="AT230" s="27" t="str">
        <f>VLOOKUP($A230,'[1]Raw Data'!$A$3:$FB$285,57,FALSE)</f>
        <v/>
      </c>
      <c r="AU230" s="27" t="str">
        <f>VLOOKUP($A230,'[1]Raw Data'!$A$3:$FB$285,58,FALSE)</f>
        <v/>
      </c>
      <c r="AV230" s="27" t="str">
        <f>VLOOKUP($A230,'[1]Raw Data'!$A$3:$FB$285,59,FALSE)</f>
        <v/>
      </c>
      <c r="AW230" s="27" t="str">
        <f>VLOOKUP($A230,'[1]Raw Data'!$A$3:$FB$285,60,FALSE)</f>
        <v/>
      </c>
      <c r="AX230" s="27" t="str">
        <f>VLOOKUP(A230,'[1]PO''s List'!A228:E510,4,FALSE)</f>
        <v/>
      </c>
      <c r="AZ230" s="27" t="str">
        <f>VLOOKUP(A230,'[1]PO''s List'!$A$3:$E$285,5,FALSE)</f>
        <v/>
      </c>
      <c r="BB230" s="27">
        <f>VLOOKUP($A230,'[1]Raw Data'!$A$3:$FB$285,63,FALSE)</f>
        <v>4882</v>
      </c>
      <c r="BC230" s="27" t="str">
        <f>VLOOKUP($A230,'[1]Raw Data'!$A$3:$FB$285,64,FALSE)</f>
        <v/>
      </c>
      <c r="BD230" s="27" t="str">
        <f t="shared" si="27"/>
        <v/>
      </c>
      <c r="BE230" s="27" t="str">
        <f>VLOOKUP($A230,'[1]Raw Data'!$A$3:$FB$285,65,FALSE)</f>
        <v/>
      </c>
      <c r="BF230" s="27">
        <f>VLOOKUP($A230,'[1]Raw Data'!$A$3:$FB$285,66,FALSE)</f>
        <v>4987</v>
      </c>
      <c r="BG230" s="27" t="str">
        <f>VLOOKUP($A230,'[1]Raw Data'!$A$3:$FB$285,67,FALSE)</f>
        <v/>
      </c>
      <c r="BH230" s="27" t="str">
        <f t="shared" si="28"/>
        <v/>
      </c>
      <c r="BI230" s="27" t="str">
        <f>VLOOKUP($A230,'[1]Raw Data'!$A$3:$FB$285,68,FALSE)</f>
        <v/>
      </c>
      <c r="BJ230" s="27">
        <f>VLOOKUP($A230,'[1]Raw Data'!$A$3:$FB$285,69,FALSE)</f>
        <v>521</v>
      </c>
      <c r="BK230" s="27" t="str">
        <f>VLOOKUP($A230,'[1]Raw Data'!$A$3:$FB$285,70,FALSE)</f>
        <v/>
      </c>
      <c r="BL230" s="27" t="str">
        <f t="shared" si="29"/>
        <v/>
      </c>
      <c r="BM230" s="27" t="str">
        <f>VLOOKUP($A230,'[1]Raw Data'!$A$3:$FB$285,71,FALSE)</f>
        <v/>
      </c>
      <c r="BN230" s="27">
        <f>VLOOKUP($A230,'[1]Raw Data'!$A$3:$FB$285,72,FALSE)</f>
        <v>601</v>
      </c>
      <c r="BO230" s="27" t="str">
        <f>VLOOKUP($A230,'[1]Raw Data'!$A$3:$FB$285,73,FALSE)</f>
        <v/>
      </c>
      <c r="BP230" s="27" t="str">
        <f t="shared" si="30"/>
        <v/>
      </c>
      <c r="BQ230" s="27" t="str">
        <f>VLOOKUP($A230,'[1]Raw Data'!$A$3:$FB$285,74,FALSE)</f>
        <v/>
      </c>
      <c r="BR230" s="27" t="str">
        <f>VLOOKUP($A230,'[1]Raw Data'!$A$3:$FB$285,75,FALSE)</f>
        <v/>
      </c>
      <c r="BS230" s="27" t="str">
        <f>VLOOKUP($A230,'[1]Raw Data'!$A$3:$FB$285,76,FALSE)</f>
        <v/>
      </c>
      <c r="BT230" s="27" t="str">
        <f t="shared" si="31"/>
        <v/>
      </c>
      <c r="BU230" s="27" t="str">
        <f>VLOOKUP($A230,'[1]Raw Data'!$A$3:$FB$285,77,FALSE)</f>
        <v/>
      </c>
      <c r="BV230" s="27">
        <f>VLOOKUP($A230,'[1]Raw Data'!$A$3:$FB$285,78,FALSE)</f>
        <v>16583</v>
      </c>
      <c r="BW230" s="27" t="str">
        <f>VLOOKUP($A230,'[1]Raw Data'!$A$3:$FB$285,79,FALSE)</f>
        <v/>
      </c>
      <c r="BX230" s="27" t="str">
        <f t="shared" si="32"/>
        <v/>
      </c>
      <c r="BY230" s="27" t="str">
        <f>VLOOKUP($A230,'[1]Raw Data'!$A$3:$FB$285,80,FALSE)</f>
        <v/>
      </c>
      <c r="BZ230" s="27">
        <f>VLOOKUP($A230,'[1]Raw Data'!$A$3:$FB$285,81,FALSE)</f>
        <v>53025</v>
      </c>
      <c r="CA230" s="27" t="str">
        <f>VLOOKUP($A230,'[1]Raw Data'!$A$3:$FB$285,82,FALSE)</f>
        <v/>
      </c>
      <c r="CB230" s="27" t="str">
        <f t="shared" si="33"/>
        <v/>
      </c>
      <c r="CC230" s="27" t="str">
        <f>VLOOKUP($A230,'[1]Raw Data'!$A$3:$FB$285,83,FALSE)</f>
        <v/>
      </c>
      <c r="CD230" s="27">
        <f>VLOOKUP($A230,'[1]Raw Data'!$A$3:$FB$285,84,FALSE)</f>
        <v>678</v>
      </c>
      <c r="CE230" s="27" t="str">
        <f>VLOOKUP($A230,'[1]Raw Data'!$A$3:$FB$285,85,FALSE)</f>
        <v/>
      </c>
      <c r="CF230" s="27" t="str">
        <f t="shared" si="34"/>
        <v/>
      </c>
      <c r="CG230" s="27" t="str">
        <f>VLOOKUP($A230,'[1]Raw Data'!$A$3:$FB$285,86,FALSE)</f>
        <v/>
      </c>
      <c r="CH230" s="27">
        <f>VLOOKUP($A230,'[1]Raw Data'!$A$3:$FB$285,87,FALSE)</f>
        <v>58034</v>
      </c>
      <c r="CI230" s="27" t="str">
        <f>VLOOKUP($A230,'[1]Raw Data'!$A$3:$FB$285,88,FALSE)</f>
        <v/>
      </c>
      <c r="CJ230" s="27" t="str">
        <f t="shared" si="35"/>
        <v/>
      </c>
      <c r="CK230" s="27" t="str">
        <f>VLOOKUP($A230,'[1]Raw Data'!$A$3:$FB$285,89,FALSE)</f>
        <v/>
      </c>
      <c r="CL230" s="27" t="str">
        <f>VLOOKUP($A230,'[1]Raw Data'!$A$3:$FB$285,91,FALSE)</f>
        <v/>
      </c>
      <c r="CM230" s="27" t="str">
        <f>VLOOKUP($A230,'[1]Raw Data'!$A$3:$FB$285,93,FALSE)</f>
        <v/>
      </c>
      <c r="CN230" s="27" t="str">
        <f>VLOOKUP($A230,'[1]Raw Data'!$A$3:$FB$285,94,FALSE)</f>
        <v/>
      </c>
      <c r="CO230" s="27" t="str">
        <f>VLOOKUP($A230,'[1]Raw Data'!$A$3:$FB$285,95,FALSE)</f>
        <v/>
      </c>
      <c r="CP230" s="27" t="str">
        <f>VLOOKUP($A230,'[1]Raw Data'!$A$3:$FB$285,96,FALSE)</f>
        <v/>
      </c>
      <c r="CQ230" s="27" t="str">
        <f>VLOOKUP($A230,'[1]Raw Data'!$A$3:$FB$285,97,FALSE)</f>
        <v/>
      </c>
      <c r="CR230" s="27" t="str">
        <f>VLOOKUP($A230,'[1]Raw Data'!$A$3:$FB$285,98,FALSE)</f>
        <v/>
      </c>
      <c r="CS230" s="27" t="str">
        <f>VLOOKUP($A230,'[1]Raw Data'!$A$3:$FB$285,99,FALSE)</f>
        <v/>
      </c>
      <c r="CT230" s="27" t="str">
        <f>VLOOKUP($A230,'[1]Raw Data'!$A$3:$FB$285,101,FALSE)</f>
        <v/>
      </c>
      <c r="CV230" s="27" t="str">
        <f>VLOOKUP($A230,'[1]Raw Data'!$A$3:$FB$285,102,FALSE)</f>
        <v>Chairman</v>
      </c>
      <c r="CW230" s="27" t="s">
        <v>878</v>
      </c>
      <c r="CX230" s="27" t="str">
        <f>VLOOKUP($A230,'[1]Raw Data'!$A$3:$FB$285,103,FALSE)</f>
        <v/>
      </c>
      <c r="CY230" s="27" t="str">
        <f>VLOOKUP($A230,'[1]Raw Data'!$A$3:$FB$285,105,FALSE)</f>
        <v/>
      </c>
      <c r="DA230" s="27" t="str">
        <f>VLOOKUP($A230,'[1]Raw Data'!$A$3:$FB$285,106,FALSE)</f>
        <v>Deputy Chairman</v>
      </c>
      <c r="DB230" s="27" t="s">
        <v>879</v>
      </c>
      <c r="DC230" s="27" t="str">
        <f>VLOOKUP($A230,'[1]Raw Data'!$A$3:$FB$285,107,FALSE)</f>
        <v/>
      </c>
      <c r="DD230" s="27" t="str">
        <f>VLOOKUP($A230,'[1]Raw Data'!$A$3:$FB$285,109,FALSE)</f>
        <v/>
      </c>
      <c r="DF230" s="27" t="str">
        <f>VLOOKUP($A230,'[1]Raw Data'!$A$3:$FB$285,110,FALSE)</f>
        <v>Chief Adminstration Officer</v>
      </c>
      <c r="DG230" s="27" t="s">
        <v>880</v>
      </c>
      <c r="DH230" s="27" t="str">
        <f>VLOOKUP($A230,'[1]Raw Data'!$A$3:$FB$285,111,FALSE)</f>
        <v/>
      </c>
      <c r="DI230" s="27" t="str">
        <f>VLOOKUP($A230,'[1]Raw Data'!$A$3:$FB$285,121,FALSE)</f>
        <v/>
      </c>
      <c r="DK230" s="27" t="str">
        <f>VLOOKUP($A230,'[1]Raw Data'!$A$3:$FB$285,122,FALSE)</f>
        <v>Focal Person</v>
      </c>
      <c r="DL230" s="27" t="s">
        <v>881</v>
      </c>
      <c r="DM230" s="27" t="str">
        <f>VLOOKUP($A230,'[1]Raw Data'!$A$3:$FB$285,123,FALSE)</f>
        <v/>
      </c>
      <c r="DN230" s="27" t="str">
        <f>VLOOKUP($A230,'[1]Raw Data'!$A$3:$FB$285,113,FALSE)</f>
        <v/>
      </c>
      <c r="DP230" s="27" t="str">
        <f>VLOOKUP($A230,'[1]Raw Data'!$A$3:$FB$285,114,FALSE)</f>
        <v>NRA Chief-District</v>
      </c>
      <c r="DQ230" s="27" t="s">
        <v>882</v>
      </c>
      <c r="DR230" s="27" t="str">
        <f>VLOOKUP($A230,'[1]Raw Data'!$A$3:$FB$285,115,FALSE)</f>
        <v/>
      </c>
      <c r="DS230" s="27" t="str">
        <f>VLOOKUP($A230,'[1]Raw Data'!$A$3:$FB$285,117,FALSE)</f>
        <v/>
      </c>
      <c r="DU230" s="27" t="str">
        <f>VLOOKUP($A230,'[1]Raw Data'!$A$3:$FB$285,118,FALSE)</f>
        <v>DUDBC.DLPIU Chief</v>
      </c>
      <c r="DV230" s="27" t="s">
        <v>883</v>
      </c>
      <c r="DW230" s="27" t="str">
        <f>VLOOKUP($A230,'[1]Raw Data'!$A$3:$FB$285,119,FALSE)</f>
        <v/>
      </c>
      <c r="DX230" s="27" t="s">
        <v>339</v>
      </c>
      <c r="DY230" s="27" t="str">
        <f>VLOOKUP($A230,'[1]Raw Data'!$A$3:$FB$285,124,FALSE)</f>
        <v/>
      </c>
      <c r="DZ230" s="27" t="s">
        <v>884</v>
      </c>
      <c r="EA230" s="27" t="str">
        <f>VLOOKUP($A230,'[1]Raw Data'!$A$3:$FB$285,125,FALSE)</f>
        <v/>
      </c>
      <c r="EB230" s="27" t="s">
        <v>341</v>
      </c>
      <c r="EC230" s="27" t="str">
        <f>VLOOKUP($A230,'[1]Raw Data'!$A$3:$FB$285,126,FALSE)</f>
        <v/>
      </c>
      <c r="ED230" t="s">
        <v>478</v>
      </c>
      <c r="EE230" s="27" t="str">
        <f>VLOOKUP($A230,'[1]Raw Data'!$A$3:$FB$285,127,FALSE)</f>
        <v/>
      </c>
      <c r="EF230" s="27" t="s">
        <v>343</v>
      </c>
      <c r="EG230" s="27" t="str">
        <f>VLOOKUP($A230,'[1]Raw Data'!$A$3:$FB$285,128,FALSE)</f>
        <v/>
      </c>
      <c r="EH230" t="s">
        <v>344</v>
      </c>
      <c r="EI230" s="27" t="str">
        <f>VLOOKUP($A230,'[1]Raw Data'!$A$3:$FB$285,129,FALSE)</f>
        <v/>
      </c>
      <c r="EM230" s="27" t="str">
        <f>VLOOKUP($A230,'[1]Raw Data'!$A$3:$FB$285,130,FALSE)</f>
        <v/>
      </c>
      <c r="EN230" s="27" t="str">
        <f>VLOOKUP($A230,'[1]Raw Data'!$A$3:$FB$285,131,FALSE)</f>
        <v/>
      </c>
      <c r="EO230" s="27" t="str">
        <f>VLOOKUP($A230,'[1]Raw Data'!$A$3:$FB$285,132,FALSE)</f>
        <v/>
      </c>
      <c r="EP230" s="27" t="str">
        <f>VLOOKUP($A230,'[1]Raw Data'!$A$3:$FB$285,133,FALSE)</f>
        <v/>
      </c>
      <c r="EQ230" s="27" t="str">
        <f>VLOOKUP($A230,'[1]Raw Data'!$A$3:$FB$285,134,FALSE)</f>
        <v/>
      </c>
      <c r="ER230" s="27" t="str">
        <f>VLOOKUP($A230,'[1]Raw Data'!$A$3:$FB$285,135,FALSE)</f>
        <v/>
      </c>
      <c r="ES230" s="27" t="str">
        <f>VLOOKUP($A230,'[1]Raw Data'!$A$3:$FB$285,136,FALSE)</f>
        <v/>
      </c>
      <c r="ET230" s="27" t="str">
        <f>VLOOKUP($A230,'[1]Raw Data'!$A$3:$FB$285,137,FALSE)</f>
        <v/>
      </c>
      <c r="EU230" s="27" t="str">
        <f>VLOOKUP($A230,'[1]Raw Data'!$A$3:$FB$285,138,FALSE)</f>
        <v/>
      </c>
      <c r="EV230" s="27" t="str">
        <f>VLOOKUP($A230,'[1]Raw Data'!$A$3:$FB$285,139,FALSE)</f>
        <v/>
      </c>
      <c r="EW230" s="38">
        <f>VLOOKUP($A230,[1]Training!$A$2:$I$284,5,FALSE)</f>
        <v>29.692307692307693</v>
      </c>
      <c r="EX230" s="31">
        <f>VLOOKUP($A230,[1]Training!$A$2:$I$284,6,FALSE)</f>
        <v>0</v>
      </c>
      <c r="EY230" s="38">
        <f>VLOOKUP($A230,[1]Training!$A$2:$I$284,8,FALSE)</f>
        <v>35.090909090909093</v>
      </c>
      <c r="EZ230" s="31">
        <f>VLOOKUP($A230,[1]Training!$A$2:$I$284,9,FALSE)</f>
        <v>0</v>
      </c>
      <c r="FA230" s="27">
        <v>1</v>
      </c>
      <c r="FB230" s="27">
        <v>2</v>
      </c>
      <c r="FC230" s="27" t="str">
        <f>VLOOKUP($A230,'[1]Raw Data'!$A$3:$FB$285,148,FALSE)</f>
        <v/>
      </c>
      <c r="FE230" s="27" t="str">
        <f>VLOOKUP($A230,'[1]Raw Data'!$A$3:$FB$285,149,FALSE)</f>
        <v>District Coordinator</v>
      </c>
      <c r="FF230" s="27" t="s">
        <v>885</v>
      </c>
      <c r="FG230" s="27" t="str">
        <f>VLOOKUP($A230,'[1]Raw Data'!$A$3:$FB$285,150,FALSE)</f>
        <v/>
      </c>
      <c r="FH230" s="27" t="str">
        <f>VLOOKUP($A230,'[1]Raw Data'!$A$3:$FB$285,156,FALSE)</f>
        <v/>
      </c>
      <c r="FJ230" s="27" t="str">
        <f>VLOOKUP($A230,'[1]Raw Data'!$A$3:$FB$285,157,FALSE)</f>
        <v>District Technical Officer</v>
      </c>
      <c r="FK230" s="27" t="s">
        <v>886</v>
      </c>
      <c r="FL230" s="27" t="str">
        <f>VLOOKUP($A230,'[1]Raw Data'!$A$3:$FB$285,158,FALSE)</f>
        <v/>
      </c>
      <c r="FM230" s="27" t="str">
        <f>VLOOKUP($A230,'[1]Raw Data'!$A$3:$FB$285,152,FALSE)</f>
        <v/>
      </c>
      <c r="FO230" s="27" t="str">
        <f>VLOOKUP($A230,'[1]Raw Data'!$A$3:$FB$285,153,FALSE)</f>
        <v>DIstrict Information Management Officer</v>
      </c>
      <c r="FP230" s="27" t="s">
        <v>887</v>
      </c>
      <c r="FQ230" s="27" t="str">
        <f>VLOOKUP($A230,'[1]Raw Data'!$A$3:$FB$285,154,FALSE)</f>
        <v/>
      </c>
    </row>
    <row r="231" spans="1:173" ht="24" x14ac:dyDescent="0.45">
      <c r="A231" s="27">
        <v>44005</v>
      </c>
      <c r="B231" s="36" t="str">
        <f ca="1">IFERROR(__xludf.DUMMYFUNCTION("""COMPUTED_VALUE"""),"Modi Gaunpalika")</f>
        <v>Modi Gaunpalika</v>
      </c>
      <c r="C231" s="37" t="str">
        <f>VLOOKUP(A231,'[1]Palika and District in Nepali '!$D$1:$F$283,3,FALSE)</f>
        <v>मोदी गाउँपालिका</v>
      </c>
      <c r="D231" s="36" t="str">
        <f ca="1">IFERROR(__xludf.DUMMYFUNCTION("""COMPUTED_VALUE"""),"Parbat")</f>
        <v>Parbat</v>
      </c>
      <c r="E231" s="36"/>
      <c r="F231" s="27">
        <f>VLOOKUP(A231,'[1]Raw Data'!$A$3:$FB$285,4,FALSE)</f>
        <v>193</v>
      </c>
      <c r="G231" s="27">
        <f>VLOOKUP(A231,'[1]Raw Data'!$A$3:$FB$285,5,FALSE)</f>
        <v>516</v>
      </c>
      <c r="H231" s="27">
        <f>VLOOKUP(A231,'[1]Raw Data'!$A$3:$FB$285,6,FALSE)</f>
        <v>709</v>
      </c>
      <c r="I231" s="27">
        <f>VLOOKUP($A231,'[1]Raw Data'!$A$3:$FB$285,8,FALSE)</f>
        <v>1.27</v>
      </c>
      <c r="J231" s="27">
        <f>VLOOKUP($A231,'[1]Raw Data'!$A$3:$FB$285,9,FALSE)</f>
        <v>0.59</v>
      </c>
      <c r="K231" s="27">
        <f>VLOOKUP($A231,'[1]Raw Data'!$A$3:$FB$285,11,FALSE)</f>
        <v>97.88</v>
      </c>
      <c r="L231" s="27">
        <f>VLOOKUP($A231,'[1]Raw Data'!$A$3:$FB$285,12,FALSE)</f>
        <v>88.88</v>
      </c>
      <c r="M231" s="27">
        <f>VLOOKUP($A231,'[1]Raw Data'!$A$3:$FB$285,14,FALSE)</f>
        <v>0.71</v>
      </c>
      <c r="N231" s="27">
        <f>VLOOKUP($A231,'[1]Raw Data'!$A$3:$FB$285,15,FALSE)</f>
        <v>0.68</v>
      </c>
      <c r="O231" s="27">
        <f>VLOOKUP($A231,'[1]Raw Data'!$A$3:$FB$285,17,FALSE)</f>
        <v>0.14000000000000001</v>
      </c>
      <c r="P231" s="27">
        <f>VLOOKUP($A231,'[1]Raw Data'!$A$3:$FB$285,18,FALSE)</f>
        <v>0.69</v>
      </c>
      <c r="Q231" s="27">
        <f>VLOOKUP($A231,'[1]Raw Data'!$A$3:$FB$285,20,FALSE)</f>
        <v>0</v>
      </c>
      <c r="R231" s="27">
        <f>VLOOKUP($A231,'[1]Raw Data'!$A$3:$FB$285,21,FALSE)</f>
        <v>0.34</v>
      </c>
      <c r="S231" s="27">
        <f>VLOOKUP($A231,'[1]Raw Data'!$A$3:$FB$285,23,FALSE)</f>
        <v>0</v>
      </c>
      <c r="T231" s="27">
        <f>VLOOKUP($A231,'[1]Raw Data'!$A$3:$FB$285,24,FALSE)</f>
        <v>0</v>
      </c>
      <c r="U231" s="27">
        <f>VLOOKUP($A231,'[1]Raw Data'!$A$3:$FB$285,26,FALSE)</f>
        <v>0</v>
      </c>
      <c r="V231" s="27">
        <f>VLOOKUP($A231,'[1]Raw Data'!$A$3:$FB$285,27,FALSE)</f>
        <v>0.2</v>
      </c>
      <c r="W231" s="27">
        <f>VLOOKUP($A231,'[1]Raw Data'!$A$3:$FB$285,29,FALSE)</f>
        <v>0</v>
      </c>
      <c r="X231" s="27">
        <f>VLOOKUP($A231,'[1]Raw Data'!$A$3:$FB$285,30,FALSE)</f>
        <v>0</v>
      </c>
      <c r="Y231" s="27">
        <f>VLOOKUP($A231,'[1]Raw Data'!$A$3:$FB$285,32,FALSE)</f>
        <v>0</v>
      </c>
      <c r="Z231" s="27">
        <f>VLOOKUP($A231,'[1]Raw Data'!$A$3:$FB$285,33,FALSE)</f>
        <v>0.04</v>
      </c>
      <c r="AA231" s="27">
        <f>VLOOKUP($A231,'[1]Raw Data'!$A$3:$FB$285,35,FALSE)</f>
        <v>0</v>
      </c>
      <c r="AB231" s="27">
        <f>VLOOKUP($A231,'[1]Raw Data'!$A$3:$FB$285,36,FALSE)</f>
        <v>8.2799999999999994</v>
      </c>
      <c r="AC231" s="27">
        <f>VLOOKUP($A231,'[1]Raw Data'!$A$3:$FB$285,38,FALSE)</f>
        <v>0</v>
      </c>
      <c r="AD231" s="27">
        <f>VLOOKUP($A231,'[1]Raw Data'!$A$3:$FB$285,39,FALSE)</f>
        <v>0.3</v>
      </c>
      <c r="AE231" s="27">
        <f>VLOOKUP($A231,'[1]Raw Data'!$A$3:$FB$285,41,FALSE)</f>
        <v>0</v>
      </c>
      <c r="AF231" s="27">
        <f>VLOOKUP($A231,'[1]Raw Data'!$A$3:$FB$285,42,FALSE)</f>
        <v>0</v>
      </c>
      <c r="AG231" s="27">
        <f>VLOOKUP($A231,'[1]Raw Data'!$A$3:$FB$285,44,FALSE)</f>
        <v>0</v>
      </c>
      <c r="AH231" s="27">
        <f>VLOOKUP($A231,'[1]Raw Data'!$A$3:$FB$285,45,FALSE)</f>
        <v>0</v>
      </c>
      <c r="AI231" s="27">
        <f>VLOOKUP($A231,'[1]Raw Data'!$A$3:$FB$285,46,FALSE)</f>
        <v>503</v>
      </c>
      <c r="AJ231" s="27">
        <f>VLOOKUP($A231,'[1]Raw Data'!$A$3:$FB$285,47,FALSE)</f>
        <v>159</v>
      </c>
      <c r="AK231" s="27">
        <f>VLOOKUP($A231,'[1]Raw Data'!$A$3:$FB$285,48,FALSE)</f>
        <v>159</v>
      </c>
      <c r="AL231" s="27">
        <f>VLOOKUP($A231,'[1]Raw Data'!$A$3:$FB$285,49,FALSE)</f>
        <v>136</v>
      </c>
      <c r="AM231" s="27">
        <f>VLOOKUP($A231,'[1]Raw Data'!$A$3:$FB$285,50,FALSE)</f>
        <v>0</v>
      </c>
      <c r="AN231" s="27" t="str">
        <f>VLOOKUP($A231,'[1]Raw Data'!$A$3:$FB$285,51,FALSE)</f>
        <v/>
      </c>
      <c r="AO231" s="27" t="str">
        <f>VLOOKUP($A231,'[1]Raw Data'!$A$3:$FB$285,52,FALSE)</f>
        <v/>
      </c>
      <c r="AP231" s="27">
        <f>VLOOKUP($A231,'[1]Raw Data'!$A$3:$FB$285,53,FALSE)</f>
        <v>0</v>
      </c>
      <c r="AQ231" s="27" t="str">
        <f>VLOOKUP($A231,'[1]Raw Data'!$A$3:$FB$285,54,FALSE)</f>
        <v/>
      </c>
      <c r="AR231" s="27" t="str">
        <f>VLOOKUP($A231,'[1]Raw Data'!$A$3:$FB$285,55,FALSE)</f>
        <v/>
      </c>
      <c r="AS231" s="27" t="str">
        <f>VLOOKUP($A231,'[1]Raw Data'!$A$3:$FB$285,56,FALSE)</f>
        <v/>
      </c>
      <c r="AT231" s="27" t="str">
        <f>VLOOKUP($A231,'[1]Raw Data'!$A$3:$FB$285,57,FALSE)</f>
        <v/>
      </c>
      <c r="AU231" s="27" t="str">
        <f>VLOOKUP($A231,'[1]Raw Data'!$A$3:$FB$285,58,FALSE)</f>
        <v/>
      </c>
      <c r="AV231" s="27" t="str">
        <f>VLOOKUP($A231,'[1]Raw Data'!$A$3:$FB$285,59,FALSE)</f>
        <v/>
      </c>
      <c r="AW231" s="27" t="str">
        <f>VLOOKUP($A231,'[1]Raw Data'!$A$3:$FB$285,60,FALSE)</f>
        <v/>
      </c>
      <c r="AX231" s="27" t="str">
        <f>VLOOKUP(A231,'[1]PO''s List'!A229:E511,4,FALSE)</f>
        <v/>
      </c>
      <c r="AZ231" s="27" t="str">
        <f>VLOOKUP(A231,'[1]PO''s List'!$A$3:$E$285,5,FALSE)</f>
        <v/>
      </c>
      <c r="BB231" s="27">
        <f>VLOOKUP($A231,'[1]Raw Data'!$A$3:$FB$285,63,FALSE)</f>
        <v>4659</v>
      </c>
      <c r="BC231" s="27" t="str">
        <f>VLOOKUP($A231,'[1]Raw Data'!$A$3:$FB$285,64,FALSE)</f>
        <v/>
      </c>
      <c r="BD231" s="27" t="str">
        <f t="shared" si="27"/>
        <v/>
      </c>
      <c r="BE231" s="27" t="str">
        <f>VLOOKUP($A231,'[1]Raw Data'!$A$3:$FB$285,65,FALSE)</f>
        <v/>
      </c>
      <c r="BF231" s="27">
        <f>VLOOKUP($A231,'[1]Raw Data'!$A$3:$FB$285,66,FALSE)</f>
        <v>4738</v>
      </c>
      <c r="BG231" s="27" t="str">
        <f>VLOOKUP($A231,'[1]Raw Data'!$A$3:$FB$285,67,FALSE)</f>
        <v/>
      </c>
      <c r="BH231" s="27" t="str">
        <f t="shared" si="28"/>
        <v/>
      </c>
      <c r="BI231" s="27" t="str">
        <f>VLOOKUP($A231,'[1]Raw Data'!$A$3:$FB$285,68,FALSE)</f>
        <v/>
      </c>
      <c r="BJ231" s="27">
        <f>VLOOKUP($A231,'[1]Raw Data'!$A$3:$FB$285,69,FALSE)</f>
        <v>497</v>
      </c>
      <c r="BK231" s="27" t="str">
        <f>VLOOKUP($A231,'[1]Raw Data'!$A$3:$FB$285,70,FALSE)</f>
        <v/>
      </c>
      <c r="BL231" s="27" t="str">
        <f t="shared" si="29"/>
        <v/>
      </c>
      <c r="BM231" s="27" t="str">
        <f>VLOOKUP($A231,'[1]Raw Data'!$A$3:$FB$285,71,FALSE)</f>
        <v/>
      </c>
      <c r="BN231" s="27">
        <f>VLOOKUP($A231,'[1]Raw Data'!$A$3:$FB$285,72,FALSE)</f>
        <v>571</v>
      </c>
      <c r="BO231" s="27" t="str">
        <f>VLOOKUP($A231,'[1]Raw Data'!$A$3:$FB$285,73,FALSE)</f>
        <v/>
      </c>
      <c r="BP231" s="27" t="str">
        <f t="shared" si="30"/>
        <v/>
      </c>
      <c r="BQ231" s="27" t="str">
        <f>VLOOKUP($A231,'[1]Raw Data'!$A$3:$FB$285,74,FALSE)</f>
        <v/>
      </c>
      <c r="BR231" s="27" t="str">
        <f>VLOOKUP($A231,'[1]Raw Data'!$A$3:$FB$285,75,FALSE)</f>
        <v/>
      </c>
      <c r="BS231" s="27" t="str">
        <f>VLOOKUP($A231,'[1]Raw Data'!$A$3:$FB$285,76,FALSE)</f>
        <v/>
      </c>
      <c r="BT231" s="27" t="str">
        <f t="shared" si="31"/>
        <v/>
      </c>
      <c r="BU231" s="27" t="str">
        <f>VLOOKUP($A231,'[1]Raw Data'!$A$3:$FB$285,77,FALSE)</f>
        <v/>
      </c>
      <c r="BV231" s="27">
        <f>VLOOKUP($A231,'[1]Raw Data'!$A$3:$FB$285,78,FALSE)</f>
        <v>15520</v>
      </c>
      <c r="BW231" s="27" t="str">
        <f>VLOOKUP($A231,'[1]Raw Data'!$A$3:$FB$285,79,FALSE)</f>
        <v/>
      </c>
      <c r="BX231" s="27" t="str">
        <f t="shared" si="32"/>
        <v/>
      </c>
      <c r="BY231" s="27" t="str">
        <f>VLOOKUP($A231,'[1]Raw Data'!$A$3:$FB$285,80,FALSE)</f>
        <v/>
      </c>
      <c r="BZ231" s="27">
        <f>VLOOKUP($A231,'[1]Raw Data'!$A$3:$FB$285,81,FALSE)</f>
        <v>50314</v>
      </c>
      <c r="CA231" s="27" t="str">
        <f>VLOOKUP($A231,'[1]Raw Data'!$A$3:$FB$285,82,FALSE)</f>
        <v/>
      </c>
      <c r="CB231" s="27" t="str">
        <f t="shared" si="33"/>
        <v/>
      </c>
      <c r="CC231" s="27" t="str">
        <f>VLOOKUP($A231,'[1]Raw Data'!$A$3:$FB$285,83,FALSE)</f>
        <v/>
      </c>
      <c r="CD231" s="27">
        <f>VLOOKUP($A231,'[1]Raw Data'!$A$3:$FB$285,84,FALSE)</f>
        <v>633</v>
      </c>
      <c r="CE231" s="27" t="str">
        <f>VLOOKUP($A231,'[1]Raw Data'!$A$3:$FB$285,85,FALSE)</f>
        <v/>
      </c>
      <c r="CF231" s="27" t="str">
        <f t="shared" si="34"/>
        <v/>
      </c>
      <c r="CG231" s="27" t="str">
        <f>VLOOKUP($A231,'[1]Raw Data'!$A$3:$FB$285,86,FALSE)</f>
        <v/>
      </c>
      <c r="CH231" s="27">
        <f>VLOOKUP($A231,'[1]Raw Data'!$A$3:$FB$285,87,FALSE)</f>
        <v>20351</v>
      </c>
      <c r="CI231" s="27" t="str">
        <f>VLOOKUP($A231,'[1]Raw Data'!$A$3:$FB$285,88,FALSE)</f>
        <v/>
      </c>
      <c r="CJ231" s="27" t="str">
        <f t="shared" si="35"/>
        <v/>
      </c>
      <c r="CK231" s="27" t="str">
        <f>VLOOKUP($A231,'[1]Raw Data'!$A$3:$FB$285,89,FALSE)</f>
        <v/>
      </c>
      <c r="CL231" s="27" t="str">
        <f>VLOOKUP($A231,'[1]Raw Data'!$A$3:$FB$285,91,FALSE)</f>
        <v/>
      </c>
      <c r="CM231" s="27" t="str">
        <f>VLOOKUP($A231,'[1]Raw Data'!$A$3:$FB$285,93,FALSE)</f>
        <v/>
      </c>
      <c r="CN231" s="27" t="str">
        <f>VLOOKUP($A231,'[1]Raw Data'!$A$3:$FB$285,94,FALSE)</f>
        <v/>
      </c>
      <c r="CO231" s="27" t="str">
        <f>VLOOKUP($A231,'[1]Raw Data'!$A$3:$FB$285,95,FALSE)</f>
        <v/>
      </c>
      <c r="CP231" s="27" t="str">
        <f>VLOOKUP($A231,'[1]Raw Data'!$A$3:$FB$285,96,FALSE)</f>
        <v/>
      </c>
      <c r="CQ231" s="27" t="str">
        <f>VLOOKUP($A231,'[1]Raw Data'!$A$3:$FB$285,97,FALSE)</f>
        <v/>
      </c>
      <c r="CR231" s="27" t="str">
        <f>VLOOKUP($A231,'[1]Raw Data'!$A$3:$FB$285,98,FALSE)</f>
        <v/>
      </c>
      <c r="CS231" s="27" t="str">
        <f>VLOOKUP($A231,'[1]Raw Data'!$A$3:$FB$285,99,FALSE)</f>
        <v/>
      </c>
      <c r="CT231" s="27" t="str">
        <f>VLOOKUP($A231,'[1]Raw Data'!$A$3:$FB$285,101,FALSE)</f>
        <v/>
      </c>
      <c r="CV231" s="27" t="str">
        <f>VLOOKUP($A231,'[1]Raw Data'!$A$3:$FB$285,102,FALSE)</f>
        <v>Chairman</v>
      </c>
      <c r="CW231" s="27" t="s">
        <v>878</v>
      </c>
      <c r="CX231" s="27" t="str">
        <f>VLOOKUP($A231,'[1]Raw Data'!$A$3:$FB$285,103,FALSE)</f>
        <v/>
      </c>
      <c r="CY231" s="27" t="str">
        <f>VLOOKUP($A231,'[1]Raw Data'!$A$3:$FB$285,105,FALSE)</f>
        <v/>
      </c>
      <c r="DA231" s="27" t="str">
        <f>VLOOKUP($A231,'[1]Raw Data'!$A$3:$FB$285,106,FALSE)</f>
        <v>Deputy Chairman</v>
      </c>
      <c r="DB231" s="27" t="s">
        <v>879</v>
      </c>
      <c r="DC231" s="27" t="str">
        <f>VLOOKUP($A231,'[1]Raw Data'!$A$3:$FB$285,107,FALSE)</f>
        <v/>
      </c>
      <c r="DD231" s="27" t="str">
        <f>VLOOKUP($A231,'[1]Raw Data'!$A$3:$FB$285,109,FALSE)</f>
        <v/>
      </c>
      <c r="DF231" s="27" t="str">
        <f>VLOOKUP($A231,'[1]Raw Data'!$A$3:$FB$285,110,FALSE)</f>
        <v>Chief Adminstration Officer</v>
      </c>
      <c r="DG231" s="27" t="s">
        <v>880</v>
      </c>
      <c r="DH231" s="27" t="str">
        <f>VLOOKUP($A231,'[1]Raw Data'!$A$3:$FB$285,111,FALSE)</f>
        <v/>
      </c>
      <c r="DI231" s="27" t="str">
        <f>VLOOKUP($A231,'[1]Raw Data'!$A$3:$FB$285,121,FALSE)</f>
        <v/>
      </c>
      <c r="DK231" s="27" t="str">
        <f>VLOOKUP($A231,'[1]Raw Data'!$A$3:$FB$285,122,FALSE)</f>
        <v>Focal Person</v>
      </c>
      <c r="DL231" s="27" t="s">
        <v>881</v>
      </c>
      <c r="DM231" s="27" t="str">
        <f>VLOOKUP($A231,'[1]Raw Data'!$A$3:$FB$285,123,FALSE)</f>
        <v/>
      </c>
      <c r="DN231" s="27" t="str">
        <f>VLOOKUP($A231,'[1]Raw Data'!$A$3:$FB$285,113,FALSE)</f>
        <v/>
      </c>
      <c r="DP231" s="27" t="str">
        <f>VLOOKUP($A231,'[1]Raw Data'!$A$3:$FB$285,114,FALSE)</f>
        <v>NRA Chief-District</v>
      </c>
      <c r="DQ231" s="27" t="s">
        <v>882</v>
      </c>
      <c r="DR231" s="27" t="str">
        <f>VLOOKUP($A231,'[1]Raw Data'!$A$3:$FB$285,115,FALSE)</f>
        <v/>
      </c>
      <c r="DS231" s="27" t="str">
        <f>VLOOKUP($A231,'[1]Raw Data'!$A$3:$FB$285,117,FALSE)</f>
        <v/>
      </c>
      <c r="DU231" s="27" t="str">
        <f>VLOOKUP($A231,'[1]Raw Data'!$A$3:$FB$285,118,FALSE)</f>
        <v>DUDBC.DLPIU Chief</v>
      </c>
      <c r="DV231" s="27" t="s">
        <v>883</v>
      </c>
      <c r="DW231" s="27" t="str">
        <f>VLOOKUP($A231,'[1]Raw Data'!$A$3:$FB$285,119,FALSE)</f>
        <v/>
      </c>
      <c r="DX231" s="27" t="s">
        <v>339</v>
      </c>
      <c r="DY231" s="27" t="str">
        <f>VLOOKUP($A231,'[1]Raw Data'!$A$3:$FB$285,124,FALSE)</f>
        <v/>
      </c>
      <c r="DZ231" s="27" t="s">
        <v>884</v>
      </c>
      <c r="EA231" s="27" t="str">
        <f>VLOOKUP($A231,'[1]Raw Data'!$A$3:$FB$285,125,FALSE)</f>
        <v/>
      </c>
      <c r="EB231" s="27" t="s">
        <v>341</v>
      </c>
      <c r="EC231" s="27" t="str">
        <f>VLOOKUP($A231,'[1]Raw Data'!$A$3:$FB$285,126,FALSE)</f>
        <v/>
      </c>
      <c r="ED231" t="s">
        <v>478</v>
      </c>
      <c r="EE231" s="27" t="str">
        <f>VLOOKUP($A231,'[1]Raw Data'!$A$3:$FB$285,127,FALSE)</f>
        <v/>
      </c>
      <c r="EF231" s="27" t="s">
        <v>343</v>
      </c>
      <c r="EG231" s="27" t="str">
        <f>VLOOKUP($A231,'[1]Raw Data'!$A$3:$FB$285,128,FALSE)</f>
        <v/>
      </c>
      <c r="EH231" t="s">
        <v>344</v>
      </c>
      <c r="EI231" s="27" t="str">
        <f>VLOOKUP($A231,'[1]Raw Data'!$A$3:$FB$285,129,FALSE)</f>
        <v/>
      </c>
      <c r="EM231" s="27" t="str">
        <f>VLOOKUP($A231,'[1]Raw Data'!$A$3:$FB$285,130,FALSE)</f>
        <v/>
      </c>
      <c r="EN231" s="27" t="str">
        <f>VLOOKUP($A231,'[1]Raw Data'!$A$3:$FB$285,131,FALSE)</f>
        <v/>
      </c>
      <c r="EO231" s="27" t="str">
        <f>VLOOKUP($A231,'[1]Raw Data'!$A$3:$FB$285,132,FALSE)</f>
        <v/>
      </c>
      <c r="EP231" s="27" t="str">
        <f>VLOOKUP($A231,'[1]Raw Data'!$A$3:$FB$285,133,FALSE)</f>
        <v/>
      </c>
      <c r="EQ231" s="27" t="str">
        <f>VLOOKUP($A231,'[1]Raw Data'!$A$3:$FB$285,134,FALSE)</f>
        <v/>
      </c>
      <c r="ER231" s="27" t="str">
        <f>VLOOKUP($A231,'[1]Raw Data'!$A$3:$FB$285,135,FALSE)</f>
        <v/>
      </c>
      <c r="ES231" s="27" t="str">
        <f>VLOOKUP($A231,'[1]Raw Data'!$A$3:$FB$285,136,FALSE)</f>
        <v/>
      </c>
      <c r="ET231" s="27" t="str">
        <f>VLOOKUP($A231,'[1]Raw Data'!$A$3:$FB$285,137,FALSE)</f>
        <v/>
      </c>
      <c r="EU231" s="27" t="str">
        <f>VLOOKUP($A231,'[1]Raw Data'!$A$3:$FB$285,138,FALSE)</f>
        <v/>
      </c>
      <c r="EV231" s="27" t="str">
        <f>VLOOKUP($A231,'[1]Raw Data'!$A$3:$FB$285,139,FALSE)</f>
        <v/>
      </c>
      <c r="EW231" s="38">
        <f>VLOOKUP($A231,[1]Training!$A$2:$I$284,5,FALSE)</f>
        <v>38.692307692307693</v>
      </c>
      <c r="EX231" s="31">
        <f>VLOOKUP($A231,[1]Training!$A$2:$I$284,6,FALSE)</f>
        <v>0</v>
      </c>
      <c r="EY231" s="38">
        <f>VLOOKUP($A231,[1]Training!$A$2:$I$284,8,FALSE)</f>
        <v>45.727272727272727</v>
      </c>
      <c r="EZ231" s="31">
        <f>VLOOKUP($A231,[1]Training!$A$2:$I$284,9,FALSE)</f>
        <v>0</v>
      </c>
      <c r="FA231" s="27">
        <v>1</v>
      </c>
      <c r="FB231" s="27">
        <v>2</v>
      </c>
      <c r="FC231" s="27" t="str">
        <f>VLOOKUP($A231,'[1]Raw Data'!$A$3:$FB$285,148,FALSE)</f>
        <v/>
      </c>
      <c r="FE231" s="27" t="str">
        <f>VLOOKUP($A231,'[1]Raw Data'!$A$3:$FB$285,149,FALSE)</f>
        <v>District Coordinator</v>
      </c>
      <c r="FF231" s="27" t="s">
        <v>885</v>
      </c>
      <c r="FG231" s="27" t="str">
        <f>VLOOKUP($A231,'[1]Raw Data'!$A$3:$FB$285,150,FALSE)</f>
        <v/>
      </c>
      <c r="FH231" s="27" t="str">
        <f>VLOOKUP($A231,'[1]Raw Data'!$A$3:$FB$285,156,FALSE)</f>
        <v/>
      </c>
      <c r="FJ231" s="27" t="str">
        <f>VLOOKUP($A231,'[1]Raw Data'!$A$3:$FB$285,157,FALSE)</f>
        <v>District Technical Officer</v>
      </c>
      <c r="FK231" s="27" t="s">
        <v>886</v>
      </c>
      <c r="FL231" s="27" t="str">
        <f>VLOOKUP($A231,'[1]Raw Data'!$A$3:$FB$285,158,FALSE)</f>
        <v/>
      </c>
      <c r="FM231" s="27" t="str">
        <f>VLOOKUP($A231,'[1]Raw Data'!$A$3:$FB$285,152,FALSE)</f>
        <v/>
      </c>
      <c r="FO231" s="27" t="str">
        <f>VLOOKUP($A231,'[1]Raw Data'!$A$3:$FB$285,153,FALSE)</f>
        <v>DIstrict Information Management Officer</v>
      </c>
      <c r="FP231" s="27" t="s">
        <v>887</v>
      </c>
      <c r="FQ231" s="27" t="str">
        <f>VLOOKUP($A231,'[1]Raw Data'!$A$3:$FB$285,154,FALSE)</f>
        <v/>
      </c>
    </row>
    <row r="232" spans="1:173" ht="24" x14ac:dyDescent="0.45">
      <c r="A232" s="27">
        <v>44006</v>
      </c>
      <c r="B232" s="36" t="str">
        <f ca="1">IFERROR(__xludf.DUMMYFUNCTION("""COMPUTED_VALUE"""),"Painyu Gaunpalika")</f>
        <v>Painyu Gaunpalika</v>
      </c>
      <c r="C232" s="37" t="str">
        <f>VLOOKUP(A232,'[1]Palika and District in Nepali '!$D$1:$F$283,3,FALSE)</f>
        <v>पैंयु गाउँपालिका</v>
      </c>
      <c r="D232" s="36" t="str">
        <f ca="1">IFERROR(__xludf.DUMMYFUNCTION("""COMPUTED_VALUE"""),"Parbat")</f>
        <v>Parbat</v>
      </c>
      <c r="E232" s="36"/>
      <c r="F232" s="27">
        <f>VLOOKUP(A232,'[1]Raw Data'!$A$3:$FB$285,4,FALSE)</f>
        <v>1218</v>
      </c>
      <c r="G232" s="27">
        <f>VLOOKUP(A232,'[1]Raw Data'!$A$3:$FB$285,5,FALSE)</f>
        <v>828</v>
      </c>
      <c r="H232" s="27">
        <f>VLOOKUP(A232,'[1]Raw Data'!$A$3:$FB$285,6,FALSE)</f>
        <v>2046</v>
      </c>
      <c r="I232" s="27">
        <f>VLOOKUP($A232,'[1]Raw Data'!$A$3:$FB$285,8,FALSE)</f>
        <v>0.34</v>
      </c>
      <c r="J232" s="27">
        <f>VLOOKUP($A232,'[1]Raw Data'!$A$3:$FB$285,9,FALSE)</f>
        <v>0.59</v>
      </c>
      <c r="K232" s="27">
        <f>VLOOKUP($A232,'[1]Raw Data'!$A$3:$FB$285,11,FALSE)</f>
        <v>97.46</v>
      </c>
      <c r="L232" s="27">
        <f>VLOOKUP($A232,'[1]Raw Data'!$A$3:$FB$285,12,FALSE)</f>
        <v>88.88</v>
      </c>
      <c r="M232" s="27">
        <f>VLOOKUP($A232,'[1]Raw Data'!$A$3:$FB$285,14,FALSE)</f>
        <v>0.05</v>
      </c>
      <c r="N232" s="27">
        <f>VLOOKUP($A232,'[1]Raw Data'!$A$3:$FB$285,15,FALSE)</f>
        <v>0.68</v>
      </c>
      <c r="O232" s="27">
        <f>VLOOKUP($A232,'[1]Raw Data'!$A$3:$FB$285,17,FALSE)</f>
        <v>0.05</v>
      </c>
      <c r="P232" s="27">
        <f>VLOOKUP($A232,'[1]Raw Data'!$A$3:$FB$285,18,FALSE)</f>
        <v>0.69</v>
      </c>
      <c r="Q232" s="27">
        <f>VLOOKUP($A232,'[1]Raw Data'!$A$3:$FB$285,20,FALSE)</f>
        <v>1.03</v>
      </c>
      <c r="R232" s="27">
        <f>VLOOKUP($A232,'[1]Raw Data'!$A$3:$FB$285,21,FALSE)</f>
        <v>0.34</v>
      </c>
      <c r="S232" s="27">
        <f>VLOOKUP($A232,'[1]Raw Data'!$A$3:$FB$285,23,FALSE)</f>
        <v>0</v>
      </c>
      <c r="T232" s="27">
        <f>VLOOKUP($A232,'[1]Raw Data'!$A$3:$FB$285,24,FALSE)</f>
        <v>0</v>
      </c>
      <c r="U232" s="27">
        <f>VLOOKUP($A232,'[1]Raw Data'!$A$3:$FB$285,26,FALSE)</f>
        <v>0.44</v>
      </c>
      <c r="V232" s="27">
        <f>VLOOKUP($A232,'[1]Raw Data'!$A$3:$FB$285,27,FALSE)</f>
        <v>0.2</v>
      </c>
      <c r="W232" s="27">
        <f>VLOOKUP($A232,'[1]Raw Data'!$A$3:$FB$285,29,FALSE)</f>
        <v>0</v>
      </c>
      <c r="X232" s="27">
        <f>VLOOKUP($A232,'[1]Raw Data'!$A$3:$FB$285,30,FALSE)</f>
        <v>0</v>
      </c>
      <c r="Y232" s="27">
        <f>VLOOKUP($A232,'[1]Raw Data'!$A$3:$FB$285,32,FALSE)</f>
        <v>0.05</v>
      </c>
      <c r="Z232" s="27">
        <f>VLOOKUP($A232,'[1]Raw Data'!$A$3:$FB$285,33,FALSE)</f>
        <v>0.04</v>
      </c>
      <c r="AA232" s="27">
        <f>VLOOKUP($A232,'[1]Raw Data'!$A$3:$FB$285,35,FALSE)</f>
        <v>0.15</v>
      </c>
      <c r="AB232" s="27">
        <f>VLOOKUP($A232,'[1]Raw Data'!$A$3:$FB$285,36,FALSE)</f>
        <v>8.2799999999999994</v>
      </c>
      <c r="AC232" s="27">
        <f>VLOOKUP($A232,'[1]Raw Data'!$A$3:$FB$285,38,FALSE)</f>
        <v>0.44</v>
      </c>
      <c r="AD232" s="27">
        <f>VLOOKUP($A232,'[1]Raw Data'!$A$3:$FB$285,39,FALSE)</f>
        <v>0.3</v>
      </c>
      <c r="AE232" s="27">
        <f>VLOOKUP($A232,'[1]Raw Data'!$A$3:$FB$285,41,FALSE)</f>
        <v>0</v>
      </c>
      <c r="AF232" s="27">
        <f>VLOOKUP($A232,'[1]Raw Data'!$A$3:$FB$285,42,FALSE)</f>
        <v>0</v>
      </c>
      <c r="AG232" s="27">
        <f>VLOOKUP($A232,'[1]Raw Data'!$A$3:$FB$285,44,FALSE)</f>
        <v>0</v>
      </c>
      <c r="AH232" s="27">
        <f>VLOOKUP($A232,'[1]Raw Data'!$A$3:$FB$285,45,FALSE)</f>
        <v>0</v>
      </c>
      <c r="AI232" s="27">
        <f>VLOOKUP($A232,'[1]Raw Data'!$A$3:$FB$285,46,FALSE)</f>
        <v>657</v>
      </c>
      <c r="AJ232" s="27">
        <f>VLOOKUP($A232,'[1]Raw Data'!$A$3:$FB$285,47,FALSE)</f>
        <v>218</v>
      </c>
      <c r="AK232" s="27">
        <f>VLOOKUP($A232,'[1]Raw Data'!$A$3:$FB$285,48,FALSE)</f>
        <v>218</v>
      </c>
      <c r="AL232" s="27">
        <f>VLOOKUP($A232,'[1]Raw Data'!$A$3:$FB$285,49,FALSE)</f>
        <v>39</v>
      </c>
      <c r="AM232" s="27">
        <f>VLOOKUP($A232,'[1]Raw Data'!$A$3:$FB$285,50,FALSE)</f>
        <v>0</v>
      </c>
      <c r="AN232" s="27" t="str">
        <f>VLOOKUP($A232,'[1]Raw Data'!$A$3:$FB$285,51,FALSE)</f>
        <v/>
      </c>
      <c r="AO232" s="27" t="str">
        <f>VLOOKUP($A232,'[1]Raw Data'!$A$3:$FB$285,52,FALSE)</f>
        <v/>
      </c>
      <c r="AP232" s="27">
        <f>VLOOKUP($A232,'[1]Raw Data'!$A$3:$FB$285,53,FALSE)</f>
        <v>154</v>
      </c>
      <c r="AQ232" s="27" t="str">
        <f>VLOOKUP($A232,'[1]Raw Data'!$A$3:$FB$285,54,FALSE)</f>
        <v/>
      </c>
      <c r="AR232" s="27" t="str">
        <f>VLOOKUP($A232,'[1]Raw Data'!$A$3:$FB$285,55,FALSE)</f>
        <v/>
      </c>
      <c r="AS232" s="27" t="str">
        <f>VLOOKUP($A232,'[1]Raw Data'!$A$3:$FB$285,56,FALSE)</f>
        <v/>
      </c>
      <c r="AT232" s="27" t="str">
        <f>VLOOKUP($A232,'[1]Raw Data'!$A$3:$FB$285,57,FALSE)</f>
        <v/>
      </c>
      <c r="AU232" s="27" t="str">
        <f>VLOOKUP($A232,'[1]Raw Data'!$A$3:$FB$285,58,FALSE)</f>
        <v/>
      </c>
      <c r="AV232" s="27" t="str">
        <f>VLOOKUP($A232,'[1]Raw Data'!$A$3:$FB$285,59,FALSE)</f>
        <v/>
      </c>
      <c r="AW232" s="27" t="str">
        <f>VLOOKUP($A232,'[1]Raw Data'!$A$3:$FB$285,60,FALSE)</f>
        <v/>
      </c>
      <c r="AX232" s="27" t="str">
        <f>VLOOKUP(A232,'[1]PO''s List'!A230:E512,4,FALSE)</f>
        <v/>
      </c>
      <c r="AZ232" s="27" t="str">
        <f>VLOOKUP(A232,'[1]PO''s List'!$A$3:$E$285,5,FALSE)</f>
        <v/>
      </c>
      <c r="BB232" s="27">
        <f>VLOOKUP($A232,'[1]Raw Data'!$A$3:$FB$285,63,FALSE)</f>
        <v>6278</v>
      </c>
      <c r="BC232" s="27" t="str">
        <f>VLOOKUP($A232,'[1]Raw Data'!$A$3:$FB$285,64,FALSE)</f>
        <v/>
      </c>
      <c r="BD232" s="27" t="str">
        <f t="shared" si="27"/>
        <v/>
      </c>
      <c r="BE232" s="27" t="str">
        <f>VLOOKUP($A232,'[1]Raw Data'!$A$3:$FB$285,65,FALSE)</f>
        <v/>
      </c>
      <c r="BF232" s="27">
        <f>VLOOKUP($A232,'[1]Raw Data'!$A$3:$FB$285,66,FALSE)</f>
        <v>6316</v>
      </c>
      <c r="BG232" s="27" t="str">
        <f>VLOOKUP($A232,'[1]Raw Data'!$A$3:$FB$285,67,FALSE)</f>
        <v/>
      </c>
      <c r="BH232" s="27" t="str">
        <f t="shared" si="28"/>
        <v/>
      </c>
      <c r="BI232" s="27" t="str">
        <f>VLOOKUP($A232,'[1]Raw Data'!$A$3:$FB$285,68,FALSE)</f>
        <v/>
      </c>
      <c r="BJ232" s="27">
        <f>VLOOKUP($A232,'[1]Raw Data'!$A$3:$FB$285,69,FALSE)</f>
        <v>670</v>
      </c>
      <c r="BK232" s="27" t="str">
        <f>VLOOKUP($A232,'[1]Raw Data'!$A$3:$FB$285,70,FALSE)</f>
        <v/>
      </c>
      <c r="BL232" s="27" t="str">
        <f t="shared" si="29"/>
        <v/>
      </c>
      <c r="BM232" s="27" t="str">
        <f>VLOOKUP($A232,'[1]Raw Data'!$A$3:$FB$285,71,FALSE)</f>
        <v/>
      </c>
      <c r="BN232" s="27">
        <f>VLOOKUP($A232,'[1]Raw Data'!$A$3:$FB$285,72,FALSE)</f>
        <v>770</v>
      </c>
      <c r="BO232" s="27" t="str">
        <f>VLOOKUP($A232,'[1]Raw Data'!$A$3:$FB$285,73,FALSE)</f>
        <v/>
      </c>
      <c r="BP232" s="27" t="str">
        <f t="shared" si="30"/>
        <v/>
      </c>
      <c r="BQ232" s="27" t="str">
        <f>VLOOKUP($A232,'[1]Raw Data'!$A$3:$FB$285,74,FALSE)</f>
        <v/>
      </c>
      <c r="BR232" s="27" t="str">
        <f>VLOOKUP($A232,'[1]Raw Data'!$A$3:$FB$285,75,FALSE)</f>
        <v/>
      </c>
      <c r="BS232" s="27" t="str">
        <f>VLOOKUP($A232,'[1]Raw Data'!$A$3:$FB$285,76,FALSE)</f>
        <v/>
      </c>
      <c r="BT232" s="27" t="str">
        <f t="shared" si="31"/>
        <v/>
      </c>
      <c r="BU232" s="27" t="str">
        <f>VLOOKUP($A232,'[1]Raw Data'!$A$3:$FB$285,77,FALSE)</f>
        <v/>
      </c>
      <c r="BV232" s="27">
        <f>VLOOKUP($A232,'[1]Raw Data'!$A$3:$FB$285,78,FALSE)</f>
        <v>21255</v>
      </c>
      <c r="BW232" s="27" t="str">
        <f>VLOOKUP($A232,'[1]Raw Data'!$A$3:$FB$285,79,FALSE)</f>
        <v/>
      </c>
      <c r="BX232" s="27" t="str">
        <f t="shared" si="32"/>
        <v/>
      </c>
      <c r="BY232" s="27" t="str">
        <f>VLOOKUP($A232,'[1]Raw Data'!$A$3:$FB$285,80,FALSE)</f>
        <v/>
      </c>
      <c r="BZ232" s="27">
        <f>VLOOKUP($A232,'[1]Raw Data'!$A$3:$FB$285,81,FALSE)</f>
        <v>68653</v>
      </c>
      <c r="CA232" s="27" t="str">
        <f>VLOOKUP($A232,'[1]Raw Data'!$A$3:$FB$285,82,FALSE)</f>
        <v/>
      </c>
      <c r="CB232" s="27" t="str">
        <f t="shared" si="33"/>
        <v/>
      </c>
      <c r="CC232" s="27" t="str">
        <f>VLOOKUP($A232,'[1]Raw Data'!$A$3:$FB$285,83,FALSE)</f>
        <v/>
      </c>
      <c r="CD232" s="27">
        <f>VLOOKUP($A232,'[1]Raw Data'!$A$3:$FB$285,84,FALSE)</f>
        <v>870</v>
      </c>
      <c r="CE232" s="27" t="str">
        <f>VLOOKUP($A232,'[1]Raw Data'!$A$3:$FB$285,85,FALSE)</f>
        <v/>
      </c>
      <c r="CF232" s="27" t="str">
        <f t="shared" si="34"/>
        <v/>
      </c>
      <c r="CG232" s="27" t="str">
        <f>VLOOKUP($A232,'[1]Raw Data'!$A$3:$FB$285,86,FALSE)</f>
        <v/>
      </c>
      <c r="CH232" s="27">
        <f>VLOOKUP($A232,'[1]Raw Data'!$A$3:$FB$285,87,FALSE)</f>
        <v>118126</v>
      </c>
      <c r="CI232" s="27" t="str">
        <f>VLOOKUP($A232,'[1]Raw Data'!$A$3:$FB$285,88,FALSE)</f>
        <v/>
      </c>
      <c r="CJ232" s="27" t="str">
        <f t="shared" si="35"/>
        <v/>
      </c>
      <c r="CK232" s="27" t="str">
        <f>VLOOKUP($A232,'[1]Raw Data'!$A$3:$FB$285,89,FALSE)</f>
        <v/>
      </c>
      <c r="CL232" s="27" t="str">
        <f>VLOOKUP($A232,'[1]Raw Data'!$A$3:$FB$285,91,FALSE)</f>
        <v/>
      </c>
      <c r="CM232" s="27" t="str">
        <f>VLOOKUP($A232,'[1]Raw Data'!$A$3:$FB$285,93,FALSE)</f>
        <v/>
      </c>
      <c r="CN232" s="27" t="str">
        <f>VLOOKUP($A232,'[1]Raw Data'!$A$3:$FB$285,94,FALSE)</f>
        <v/>
      </c>
      <c r="CO232" s="27" t="str">
        <f>VLOOKUP($A232,'[1]Raw Data'!$A$3:$FB$285,95,FALSE)</f>
        <v/>
      </c>
      <c r="CP232" s="27" t="str">
        <f>VLOOKUP($A232,'[1]Raw Data'!$A$3:$FB$285,96,FALSE)</f>
        <v/>
      </c>
      <c r="CQ232" s="27" t="str">
        <f>VLOOKUP($A232,'[1]Raw Data'!$A$3:$FB$285,97,FALSE)</f>
        <v/>
      </c>
      <c r="CR232" s="27" t="str">
        <f>VLOOKUP($A232,'[1]Raw Data'!$A$3:$FB$285,98,FALSE)</f>
        <v/>
      </c>
      <c r="CS232" s="27" t="str">
        <f>VLOOKUP($A232,'[1]Raw Data'!$A$3:$FB$285,99,FALSE)</f>
        <v/>
      </c>
      <c r="CT232" s="27" t="str">
        <f>VLOOKUP($A232,'[1]Raw Data'!$A$3:$FB$285,101,FALSE)</f>
        <v/>
      </c>
      <c r="CV232" s="27" t="str">
        <f>VLOOKUP($A232,'[1]Raw Data'!$A$3:$FB$285,102,FALSE)</f>
        <v>Chairman</v>
      </c>
      <c r="CW232" s="27" t="s">
        <v>878</v>
      </c>
      <c r="CX232" s="27" t="str">
        <f>VLOOKUP($A232,'[1]Raw Data'!$A$3:$FB$285,103,FALSE)</f>
        <v/>
      </c>
      <c r="CY232" s="27" t="str">
        <f>VLOOKUP($A232,'[1]Raw Data'!$A$3:$FB$285,105,FALSE)</f>
        <v/>
      </c>
      <c r="DA232" s="27" t="str">
        <f>VLOOKUP($A232,'[1]Raw Data'!$A$3:$FB$285,106,FALSE)</f>
        <v>Deputy Chairman</v>
      </c>
      <c r="DB232" s="27" t="s">
        <v>879</v>
      </c>
      <c r="DC232" s="27" t="str">
        <f>VLOOKUP($A232,'[1]Raw Data'!$A$3:$FB$285,107,FALSE)</f>
        <v/>
      </c>
      <c r="DD232" s="27" t="str">
        <f>VLOOKUP($A232,'[1]Raw Data'!$A$3:$FB$285,109,FALSE)</f>
        <v/>
      </c>
      <c r="DF232" s="27" t="str">
        <f>VLOOKUP($A232,'[1]Raw Data'!$A$3:$FB$285,110,FALSE)</f>
        <v>Chief Adminstration Officer</v>
      </c>
      <c r="DG232" s="27" t="s">
        <v>880</v>
      </c>
      <c r="DH232" s="27" t="str">
        <f>VLOOKUP($A232,'[1]Raw Data'!$A$3:$FB$285,111,FALSE)</f>
        <v/>
      </c>
      <c r="DI232" s="27" t="str">
        <f>VLOOKUP($A232,'[1]Raw Data'!$A$3:$FB$285,121,FALSE)</f>
        <v/>
      </c>
      <c r="DK232" s="27" t="str">
        <f>VLOOKUP($A232,'[1]Raw Data'!$A$3:$FB$285,122,FALSE)</f>
        <v>Focal Person</v>
      </c>
      <c r="DL232" s="27" t="s">
        <v>881</v>
      </c>
      <c r="DM232" s="27" t="str">
        <f>VLOOKUP($A232,'[1]Raw Data'!$A$3:$FB$285,123,FALSE)</f>
        <v/>
      </c>
      <c r="DN232" s="27" t="str">
        <f>VLOOKUP($A232,'[1]Raw Data'!$A$3:$FB$285,113,FALSE)</f>
        <v/>
      </c>
      <c r="DP232" s="27" t="str">
        <f>VLOOKUP($A232,'[1]Raw Data'!$A$3:$FB$285,114,FALSE)</f>
        <v>NRA Chief-District</v>
      </c>
      <c r="DQ232" s="27" t="s">
        <v>882</v>
      </c>
      <c r="DR232" s="27" t="str">
        <f>VLOOKUP($A232,'[1]Raw Data'!$A$3:$FB$285,115,FALSE)</f>
        <v/>
      </c>
      <c r="DS232" s="27" t="str">
        <f>VLOOKUP($A232,'[1]Raw Data'!$A$3:$FB$285,117,FALSE)</f>
        <v/>
      </c>
      <c r="DU232" s="27" t="str">
        <f>VLOOKUP($A232,'[1]Raw Data'!$A$3:$FB$285,118,FALSE)</f>
        <v>DUDBC.DLPIU Chief</v>
      </c>
      <c r="DV232" s="27" t="s">
        <v>883</v>
      </c>
      <c r="DW232" s="27" t="str">
        <f>VLOOKUP($A232,'[1]Raw Data'!$A$3:$FB$285,119,FALSE)</f>
        <v/>
      </c>
      <c r="DX232" s="27" t="s">
        <v>339</v>
      </c>
      <c r="DY232" s="27" t="str">
        <f>VLOOKUP($A232,'[1]Raw Data'!$A$3:$FB$285,124,FALSE)</f>
        <v/>
      </c>
      <c r="DZ232" s="27" t="s">
        <v>884</v>
      </c>
      <c r="EA232" s="27" t="str">
        <f>VLOOKUP($A232,'[1]Raw Data'!$A$3:$FB$285,125,FALSE)</f>
        <v/>
      </c>
      <c r="EB232" s="27" t="s">
        <v>341</v>
      </c>
      <c r="EC232" s="27" t="str">
        <f>VLOOKUP($A232,'[1]Raw Data'!$A$3:$FB$285,126,FALSE)</f>
        <v/>
      </c>
      <c r="ED232" t="s">
        <v>478</v>
      </c>
      <c r="EE232" s="27" t="str">
        <f>VLOOKUP($A232,'[1]Raw Data'!$A$3:$FB$285,127,FALSE)</f>
        <v/>
      </c>
      <c r="EF232" s="27" t="s">
        <v>343</v>
      </c>
      <c r="EG232" s="27" t="str">
        <f>VLOOKUP($A232,'[1]Raw Data'!$A$3:$FB$285,128,FALSE)</f>
        <v/>
      </c>
      <c r="EH232" t="s">
        <v>344</v>
      </c>
      <c r="EI232" s="27" t="str">
        <f>VLOOKUP($A232,'[1]Raw Data'!$A$3:$FB$285,129,FALSE)</f>
        <v/>
      </c>
      <c r="EM232" s="27" t="str">
        <f>VLOOKUP($A232,'[1]Raw Data'!$A$3:$FB$285,130,FALSE)</f>
        <v/>
      </c>
      <c r="EN232" s="27" t="str">
        <f>VLOOKUP($A232,'[1]Raw Data'!$A$3:$FB$285,131,FALSE)</f>
        <v/>
      </c>
      <c r="EO232" s="27" t="str">
        <f>VLOOKUP($A232,'[1]Raw Data'!$A$3:$FB$285,132,FALSE)</f>
        <v/>
      </c>
      <c r="EP232" s="27" t="str">
        <f>VLOOKUP($A232,'[1]Raw Data'!$A$3:$FB$285,133,FALSE)</f>
        <v/>
      </c>
      <c r="EQ232" s="27" t="str">
        <f>VLOOKUP($A232,'[1]Raw Data'!$A$3:$FB$285,134,FALSE)</f>
        <v/>
      </c>
      <c r="ER232" s="27" t="str">
        <f>VLOOKUP($A232,'[1]Raw Data'!$A$3:$FB$285,135,FALSE)</f>
        <v/>
      </c>
      <c r="ES232" s="27" t="str">
        <f>VLOOKUP($A232,'[1]Raw Data'!$A$3:$FB$285,136,FALSE)</f>
        <v/>
      </c>
      <c r="ET232" s="27" t="str">
        <f>VLOOKUP($A232,'[1]Raw Data'!$A$3:$FB$285,137,FALSE)</f>
        <v/>
      </c>
      <c r="EU232" s="27" t="str">
        <f>VLOOKUP($A232,'[1]Raw Data'!$A$3:$FB$285,138,FALSE)</f>
        <v/>
      </c>
      <c r="EV232" s="27" t="str">
        <f>VLOOKUP($A232,'[1]Raw Data'!$A$3:$FB$285,139,FALSE)</f>
        <v/>
      </c>
      <c r="EW232" s="38">
        <f>VLOOKUP($A232,[1]Training!$A$2:$I$284,5,FALSE)</f>
        <v>50.53846153846154</v>
      </c>
      <c r="EX232" s="31">
        <f>VLOOKUP($A232,[1]Training!$A$2:$I$284,6,FALSE)</f>
        <v>0</v>
      </c>
      <c r="EY232" s="38">
        <f>VLOOKUP($A232,[1]Training!$A$2:$I$284,8,FALSE)</f>
        <v>59.727272727272727</v>
      </c>
      <c r="EZ232" s="31">
        <f>VLOOKUP($A232,[1]Training!$A$2:$I$284,9,FALSE)</f>
        <v>0</v>
      </c>
      <c r="FA232" s="27">
        <v>1</v>
      </c>
      <c r="FB232" s="27">
        <v>2</v>
      </c>
      <c r="FC232" s="27" t="str">
        <f>VLOOKUP($A232,'[1]Raw Data'!$A$3:$FB$285,148,FALSE)</f>
        <v/>
      </c>
      <c r="FE232" s="27" t="str">
        <f>VLOOKUP($A232,'[1]Raw Data'!$A$3:$FB$285,149,FALSE)</f>
        <v>District Coordinator</v>
      </c>
      <c r="FF232" s="27" t="s">
        <v>885</v>
      </c>
      <c r="FG232" s="27" t="str">
        <f>VLOOKUP($A232,'[1]Raw Data'!$A$3:$FB$285,150,FALSE)</f>
        <v/>
      </c>
      <c r="FH232" s="27" t="str">
        <f>VLOOKUP($A232,'[1]Raw Data'!$A$3:$FB$285,156,FALSE)</f>
        <v/>
      </c>
      <c r="FJ232" s="27" t="str">
        <f>VLOOKUP($A232,'[1]Raw Data'!$A$3:$FB$285,157,FALSE)</f>
        <v>District Technical Officer</v>
      </c>
      <c r="FK232" s="27" t="s">
        <v>886</v>
      </c>
      <c r="FL232" s="27" t="str">
        <f>VLOOKUP($A232,'[1]Raw Data'!$A$3:$FB$285,158,FALSE)</f>
        <v/>
      </c>
      <c r="FM232" s="27" t="str">
        <f>VLOOKUP($A232,'[1]Raw Data'!$A$3:$FB$285,152,FALSE)</f>
        <v/>
      </c>
      <c r="FO232" s="27" t="str">
        <f>VLOOKUP($A232,'[1]Raw Data'!$A$3:$FB$285,153,FALSE)</f>
        <v>DIstrict Information Management Officer</v>
      </c>
      <c r="FP232" s="27" t="s">
        <v>887</v>
      </c>
      <c r="FQ232" s="27" t="str">
        <f>VLOOKUP($A232,'[1]Raw Data'!$A$3:$FB$285,154,FALSE)</f>
        <v/>
      </c>
    </row>
    <row r="233" spans="1:173" ht="24" x14ac:dyDescent="0.45">
      <c r="A233" s="27">
        <v>44007</v>
      </c>
      <c r="B233" s="36" t="str">
        <f ca="1">IFERROR(__xludf.DUMMYFUNCTION("""COMPUTED_VALUE"""),"Phalebas Nagarpalika")</f>
        <v>Phalebas Nagarpalika</v>
      </c>
      <c r="C233" s="37" t="str">
        <f>VLOOKUP(A233,'[1]Palika and District in Nepali '!$D$1:$F$283,3,FALSE)</f>
        <v>फलेबास नगरपालिका</v>
      </c>
      <c r="D233" s="36" t="str">
        <f ca="1">IFERROR(__xludf.DUMMYFUNCTION("""COMPUTED_VALUE"""),"Parbat")</f>
        <v>Parbat</v>
      </c>
      <c r="E233" s="36"/>
      <c r="F233" s="27">
        <f>VLOOKUP(A233,'[1]Raw Data'!$A$3:$FB$285,4,FALSE)</f>
        <v>449</v>
      </c>
      <c r="G233" s="27">
        <f>VLOOKUP(A233,'[1]Raw Data'!$A$3:$FB$285,5,FALSE)</f>
        <v>1557</v>
      </c>
      <c r="H233" s="27">
        <f>VLOOKUP(A233,'[1]Raw Data'!$A$3:$FB$285,6,FALSE)</f>
        <v>2006</v>
      </c>
      <c r="I233" s="27">
        <f>VLOOKUP($A233,'[1]Raw Data'!$A$3:$FB$285,8,FALSE)</f>
        <v>0.3</v>
      </c>
      <c r="J233" s="27">
        <f>VLOOKUP($A233,'[1]Raw Data'!$A$3:$FB$285,9,FALSE)</f>
        <v>0.59</v>
      </c>
      <c r="K233" s="27">
        <f>VLOOKUP($A233,'[1]Raw Data'!$A$3:$FB$285,11,FALSE)</f>
        <v>71.44</v>
      </c>
      <c r="L233" s="27">
        <f>VLOOKUP($A233,'[1]Raw Data'!$A$3:$FB$285,12,FALSE)</f>
        <v>88.88</v>
      </c>
      <c r="M233" s="27">
        <f>VLOOKUP($A233,'[1]Raw Data'!$A$3:$FB$285,14,FALSE)</f>
        <v>1.05</v>
      </c>
      <c r="N233" s="27">
        <f>VLOOKUP($A233,'[1]Raw Data'!$A$3:$FB$285,15,FALSE)</f>
        <v>0.68</v>
      </c>
      <c r="O233" s="27">
        <f>VLOOKUP($A233,'[1]Raw Data'!$A$3:$FB$285,17,FALSE)</f>
        <v>1.05</v>
      </c>
      <c r="P233" s="27">
        <f>VLOOKUP($A233,'[1]Raw Data'!$A$3:$FB$285,18,FALSE)</f>
        <v>0.69</v>
      </c>
      <c r="Q233" s="27">
        <f>VLOOKUP($A233,'[1]Raw Data'!$A$3:$FB$285,20,FALSE)</f>
        <v>0.1</v>
      </c>
      <c r="R233" s="27">
        <f>VLOOKUP($A233,'[1]Raw Data'!$A$3:$FB$285,21,FALSE)</f>
        <v>0.34</v>
      </c>
      <c r="S233" s="27">
        <f>VLOOKUP($A233,'[1]Raw Data'!$A$3:$FB$285,23,FALSE)</f>
        <v>0</v>
      </c>
      <c r="T233" s="27">
        <f>VLOOKUP($A233,'[1]Raw Data'!$A$3:$FB$285,24,FALSE)</f>
        <v>0</v>
      </c>
      <c r="U233" s="27">
        <f>VLOOKUP($A233,'[1]Raw Data'!$A$3:$FB$285,26,FALSE)</f>
        <v>0.05</v>
      </c>
      <c r="V233" s="27">
        <f>VLOOKUP($A233,'[1]Raw Data'!$A$3:$FB$285,27,FALSE)</f>
        <v>0.2</v>
      </c>
      <c r="W233" s="27">
        <f>VLOOKUP($A233,'[1]Raw Data'!$A$3:$FB$285,29,FALSE)</f>
        <v>0</v>
      </c>
      <c r="X233" s="27">
        <f>VLOOKUP($A233,'[1]Raw Data'!$A$3:$FB$285,30,FALSE)</f>
        <v>0</v>
      </c>
      <c r="Y233" s="27">
        <f>VLOOKUP($A233,'[1]Raw Data'!$A$3:$FB$285,32,FALSE)</f>
        <v>0</v>
      </c>
      <c r="Z233" s="27">
        <f>VLOOKUP($A233,'[1]Raw Data'!$A$3:$FB$285,33,FALSE)</f>
        <v>0.04</v>
      </c>
      <c r="AA233" s="27">
        <f>VLOOKUP($A233,'[1]Raw Data'!$A$3:$FB$285,35,FALSE)</f>
        <v>26.02</v>
      </c>
      <c r="AB233" s="27">
        <f>VLOOKUP($A233,'[1]Raw Data'!$A$3:$FB$285,36,FALSE)</f>
        <v>8.2799999999999994</v>
      </c>
      <c r="AC233" s="27">
        <f>VLOOKUP($A233,'[1]Raw Data'!$A$3:$FB$285,38,FALSE)</f>
        <v>0</v>
      </c>
      <c r="AD233" s="27">
        <f>VLOOKUP($A233,'[1]Raw Data'!$A$3:$FB$285,39,FALSE)</f>
        <v>0.3</v>
      </c>
      <c r="AE233" s="27">
        <f>VLOOKUP($A233,'[1]Raw Data'!$A$3:$FB$285,41,FALSE)</f>
        <v>0</v>
      </c>
      <c r="AF233" s="27">
        <f>VLOOKUP($A233,'[1]Raw Data'!$A$3:$FB$285,42,FALSE)</f>
        <v>0</v>
      </c>
      <c r="AG233" s="27">
        <f>VLOOKUP($A233,'[1]Raw Data'!$A$3:$FB$285,44,FALSE)</f>
        <v>0</v>
      </c>
      <c r="AH233" s="27">
        <f>VLOOKUP($A233,'[1]Raw Data'!$A$3:$FB$285,45,FALSE)</f>
        <v>0</v>
      </c>
      <c r="AI233" s="27">
        <f>VLOOKUP($A233,'[1]Raw Data'!$A$3:$FB$285,46,FALSE)</f>
        <v>1464</v>
      </c>
      <c r="AJ233" s="27">
        <f>VLOOKUP($A233,'[1]Raw Data'!$A$3:$FB$285,47,FALSE)</f>
        <v>322</v>
      </c>
      <c r="AK233" s="27">
        <f>VLOOKUP($A233,'[1]Raw Data'!$A$3:$FB$285,48,FALSE)</f>
        <v>322</v>
      </c>
      <c r="AL233" s="27">
        <f>VLOOKUP($A233,'[1]Raw Data'!$A$3:$FB$285,49,FALSE)</f>
        <v>207</v>
      </c>
      <c r="AM233" s="27">
        <f>VLOOKUP($A233,'[1]Raw Data'!$A$3:$FB$285,50,FALSE)</f>
        <v>0</v>
      </c>
      <c r="AN233" s="27" t="str">
        <f>VLOOKUP($A233,'[1]Raw Data'!$A$3:$FB$285,51,FALSE)</f>
        <v/>
      </c>
      <c r="AO233" s="27" t="str">
        <f>VLOOKUP($A233,'[1]Raw Data'!$A$3:$FB$285,52,FALSE)</f>
        <v/>
      </c>
      <c r="AP233" s="27">
        <f>VLOOKUP($A233,'[1]Raw Data'!$A$3:$FB$285,53,FALSE)</f>
        <v>105</v>
      </c>
      <c r="AQ233" s="27" t="str">
        <f>VLOOKUP($A233,'[1]Raw Data'!$A$3:$FB$285,54,FALSE)</f>
        <v/>
      </c>
      <c r="AR233" s="27" t="str">
        <f>VLOOKUP($A233,'[1]Raw Data'!$A$3:$FB$285,55,FALSE)</f>
        <v/>
      </c>
      <c r="AS233" s="27" t="str">
        <f>VLOOKUP($A233,'[1]Raw Data'!$A$3:$FB$285,56,FALSE)</f>
        <v/>
      </c>
      <c r="AT233" s="27" t="str">
        <f>VLOOKUP($A233,'[1]Raw Data'!$A$3:$FB$285,57,FALSE)</f>
        <v/>
      </c>
      <c r="AU233" s="27" t="str">
        <f>VLOOKUP($A233,'[1]Raw Data'!$A$3:$FB$285,58,FALSE)</f>
        <v/>
      </c>
      <c r="AV233" s="27" t="str">
        <f>VLOOKUP($A233,'[1]Raw Data'!$A$3:$FB$285,59,FALSE)</f>
        <v/>
      </c>
      <c r="AW233" s="27" t="str">
        <f>VLOOKUP($A233,'[1]Raw Data'!$A$3:$FB$285,60,FALSE)</f>
        <v/>
      </c>
      <c r="AX233" s="27" t="str">
        <f>VLOOKUP(A233,'[1]PO''s List'!A231:E513,4,FALSE)</f>
        <v/>
      </c>
      <c r="AZ233" s="27" t="str">
        <f>VLOOKUP(A233,'[1]PO''s List'!$A$3:$E$285,5,FALSE)</f>
        <v/>
      </c>
      <c r="BB233" s="27">
        <f>VLOOKUP($A233,'[1]Raw Data'!$A$3:$FB$285,63,FALSE)</f>
        <v>8833</v>
      </c>
      <c r="BC233" s="27" t="str">
        <f>VLOOKUP($A233,'[1]Raw Data'!$A$3:$FB$285,64,FALSE)</f>
        <v/>
      </c>
      <c r="BD233" s="27" t="str">
        <f t="shared" si="27"/>
        <v/>
      </c>
      <c r="BE233" s="27" t="str">
        <f>VLOOKUP($A233,'[1]Raw Data'!$A$3:$FB$285,65,FALSE)</f>
        <v/>
      </c>
      <c r="BF233" s="27">
        <f>VLOOKUP($A233,'[1]Raw Data'!$A$3:$FB$285,66,FALSE)</f>
        <v>8419</v>
      </c>
      <c r="BG233" s="27" t="str">
        <f>VLOOKUP($A233,'[1]Raw Data'!$A$3:$FB$285,67,FALSE)</f>
        <v/>
      </c>
      <c r="BH233" s="27" t="str">
        <f t="shared" si="28"/>
        <v/>
      </c>
      <c r="BI233" s="27" t="str">
        <f>VLOOKUP($A233,'[1]Raw Data'!$A$3:$FB$285,68,FALSE)</f>
        <v/>
      </c>
      <c r="BJ233" s="27">
        <f>VLOOKUP($A233,'[1]Raw Data'!$A$3:$FB$285,69,FALSE)</f>
        <v>937</v>
      </c>
      <c r="BK233" s="27" t="str">
        <f>VLOOKUP($A233,'[1]Raw Data'!$A$3:$FB$285,70,FALSE)</f>
        <v/>
      </c>
      <c r="BL233" s="27" t="str">
        <f t="shared" si="29"/>
        <v/>
      </c>
      <c r="BM233" s="27" t="str">
        <f>VLOOKUP($A233,'[1]Raw Data'!$A$3:$FB$285,71,FALSE)</f>
        <v/>
      </c>
      <c r="BN233" s="27">
        <f>VLOOKUP($A233,'[1]Raw Data'!$A$3:$FB$285,72,FALSE)</f>
        <v>1058</v>
      </c>
      <c r="BO233" s="27" t="str">
        <f>VLOOKUP($A233,'[1]Raw Data'!$A$3:$FB$285,73,FALSE)</f>
        <v/>
      </c>
      <c r="BP233" s="27" t="str">
        <f t="shared" si="30"/>
        <v/>
      </c>
      <c r="BQ233" s="27" t="str">
        <f>VLOOKUP($A233,'[1]Raw Data'!$A$3:$FB$285,74,FALSE)</f>
        <v/>
      </c>
      <c r="BR233" s="27" t="str">
        <f>VLOOKUP($A233,'[1]Raw Data'!$A$3:$FB$285,75,FALSE)</f>
        <v/>
      </c>
      <c r="BS233" s="27" t="str">
        <f>VLOOKUP($A233,'[1]Raw Data'!$A$3:$FB$285,76,FALSE)</f>
        <v/>
      </c>
      <c r="BT233" s="27" t="str">
        <f t="shared" si="31"/>
        <v/>
      </c>
      <c r="BU233" s="27" t="str">
        <f>VLOOKUP($A233,'[1]Raw Data'!$A$3:$FB$285,77,FALSE)</f>
        <v/>
      </c>
      <c r="BV233" s="27">
        <f>VLOOKUP($A233,'[1]Raw Data'!$A$3:$FB$285,78,FALSE)</f>
        <v>27800</v>
      </c>
      <c r="BW233" s="27" t="str">
        <f>VLOOKUP($A233,'[1]Raw Data'!$A$3:$FB$285,79,FALSE)</f>
        <v/>
      </c>
      <c r="BX233" s="27" t="str">
        <f t="shared" si="32"/>
        <v/>
      </c>
      <c r="BY233" s="27" t="str">
        <f>VLOOKUP($A233,'[1]Raw Data'!$A$3:$FB$285,80,FALSE)</f>
        <v/>
      </c>
      <c r="BZ233" s="27">
        <f>VLOOKUP($A233,'[1]Raw Data'!$A$3:$FB$285,81,FALSE)</f>
        <v>96444</v>
      </c>
      <c r="CA233" s="27" t="str">
        <f>VLOOKUP($A233,'[1]Raw Data'!$A$3:$FB$285,82,FALSE)</f>
        <v/>
      </c>
      <c r="CB233" s="27" t="str">
        <f t="shared" si="33"/>
        <v/>
      </c>
      <c r="CC233" s="27" t="str">
        <f>VLOOKUP($A233,'[1]Raw Data'!$A$3:$FB$285,83,FALSE)</f>
        <v/>
      </c>
      <c r="CD233" s="27">
        <f>VLOOKUP($A233,'[1]Raw Data'!$A$3:$FB$285,84,FALSE)</f>
        <v>1134</v>
      </c>
      <c r="CE233" s="27" t="str">
        <f>VLOOKUP($A233,'[1]Raw Data'!$A$3:$FB$285,85,FALSE)</f>
        <v/>
      </c>
      <c r="CF233" s="27" t="str">
        <f t="shared" si="34"/>
        <v/>
      </c>
      <c r="CG233" s="27" t="str">
        <f>VLOOKUP($A233,'[1]Raw Data'!$A$3:$FB$285,86,FALSE)</f>
        <v/>
      </c>
      <c r="CH233" s="27">
        <f>VLOOKUP($A233,'[1]Raw Data'!$A$3:$FB$285,87,FALSE)</f>
        <v>103490</v>
      </c>
      <c r="CI233" s="27" t="str">
        <f>VLOOKUP($A233,'[1]Raw Data'!$A$3:$FB$285,88,FALSE)</f>
        <v/>
      </c>
      <c r="CJ233" s="27" t="str">
        <f t="shared" si="35"/>
        <v/>
      </c>
      <c r="CK233" s="27" t="str">
        <f>VLOOKUP($A233,'[1]Raw Data'!$A$3:$FB$285,89,FALSE)</f>
        <v/>
      </c>
      <c r="CL233" s="27" t="str">
        <f>VLOOKUP($A233,'[1]Raw Data'!$A$3:$FB$285,91,FALSE)</f>
        <v/>
      </c>
      <c r="CM233" s="27" t="str">
        <f>VLOOKUP($A233,'[1]Raw Data'!$A$3:$FB$285,93,FALSE)</f>
        <v/>
      </c>
      <c r="CN233" s="27" t="str">
        <f>VLOOKUP($A233,'[1]Raw Data'!$A$3:$FB$285,94,FALSE)</f>
        <v/>
      </c>
      <c r="CO233" s="27" t="str">
        <f>VLOOKUP($A233,'[1]Raw Data'!$A$3:$FB$285,95,FALSE)</f>
        <v/>
      </c>
      <c r="CP233" s="27" t="str">
        <f>VLOOKUP($A233,'[1]Raw Data'!$A$3:$FB$285,96,FALSE)</f>
        <v/>
      </c>
      <c r="CQ233" s="27" t="str">
        <f>VLOOKUP($A233,'[1]Raw Data'!$A$3:$FB$285,97,FALSE)</f>
        <v/>
      </c>
      <c r="CR233" s="27" t="str">
        <f>VLOOKUP($A233,'[1]Raw Data'!$A$3:$FB$285,98,FALSE)</f>
        <v/>
      </c>
      <c r="CS233" s="27" t="str">
        <f>VLOOKUP($A233,'[1]Raw Data'!$A$3:$FB$285,99,FALSE)</f>
        <v/>
      </c>
      <c r="CT233" s="27" t="str">
        <f>VLOOKUP($A233,'[1]Raw Data'!$A$3:$FB$285,101,FALSE)</f>
        <v/>
      </c>
      <c r="CV233" s="27" t="str">
        <f>VLOOKUP($A233,'[1]Raw Data'!$A$3:$FB$285,102,FALSE)</f>
        <v>Mayor</v>
      </c>
      <c r="CW233" s="27" t="s">
        <v>834</v>
      </c>
      <c r="CX233" s="27" t="str">
        <f>VLOOKUP($A233,'[1]Raw Data'!$A$3:$FB$285,103,FALSE)</f>
        <v/>
      </c>
      <c r="CY233" s="27" t="str">
        <f>VLOOKUP($A233,'[1]Raw Data'!$A$3:$FB$285,105,FALSE)</f>
        <v/>
      </c>
      <c r="DA233" s="27" t="str">
        <f>VLOOKUP($A233,'[1]Raw Data'!$A$3:$FB$285,106,FALSE)</f>
        <v>Deputy Mayor</v>
      </c>
      <c r="DB233" s="27" t="s">
        <v>888</v>
      </c>
      <c r="DC233" s="27" t="str">
        <f>VLOOKUP($A233,'[1]Raw Data'!$A$3:$FB$285,107,FALSE)</f>
        <v/>
      </c>
      <c r="DD233" s="27" t="str">
        <f>VLOOKUP($A233,'[1]Raw Data'!$A$3:$FB$285,109,FALSE)</f>
        <v/>
      </c>
      <c r="DF233" s="27" t="str">
        <f>VLOOKUP($A233,'[1]Raw Data'!$A$3:$FB$285,110,FALSE)</f>
        <v>Chief Adminstration Officer</v>
      </c>
      <c r="DG233" s="27" t="s">
        <v>880</v>
      </c>
      <c r="DH233" s="27" t="str">
        <f>VLOOKUP($A233,'[1]Raw Data'!$A$3:$FB$285,111,FALSE)</f>
        <v/>
      </c>
      <c r="DI233" s="27" t="str">
        <f>VLOOKUP($A233,'[1]Raw Data'!$A$3:$FB$285,121,FALSE)</f>
        <v/>
      </c>
      <c r="DK233" s="27" t="str">
        <f>VLOOKUP($A233,'[1]Raw Data'!$A$3:$FB$285,122,FALSE)</f>
        <v>Focal Person</v>
      </c>
      <c r="DL233" s="27" t="s">
        <v>881</v>
      </c>
      <c r="DM233" s="27" t="str">
        <f>VLOOKUP($A233,'[1]Raw Data'!$A$3:$FB$285,123,FALSE)</f>
        <v/>
      </c>
      <c r="DN233" s="27" t="str">
        <f>VLOOKUP($A233,'[1]Raw Data'!$A$3:$FB$285,113,FALSE)</f>
        <v/>
      </c>
      <c r="DP233" s="27" t="str">
        <f>VLOOKUP($A233,'[1]Raw Data'!$A$3:$FB$285,114,FALSE)</f>
        <v>NRA Chief-District</v>
      </c>
      <c r="DQ233" s="27" t="s">
        <v>882</v>
      </c>
      <c r="DR233" s="27" t="str">
        <f>VLOOKUP($A233,'[1]Raw Data'!$A$3:$FB$285,115,FALSE)</f>
        <v/>
      </c>
      <c r="DS233" s="27" t="str">
        <f>VLOOKUP($A233,'[1]Raw Data'!$A$3:$FB$285,117,FALSE)</f>
        <v/>
      </c>
      <c r="DU233" s="27" t="str">
        <f>VLOOKUP($A233,'[1]Raw Data'!$A$3:$FB$285,118,FALSE)</f>
        <v>DUDBC.DLPIU Chief</v>
      </c>
      <c r="DV233" s="27" t="s">
        <v>883</v>
      </c>
      <c r="DW233" s="27" t="str">
        <f>VLOOKUP($A233,'[1]Raw Data'!$A$3:$FB$285,119,FALSE)</f>
        <v/>
      </c>
      <c r="DX233" s="27" t="s">
        <v>339</v>
      </c>
      <c r="DY233" s="27" t="str">
        <f>VLOOKUP($A233,'[1]Raw Data'!$A$3:$FB$285,124,FALSE)</f>
        <v/>
      </c>
      <c r="DZ233" s="27" t="s">
        <v>884</v>
      </c>
      <c r="EA233" s="27" t="str">
        <f>VLOOKUP($A233,'[1]Raw Data'!$A$3:$FB$285,125,FALSE)</f>
        <v/>
      </c>
      <c r="EB233" s="27" t="s">
        <v>341</v>
      </c>
      <c r="EC233" s="27" t="str">
        <f>VLOOKUP($A233,'[1]Raw Data'!$A$3:$FB$285,126,FALSE)</f>
        <v/>
      </c>
      <c r="ED233" t="s">
        <v>478</v>
      </c>
      <c r="EE233" s="27" t="str">
        <f>VLOOKUP($A233,'[1]Raw Data'!$A$3:$FB$285,127,FALSE)</f>
        <v/>
      </c>
      <c r="EF233" s="27" t="s">
        <v>343</v>
      </c>
      <c r="EG233" s="27" t="str">
        <f>VLOOKUP($A233,'[1]Raw Data'!$A$3:$FB$285,128,FALSE)</f>
        <v/>
      </c>
      <c r="EH233" t="s">
        <v>344</v>
      </c>
      <c r="EI233" s="27" t="str">
        <f>VLOOKUP($A233,'[1]Raw Data'!$A$3:$FB$285,129,FALSE)</f>
        <v/>
      </c>
      <c r="EM233" s="27" t="str">
        <f>VLOOKUP($A233,'[1]Raw Data'!$A$3:$FB$285,130,FALSE)</f>
        <v/>
      </c>
      <c r="EN233" s="27" t="str">
        <f>VLOOKUP($A233,'[1]Raw Data'!$A$3:$FB$285,131,FALSE)</f>
        <v/>
      </c>
      <c r="EO233" s="27" t="str">
        <f>VLOOKUP($A233,'[1]Raw Data'!$A$3:$FB$285,132,FALSE)</f>
        <v/>
      </c>
      <c r="EP233" s="27" t="str">
        <f>VLOOKUP($A233,'[1]Raw Data'!$A$3:$FB$285,133,FALSE)</f>
        <v/>
      </c>
      <c r="EQ233" s="27" t="str">
        <f>VLOOKUP($A233,'[1]Raw Data'!$A$3:$FB$285,134,FALSE)</f>
        <v/>
      </c>
      <c r="ER233" s="27" t="str">
        <f>VLOOKUP($A233,'[1]Raw Data'!$A$3:$FB$285,135,FALSE)</f>
        <v/>
      </c>
      <c r="ES233" s="27" t="str">
        <f>VLOOKUP($A233,'[1]Raw Data'!$A$3:$FB$285,136,FALSE)</f>
        <v/>
      </c>
      <c r="ET233" s="27" t="str">
        <f>VLOOKUP($A233,'[1]Raw Data'!$A$3:$FB$285,137,FALSE)</f>
        <v/>
      </c>
      <c r="EU233" s="27" t="str">
        <f>VLOOKUP($A233,'[1]Raw Data'!$A$3:$FB$285,138,FALSE)</f>
        <v/>
      </c>
      <c r="EV233" s="27" t="str">
        <f>VLOOKUP($A233,'[1]Raw Data'!$A$3:$FB$285,139,FALSE)</f>
        <v/>
      </c>
      <c r="EW233" s="38">
        <f>VLOOKUP($A233,[1]Training!$A$2:$I$284,5,FALSE)</f>
        <v>112.61538461538461</v>
      </c>
      <c r="EX233" s="31">
        <f>VLOOKUP($A233,[1]Training!$A$2:$I$284,6,FALSE)</f>
        <v>0</v>
      </c>
      <c r="EY233" s="38">
        <f>VLOOKUP($A233,[1]Training!$A$2:$I$284,8,FALSE)</f>
        <v>133.09090909090909</v>
      </c>
      <c r="EZ233" s="31">
        <f>VLOOKUP($A233,[1]Training!$A$2:$I$284,9,FALSE)</f>
        <v>0</v>
      </c>
      <c r="FA233" s="27">
        <v>1</v>
      </c>
      <c r="FB233" s="27">
        <v>2</v>
      </c>
      <c r="FC233" s="27" t="str">
        <f>VLOOKUP($A233,'[1]Raw Data'!$A$3:$FB$285,148,FALSE)</f>
        <v/>
      </c>
      <c r="FE233" s="27" t="str">
        <f>VLOOKUP($A233,'[1]Raw Data'!$A$3:$FB$285,149,FALSE)</f>
        <v>District Coordinator</v>
      </c>
      <c r="FF233" s="27" t="s">
        <v>885</v>
      </c>
      <c r="FG233" s="27" t="str">
        <f>VLOOKUP($A233,'[1]Raw Data'!$A$3:$FB$285,150,FALSE)</f>
        <v/>
      </c>
      <c r="FH233" s="27" t="str">
        <f>VLOOKUP($A233,'[1]Raw Data'!$A$3:$FB$285,156,FALSE)</f>
        <v/>
      </c>
      <c r="FJ233" s="27" t="str">
        <f>VLOOKUP($A233,'[1]Raw Data'!$A$3:$FB$285,157,FALSE)</f>
        <v>District Technical Officer</v>
      </c>
      <c r="FK233" s="27" t="s">
        <v>886</v>
      </c>
      <c r="FL233" s="27" t="str">
        <f>VLOOKUP($A233,'[1]Raw Data'!$A$3:$FB$285,158,FALSE)</f>
        <v/>
      </c>
      <c r="FM233" s="27" t="str">
        <f>VLOOKUP($A233,'[1]Raw Data'!$A$3:$FB$285,152,FALSE)</f>
        <v/>
      </c>
      <c r="FO233" s="27" t="str">
        <f>VLOOKUP($A233,'[1]Raw Data'!$A$3:$FB$285,153,FALSE)</f>
        <v>DIstrict Information Management Officer</v>
      </c>
      <c r="FP233" s="27" t="s">
        <v>887</v>
      </c>
      <c r="FQ233" s="27" t="str">
        <f>VLOOKUP($A233,'[1]Raw Data'!$A$3:$FB$285,154,FALSE)</f>
        <v/>
      </c>
    </row>
    <row r="234" spans="1:173" ht="24" x14ac:dyDescent="0.45">
      <c r="A234" s="27">
        <v>45001</v>
      </c>
      <c r="B234" s="36" t="str">
        <f ca="1">IFERROR(__xludf.DUMMYFUNCTION("""COMPUTED_VALUE"""),"Badigad Gaunpalika")</f>
        <v>Badigad Gaunpalika</v>
      </c>
      <c r="C234" s="37" t="str">
        <f>VLOOKUP(A234,'[1]Palika and District in Nepali '!$D$1:$F$283,3,FALSE)</f>
        <v>बड़ीगड गाउपालिका</v>
      </c>
      <c r="D234" s="36" t="str">
        <f ca="1">IFERROR(__xludf.DUMMYFUNCTION("""COMPUTED_VALUE"""),"Baglung")</f>
        <v>Baglung</v>
      </c>
      <c r="E234" s="36"/>
      <c r="F234" s="27">
        <f>VLOOKUP(A234,'[1]Raw Data'!$A$3:$FB$285,4,FALSE)</f>
        <v>113</v>
      </c>
      <c r="G234" s="27">
        <f>VLOOKUP(A234,'[1]Raw Data'!$A$3:$FB$285,5,FALSE)</f>
        <v>151</v>
      </c>
      <c r="H234" s="27">
        <f>VLOOKUP(A234,'[1]Raw Data'!$A$3:$FB$285,6,FALSE)</f>
        <v>264</v>
      </c>
      <c r="I234" s="27">
        <f>VLOOKUP($A234,'[1]Raw Data'!$A$3:$FB$285,8,FALSE)</f>
        <v>1.1399999999999999</v>
      </c>
      <c r="J234" s="27">
        <f>VLOOKUP($A234,'[1]Raw Data'!$A$3:$FB$285,9,FALSE)</f>
        <v>1.27</v>
      </c>
      <c r="K234" s="27">
        <f>VLOOKUP($A234,'[1]Raw Data'!$A$3:$FB$285,11,FALSE)</f>
        <v>98.86</v>
      </c>
      <c r="L234" s="27">
        <f>VLOOKUP($A234,'[1]Raw Data'!$A$3:$FB$285,12,FALSE)</f>
        <v>87.91</v>
      </c>
      <c r="M234" s="27">
        <f>VLOOKUP($A234,'[1]Raw Data'!$A$3:$FB$285,14,FALSE)</f>
        <v>0</v>
      </c>
      <c r="N234" s="27">
        <f>VLOOKUP($A234,'[1]Raw Data'!$A$3:$FB$285,15,FALSE)</f>
        <v>0.68</v>
      </c>
      <c r="O234" s="27">
        <f>VLOOKUP($A234,'[1]Raw Data'!$A$3:$FB$285,17,FALSE)</f>
        <v>0</v>
      </c>
      <c r="P234" s="27">
        <f>VLOOKUP($A234,'[1]Raw Data'!$A$3:$FB$285,18,FALSE)</f>
        <v>2.63</v>
      </c>
      <c r="Q234" s="27">
        <f>VLOOKUP($A234,'[1]Raw Data'!$A$3:$FB$285,20,FALSE)</f>
        <v>0</v>
      </c>
      <c r="R234" s="27">
        <f>VLOOKUP($A234,'[1]Raw Data'!$A$3:$FB$285,21,FALSE)</f>
        <v>2.57</v>
      </c>
      <c r="S234" s="27">
        <f>VLOOKUP($A234,'[1]Raw Data'!$A$3:$FB$285,23,FALSE)</f>
        <v>0</v>
      </c>
      <c r="T234" s="27">
        <f>VLOOKUP($A234,'[1]Raw Data'!$A$3:$FB$285,24,FALSE)</f>
        <v>0</v>
      </c>
      <c r="U234" s="27">
        <f>VLOOKUP($A234,'[1]Raw Data'!$A$3:$FB$285,26,FALSE)</f>
        <v>0</v>
      </c>
      <c r="V234" s="27">
        <f>VLOOKUP($A234,'[1]Raw Data'!$A$3:$FB$285,27,FALSE)</f>
        <v>0.05</v>
      </c>
      <c r="W234" s="27">
        <f>VLOOKUP($A234,'[1]Raw Data'!$A$3:$FB$285,29,FALSE)</f>
        <v>0</v>
      </c>
      <c r="X234" s="27">
        <f>VLOOKUP($A234,'[1]Raw Data'!$A$3:$FB$285,30,FALSE)</f>
        <v>0</v>
      </c>
      <c r="Y234" s="27">
        <f>VLOOKUP($A234,'[1]Raw Data'!$A$3:$FB$285,32,FALSE)</f>
        <v>0</v>
      </c>
      <c r="Z234" s="27">
        <f>VLOOKUP($A234,'[1]Raw Data'!$A$3:$FB$285,33,FALSE)</f>
        <v>0.13</v>
      </c>
      <c r="AA234" s="27">
        <f>VLOOKUP($A234,'[1]Raw Data'!$A$3:$FB$285,35,FALSE)</f>
        <v>0</v>
      </c>
      <c r="AB234" s="27">
        <f>VLOOKUP($A234,'[1]Raw Data'!$A$3:$FB$285,36,FALSE)</f>
        <v>4.76</v>
      </c>
      <c r="AC234" s="27">
        <f>VLOOKUP($A234,'[1]Raw Data'!$A$3:$FB$285,38,FALSE)</f>
        <v>0</v>
      </c>
      <c r="AD234" s="27">
        <f>VLOOKUP($A234,'[1]Raw Data'!$A$3:$FB$285,39,FALSE)</f>
        <v>0</v>
      </c>
      <c r="AE234" s="27">
        <f>VLOOKUP($A234,'[1]Raw Data'!$A$3:$FB$285,41,FALSE)</f>
        <v>0</v>
      </c>
      <c r="AF234" s="27">
        <f>VLOOKUP($A234,'[1]Raw Data'!$A$3:$FB$285,42,FALSE)</f>
        <v>0</v>
      </c>
      <c r="AG234" s="27">
        <f>VLOOKUP($A234,'[1]Raw Data'!$A$3:$FB$285,44,FALSE)</f>
        <v>0</v>
      </c>
      <c r="AH234" s="27">
        <f>VLOOKUP($A234,'[1]Raw Data'!$A$3:$FB$285,45,FALSE)</f>
        <v>0</v>
      </c>
      <c r="AI234" s="27">
        <f>VLOOKUP($A234,'[1]Raw Data'!$A$3:$FB$285,46,FALSE)</f>
        <v>147</v>
      </c>
      <c r="AJ234" s="27">
        <f>VLOOKUP($A234,'[1]Raw Data'!$A$3:$FB$285,47,FALSE)</f>
        <v>77</v>
      </c>
      <c r="AK234" s="27">
        <f>VLOOKUP($A234,'[1]Raw Data'!$A$3:$FB$285,48,FALSE)</f>
        <v>77</v>
      </c>
      <c r="AL234" s="27">
        <f>VLOOKUP($A234,'[1]Raw Data'!$A$3:$FB$285,49,FALSE)</f>
        <v>9</v>
      </c>
      <c r="AM234" s="27">
        <f>VLOOKUP($A234,'[1]Raw Data'!$A$3:$FB$285,50,FALSE)</f>
        <v>0</v>
      </c>
      <c r="AN234" s="27" t="str">
        <f>VLOOKUP($A234,'[1]Raw Data'!$A$3:$FB$285,51,FALSE)</f>
        <v/>
      </c>
      <c r="AO234" s="27" t="str">
        <f>VLOOKUP($A234,'[1]Raw Data'!$A$3:$FB$285,52,FALSE)</f>
        <v/>
      </c>
      <c r="AP234" s="27">
        <f>VLOOKUP($A234,'[1]Raw Data'!$A$3:$FB$285,53,FALSE)</f>
        <v>0</v>
      </c>
      <c r="AQ234" s="27" t="str">
        <f>VLOOKUP($A234,'[1]Raw Data'!$A$3:$FB$285,54,FALSE)</f>
        <v/>
      </c>
      <c r="AR234" s="27" t="str">
        <f>VLOOKUP($A234,'[1]Raw Data'!$A$3:$FB$285,55,FALSE)</f>
        <v/>
      </c>
      <c r="AS234" s="27" t="str">
        <f>VLOOKUP($A234,'[1]Raw Data'!$A$3:$FB$285,56,FALSE)</f>
        <v/>
      </c>
      <c r="AT234" s="27" t="str">
        <f>VLOOKUP($A234,'[1]Raw Data'!$A$3:$FB$285,57,FALSE)</f>
        <v/>
      </c>
      <c r="AU234" s="27" t="str">
        <f>VLOOKUP($A234,'[1]Raw Data'!$A$3:$FB$285,58,FALSE)</f>
        <v/>
      </c>
      <c r="AV234" s="27" t="str">
        <f>VLOOKUP($A234,'[1]Raw Data'!$A$3:$FB$285,59,FALSE)</f>
        <v/>
      </c>
      <c r="AW234" s="27" t="str">
        <f>VLOOKUP($A234,'[1]Raw Data'!$A$3:$FB$285,60,FALSE)</f>
        <v/>
      </c>
      <c r="AX234" s="27" t="str">
        <f>VLOOKUP(A234,'[1]PO''s List'!A232:E514,4,FALSE)</f>
        <v/>
      </c>
      <c r="AZ234" s="27" t="str">
        <f>VLOOKUP(A234,'[1]PO''s List'!$A$3:$E$285,5,FALSE)</f>
        <v/>
      </c>
      <c r="BB234" s="27">
        <f>VLOOKUP($A234,'[1]Raw Data'!$A$3:$FB$285,63,FALSE)</f>
        <v>2201</v>
      </c>
      <c r="BC234" s="27" t="str">
        <f>VLOOKUP($A234,'[1]Raw Data'!$A$3:$FB$285,64,FALSE)</f>
        <v/>
      </c>
      <c r="BD234" s="27" t="str">
        <f t="shared" si="27"/>
        <v/>
      </c>
      <c r="BE234" s="27" t="str">
        <f>VLOOKUP($A234,'[1]Raw Data'!$A$3:$FB$285,65,FALSE)</f>
        <v/>
      </c>
      <c r="BF234" s="27">
        <f>VLOOKUP($A234,'[1]Raw Data'!$A$3:$FB$285,66,FALSE)</f>
        <v>2259</v>
      </c>
      <c r="BG234" s="27" t="str">
        <f>VLOOKUP($A234,'[1]Raw Data'!$A$3:$FB$285,67,FALSE)</f>
        <v/>
      </c>
      <c r="BH234" s="27" t="str">
        <f t="shared" si="28"/>
        <v/>
      </c>
      <c r="BI234" s="27" t="str">
        <f>VLOOKUP($A234,'[1]Raw Data'!$A$3:$FB$285,68,FALSE)</f>
        <v/>
      </c>
      <c r="BJ234" s="27">
        <f>VLOOKUP($A234,'[1]Raw Data'!$A$3:$FB$285,69,FALSE)</f>
        <v>235</v>
      </c>
      <c r="BK234" s="27" t="str">
        <f>VLOOKUP($A234,'[1]Raw Data'!$A$3:$FB$285,70,FALSE)</f>
        <v/>
      </c>
      <c r="BL234" s="27" t="str">
        <f t="shared" si="29"/>
        <v/>
      </c>
      <c r="BM234" s="27" t="str">
        <f>VLOOKUP($A234,'[1]Raw Data'!$A$3:$FB$285,71,FALSE)</f>
        <v/>
      </c>
      <c r="BN234" s="27">
        <f>VLOOKUP($A234,'[1]Raw Data'!$A$3:$FB$285,72,FALSE)</f>
        <v>272</v>
      </c>
      <c r="BO234" s="27" t="str">
        <f>VLOOKUP($A234,'[1]Raw Data'!$A$3:$FB$285,73,FALSE)</f>
        <v/>
      </c>
      <c r="BP234" s="27" t="str">
        <f t="shared" si="30"/>
        <v/>
      </c>
      <c r="BQ234" s="27" t="str">
        <f>VLOOKUP($A234,'[1]Raw Data'!$A$3:$FB$285,74,FALSE)</f>
        <v/>
      </c>
      <c r="BR234" s="27" t="str">
        <f>VLOOKUP($A234,'[1]Raw Data'!$A$3:$FB$285,75,FALSE)</f>
        <v/>
      </c>
      <c r="BS234" s="27" t="str">
        <f>VLOOKUP($A234,'[1]Raw Data'!$A$3:$FB$285,76,FALSE)</f>
        <v/>
      </c>
      <c r="BT234" s="27" t="str">
        <f t="shared" si="31"/>
        <v/>
      </c>
      <c r="BU234" s="27" t="str">
        <f>VLOOKUP($A234,'[1]Raw Data'!$A$3:$FB$285,77,FALSE)</f>
        <v/>
      </c>
      <c r="BV234" s="27">
        <f>VLOOKUP($A234,'[1]Raw Data'!$A$3:$FB$285,78,FALSE)</f>
        <v>7530</v>
      </c>
      <c r="BW234" s="27" t="str">
        <f>VLOOKUP($A234,'[1]Raw Data'!$A$3:$FB$285,79,FALSE)</f>
        <v/>
      </c>
      <c r="BX234" s="27" t="str">
        <f t="shared" si="32"/>
        <v/>
      </c>
      <c r="BY234" s="27" t="str">
        <f>VLOOKUP($A234,'[1]Raw Data'!$A$3:$FB$285,80,FALSE)</f>
        <v/>
      </c>
      <c r="BZ234" s="27">
        <f>VLOOKUP($A234,'[1]Raw Data'!$A$3:$FB$285,81,FALSE)</f>
        <v>23916</v>
      </c>
      <c r="CA234" s="27" t="str">
        <f>VLOOKUP($A234,'[1]Raw Data'!$A$3:$FB$285,82,FALSE)</f>
        <v/>
      </c>
      <c r="CB234" s="27" t="str">
        <f t="shared" si="33"/>
        <v/>
      </c>
      <c r="CC234" s="27" t="str">
        <f>VLOOKUP($A234,'[1]Raw Data'!$A$3:$FB$285,83,FALSE)</f>
        <v/>
      </c>
      <c r="CD234" s="27">
        <f>VLOOKUP($A234,'[1]Raw Data'!$A$3:$FB$285,84,FALSE)</f>
        <v>308</v>
      </c>
      <c r="CE234" s="27" t="str">
        <f>VLOOKUP($A234,'[1]Raw Data'!$A$3:$FB$285,85,FALSE)</f>
        <v/>
      </c>
      <c r="CF234" s="27" t="str">
        <f t="shared" si="34"/>
        <v/>
      </c>
      <c r="CG234" s="27" t="str">
        <f>VLOOKUP($A234,'[1]Raw Data'!$A$3:$FB$285,86,FALSE)</f>
        <v/>
      </c>
      <c r="CH234" s="27">
        <f>VLOOKUP($A234,'[1]Raw Data'!$A$3:$FB$285,87,FALSE)</f>
        <v>28515</v>
      </c>
      <c r="CI234" s="27" t="str">
        <f>VLOOKUP($A234,'[1]Raw Data'!$A$3:$FB$285,88,FALSE)</f>
        <v/>
      </c>
      <c r="CJ234" s="27" t="str">
        <f t="shared" si="35"/>
        <v/>
      </c>
      <c r="CK234" s="27" t="str">
        <f>VLOOKUP($A234,'[1]Raw Data'!$A$3:$FB$285,89,FALSE)</f>
        <v/>
      </c>
      <c r="CL234" s="27" t="str">
        <f>VLOOKUP($A234,'[1]Raw Data'!$A$3:$FB$285,91,FALSE)</f>
        <v/>
      </c>
      <c r="CM234" s="27" t="str">
        <f>VLOOKUP($A234,'[1]Raw Data'!$A$3:$FB$285,93,FALSE)</f>
        <v/>
      </c>
      <c r="CN234" s="27" t="str">
        <f>VLOOKUP($A234,'[1]Raw Data'!$A$3:$FB$285,94,FALSE)</f>
        <v/>
      </c>
      <c r="CO234" s="27" t="str">
        <f>VLOOKUP($A234,'[1]Raw Data'!$A$3:$FB$285,95,FALSE)</f>
        <v/>
      </c>
      <c r="CP234" s="27" t="str">
        <f>VLOOKUP($A234,'[1]Raw Data'!$A$3:$FB$285,96,FALSE)</f>
        <v/>
      </c>
      <c r="CQ234" s="27" t="str">
        <f>VLOOKUP($A234,'[1]Raw Data'!$A$3:$FB$285,97,FALSE)</f>
        <v/>
      </c>
      <c r="CR234" s="27" t="str">
        <f>VLOOKUP($A234,'[1]Raw Data'!$A$3:$FB$285,98,FALSE)</f>
        <v/>
      </c>
      <c r="CS234" s="27" t="str">
        <f>VLOOKUP($A234,'[1]Raw Data'!$A$3:$FB$285,99,FALSE)</f>
        <v/>
      </c>
      <c r="CT234" s="27" t="str">
        <f>VLOOKUP($A234,'[1]Raw Data'!$A$3:$FB$285,101,FALSE)</f>
        <v/>
      </c>
      <c r="CV234" s="27" t="str">
        <f>VLOOKUP($A234,'[1]Raw Data'!$A$3:$FB$285,102,FALSE)</f>
        <v>Chairman</v>
      </c>
      <c r="CW234" s="27" t="s">
        <v>878</v>
      </c>
      <c r="CX234" s="27" t="str">
        <f>VLOOKUP($A234,'[1]Raw Data'!$A$3:$FB$285,103,FALSE)</f>
        <v/>
      </c>
      <c r="CY234" s="27" t="str">
        <f>VLOOKUP($A234,'[1]Raw Data'!$A$3:$FB$285,105,FALSE)</f>
        <v/>
      </c>
      <c r="DA234" s="27" t="str">
        <f>VLOOKUP($A234,'[1]Raw Data'!$A$3:$FB$285,106,FALSE)</f>
        <v>Deputy Chairman</v>
      </c>
      <c r="DB234" s="27" t="s">
        <v>879</v>
      </c>
      <c r="DC234" s="27" t="str">
        <f>VLOOKUP($A234,'[1]Raw Data'!$A$3:$FB$285,107,FALSE)</f>
        <v/>
      </c>
      <c r="DD234" s="27" t="str">
        <f>VLOOKUP($A234,'[1]Raw Data'!$A$3:$FB$285,109,FALSE)</f>
        <v/>
      </c>
      <c r="DF234" s="27" t="str">
        <f>VLOOKUP($A234,'[1]Raw Data'!$A$3:$FB$285,110,FALSE)</f>
        <v>Chief Adminstration Officer</v>
      </c>
      <c r="DG234" s="27" t="s">
        <v>880</v>
      </c>
      <c r="DH234" s="27" t="str">
        <f>VLOOKUP($A234,'[1]Raw Data'!$A$3:$FB$285,111,FALSE)</f>
        <v/>
      </c>
      <c r="DI234" s="27" t="str">
        <f>VLOOKUP($A234,'[1]Raw Data'!$A$3:$FB$285,121,FALSE)</f>
        <v/>
      </c>
      <c r="DK234" s="27" t="str">
        <f>VLOOKUP($A234,'[1]Raw Data'!$A$3:$FB$285,122,FALSE)</f>
        <v>Focal Person</v>
      </c>
      <c r="DL234" s="27" t="s">
        <v>881</v>
      </c>
      <c r="DM234" s="27" t="str">
        <f>VLOOKUP($A234,'[1]Raw Data'!$A$3:$FB$285,123,FALSE)</f>
        <v/>
      </c>
      <c r="DN234" s="27" t="str">
        <f>VLOOKUP($A234,'[1]Raw Data'!$A$3:$FB$285,113,FALSE)</f>
        <v/>
      </c>
      <c r="DP234" s="27" t="str">
        <f>VLOOKUP($A234,'[1]Raw Data'!$A$3:$FB$285,114,FALSE)</f>
        <v>NRA Chief-District</v>
      </c>
      <c r="DQ234" s="27" t="s">
        <v>882</v>
      </c>
      <c r="DR234" s="27" t="str">
        <f>VLOOKUP($A234,'[1]Raw Data'!$A$3:$FB$285,115,FALSE)</f>
        <v/>
      </c>
      <c r="DS234" s="27" t="str">
        <f>VLOOKUP($A234,'[1]Raw Data'!$A$3:$FB$285,117,FALSE)</f>
        <v/>
      </c>
      <c r="DU234" s="27" t="str">
        <f>VLOOKUP($A234,'[1]Raw Data'!$A$3:$FB$285,118,FALSE)</f>
        <v>DUDBC.DLPIU Chief</v>
      </c>
      <c r="DV234" s="27" t="s">
        <v>883</v>
      </c>
      <c r="DW234" s="27" t="str">
        <f>VLOOKUP($A234,'[1]Raw Data'!$A$3:$FB$285,119,FALSE)</f>
        <v/>
      </c>
      <c r="DX234" s="27" t="s">
        <v>339</v>
      </c>
      <c r="DY234" s="27" t="str">
        <f>VLOOKUP($A234,'[1]Raw Data'!$A$3:$FB$285,124,FALSE)</f>
        <v/>
      </c>
      <c r="DZ234" s="27" t="s">
        <v>884</v>
      </c>
      <c r="EA234" s="27" t="str">
        <f>VLOOKUP($A234,'[1]Raw Data'!$A$3:$FB$285,125,FALSE)</f>
        <v/>
      </c>
      <c r="EB234" s="27" t="s">
        <v>341</v>
      </c>
      <c r="EC234" s="27" t="str">
        <f>VLOOKUP($A234,'[1]Raw Data'!$A$3:$FB$285,126,FALSE)</f>
        <v/>
      </c>
      <c r="ED234" t="s">
        <v>478</v>
      </c>
      <c r="EE234" s="27" t="str">
        <f>VLOOKUP($A234,'[1]Raw Data'!$A$3:$FB$285,127,FALSE)</f>
        <v/>
      </c>
      <c r="EF234" s="27" t="s">
        <v>343</v>
      </c>
      <c r="EG234" s="27" t="str">
        <f>VLOOKUP($A234,'[1]Raw Data'!$A$3:$FB$285,128,FALSE)</f>
        <v/>
      </c>
      <c r="EH234" t="s">
        <v>344</v>
      </c>
      <c r="EI234" s="27" t="str">
        <f>VLOOKUP($A234,'[1]Raw Data'!$A$3:$FB$285,129,FALSE)</f>
        <v/>
      </c>
      <c r="EM234" s="27" t="str">
        <f>VLOOKUP($A234,'[1]Raw Data'!$A$3:$FB$285,130,FALSE)</f>
        <v/>
      </c>
      <c r="EN234" s="27" t="str">
        <f>VLOOKUP($A234,'[1]Raw Data'!$A$3:$FB$285,131,FALSE)</f>
        <v/>
      </c>
      <c r="EO234" s="27" t="str">
        <f>VLOOKUP($A234,'[1]Raw Data'!$A$3:$FB$285,132,FALSE)</f>
        <v/>
      </c>
      <c r="EP234" s="27" t="str">
        <f>VLOOKUP($A234,'[1]Raw Data'!$A$3:$FB$285,133,FALSE)</f>
        <v/>
      </c>
      <c r="EQ234" s="27" t="str">
        <f>VLOOKUP($A234,'[1]Raw Data'!$A$3:$FB$285,134,FALSE)</f>
        <v/>
      </c>
      <c r="ER234" s="27" t="str">
        <f>VLOOKUP($A234,'[1]Raw Data'!$A$3:$FB$285,135,FALSE)</f>
        <v/>
      </c>
      <c r="ES234" s="27" t="str">
        <f>VLOOKUP($A234,'[1]Raw Data'!$A$3:$FB$285,136,FALSE)</f>
        <v/>
      </c>
      <c r="ET234" s="27" t="str">
        <f>VLOOKUP($A234,'[1]Raw Data'!$A$3:$FB$285,137,FALSE)</f>
        <v/>
      </c>
      <c r="EU234" s="27" t="str">
        <f>VLOOKUP($A234,'[1]Raw Data'!$A$3:$FB$285,138,FALSE)</f>
        <v/>
      </c>
      <c r="EV234" s="27" t="str">
        <f>VLOOKUP($A234,'[1]Raw Data'!$A$3:$FB$285,139,FALSE)</f>
        <v/>
      </c>
      <c r="EW234" s="38">
        <f>VLOOKUP($A234,[1]Training!$A$2:$I$284,5,FALSE)</f>
        <v>11.307692307692308</v>
      </c>
      <c r="EX234" s="31">
        <f>VLOOKUP($A234,[1]Training!$A$2:$I$284,6,FALSE)</f>
        <v>46</v>
      </c>
      <c r="EY234" s="38">
        <f>VLOOKUP($A234,[1]Training!$A$2:$I$284,8,FALSE)</f>
        <v>13.363636363636363</v>
      </c>
      <c r="EZ234" s="31">
        <f>VLOOKUP($A234,[1]Training!$A$2:$I$284,9,FALSE)</f>
        <v>0</v>
      </c>
      <c r="FA234" s="27">
        <v>1</v>
      </c>
      <c r="FB234" s="27">
        <v>2</v>
      </c>
      <c r="FC234" s="27" t="str">
        <f>VLOOKUP($A234,'[1]Raw Data'!$A$3:$FB$285,148,FALSE)</f>
        <v/>
      </c>
      <c r="FE234" s="27" t="str">
        <f>VLOOKUP($A234,'[1]Raw Data'!$A$3:$FB$285,149,FALSE)</f>
        <v>District Coordinator</v>
      </c>
      <c r="FF234" s="27" t="s">
        <v>885</v>
      </c>
      <c r="FG234" s="27" t="str">
        <f>VLOOKUP($A234,'[1]Raw Data'!$A$3:$FB$285,150,FALSE)</f>
        <v/>
      </c>
      <c r="FH234" s="27" t="str">
        <f>VLOOKUP($A234,'[1]Raw Data'!$A$3:$FB$285,156,FALSE)</f>
        <v/>
      </c>
      <c r="FJ234" s="27" t="str">
        <f>VLOOKUP($A234,'[1]Raw Data'!$A$3:$FB$285,157,FALSE)</f>
        <v>District Technical Officer</v>
      </c>
      <c r="FK234" s="27" t="s">
        <v>886</v>
      </c>
      <c r="FL234" s="27" t="str">
        <f>VLOOKUP($A234,'[1]Raw Data'!$A$3:$FB$285,158,FALSE)</f>
        <v/>
      </c>
      <c r="FM234" s="27" t="str">
        <f>VLOOKUP($A234,'[1]Raw Data'!$A$3:$FB$285,152,FALSE)</f>
        <v/>
      </c>
      <c r="FO234" s="27" t="str">
        <f>VLOOKUP($A234,'[1]Raw Data'!$A$3:$FB$285,153,FALSE)</f>
        <v>DIstrict Information Management Officer</v>
      </c>
      <c r="FP234" s="27" t="s">
        <v>887</v>
      </c>
      <c r="FQ234" s="27" t="str">
        <f>VLOOKUP($A234,'[1]Raw Data'!$A$3:$FB$285,154,FALSE)</f>
        <v/>
      </c>
    </row>
    <row r="235" spans="1:173" ht="24" x14ac:dyDescent="0.45">
      <c r="A235" s="27">
        <v>45002</v>
      </c>
      <c r="B235" s="36" t="str">
        <f ca="1">IFERROR(__xludf.DUMMYFUNCTION("""COMPUTED_VALUE"""),"Baglung Nagarpalika")</f>
        <v>Baglung Nagarpalika</v>
      </c>
      <c r="C235" s="37" t="str">
        <f>VLOOKUP(A235,'[1]Palika and District in Nepali '!$D$1:$F$283,3,FALSE)</f>
        <v>बागलुङ  नगरपालिका</v>
      </c>
      <c r="D235" s="36" t="str">
        <f ca="1">IFERROR(__xludf.DUMMYFUNCTION("""COMPUTED_VALUE"""),"Baglung")</f>
        <v>Baglung</v>
      </c>
      <c r="E235" s="36"/>
      <c r="F235" s="27">
        <f>VLOOKUP(A235,'[1]Raw Data'!$A$3:$FB$285,4,FALSE)</f>
        <v>726</v>
      </c>
      <c r="G235" s="27">
        <f>VLOOKUP(A235,'[1]Raw Data'!$A$3:$FB$285,5,FALSE)</f>
        <v>645</v>
      </c>
      <c r="H235" s="27">
        <f>VLOOKUP(A235,'[1]Raw Data'!$A$3:$FB$285,6,FALSE)</f>
        <v>1371</v>
      </c>
      <c r="I235" s="27">
        <f>VLOOKUP($A235,'[1]Raw Data'!$A$3:$FB$285,8,FALSE)</f>
        <v>1.39</v>
      </c>
      <c r="J235" s="27">
        <f>VLOOKUP($A235,'[1]Raw Data'!$A$3:$FB$285,9,FALSE)</f>
        <v>1.27</v>
      </c>
      <c r="K235" s="27">
        <f>VLOOKUP($A235,'[1]Raw Data'!$A$3:$FB$285,11,FALSE)</f>
        <v>71.819999999999993</v>
      </c>
      <c r="L235" s="27">
        <f>VLOOKUP($A235,'[1]Raw Data'!$A$3:$FB$285,12,FALSE)</f>
        <v>87.91</v>
      </c>
      <c r="M235" s="27">
        <f>VLOOKUP($A235,'[1]Raw Data'!$A$3:$FB$285,14,FALSE)</f>
        <v>1.9</v>
      </c>
      <c r="N235" s="27">
        <f>VLOOKUP($A235,'[1]Raw Data'!$A$3:$FB$285,15,FALSE)</f>
        <v>0.68</v>
      </c>
      <c r="O235" s="27">
        <f>VLOOKUP($A235,'[1]Raw Data'!$A$3:$FB$285,17,FALSE)</f>
        <v>7.3</v>
      </c>
      <c r="P235" s="27">
        <f>VLOOKUP($A235,'[1]Raw Data'!$A$3:$FB$285,18,FALSE)</f>
        <v>2.63</v>
      </c>
      <c r="Q235" s="27">
        <f>VLOOKUP($A235,'[1]Raw Data'!$A$3:$FB$285,20,FALSE)</f>
        <v>7.15</v>
      </c>
      <c r="R235" s="27">
        <f>VLOOKUP($A235,'[1]Raw Data'!$A$3:$FB$285,21,FALSE)</f>
        <v>2.57</v>
      </c>
      <c r="S235" s="27">
        <f>VLOOKUP($A235,'[1]Raw Data'!$A$3:$FB$285,23,FALSE)</f>
        <v>0</v>
      </c>
      <c r="T235" s="27">
        <f>VLOOKUP($A235,'[1]Raw Data'!$A$3:$FB$285,24,FALSE)</f>
        <v>0</v>
      </c>
      <c r="U235" s="27">
        <f>VLOOKUP($A235,'[1]Raw Data'!$A$3:$FB$285,26,FALSE)</f>
        <v>0</v>
      </c>
      <c r="V235" s="27">
        <f>VLOOKUP($A235,'[1]Raw Data'!$A$3:$FB$285,27,FALSE)</f>
        <v>0.05</v>
      </c>
      <c r="W235" s="27">
        <f>VLOOKUP($A235,'[1]Raw Data'!$A$3:$FB$285,29,FALSE)</f>
        <v>0</v>
      </c>
      <c r="X235" s="27">
        <f>VLOOKUP($A235,'[1]Raw Data'!$A$3:$FB$285,30,FALSE)</f>
        <v>0</v>
      </c>
      <c r="Y235" s="27">
        <f>VLOOKUP($A235,'[1]Raw Data'!$A$3:$FB$285,32,FALSE)</f>
        <v>0.36</v>
      </c>
      <c r="Z235" s="27">
        <f>VLOOKUP($A235,'[1]Raw Data'!$A$3:$FB$285,33,FALSE)</f>
        <v>0.13</v>
      </c>
      <c r="AA235" s="27">
        <f>VLOOKUP($A235,'[1]Raw Data'!$A$3:$FB$285,35,FALSE)</f>
        <v>10.07</v>
      </c>
      <c r="AB235" s="27">
        <f>VLOOKUP($A235,'[1]Raw Data'!$A$3:$FB$285,36,FALSE)</f>
        <v>4.76</v>
      </c>
      <c r="AC235" s="27">
        <f>VLOOKUP($A235,'[1]Raw Data'!$A$3:$FB$285,38,FALSE)</f>
        <v>0</v>
      </c>
      <c r="AD235" s="27">
        <f>VLOOKUP($A235,'[1]Raw Data'!$A$3:$FB$285,39,FALSE)</f>
        <v>0</v>
      </c>
      <c r="AE235" s="27">
        <f>VLOOKUP($A235,'[1]Raw Data'!$A$3:$FB$285,41,FALSE)</f>
        <v>0</v>
      </c>
      <c r="AF235" s="27">
        <f>VLOOKUP($A235,'[1]Raw Data'!$A$3:$FB$285,42,FALSE)</f>
        <v>0</v>
      </c>
      <c r="AG235" s="27">
        <f>VLOOKUP($A235,'[1]Raw Data'!$A$3:$FB$285,44,FALSE)</f>
        <v>0</v>
      </c>
      <c r="AH235" s="27">
        <f>VLOOKUP($A235,'[1]Raw Data'!$A$3:$FB$285,45,FALSE)</f>
        <v>0</v>
      </c>
      <c r="AI235" s="27">
        <f>VLOOKUP($A235,'[1]Raw Data'!$A$3:$FB$285,46,FALSE)</f>
        <v>627</v>
      </c>
      <c r="AJ235" s="27">
        <f>VLOOKUP($A235,'[1]Raw Data'!$A$3:$FB$285,47,FALSE)</f>
        <v>424</v>
      </c>
      <c r="AK235" s="27">
        <f>VLOOKUP($A235,'[1]Raw Data'!$A$3:$FB$285,48,FALSE)</f>
        <v>424</v>
      </c>
      <c r="AL235" s="27">
        <f>VLOOKUP($A235,'[1]Raw Data'!$A$3:$FB$285,49,FALSE)</f>
        <v>145</v>
      </c>
      <c r="AM235" s="27">
        <f>VLOOKUP($A235,'[1]Raw Data'!$A$3:$FB$285,50,FALSE)</f>
        <v>0</v>
      </c>
      <c r="AN235" s="27" t="str">
        <f>VLOOKUP($A235,'[1]Raw Data'!$A$3:$FB$285,51,FALSE)</f>
        <v/>
      </c>
      <c r="AO235" s="27" t="str">
        <f>VLOOKUP($A235,'[1]Raw Data'!$A$3:$FB$285,52,FALSE)</f>
        <v/>
      </c>
      <c r="AP235" s="27">
        <f>VLOOKUP($A235,'[1]Raw Data'!$A$3:$FB$285,53,FALSE)</f>
        <v>11</v>
      </c>
      <c r="AQ235" s="27" t="str">
        <f>VLOOKUP($A235,'[1]Raw Data'!$A$3:$FB$285,54,FALSE)</f>
        <v/>
      </c>
      <c r="AR235" s="27" t="str">
        <f>VLOOKUP($A235,'[1]Raw Data'!$A$3:$FB$285,55,FALSE)</f>
        <v/>
      </c>
      <c r="AS235" s="27" t="str">
        <f>VLOOKUP($A235,'[1]Raw Data'!$A$3:$FB$285,56,FALSE)</f>
        <v/>
      </c>
      <c r="AT235" s="27" t="str">
        <f>VLOOKUP($A235,'[1]Raw Data'!$A$3:$FB$285,57,FALSE)</f>
        <v/>
      </c>
      <c r="AU235" s="27" t="str">
        <f>VLOOKUP($A235,'[1]Raw Data'!$A$3:$FB$285,58,FALSE)</f>
        <v/>
      </c>
      <c r="AV235" s="27" t="str">
        <f>VLOOKUP($A235,'[1]Raw Data'!$A$3:$FB$285,59,FALSE)</f>
        <v/>
      </c>
      <c r="AW235" s="27" t="str">
        <f>VLOOKUP($A235,'[1]Raw Data'!$A$3:$FB$285,60,FALSE)</f>
        <v/>
      </c>
      <c r="AX235" s="27" t="str">
        <f>VLOOKUP(A235,'[1]PO''s List'!A233:E515,4,FALSE)</f>
        <v/>
      </c>
      <c r="AZ235" s="27" t="str">
        <f>VLOOKUP(A235,'[1]PO''s List'!$A$3:$E$285,5,FALSE)</f>
        <v>VidhyaM(Education)</v>
      </c>
      <c r="BB235" s="27">
        <f>VLOOKUP($A235,'[1]Raw Data'!$A$3:$FB$285,63,FALSE)</f>
        <v>12214</v>
      </c>
      <c r="BC235" s="27" t="str">
        <f>VLOOKUP($A235,'[1]Raw Data'!$A$3:$FB$285,64,FALSE)</f>
        <v/>
      </c>
      <c r="BD235" s="27" t="str">
        <f t="shared" si="27"/>
        <v/>
      </c>
      <c r="BE235" s="27" t="str">
        <f>VLOOKUP($A235,'[1]Raw Data'!$A$3:$FB$285,65,FALSE)</f>
        <v/>
      </c>
      <c r="BF235" s="27">
        <f>VLOOKUP($A235,'[1]Raw Data'!$A$3:$FB$285,66,FALSE)</f>
        <v>12474</v>
      </c>
      <c r="BG235" s="27" t="str">
        <f>VLOOKUP($A235,'[1]Raw Data'!$A$3:$FB$285,67,FALSE)</f>
        <v/>
      </c>
      <c r="BH235" s="27" t="str">
        <f t="shared" si="28"/>
        <v/>
      </c>
      <c r="BI235" s="27" t="str">
        <f>VLOOKUP($A235,'[1]Raw Data'!$A$3:$FB$285,68,FALSE)</f>
        <v/>
      </c>
      <c r="BJ235" s="27">
        <f>VLOOKUP($A235,'[1]Raw Data'!$A$3:$FB$285,69,FALSE)</f>
        <v>1304</v>
      </c>
      <c r="BK235" s="27" t="str">
        <f>VLOOKUP($A235,'[1]Raw Data'!$A$3:$FB$285,70,FALSE)</f>
        <v/>
      </c>
      <c r="BL235" s="27" t="str">
        <f t="shared" si="29"/>
        <v/>
      </c>
      <c r="BM235" s="27" t="str">
        <f>VLOOKUP($A235,'[1]Raw Data'!$A$3:$FB$285,71,FALSE)</f>
        <v/>
      </c>
      <c r="BN235" s="27">
        <f>VLOOKUP($A235,'[1]Raw Data'!$A$3:$FB$285,72,FALSE)</f>
        <v>1503</v>
      </c>
      <c r="BO235" s="27" t="str">
        <f>VLOOKUP($A235,'[1]Raw Data'!$A$3:$FB$285,73,FALSE)</f>
        <v/>
      </c>
      <c r="BP235" s="27" t="str">
        <f t="shared" si="30"/>
        <v/>
      </c>
      <c r="BQ235" s="27" t="str">
        <f>VLOOKUP($A235,'[1]Raw Data'!$A$3:$FB$285,74,FALSE)</f>
        <v/>
      </c>
      <c r="BR235" s="27" t="str">
        <f>VLOOKUP($A235,'[1]Raw Data'!$A$3:$FB$285,75,FALSE)</f>
        <v/>
      </c>
      <c r="BS235" s="27" t="str">
        <f>VLOOKUP($A235,'[1]Raw Data'!$A$3:$FB$285,76,FALSE)</f>
        <v/>
      </c>
      <c r="BT235" s="27" t="str">
        <f t="shared" si="31"/>
        <v/>
      </c>
      <c r="BU235" s="27" t="str">
        <f>VLOOKUP($A235,'[1]Raw Data'!$A$3:$FB$285,77,FALSE)</f>
        <v/>
      </c>
      <c r="BV235" s="27">
        <f>VLOOKUP($A235,'[1]Raw Data'!$A$3:$FB$285,78,FALSE)</f>
        <v>41368</v>
      </c>
      <c r="BW235" s="27" t="str">
        <f>VLOOKUP($A235,'[1]Raw Data'!$A$3:$FB$285,79,FALSE)</f>
        <v/>
      </c>
      <c r="BX235" s="27" t="str">
        <f t="shared" si="32"/>
        <v/>
      </c>
      <c r="BY235" s="27" t="str">
        <f>VLOOKUP($A235,'[1]Raw Data'!$A$3:$FB$285,80,FALSE)</f>
        <v/>
      </c>
      <c r="BZ235" s="27">
        <f>VLOOKUP($A235,'[1]Raw Data'!$A$3:$FB$285,81,FALSE)</f>
        <v>132525</v>
      </c>
      <c r="CA235" s="27" t="str">
        <f>VLOOKUP($A235,'[1]Raw Data'!$A$3:$FB$285,82,FALSE)</f>
        <v/>
      </c>
      <c r="CB235" s="27" t="str">
        <f t="shared" si="33"/>
        <v/>
      </c>
      <c r="CC235" s="27" t="str">
        <f>VLOOKUP($A235,'[1]Raw Data'!$A$3:$FB$285,83,FALSE)</f>
        <v/>
      </c>
      <c r="CD235" s="27">
        <f>VLOOKUP($A235,'[1]Raw Data'!$A$3:$FB$285,84,FALSE)</f>
        <v>1691</v>
      </c>
      <c r="CE235" s="27" t="str">
        <f>VLOOKUP($A235,'[1]Raw Data'!$A$3:$FB$285,85,FALSE)</f>
        <v/>
      </c>
      <c r="CF235" s="27" t="str">
        <f t="shared" si="34"/>
        <v/>
      </c>
      <c r="CG235" s="27" t="str">
        <f>VLOOKUP($A235,'[1]Raw Data'!$A$3:$FB$285,86,FALSE)</f>
        <v/>
      </c>
      <c r="CH235" s="27">
        <f>VLOOKUP($A235,'[1]Raw Data'!$A$3:$FB$285,87,FALSE)</f>
        <v>128706</v>
      </c>
      <c r="CI235" s="27" t="str">
        <f>VLOOKUP($A235,'[1]Raw Data'!$A$3:$FB$285,88,FALSE)</f>
        <v/>
      </c>
      <c r="CJ235" s="27" t="str">
        <f t="shared" si="35"/>
        <v/>
      </c>
      <c r="CK235" s="27" t="str">
        <f>VLOOKUP($A235,'[1]Raw Data'!$A$3:$FB$285,89,FALSE)</f>
        <v/>
      </c>
      <c r="CL235" s="27" t="str">
        <f>VLOOKUP($A235,'[1]Raw Data'!$A$3:$FB$285,91,FALSE)</f>
        <v/>
      </c>
      <c r="CM235" s="27" t="str">
        <f>VLOOKUP($A235,'[1]Raw Data'!$A$3:$FB$285,93,FALSE)</f>
        <v/>
      </c>
      <c r="CN235" s="27" t="str">
        <f>VLOOKUP($A235,'[1]Raw Data'!$A$3:$FB$285,94,FALSE)</f>
        <v/>
      </c>
      <c r="CO235" s="27" t="str">
        <f>VLOOKUP($A235,'[1]Raw Data'!$A$3:$FB$285,95,FALSE)</f>
        <v/>
      </c>
      <c r="CP235" s="27" t="str">
        <f>VLOOKUP($A235,'[1]Raw Data'!$A$3:$FB$285,96,FALSE)</f>
        <v/>
      </c>
      <c r="CQ235" s="27" t="str">
        <f>VLOOKUP($A235,'[1]Raw Data'!$A$3:$FB$285,97,FALSE)</f>
        <v/>
      </c>
      <c r="CR235" s="27" t="str">
        <f>VLOOKUP($A235,'[1]Raw Data'!$A$3:$FB$285,98,FALSE)</f>
        <v/>
      </c>
      <c r="CS235" s="27" t="str">
        <f>VLOOKUP($A235,'[1]Raw Data'!$A$3:$FB$285,99,FALSE)</f>
        <v/>
      </c>
      <c r="CT235" s="27" t="str">
        <f>VLOOKUP($A235,'[1]Raw Data'!$A$3:$FB$285,101,FALSE)</f>
        <v/>
      </c>
      <c r="CV235" s="27" t="str">
        <f>VLOOKUP($A235,'[1]Raw Data'!$A$3:$FB$285,102,FALSE)</f>
        <v>Chairman</v>
      </c>
      <c r="CW235" s="27" t="s">
        <v>878</v>
      </c>
      <c r="CX235" s="27" t="str">
        <f>VLOOKUP($A235,'[1]Raw Data'!$A$3:$FB$285,103,FALSE)</f>
        <v/>
      </c>
      <c r="CY235" s="27" t="str">
        <f>VLOOKUP($A235,'[1]Raw Data'!$A$3:$FB$285,105,FALSE)</f>
        <v/>
      </c>
      <c r="DA235" s="27" t="str">
        <f>VLOOKUP($A235,'[1]Raw Data'!$A$3:$FB$285,106,FALSE)</f>
        <v>Deputy Chairman</v>
      </c>
      <c r="DB235" s="27" t="s">
        <v>879</v>
      </c>
      <c r="DC235" s="27" t="str">
        <f>VLOOKUP($A235,'[1]Raw Data'!$A$3:$FB$285,107,FALSE)</f>
        <v/>
      </c>
      <c r="DD235" s="27" t="str">
        <f>VLOOKUP($A235,'[1]Raw Data'!$A$3:$FB$285,109,FALSE)</f>
        <v/>
      </c>
      <c r="DF235" s="27" t="str">
        <f>VLOOKUP($A235,'[1]Raw Data'!$A$3:$FB$285,110,FALSE)</f>
        <v>Chief Adminstration Officer</v>
      </c>
      <c r="DG235" s="27" t="s">
        <v>880</v>
      </c>
      <c r="DH235" s="27" t="str">
        <f>VLOOKUP($A235,'[1]Raw Data'!$A$3:$FB$285,111,FALSE)</f>
        <v/>
      </c>
      <c r="DI235" s="27" t="str">
        <f>VLOOKUP($A235,'[1]Raw Data'!$A$3:$FB$285,121,FALSE)</f>
        <v/>
      </c>
      <c r="DK235" s="27" t="str">
        <f>VLOOKUP($A235,'[1]Raw Data'!$A$3:$FB$285,122,FALSE)</f>
        <v>Focal Person</v>
      </c>
      <c r="DL235" s="27" t="s">
        <v>881</v>
      </c>
      <c r="DM235" s="27" t="str">
        <f>VLOOKUP($A235,'[1]Raw Data'!$A$3:$FB$285,123,FALSE)</f>
        <v/>
      </c>
      <c r="DN235" s="27" t="str">
        <f>VLOOKUP($A235,'[1]Raw Data'!$A$3:$FB$285,113,FALSE)</f>
        <v/>
      </c>
      <c r="DP235" s="27" t="str">
        <f>VLOOKUP($A235,'[1]Raw Data'!$A$3:$FB$285,114,FALSE)</f>
        <v>NRA Chief-District</v>
      </c>
      <c r="DQ235" s="27" t="s">
        <v>882</v>
      </c>
      <c r="DR235" s="27" t="str">
        <f>VLOOKUP($A235,'[1]Raw Data'!$A$3:$FB$285,115,FALSE)</f>
        <v/>
      </c>
      <c r="DS235" s="27" t="str">
        <f>VLOOKUP($A235,'[1]Raw Data'!$A$3:$FB$285,117,FALSE)</f>
        <v/>
      </c>
      <c r="DU235" s="27" t="str">
        <f>VLOOKUP($A235,'[1]Raw Data'!$A$3:$FB$285,118,FALSE)</f>
        <v>DUDBC.DLPIU Chief</v>
      </c>
      <c r="DV235" s="27" t="s">
        <v>883</v>
      </c>
      <c r="DW235" s="27" t="str">
        <f>VLOOKUP($A235,'[1]Raw Data'!$A$3:$FB$285,119,FALSE)</f>
        <v/>
      </c>
      <c r="DX235" s="27" t="s">
        <v>339</v>
      </c>
      <c r="DY235" s="27" t="str">
        <f>VLOOKUP($A235,'[1]Raw Data'!$A$3:$FB$285,124,FALSE)</f>
        <v/>
      </c>
      <c r="DZ235" s="27" t="s">
        <v>884</v>
      </c>
      <c r="EA235" s="27" t="str">
        <f>VLOOKUP($A235,'[1]Raw Data'!$A$3:$FB$285,125,FALSE)</f>
        <v/>
      </c>
      <c r="EB235" s="27" t="s">
        <v>341</v>
      </c>
      <c r="EC235" s="27" t="str">
        <f>VLOOKUP($A235,'[1]Raw Data'!$A$3:$FB$285,126,FALSE)</f>
        <v/>
      </c>
      <c r="ED235" t="s">
        <v>478</v>
      </c>
      <c r="EE235" s="27" t="str">
        <f>VLOOKUP($A235,'[1]Raw Data'!$A$3:$FB$285,127,FALSE)</f>
        <v/>
      </c>
      <c r="EF235" s="27" t="s">
        <v>343</v>
      </c>
      <c r="EG235" s="27" t="str">
        <f>VLOOKUP($A235,'[1]Raw Data'!$A$3:$FB$285,128,FALSE)</f>
        <v/>
      </c>
      <c r="EH235" t="s">
        <v>344</v>
      </c>
      <c r="EI235" s="27" t="str">
        <f>VLOOKUP($A235,'[1]Raw Data'!$A$3:$FB$285,129,FALSE)</f>
        <v/>
      </c>
      <c r="EM235" s="27" t="str">
        <f>VLOOKUP($A235,'[1]Raw Data'!$A$3:$FB$285,130,FALSE)</f>
        <v/>
      </c>
      <c r="EN235" s="27" t="str">
        <f>VLOOKUP($A235,'[1]Raw Data'!$A$3:$FB$285,131,FALSE)</f>
        <v/>
      </c>
      <c r="EO235" s="27" t="str">
        <f>VLOOKUP($A235,'[1]Raw Data'!$A$3:$FB$285,132,FALSE)</f>
        <v/>
      </c>
      <c r="EP235" s="27" t="str">
        <f>VLOOKUP($A235,'[1]Raw Data'!$A$3:$FB$285,133,FALSE)</f>
        <v/>
      </c>
      <c r="EQ235" s="27" t="str">
        <f>VLOOKUP($A235,'[1]Raw Data'!$A$3:$FB$285,134,FALSE)</f>
        <v/>
      </c>
      <c r="ER235" s="27" t="str">
        <f>VLOOKUP($A235,'[1]Raw Data'!$A$3:$FB$285,135,FALSE)</f>
        <v/>
      </c>
      <c r="ES235" s="27" t="str">
        <f>VLOOKUP($A235,'[1]Raw Data'!$A$3:$FB$285,136,FALSE)</f>
        <v/>
      </c>
      <c r="ET235" s="27" t="str">
        <f>VLOOKUP($A235,'[1]Raw Data'!$A$3:$FB$285,137,FALSE)</f>
        <v/>
      </c>
      <c r="EU235" s="27" t="str">
        <f>VLOOKUP($A235,'[1]Raw Data'!$A$3:$FB$285,138,FALSE)</f>
        <v/>
      </c>
      <c r="EV235" s="27" t="str">
        <f>VLOOKUP($A235,'[1]Raw Data'!$A$3:$FB$285,139,FALSE)</f>
        <v/>
      </c>
      <c r="EW235" s="38">
        <f>VLOOKUP($A235,[1]Training!$A$2:$I$284,5,FALSE)</f>
        <v>48.230769230769234</v>
      </c>
      <c r="EX235" s="31">
        <f>VLOOKUP($A235,[1]Training!$A$2:$I$284,6,FALSE)</f>
        <v>0</v>
      </c>
      <c r="EY235" s="38">
        <f>VLOOKUP($A235,[1]Training!$A$2:$I$284,8,FALSE)</f>
        <v>57</v>
      </c>
      <c r="EZ235" s="31">
        <f>VLOOKUP($A235,[1]Training!$A$2:$I$284,9,FALSE)</f>
        <v>0</v>
      </c>
      <c r="FA235" s="27">
        <v>1</v>
      </c>
      <c r="FB235" s="27">
        <v>2</v>
      </c>
      <c r="FC235" s="27" t="str">
        <f>VLOOKUP($A235,'[1]Raw Data'!$A$3:$FB$285,148,FALSE)</f>
        <v/>
      </c>
      <c r="FE235" s="27" t="str">
        <f>VLOOKUP($A235,'[1]Raw Data'!$A$3:$FB$285,149,FALSE)</f>
        <v>District Coordinator</v>
      </c>
      <c r="FF235" s="27" t="s">
        <v>885</v>
      </c>
      <c r="FG235" s="27" t="str">
        <f>VLOOKUP($A235,'[1]Raw Data'!$A$3:$FB$285,150,FALSE)</f>
        <v/>
      </c>
      <c r="FH235" s="27" t="str">
        <f>VLOOKUP($A235,'[1]Raw Data'!$A$3:$FB$285,156,FALSE)</f>
        <v/>
      </c>
      <c r="FJ235" s="27" t="str">
        <f>VLOOKUP($A235,'[1]Raw Data'!$A$3:$FB$285,157,FALSE)</f>
        <v>District Technical Officer</v>
      </c>
      <c r="FK235" s="27" t="s">
        <v>886</v>
      </c>
      <c r="FL235" s="27" t="str">
        <f>VLOOKUP($A235,'[1]Raw Data'!$A$3:$FB$285,158,FALSE)</f>
        <v/>
      </c>
      <c r="FM235" s="27" t="str">
        <f>VLOOKUP($A235,'[1]Raw Data'!$A$3:$FB$285,152,FALSE)</f>
        <v/>
      </c>
      <c r="FO235" s="27" t="str">
        <f>VLOOKUP($A235,'[1]Raw Data'!$A$3:$FB$285,153,FALSE)</f>
        <v>DIstrict Information Management Officer</v>
      </c>
      <c r="FP235" s="27" t="s">
        <v>887</v>
      </c>
      <c r="FQ235" s="27" t="str">
        <f>VLOOKUP($A235,'[1]Raw Data'!$A$3:$FB$285,154,FALSE)</f>
        <v/>
      </c>
    </row>
    <row r="236" spans="1:173" ht="24" x14ac:dyDescent="0.45">
      <c r="A236" s="27">
        <v>45003</v>
      </c>
      <c r="B236" s="36" t="str">
        <f ca="1">IFERROR(__xludf.DUMMYFUNCTION("""COMPUTED_VALUE"""),"Bareng Gaunpalika")</f>
        <v>Bareng Gaunpalika</v>
      </c>
      <c r="C236" s="37" t="str">
        <f>VLOOKUP(A236,'[1]Palika and District in Nepali '!$D$1:$F$283,3,FALSE)</f>
        <v>बरेंङ गाउँपालिका</v>
      </c>
      <c r="D236" s="36" t="str">
        <f ca="1">IFERROR(__xludf.DUMMYFUNCTION("""COMPUTED_VALUE"""),"Baglung")</f>
        <v>Baglung</v>
      </c>
      <c r="E236" s="36"/>
      <c r="F236" s="27">
        <f>VLOOKUP(A236,'[1]Raw Data'!$A$3:$FB$285,4,FALSE)</f>
        <v>14</v>
      </c>
      <c r="G236" s="27">
        <f>VLOOKUP(A236,'[1]Raw Data'!$A$3:$FB$285,5,FALSE)</f>
        <v>108</v>
      </c>
      <c r="H236" s="27">
        <f>VLOOKUP(A236,'[1]Raw Data'!$A$3:$FB$285,6,FALSE)</f>
        <v>122</v>
      </c>
      <c r="I236" s="27">
        <f>VLOOKUP($A236,'[1]Raw Data'!$A$3:$FB$285,8,FALSE)</f>
        <v>0</v>
      </c>
      <c r="J236" s="27">
        <f>VLOOKUP($A236,'[1]Raw Data'!$A$3:$FB$285,9,FALSE)</f>
        <v>1.27</v>
      </c>
      <c r="K236" s="27">
        <f>VLOOKUP($A236,'[1]Raw Data'!$A$3:$FB$285,11,FALSE)</f>
        <v>100</v>
      </c>
      <c r="L236" s="27">
        <f>VLOOKUP($A236,'[1]Raw Data'!$A$3:$FB$285,12,FALSE)</f>
        <v>87.91</v>
      </c>
      <c r="M236" s="27">
        <f>VLOOKUP($A236,'[1]Raw Data'!$A$3:$FB$285,14,FALSE)</f>
        <v>0</v>
      </c>
      <c r="N236" s="27">
        <f>VLOOKUP($A236,'[1]Raw Data'!$A$3:$FB$285,15,FALSE)</f>
        <v>0.68</v>
      </c>
      <c r="O236" s="27">
        <f>VLOOKUP($A236,'[1]Raw Data'!$A$3:$FB$285,17,FALSE)</f>
        <v>0</v>
      </c>
      <c r="P236" s="27">
        <f>VLOOKUP($A236,'[1]Raw Data'!$A$3:$FB$285,18,FALSE)</f>
        <v>2.63</v>
      </c>
      <c r="Q236" s="27">
        <f>VLOOKUP($A236,'[1]Raw Data'!$A$3:$FB$285,20,FALSE)</f>
        <v>0</v>
      </c>
      <c r="R236" s="27">
        <f>VLOOKUP($A236,'[1]Raw Data'!$A$3:$FB$285,21,FALSE)</f>
        <v>2.57</v>
      </c>
      <c r="S236" s="27">
        <f>VLOOKUP($A236,'[1]Raw Data'!$A$3:$FB$285,23,FALSE)</f>
        <v>0</v>
      </c>
      <c r="T236" s="27">
        <f>VLOOKUP($A236,'[1]Raw Data'!$A$3:$FB$285,24,FALSE)</f>
        <v>0</v>
      </c>
      <c r="U236" s="27">
        <f>VLOOKUP($A236,'[1]Raw Data'!$A$3:$FB$285,26,FALSE)</f>
        <v>0</v>
      </c>
      <c r="V236" s="27">
        <f>VLOOKUP($A236,'[1]Raw Data'!$A$3:$FB$285,27,FALSE)</f>
        <v>0.05</v>
      </c>
      <c r="W236" s="27">
        <f>VLOOKUP($A236,'[1]Raw Data'!$A$3:$FB$285,29,FALSE)</f>
        <v>0</v>
      </c>
      <c r="X236" s="27">
        <f>VLOOKUP($A236,'[1]Raw Data'!$A$3:$FB$285,30,FALSE)</f>
        <v>0</v>
      </c>
      <c r="Y236" s="27">
        <f>VLOOKUP($A236,'[1]Raw Data'!$A$3:$FB$285,32,FALSE)</f>
        <v>0</v>
      </c>
      <c r="Z236" s="27">
        <f>VLOOKUP($A236,'[1]Raw Data'!$A$3:$FB$285,33,FALSE)</f>
        <v>0.13</v>
      </c>
      <c r="AA236" s="27">
        <f>VLOOKUP($A236,'[1]Raw Data'!$A$3:$FB$285,35,FALSE)</f>
        <v>0</v>
      </c>
      <c r="AB236" s="27">
        <f>VLOOKUP($A236,'[1]Raw Data'!$A$3:$FB$285,36,FALSE)</f>
        <v>4.76</v>
      </c>
      <c r="AC236" s="27">
        <f>VLOOKUP($A236,'[1]Raw Data'!$A$3:$FB$285,38,FALSE)</f>
        <v>0</v>
      </c>
      <c r="AD236" s="27">
        <f>VLOOKUP($A236,'[1]Raw Data'!$A$3:$FB$285,39,FALSE)</f>
        <v>0</v>
      </c>
      <c r="AE236" s="27">
        <f>VLOOKUP($A236,'[1]Raw Data'!$A$3:$FB$285,41,FALSE)</f>
        <v>0</v>
      </c>
      <c r="AF236" s="27">
        <f>VLOOKUP($A236,'[1]Raw Data'!$A$3:$FB$285,42,FALSE)</f>
        <v>0</v>
      </c>
      <c r="AG236" s="27">
        <f>VLOOKUP($A236,'[1]Raw Data'!$A$3:$FB$285,44,FALSE)</f>
        <v>0</v>
      </c>
      <c r="AH236" s="27">
        <f>VLOOKUP($A236,'[1]Raw Data'!$A$3:$FB$285,45,FALSE)</f>
        <v>0</v>
      </c>
      <c r="AI236" s="27">
        <f>VLOOKUP($A236,'[1]Raw Data'!$A$3:$FB$285,46,FALSE)</f>
        <v>108</v>
      </c>
      <c r="AJ236" s="27">
        <f>VLOOKUP($A236,'[1]Raw Data'!$A$3:$FB$285,47,FALSE)</f>
        <v>52</v>
      </c>
      <c r="AK236" s="27">
        <f>VLOOKUP($A236,'[1]Raw Data'!$A$3:$FB$285,48,FALSE)</f>
        <v>52</v>
      </c>
      <c r="AL236" s="27">
        <f>VLOOKUP($A236,'[1]Raw Data'!$A$3:$FB$285,49,FALSE)</f>
        <v>21</v>
      </c>
      <c r="AM236" s="27">
        <f>VLOOKUP($A236,'[1]Raw Data'!$A$3:$FB$285,50,FALSE)</f>
        <v>0</v>
      </c>
      <c r="AN236" s="27" t="str">
        <f>VLOOKUP($A236,'[1]Raw Data'!$A$3:$FB$285,51,FALSE)</f>
        <v/>
      </c>
      <c r="AO236" s="27" t="str">
        <f>VLOOKUP($A236,'[1]Raw Data'!$A$3:$FB$285,52,FALSE)</f>
        <v/>
      </c>
      <c r="AP236" s="27">
        <f>VLOOKUP($A236,'[1]Raw Data'!$A$3:$FB$285,53,FALSE)</f>
        <v>0</v>
      </c>
      <c r="AQ236" s="27" t="str">
        <f>VLOOKUP($A236,'[1]Raw Data'!$A$3:$FB$285,54,FALSE)</f>
        <v/>
      </c>
      <c r="AR236" s="27" t="str">
        <f>VLOOKUP($A236,'[1]Raw Data'!$A$3:$FB$285,55,FALSE)</f>
        <v/>
      </c>
      <c r="AS236" s="27" t="str">
        <f>VLOOKUP($A236,'[1]Raw Data'!$A$3:$FB$285,56,FALSE)</f>
        <v/>
      </c>
      <c r="AT236" s="27" t="str">
        <f>VLOOKUP($A236,'[1]Raw Data'!$A$3:$FB$285,57,FALSE)</f>
        <v/>
      </c>
      <c r="AU236" s="27" t="str">
        <f>VLOOKUP($A236,'[1]Raw Data'!$A$3:$FB$285,58,FALSE)</f>
        <v/>
      </c>
      <c r="AV236" s="27" t="str">
        <f>VLOOKUP($A236,'[1]Raw Data'!$A$3:$FB$285,59,FALSE)</f>
        <v/>
      </c>
      <c r="AW236" s="27" t="str">
        <f>VLOOKUP($A236,'[1]Raw Data'!$A$3:$FB$285,60,FALSE)</f>
        <v/>
      </c>
      <c r="AX236" s="27" t="str">
        <f>VLOOKUP(A236,'[1]PO''s List'!A234:E516,4,FALSE)</f>
        <v/>
      </c>
      <c r="AZ236" s="27" t="str">
        <f>VLOOKUP(A236,'[1]PO''s List'!$A$3:$E$285,5,FALSE)</f>
        <v/>
      </c>
      <c r="BB236" s="27">
        <f>VLOOKUP($A236,'[1]Raw Data'!$A$3:$FB$285,63,FALSE)</f>
        <v>1467</v>
      </c>
      <c r="BC236" s="27" t="str">
        <f>VLOOKUP($A236,'[1]Raw Data'!$A$3:$FB$285,64,FALSE)</f>
        <v/>
      </c>
      <c r="BD236" s="27" t="str">
        <f t="shared" si="27"/>
        <v/>
      </c>
      <c r="BE236" s="27" t="str">
        <f>VLOOKUP($A236,'[1]Raw Data'!$A$3:$FB$285,65,FALSE)</f>
        <v/>
      </c>
      <c r="BF236" s="27">
        <f>VLOOKUP($A236,'[1]Raw Data'!$A$3:$FB$285,66,FALSE)</f>
        <v>1548</v>
      </c>
      <c r="BG236" s="27" t="str">
        <f>VLOOKUP($A236,'[1]Raw Data'!$A$3:$FB$285,67,FALSE)</f>
        <v/>
      </c>
      <c r="BH236" s="27" t="str">
        <f t="shared" si="28"/>
        <v/>
      </c>
      <c r="BI236" s="27" t="str">
        <f>VLOOKUP($A236,'[1]Raw Data'!$A$3:$FB$285,68,FALSE)</f>
        <v/>
      </c>
      <c r="BJ236" s="27">
        <f>VLOOKUP($A236,'[1]Raw Data'!$A$3:$FB$285,69,FALSE)</f>
        <v>157</v>
      </c>
      <c r="BK236" s="27" t="str">
        <f>VLOOKUP($A236,'[1]Raw Data'!$A$3:$FB$285,70,FALSE)</f>
        <v/>
      </c>
      <c r="BL236" s="27" t="str">
        <f t="shared" si="29"/>
        <v/>
      </c>
      <c r="BM236" s="27" t="str">
        <f>VLOOKUP($A236,'[1]Raw Data'!$A$3:$FB$285,71,FALSE)</f>
        <v/>
      </c>
      <c r="BN236" s="27">
        <f>VLOOKUP($A236,'[1]Raw Data'!$A$3:$FB$285,72,FALSE)</f>
        <v>182</v>
      </c>
      <c r="BO236" s="27" t="str">
        <f>VLOOKUP($A236,'[1]Raw Data'!$A$3:$FB$285,73,FALSE)</f>
        <v/>
      </c>
      <c r="BP236" s="27" t="str">
        <f t="shared" si="30"/>
        <v/>
      </c>
      <c r="BQ236" s="27" t="str">
        <f>VLOOKUP($A236,'[1]Raw Data'!$A$3:$FB$285,74,FALSE)</f>
        <v/>
      </c>
      <c r="BR236" s="27" t="str">
        <f>VLOOKUP($A236,'[1]Raw Data'!$A$3:$FB$285,75,FALSE)</f>
        <v/>
      </c>
      <c r="BS236" s="27" t="str">
        <f>VLOOKUP($A236,'[1]Raw Data'!$A$3:$FB$285,76,FALSE)</f>
        <v/>
      </c>
      <c r="BT236" s="27" t="str">
        <f t="shared" si="31"/>
        <v/>
      </c>
      <c r="BU236" s="27" t="str">
        <f>VLOOKUP($A236,'[1]Raw Data'!$A$3:$FB$285,77,FALSE)</f>
        <v/>
      </c>
      <c r="BV236" s="27">
        <f>VLOOKUP($A236,'[1]Raw Data'!$A$3:$FB$285,78,FALSE)</f>
        <v>5092</v>
      </c>
      <c r="BW236" s="27" t="str">
        <f>VLOOKUP($A236,'[1]Raw Data'!$A$3:$FB$285,79,FALSE)</f>
        <v/>
      </c>
      <c r="BX236" s="27" t="str">
        <f t="shared" si="32"/>
        <v/>
      </c>
      <c r="BY236" s="27" t="str">
        <f>VLOOKUP($A236,'[1]Raw Data'!$A$3:$FB$285,80,FALSE)</f>
        <v/>
      </c>
      <c r="BZ236" s="27">
        <f>VLOOKUP($A236,'[1]Raw Data'!$A$3:$FB$285,81,FALSE)</f>
        <v>15793</v>
      </c>
      <c r="CA236" s="27" t="str">
        <f>VLOOKUP($A236,'[1]Raw Data'!$A$3:$FB$285,82,FALSE)</f>
        <v/>
      </c>
      <c r="CB236" s="27" t="str">
        <f t="shared" si="33"/>
        <v/>
      </c>
      <c r="CC236" s="27" t="str">
        <f>VLOOKUP($A236,'[1]Raw Data'!$A$3:$FB$285,83,FALSE)</f>
        <v/>
      </c>
      <c r="CD236" s="27">
        <f>VLOOKUP($A236,'[1]Raw Data'!$A$3:$FB$285,84,FALSE)</f>
        <v>208</v>
      </c>
      <c r="CE236" s="27" t="str">
        <f>VLOOKUP($A236,'[1]Raw Data'!$A$3:$FB$285,85,FALSE)</f>
        <v/>
      </c>
      <c r="CF236" s="27" t="str">
        <f t="shared" si="34"/>
        <v/>
      </c>
      <c r="CG236" s="27" t="str">
        <f>VLOOKUP($A236,'[1]Raw Data'!$A$3:$FB$285,86,FALSE)</f>
        <v/>
      </c>
      <c r="CH236" s="27">
        <f>VLOOKUP($A236,'[1]Raw Data'!$A$3:$FB$285,87,FALSE)</f>
        <v>6731</v>
      </c>
      <c r="CI236" s="27" t="str">
        <f>VLOOKUP($A236,'[1]Raw Data'!$A$3:$FB$285,88,FALSE)</f>
        <v/>
      </c>
      <c r="CJ236" s="27" t="str">
        <f t="shared" si="35"/>
        <v/>
      </c>
      <c r="CK236" s="27" t="str">
        <f>VLOOKUP($A236,'[1]Raw Data'!$A$3:$FB$285,89,FALSE)</f>
        <v/>
      </c>
      <c r="CL236" s="27" t="str">
        <f>VLOOKUP($A236,'[1]Raw Data'!$A$3:$FB$285,91,FALSE)</f>
        <v/>
      </c>
      <c r="CM236" s="27" t="str">
        <f>VLOOKUP($A236,'[1]Raw Data'!$A$3:$FB$285,93,FALSE)</f>
        <v/>
      </c>
      <c r="CN236" s="27" t="str">
        <f>VLOOKUP($A236,'[1]Raw Data'!$A$3:$FB$285,94,FALSE)</f>
        <v/>
      </c>
      <c r="CO236" s="27" t="str">
        <f>VLOOKUP($A236,'[1]Raw Data'!$A$3:$FB$285,95,FALSE)</f>
        <v/>
      </c>
      <c r="CP236" s="27" t="str">
        <f>VLOOKUP($A236,'[1]Raw Data'!$A$3:$FB$285,96,FALSE)</f>
        <v/>
      </c>
      <c r="CQ236" s="27" t="str">
        <f>VLOOKUP($A236,'[1]Raw Data'!$A$3:$FB$285,97,FALSE)</f>
        <v/>
      </c>
      <c r="CR236" s="27" t="str">
        <f>VLOOKUP($A236,'[1]Raw Data'!$A$3:$FB$285,98,FALSE)</f>
        <v/>
      </c>
      <c r="CS236" s="27" t="str">
        <f>VLOOKUP($A236,'[1]Raw Data'!$A$3:$FB$285,99,FALSE)</f>
        <v/>
      </c>
      <c r="CT236" s="27" t="str">
        <f>VLOOKUP($A236,'[1]Raw Data'!$A$3:$FB$285,101,FALSE)</f>
        <v/>
      </c>
      <c r="CV236" s="27" t="str">
        <f>VLOOKUP($A236,'[1]Raw Data'!$A$3:$FB$285,102,FALSE)</f>
        <v>Mayor</v>
      </c>
      <c r="CW236" s="27" t="s">
        <v>834</v>
      </c>
      <c r="CX236" s="27" t="str">
        <f>VLOOKUP($A236,'[1]Raw Data'!$A$3:$FB$285,103,FALSE)</f>
        <v/>
      </c>
      <c r="CY236" s="27" t="str">
        <f>VLOOKUP($A236,'[1]Raw Data'!$A$3:$FB$285,105,FALSE)</f>
        <v/>
      </c>
      <c r="DA236" s="27" t="str">
        <f>VLOOKUP($A236,'[1]Raw Data'!$A$3:$FB$285,106,FALSE)</f>
        <v>Deputy Mayor</v>
      </c>
      <c r="DB236" s="27" t="s">
        <v>888</v>
      </c>
      <c r="DC236" s="27" t="str">
        <f>VLOOKUP($A236,'[1]Raw Data'!$A$3:$FB$285,107,FALSE)</f>
        <v/>
      </c>
      <c r="DD236" s="27" t="str">
        <f>VLOOKUP($A236,'[1]Raw Data'!$A$3:$FB$285,109,FALSE)</f>
        <v/>
      </c>
      <c r="DF236" s="27" t="str">
        <f>VLOOKUP($A236,'[1]Raw Data'!$A$3:$FB$285,110,FALSE)</f>
        <v>Chief Adminstration Officer</v>
      </c>
      <c r="DG236" s="27" t="s">
        <v>880</v>
      </c>
      <c r="DH236" s="27" t="str">
        <f>VLOOKUP($A236,'[1]Raw Data'!$A$3:$FB$285,111,FALSE)</f>
        <v/>
      </c>
      <c r="DI236" s="27" t="str">
        <f>VLOOKUP($A236,'[1]Raw Data'!$A$3:$FB$285,121,FALSE)</f>
        <v/>
      </c>
      <c r="DK236" s="27" t="str">
        <f>VLOOKUP($A236,'[1]Raw Data'!$A$3:$FB$285,122,FALSE)</f>
        <v>Focal Person</v>
      </c>
      <c r="DL236" s="27" t="s">
        <v>881</v>
      </c>
      <c r="DM236" s="27" t="str">
        <f>VLOOKUP($A236,'[1]Raw Data'!$A$3:$FB$285,123,FALSE)</f>
        <v/>
      </c>
      <c r="DN236" s="27" t="str">
        <f>VLOOKUP($A236,'[1]Raw Data'!$A$3:$FB$285,113,FALSE)</f>
        <v/>
      </c>
      <c r="DP236" s="27" t="str">
        <f>VLOOKUP($A236,'[1]Raw Data'!$A$3:$FB$285,114,FALSE)</f>
        <v>NRA Chief-District</v>
      </c>
      <c r="DQ236" s="27" t="s">
        <v>882</v>
      </c>
      <c r="DR236" s="27" t="str">
        <f>VLOOKUP($A236,'[1]Raw Data'!$A$3:$FB$285,115,FALSE)</f>
        <v/>
      </c>
      <c r="DS236" s="27" t="str">
        <f>VLOOKUP($A236,'[1]Raw Data'!$A$3:$FB$285,117,FALSE)</f>
        <v/>
      </c>
      <c r="DU236" s="27" t="str">
        <f>VLOOKUP($A236,'[1]Raw Data'!$A$3:$FB$285,118,FALSE)</f>
        <v>DUDBC.DLPIU Chief</v>
      </c>
      <c r="DV236" s="27" t="s">
        <v>883</v>
      </c>
      <c r="DW236" s="27" t="str">
        <f>VLOOKUP($A236,'[1]Raw Data'!$A$3:$FB$285,119,FALSE)</f>
        <v/>
      </c>
      <c r="DX236" s="27" t="s">
        <v>339</v>
      </c>
      <c r="DY236" s="27" t="str">
        <f>VLOOKUP($A236,'[1]Raw Data'!$A$3:$FB$285,124,FALSE)</f>
        <v/>
      </c>
      <c r="DZ236" s="27" t="s">
        <v>884</v>
      </c>
      <c r="EA236" s="27" t="str">
        <f>VLOOKUP($A236,'[1]Raw Data'!$A$3:$FB$285,125,FALSE)</f>
        <v/>
      </c>
      <c r="EB236" s="27" t="s">
        <v>341</v>
      </c>
      <c r="EC236" s="27" t="str">
        <f>VLOOKUP($A236,'[1]Raw Data'!$A$3:$FB$285,126,FALSE)</f>
        <v/>
      </c>
      <c r="ED236" t="s">
        <v>478</v>
      </c>
      <c r="EE236" s="27" t="str">
        <f>VLOOKUP($A236,'[1]Raw Data'!$A$3:$FB$285,127,FALSE)</f>
        <v/>
      </c>
      <c r="EF236" s="27" t="s">
        <v>343</v>
      </c>
      <c r="EG236" s="27" t="str">
        <f>VLOOKUP($A236,'[1]Raw Data'!$A$3:$FB$285,128,FALSE)</f>
        <v/>
      </c>
      <c r="EH236" t="s">
        <v>344</v>
      </c>
      <c r="EI236" s="27" t="str">
        <f>VLOOKUP($A236,'[1]Raw Data'!$A$3:$FB$285,129,FALSE)</f>
        <v/>
      </c>
      <c r="EM236" s="27" t="str">
        <f>VLOOKUP($A236,'[1]Raw Data'!$A$3:$FB$285,130,FALSE)</f>
        <v/>
      </c>
      <c r="EN236" s="27" t="str">
        <f>VLOOKUP($A236,'[1]Raw Data'!$A$3:$FB$285,131,FALSE)</f>
        <v/>
      </c>
      <c r="EO236" s="27" t="str">
        <f>VLOOKUP($A236,'[1]Raw Data'!$A$3:$FB$285,132,FALSE)</f>
        <v/>
      </c>
      <c r="EP236" s="27" t="str">
        <f>VLOOKUP($A236,'[1]Raw Data'!$A$3:$FB$285,133,FALSE)</f>
        <v/>
      </c>
      <c r="EQ236" s="27" t="str">
        <f>VLOOKUP($A236,'[1]Raw Data'!$A$3:$FB$285,134,FALSE)</f>
        <v/>
      </c>
      <c r="ER236" s="27" t="str">
        <f>VLOOKUP($A236,'[1]Raw Data'!$A$3:$FB$285,135,FALSE)</f>
        <v/>
      </c>
      <c r="ES236" s="27" t="str">
        <f>VLOOKUP($A236,'[1]Raw Data'!$A$3:$FB$285,136,FALSE)</f>
        <v/>
      </c>
      <c r="ET236" s="27" t="str">
        <f>VLOOKUP($A236,'[1]Raw Data'!$A$3:$FB$285,137,FALSE)</f>
        <v/>
      </c>
      <c r="EU236" s="27" t="str">
        <f>VLOOKUP($A236,'[1]Raw Data'!$A$3:$FB$285,138,FALSE)</f>
        <v/>
      </c>
      <c r="EV236" s="27" t="str">
        <f>VLOOKUP($A236,'[1]Raw Data'!$A$3:$FB$285,139,FALSE)</f>
        <v/>
      </c>
      <c r="EW236" s="38">
        <f>VLOOKUP($A236,[1]Training!$A$2:$I$284,5,FALSE)</f>
        <v>8.3076923076923084</v>
      </c>
      <c r="EX236" s="31">
        <f>VLOOKUP($A236,[1]Training!$A$2:$I$284,6,FALSE)</f>
        <v>50</v>
      </c>
      <c r="EY236" s="38">
        <f>VLOOKUP($A236,[1]Training!$A$2:$I$284,8,FALSE)</f>
        <v>9.8181818181818183</v>
      </c>
      <c r="EZ236" s="31">
        <f>VLOOKUP($A236,[1]Training!$A$2:$I$284,9,FALSE)</f>
        <v>0</v>
      </c>
      <c r="FA236" s="27">
        <v>1</v>
      </c>
      <c r="FB236" s="27">
        <v>2</v>
      </c>
      <c r="FC236" s="27" t="str">
        <f>VLOOKUP($A236,'[1]Raw Data'!$A$3:$FB$285,148,FALSE)</f>
        <v/>
      </c>
      <c r="FE236" s="27" t="str">
        <f>VLOOKUP($A236,'[1]Raw Data'!$A$3:$FB$285,149,FALSE)</f>
        <v>District Coordinator</v>
      </c>
      <c r="FF236" s="27" t="s">
        <v>885</v>
      </c>
      <c r="FG236" s="27" t="str">
        <f>VLOOKUP($A236,'[1]Raw Data'!$A$3:$FB$285,150,FALSE)</f>
        <v/>
      </c>
      <c r="FH236" s="27" t="str">
        <f>VLOOKUP($A236,'[1]Raw Data'!$A$3:$FB$285,156,FALSE)</f>
        <v/>
      </c>
      <c r="FJ236" s="27" t="str">
        <f>VLOOKUP($A236,'[1]Raw Data'!$A$3:$FB$285,157,FALSE)</f>
        <v>District Technical Officer</v>
      </c>
      <c r="FK236" s="27" t="s">
        <v>886</v>
      </c>
      <c r="FL236" s="27" t="str">
        <f>VLOOKUP($A236,'[1]Raw Data'!$A$3:$FB$285,158,FALSE)</f>
        <v/>
      </c>
      <c r="FM236" s="27" t="str">
        <f>VLOOKUP($A236,'[1]Raw Data'!$A$3:$FB$285,152,FALSE)</f>
        <v/>
      </c>
      <c r="FO236" s="27" t="str">
        <f>VLOOKUP($A236,'[1]Raw Data'!$A$3:$FB$285,153,FALSE)</f>
        <v>DIstrict Information Management Officer</v>
      </c>
      <c r="FP236" s="27" t="s">
        <v>887</v>
      </c>
      <c r="FQ236" s="27" t="str">
        <f>VLOOKUP($A236,'[1]Raw Data'!$A$3:$FB$285,154,FALSE)</f>
        <v/>
      </c>
    </row>
    <row r="237" spans="1:173" ht="24" x14ac:dyDescent="0.45">
      <c r="A237" s="27">
        <v>45004</v>
      </c>
      <c r="B237" s="36" t="str">
        <f ca="1">IFERROR(__xludf.DUMMYFUNCTION("""COMPUTED_VALUE"""),"Dhorpatan Nagarpalika")</f>
        <v>Dhorpatan Nagarpalika</v>
      </c>
      <c r="C237" s="37" t="str">
        <f>VLOOKUP(A237,'[1]Palika and District in Nepali '!$D$1:$F$283,3,FALSE)</f>
        <v>ढोरपाटन नगरपालिका</v>
      </c>
      <c r="D237" s="36" t="str">
        <f ca="1">IFERROR(__xludf.DUMMYFUNCTION("""COMPUTED_VALUE"""),"Baglung")</f>
        <v>Baglung</v>
      </c>
      <c r="E237" s="36"/>
      <c r="F237" s="27">
        <f>VLOOKUP(A237,'[1]Raw Data'!$A$3:$FB$285,4,FALSE)</f>
        <v>15</v>
      </c>
      <c r="G237" s="27">
        <f>VLOOKUP(A237,'[1]Raw Data'!$A$3:$FB$285,5,FALSE)</f>
        <v>48</v>
      </c>
      <c r="H237" s="27">
        <f>VLOOKUP(A237,'[1]Raw Data'!$A$3:$FB$285,6,FALSE)</f>
        <v>63</v>
      </c>
      <c r="I237" s="27">
        <f>VLOOKUP($A237,'[1]Raw Data'!$A$3:$FB$285,8,FALSE)</f>
        <v>0</v>
      </c>
      <c r="J237" s="27">
        <f>VLOOKUP($A237,'[1]Raw Data'!$A$3:$FB$285,9,FALSE)</f>
        <v>1.27</v>
      </c>
      <c r="K237" s="27">
        <f>VLOOKUP($A237,'[1]Raw Data'!$A$3:$FB$285,11,FALSE)</f>
        <v>100</v>
      </c>
      <c r="L237" s="27">
        <f>VLOOKUP($A237,'[1]Raw Data'!$A$3:$FB$285,12,FALSE)</f>
        <v>87.91</v>
      </c>
      <c r="M237" s="27">
        <f>VLOOKUP($A237,'[1]Raw Data'!$A$3:$FB$285,14,FALSE)</f>
        <v>0</v>
      </c>
      <c r="N237" s="27">
        <f>VLOOKUP($A237,'[1]Raw Data'!$A$3:$FB$285,15,FALSE)</f>
        <v>0.68</v>
      </c>
      <c r="O237" s="27">
        <f>VLOOKUP($A237,'[1]Raw Data'!$A$3:$FB$285,17,FALSE)</f>
        <v>0</v>
      </c>
      <c r="P237" s="27">
        <f>VLOOKUP($A237,'[1]Raw Data'!$A$3:$FB$285,18,FALSE)</f>
        <v>2.63</v>
      </c>
      <c r="Q237" s="27">
        <f>VLOOKUP($A237,'[1]Raw Data'!$A$3:$FB$285,20,FALSE)</f>
        <v>0</v>
      </c>
      <c r="R237" s="27">
        <f>VLOOKUP($A237,'[1]Raw Data'!$A$3:$FB$285,21,FALSE)</f>
        <v>2.57</v>
      </c>
      <c r="S237" s="27">
        <f>VLOOKUP($A237,'[1]Raw Data'!$A$3:$FB$285,23,FALSE)</f>
        <v>0</v>
      </c>
      <c r="T237" s="27">
        <f>VLOOKUP($A237,'[1]Raw Data'!$A$3:$FB$285,24,FALSE)</f>
        <v>0</v>
      </c>
      <c r="U237" s="27">
        <f>VLOOKUP($A237,'[1]Raw Data'!$A$3:$FB$285,26,FALSE)</f>
        <v>0</v>
      </c>
      <c r="V237" s="27">
        <f>VLOOKUP($A237,'[1]Raw Data'!$A$3:$FB$285,27,FALSE)</f>
        <v>0.05</v>
      </c>
      <c r="W237" s="27">
        <f>VLOOKUP($A237,'[1]Raw Data'!$A$3:$FB$285,29,FALSE)</f>
        <v>0</v>
      </c>
      <c r="X237" s="27">
        <f>VLOOKUP($A237,'[1]Raw Data'!$A$3:$FB$285,30,FALSE)</f>
        <v>0</v>
      </c>
      <c r="Y237" s="27">
        <f>VLOOKUP($A237,'[1]Raw Data'!$A$3:$FB$285,32,FALSE)</f>
        <v>0</v>
      </c>
      <c r="Z237" s="27">
        <f>VLOOKUP($A237,'[1]Raw Data'!$A$3:$FB$285,33,FALSE)</f>
        <v>0.13</v>
      </c>
      <c r="AA237" s="27">
        <f>VLOOKUP($A237,'[1]Raw Data'!$A$3:$FB$285,35,FALSE)</f>
        <v>0</v>
      </c>
      <c r="AB237" s="27">
        <f>VLOOKUP($A237,'[1]Raw Data'!$A$3:$FB$285,36,FALSE)</f>
        <v>4.76</v>
      </c>
      <c r="AC237" s="27">
        <f>VLOOKUP($A237,'[1]Raw Data'!$A$3:$FB$285,38,FALSE)</f>
        <v>0</v>
      </c>
      <c r="AD237" s="27">
        <f>VLOOKUP($A237,'[1]Raw Data'!$A$3:$FB$285,39,FALSE)</f>
        <v>0</v>
      </c>
      <c r="AE237" s="27">
        <f>VLOOKUP($A237,'[1]Raw Data'!$A$3:$FB$285,41,FALSE)</f>
        <v>0</v>
      </c>
      <c r="AF237" s="27">
        <f>VLOOKUP($A237,'[1]Raw Data'!$A$3:$FB$285,42,FALSE)</f>
        <v>0</v>
      </c>
      <c r="AG237" s="27">
        <f>VLOOKUP($A237,'[1]Raw Data'!$A$3:$FB$285,44,FALSE)</f>
        <v>0</v>
      </c>
      <c r="AH237" s="27">
        <f>VLOOKUP($A237,'[1]Raw Data'!$A$3:$FB$285,45,FALSE)</f>
        <v>0</v>
      </c>
      <c r="AI237" s="27">
        <f>VLOOKUP($A237,'[1]Raw Data'!$A$3:$FB$285,46,FALSE)</f>
        <v>45</v>
      </c>
      <c r="AJ237" s="27">
        <f>VLOOKUP($A237,'[1]Raw Data'!$A$3:$FB$285,47,FALSE)</f>
        <v>34</v>
      </c>
      <c r="AK237" s="27">
        <f>VLOOKUP($A237,'[1]Raw Data'!$A$3:$FB$285,48,FALSE)</f>
        <v>34</v>
      </c>
      <c r="AL237" s="27">
        <f>VLOOKUP($A237,'[1]Raw Data'!$A$3:$FB$285,49,FALSE)</f>
        <v>19</v>
      </c>
      <c r="AM237" s="27">
        <f>VLOOKUP($A237,'[1]Raw Data'!$A$3:$FB$285,50,FALSE)</f>
        <v>0</v>
      </c>
      <c r="AN237" s="27" t="str">
        <f>VLOOKUP($A237,'[1]Raw Data'!$A$3:$FB$285,51,FALSE)</f>
        <v/>
      </c>
      <c r="AO237" s="27" t="str">
        <f>VLOOKUP($A237,'[1]Raw Data'!$A$3:$FB$285,52,FALSE)</f>
        <v/>
      </c>
      <c r="AP237" s="27">
        <f>VLOOKUP($A237,'[1]Raw Data'!$A$3:$FB$285,53,FALSE)</f>
        <v>0</v>
      </c>
      <c r="AQ237" s="27" t="str">
        <f>VLOOKUP($A237,'[1]Raw Data'!$A$3:$FB$285,54,FALSE)</f>
        <v/>
      </c>
      <c r="AR237" s="27" t="str">
        <f>VLOOKUP($A237,'[1]Raw Data'!$A$3:$FB$285,55,FALSE)</f>
        <v/>
      </c>
      <c r="AS237" s="27" t="str">
        <f>VLOOKUP($A237,'[1]Raw Data'!$A$3:$FB$285,56,FALSE)</f>
        <v/>
      </c>
      <c r="AT237" s="27" t="str">
        <f>VLOOKUP($A237,'[1]Raw Data'!$A$3:$FB$285,57,FALSE)</f>
        <v/>
      </c>
      <c r="AU237" s="27" t="str">
        <f>VLOOKUP($A237,'[1]Raw Data'!$A$3:$FB$285,58,FALSE)</f>
        <v/>
      </c>
      <c r="AV237" s="27" t="str">
        <f>VLOOKUP($A237,'[1]Raw Data'!$A$3:$FB$285,59,FALSE)</f>
        <v/>
      </c>
      <c r="AW237" s="27" t="str">
        <f>VLOOKUP($A237,'[1]Raw Data'!$A$3:$FB$285,60,FALSE)</f>
        <v/>
      </c>
      <c r="AX237" s="27" t="str">
        <f>VLOOKUP(A237,'[1]PO''s List'!A235:E517,4,FALSE)</f>
        <v/>
      </c>
      <c r="AZ237" s="27" t="str">
        <f>VLOOKUP(A237,'[1]PO''s List'!$A$3:$E$285,5,FALSE)</f>
        <v/>
      </c>
      <c r="BB237" s="27">
        <f>VLOOKUP($A237,'[1]Raw Data'!$A$3:$FB$285,63,FALSE)</f>
        <v>948</v>
      </c>
      <c r="BC237" s="27" t="str">
        <f>VLOOKUP($A237,'[1]Raw Data'!$A$3:$FB$285,64,FALSE)</f>
        <v/>
      </c>
      <c r="BD237" s="27" t="str">
        <f t="shared" si="27"/>
        <v/>
      </c>
      <c r="BE237" s="27" t="str">
        <f>VLOOKUP($A237,'[1]Raw Data'!$A$3:$FB$285,65,FALSE)</f>
        <v/>
      </c>
      <c r="BF237" s="27">
        <f>VLOOKUP($A237,'[1]Raw Data'!$A$3:$FB$285,66,FALSE)</f>
        <v>981</v>
      </c>
      <c r="BG237" s="27" t="str">
        <f>VLOOKUP($A237,'[1]Raw Data'!$A$3:$FB$285,67,FALSE)</f>
        <v/>
      </c>
      <c r="BH237" s="27" t="str">
        <f t="shared" si="28"/>
        <v/>
      </c>
      <c r="BI237" s="27" t="str">
        <f>VLOOKUP($A237,'[1]Raw Data'!$A$3:$FB$285,68,FALSE)</f>
        <v/>
      </c>
      <c r="BJ237" s="27">
        <f>VLOOKUP($A237,'[1]Raw Data'!$A$3:$FB$285,69,FALSE)</f>
        <v>101</v>
      </c>
      <c r="BK237" s="27" t="str">
        <f>VLOOKUP($A237,'[1]Raw Data'!$A$3:$FB$285,70,FALSE)</f>
        <v/>
      </c>
      <c r="BL237" s="27" t="str">
        <f t="shared" si="29"/>
        <v/>
      </c>
      <c r="BM237" s="27" t="str">
        <f>VLOOKUP($A237,'[1]Raw Data'!$A$3:$FB$285,71,FALSE)</f>
        <v/>
      </c>
      <c r="BN237" s="27">
        <f>VLOOKUP($A237,'[1]Raw Data'!$A$3:$FB$285,72,FALSE)</f>
        <v>117</v>
      </c>
      <c r="BO237" s="27" t="str">
        <f>VLOOKUP($A237,'[1]Raw Data'!$A$3:$FB$285,73,FALSE)</f>
        <v/>
      </c>
      <c r="BP237" s="27" t="str">
        <f t="shared" si="30"/>
        <v/>
      </c>
      <c r="BQ237" s="27" t="str">
        <f>VLOOKUP($A237,'[1]Raw Data'!$A$3:$FB$285,74,FALSE)</f>
        <v/>
      </c>
      <c r="BR237" s="27" t="str">
        <f>VLOOKUP($A237,'[1]Raw Data'!$A$3:$FB$285,75,FALSE)</f>
        <v/>
      </c>
      <c r="BS237" s="27" t="str">
        <f>VLOOKUP($A237,'[1]Raw Data'!$A$3:$FB$285,76,FALSE)</f>
        <v/>
      </c>
      <c r="BT237" s="27" t="str">
        <f t="shared" si="31"/>
        <v/>
      </c>
      <c r="BU237" s="27" t="str">
        <f>VLOOKUP($A237,'[1]Raw Data'!$A$3:$FB$285,77,FALSE)</f>
        <v/>
      </c>
      <c r="BV237" s="27">
        <f>VLOOKUP($A237,'[1]Raw Data'!$A$3:$FB$285,78,FALSE)</f>
        <v>3257</v>
      </c>
      <c r="BW237" s="27" t="str">
        <f>VLOOKUP($A237,'[1]Raw Data'!$A$3:$FB$285,79,FALSE)</f>
        <v/>
      </c>
      <c r="BX237" s="27" t="str">
        <f t="shared" si="32"/>
        <v/>
      </c>
      <c r="BY237" s="27" t="str">
        <f>VLOOKUP($A237,'[1]Raw Data'!$A$3:$FB$285,80,FALSE)</f>
        <v/>
      </c>
      <c r="BZ237" s="27">
        <f>VLOOKUP($A237,'[1]Raw Data'!$A$3:$FB$285,81,FALSE)</f>
        <v>10271</v>
      </c>
      <c r="CA237" s="27" t="str">
        <f>VLOOKUP($A237,'[1]Raw Data'!$A$3:$FB$285,82,FALSE)</f>
        <v/>
      </c>
      <c r="CB237" s="27" t="str">
        <f t="shared" si="33"/>
        <v/>
      </c>
      <c r="CC237" s="27" t="str">
        <f>VLOOKUP($A237,'[1]Raw Data'!$A$3:$FB$285,83,FALSE)</f>
        <v/>
      </c>
      <c r="CD237" s="27">
        <f>VLOOKUP($A237,'[1]Raw Data'!$A$3:$FB$285,84,FALSE)</f>
        <v>133</v>
      </c>
      <c r="CE237" s="27" t="str">
        <f>VLOOKUP($A237,'[1]Raw Data'!$A$3:$FB$285,85,FALSE)</f>
        <v/>
      </c>
      <c r="CF237" s="27" t="str">
        <f t="shared" si="34"/>
        <v/>
      </c>
      <c r="CG237" s="27" t="str">
        <f>VLOOKUP($A237,'[1]Raw Data'!$A$3:$FB$285,86,FALSE)</f>
        <v/>
      </c>
      <c r="CH237" s="27">
        <f>VLOOKUP($A237,'[1]Raw Data'!$A$3:$FB$285,87,FALSE)</f>
        <v>9902</v>
      </c>
      <c r="CI237" s="27" t="str">
        <f>VLOOKUP($A237,'[1]Raw Data'!$A$3:$FB$285,88,FALSE)</f>
        <v/>
      </c>
      <c r="CJ237" s="27" t="str">
        <f t="shared" si="35"/>
        <v/>
      </c>
      <c r="CK237" s="27" t="str">
        <f>VLOOKUP($A237,'[1]Raw Data'!$A$3:$FB$285,89,FALSE)</f>
        <v/>
      </c>
      <c r="CL237" s="27" t="str">
        <f>VLOOKUP($A237,'[1]Raw Data'!$A$3:$FB$285,91,FALSE)</f>
        <v/>
      </c>
      <c r="CM237" s="27" t="str">
        <f>VLOOKUP($A237,'[1]Raw Data'!$A$3:$FB$285,93,FALSE)</f>
        <v/>
      </c>
      <c r="CN237" s="27" t="str">
        <f>VLOOKUP($A237,'[1]Raw Data'!$A$3:$FB$285,94,FALSE)</f>
        <v/>
      </c>
      <c r="CO237" s="27" t="str">
        <f>VLOOKUP($A237,'[1]Raw Data'!$A$3:$FB$285,95,FALSE)</f>
        <v/>
      </c>
      <c r="CP237" s="27" t="str">
        <f>VLOOKUP($A237,'[1]Raw Data'!$A$3:$FB$285,96,FALSE)</f>
        <v/>
      </c>
      <c r="CQ237" s="27" t="str">
        <f>VLOOKUP($A237,'[1]Raw Data'!$A$3:$FB$285,97,FALSE)</f>
        <v/>
      </c>
      <c r="CR237" s="27" t="str">
        <f>VLOOKUP($A237,'[1]Raw Data'!$A$3:$FB$285,98,FALSE)</f>
        <v/>
      </c>
      <c r="CS237" s="27" t="str">
        <f>VLOOKUP($A237,'[1]Raw Data'!$A$3:$FB$285,99,FALSE)</f>
        <v/>
      </c>
      <c r="CT237" s="27" t="str">
        <f>VLOOKUP($A237,'[1]Raw Data'!$A$3:$FB$285,101,FALSE)</f>
        <v/>
      </c>
      <c r="CV237" s="27" t="str">
        <f>VLOOKUP($A237,'[1]Raw Data'!$A$3:$FB$285,102,FALSE)</f>
        <v>Chairman</v>
      </c>
      <c r="CW237" s="27" t="s">
        <v>878</v>
      </c>
      <c r="CX237" s="27" t="str">
        <f>VLOOKUP($A237,'[1]Raw Data'!$A$3:$FB$285,103,FALSE)</f>
        <v/>
      </c>
      <c r="CY237" s="27" t="str">
        <f>VLOOKUP($A237,'[1]Raw Data'!$A$3:$FB$285,105,FALSE)</f>
        <v/>
      </c>
      <c r="DA237" s="27" t="str">
        <f>VLOOKUP($A237,'[1]Raw Data'!$A$3:$FB$285,106,FALSE)</f>
        <v>Deputy Chairman</v>
      </c>
      <c r="DB237" s="27" t="s">
        <v>879</v>
      </c>
      <c r="DC237" s="27" t="str">
        <f>VLOOKUP($A237,'[1]Raw Data'!$A$3:$FB$285,107,FALSE)</f>
        <v/>
      </c>
      <c r="DD237" s="27" t="str">
        <f>VLOOKUP($A237,'[1]Raw Data'!$A$3:$FB$285,109,FALSE)</f>
        <v/>
      </c>
      <c r="DF237" s="27" t="str">
        <f>VLOOKUP($A237,'[1]Raw Data'!$A$3:$FB$285,110,FALSE)</f>
        <v>Chief Adminstration Officer</v>
      </c>
      <c r="DG237" s="27" t="s">
        <v>880</v>
      </c>
      <c r="DH237" s="27" t="str">
        <f>VLOOKUP($A237,'[1]Raw Data'!$A$3:$FB$285,111,FALSE)</f>
        <v/>
      </c>
      <c r="DI237" s="27" t="str">
        <f>VLOOKUP($A237,'[1]Raw Data'!$A$3:$FB$285,121,FALSE)</f>
        <v/>
      </c>
      <c r="DK237" s="27" t="str">
        <f>VLOOKUP($A237,'[1]Raw Data'!$A$3:$FB$285,122,FALSE)</f>
        <v>Focal Person</v>
      </c>
      <c r="DL237" s="27" t="s">
        <v>881</v>
      </c>
      <c r="DM237" s="27" t="str">
        <f>VLOOKUP($A237,'[1]Raw Data'!$A$3:$FB$285,123,FALSE)</f>
        <v/>
      </c>
      <c r="DN237" s="27" t="str">
        <f>VLOOKUP($A237,'[1]Raw Data'!$A$3:$FB$285,113,FALSE)</f>
        <v/>
      </c>
      <c r="DP237" s="27" t="str">
        <f>VLOOKUP($A237,'[1]Raw Data'!$A$3:$FB$285,114,FALSE)</f>
        <v>NRA Chief-District</v>
      </c>
      <c r="DQ237" s="27" t="s">
        <v>882</v>
      </c>
      <c r="DR237" s="27" t="str">
        <f>VLOOKUP($A237,'[1]Raw Data'!$A$3:$FB$285,115,FALSE)</f>
        <v/>
      </c>
      <c r="DS237" s="27" t="str">
        <f>VLOOKUP($A237,'[1]Raw Data'!$A$3:$FB$285,117,FALSE)</f>
        <v/>
      </c>
      <c r="DU237" s="27" t="str">
        <f>VLOOKUP($A237,'[1]Raw Data'!$A$3:$FB$285,118,FALSE)</f>
        <v>DUDBC.DLPIU Chief</v>
      </c>
      <c r="DV237" s="27" t="s">
        <v>883</v>
      </c>
      <c r="DW237" s="27" t="str">
        <f>VLOOKUP($A237,'[1]Raw Data'!$A$3:$FB$285,119,FALSE)</f>
        <v/>
      </c>
      <c r="DX237" s="27" t="s">
        <v>339</v>
      </c>
      <c r="DY237" s="27" t="str">
        <f>VLOOKUP($A237,'[1]Raw Data'!$A$3:$FB$285,124,FALSE)</f>
        <v/>
      </c>
      <c r="DZ237" s="27" t="s">
        <v>884</v>
      </c>
      <c r="EA237" s="27" t="str">
        <f>VLOOKUP($A237,'[1]Raw Data'!$A$3:$FB$285,125,FALSE)</f>
        <v/>
      </c>
      <c r="EB237" s="27" t="s">
        <v>341</v>
      </c>
      <c r="EC237" s="27" t="str">
        <f>VLOOKUP($A237,'[1]Raw Data'!$A$3:$FB$285,126,FALSE)</f>
        <v/>
      </c>
      <c r="ED237" t="s">
        <v>478</v>
      </c>
      <c r="EE237" s="27" t="str">
        <f>VLOOKUP($A237,'[1]Raw Data'!$A$3:$FB$285,127,FALSE)</f>
        <v/>
      </c>
      <c r="EF237" s="27" t="s">
        <v>343</v>
      </c>
      <c r="EG237" s="27" t="str">
        <f>VLOOKUP($A237,'[1]Raw Data'!$A$3:$FB$285,128,FALSE)</f>
        <v/>
      </c>
      <c r="EH237" t="s">
        <v>344</v>
      </c>
      <c r="EI237" s="27" t="str">
        <f>VLOOKUP($A237,'[1]Raw Data'!$A$3:$FB$285,129,FALSE)</f>
        <v/>
      </c>
      <c r="EM237" s="27" t="str">
        <f>VLOOKUP($A237,'[1]Raw Data'!$A$3:$FB$285,130,FALSE)</f>
        <v/>
      </c>
      <c r="EN237" s="27" t="str">
        <f>VLOOKUP($A237,'[1]Raw Data'!$A$3:$FB$285,131,FALSE)</f>
        <v/>
      </c>
      <c r="EO237" s="27" t="str">
        <f>VLOOKUP($A237,'[1]Raw Data'!$A$3:$FB$285,132,FALSE)</f>
        <v/>
      </c>
      <c r="EP237" s="27" t="str">
        <f>VLOOKUP($A237,'[1]Raw Data'!$A$3:$FB$285,133,FALSE)</f>
        <v/>
      </c>
      <c r="EQ237" s="27" t="str">
        <f>VLOOKUP($A237,'[1]Raw Data'!$A$3:$FB$285,134,FALSE)</f>
        <v/>
      </c>
      <c r="ER237" s="27" t="str">
        <f>VLOOKUP($A237,'[1]Raw Data'!$A$3:$FB$285,135,FALSE)</f>
        <v/>
      </c>
      <c r="ES237" s="27" t="str">
        <f>VLOOKUP($A237,'[1]Raw Data'!$A$3:$FB$285,136,FALSE)</f>
        <v/>
      </c>
      <c r="ET237" s="27" t="str">
        <f>VLOOKUP($A237,'[1]Raw Data'!$A$3:$FB$285,137,FALSE)</f>
        <v/>
      </c>
      <c r="EU237" s="27" t="str">
        <f>VLOOKUP($A237,'[1]Raw Data'!$A$3:$FB$285,138,FALSE)</f>
        <v/>
      </c>
      <c r="EV237" s="27" t="str">
        <f>VLOOKUP($A237,'[1]Raw Data'!$A$3:$FB$285,139,FALSE)</f>
        <v/>
      </c>
      <c r="EW237" s="38">
        <f>VLOOKUP($A237,[1]Training!$A$2:$I$284,5,FALSE)</f>
        <v>3.4615384615384617</v>
      </c>
      <c r="EX237" s="31">
        <f>VLOOKUP($A237,[1]Training!$A$2:$I$284,6,FALSE)</f>
        <v>51</v>
      </c>
      <c r="EY237" s="38">
        <f>VLOOKUP($A237,[1]Training!$A$2:$I$284,8,FALSE)</f>
        <v>4.0909090909090908</v>
      </c>
      <c r="EZ237" s="31">
        <f>VLOOKUP($A237,[1]Training!$A$2:$I$284,9,FALSE)</f>
        <v>0</v>
      </c>
      <c r="FA237" s="27">
        <v>1</v>
      </c>
      <c r="FB237" s="27">
        <v>2</v>
      </c>
      <c r="FC237" s="27" t="str">
        <f>VLOOKUP($A237,'[1]Raw Data'!$A$3:$FB$285,148,FALSE)</f>
        <v/>
      </c>
      <c r="FE237" s="27" t="str">
        <f>VLOOKUP($A237,'[1]Raw Data'!$A$3:$FB$285,149,FALSE)</f>
        <v>District Coordinator</v>
      </c>
      <c r="FF237" s="27" t="s">
        <v>885</v>
      </c>
      <c r="FG237" s="27" t="str">
        <f>VLOOKUP($A237,'[1]Raw Data'!$A$3:$FB$285,150,FALSE)</f>
        <v/>
      </c>
      <c r="FH237" s="27" t="str">
        <f>VLOOKUP($A237,'[1]Raw Data'!$A$3:$FB$285,156,FALSE)</f>
        <v/>
      </c>
      <c r="FJ237" s="27" t="str">
        <f>VLOOKUP($A237,'[1]Raw Data'!$A$3:$FB$285,157,FALSE)</f>
        <v>District Technical Officer</v>
      </c>
      <c r="FK237" s="27" t="s">
        <v>886</v>
      </c>
      <c r="FL237" s="27" t="str">
        <f>VLOOKUP($A237,'[1]Raw Data'!$A$3:$FB$285,158,FALSE)</f>
        <v/>
      </c>
      <c r="FM237" s="27" t="str">
        <f>VLOOKUP($A237,'[1]Raw Data'!$A$3:$FB$285,152,FALSE)</f>
        <v/>
      </c>
      <c r="FO237" s="27" t="str">
        <f>VLOOKUP($A237,'[1]Raw Data'!$A$3:$FB$285,153,FALSE)</f>
        <v>DIstrict Information Management Officer</v>
      </c>
      <c r="FP237" s="27" t="s">
        <v>887</v>
      </c>
      <c r="FQ237" s="27" t="str">
        <f>VLOOKUP($A237,'[1]Raw Data'!$A$3:$FB$285,154,FALSE)</f>
        <v/>
      </c>
    </row>
    <row r="238" spans="1:173" ht="24" x14ac:dyDescent="0.45">
      <c r="A238" s="27">
        <v>45005</v>
      </c>
      <c r="B238" s="36" t="str">
        <f ca="1">IFERROR(__xludf.DUMMYFUNCTION("""COMPUTED_VALUE"""),"Galkot Nagarpalika")</f>
        <v>Galkot Nagarpalika</v>
      </c>
      <c r="C238" s="37" t="str">
        <f>VLOOKUP(A238,'[1]Palika and District in Nepali '!$D$1:$F$283,3,FALSE)</f>
        <v>गलकोट नगरपालिका</v>
      </c>
      <c r="D238" s="36" t="str">
        <f ca="1">IFERROR(__xludf.DUMMYFUNCTION("""COMPUTED_VALUE"""),"Baglung")</f>
        <v>Baglung</v>
      </c>
      <c r="E238" s="36"/>
      <c r="F238" s="27">
        <f>VLOOKUP(A238,'[1]Raw Data'!$A$3:$FB$285,4,FALSE)</f>
        <v>113</v>
      </c>
      <c r="G238" s="27">
        <f>VLOOKUP(A238,'[1]Raw Data'!$A$3:$FB$285,5,FALSE)</f>
        <v>433</v>
      </c>
      <c r="H238" s="27">
        <f>VLOOKUP(A238,'[1]Raw Data'!$A$3:$FB$285,6,FALSE)</f>
        <v>546</v>
      </c>
      <c r="I238" s="27">
        <f>VLOOKUP($A238,'[1]Raw Data'!$A$3:$FB$285,8,FALSE)</f>
        <v>2.2000000000000002</v>
      </c>
      <c r="J238" s="27">
        <f>VLOOKUP($A238,'[1]Raw Data'!$A$3:$FB$285,9,FALSE)</f>
        <v>1.27</v>
      </c>
      <c r="K238" s="27">
        <f>VLOOKUP($A238,'[1]Raw Data'!$A$3:$FB$285,11,FALSE)</f>
        <v>97.62</v>
      </c>
      <c r="L238" s="27">
        <f>VLOOKUP($A238,'[1]Raw Data'!$A$3:$FB$285,12,FALSE)</f>
        <v>87.91</v>
      </c>
      <c r="M238" s="27">
        <f>VLOOKUP($A238,'[1]Raw Data'!$A$3:$FB$285,14,FALSE)</f>
        <v>0</v>
      </c>
      <c r="N238" s="27">
        <f>VLOOKUP($A238,'[1]Raw Data'!$A$3:$FB$285,15,FALSE)</f>
        <v>0.68</v>
      </c>
      <c r="O238" s="27">
        <f>VLOOKUP($A238,'[1]Raw Data'!$A$3:$FB$285,17,FALSE)</f>
        <v>0.18</v>
      </c>
      <c r="P238" s="27">
        <f>VLOOKUP($A238,'[1]Raw Data'!$A$3:$FB$285,18,FALSE)</f>
        <v>2.63</v>
      </c>
      <c r="Q238" s="27">
        <f>VLOOKUP($A238,'[1]Raw Data'!$A$3:$FB$285,20,FALSE)</f>
        <v>0</v>
      </c>
      <c r="R238" s="27">
        <f>VLOOKUP($A238,'[1]Raw Data'!$A$3:$FB$285,21,FALSE)</f>
        <v>2.57</v>
      </c>
      <c r="S238" s="27">
        <f>VLOOKUP($A238,'[1]Raw Data'!$A$3:$FB$285,23,FALSE)</f>
        <v>0</v>
      </c>
      <c r="T238" s="27">
        <f>VLOOKUP($A238,'[1]Raw Data'!$A$3:$FB$285,24,FALSE)</f>
        <v>0</v>
      </c>
      <c r="U238" s="27">
        <f>VLOOKUP($A238,'[1]Raw Data'!$A$3:$FB$285,26,FALSE)</f>
        <v>0</v>
      </c>
      <c r="V238" s="27">
        <f>VLOOKUP($A238,'[1]Raw Data'!$A$3:$FB$285,27,FALSE)</f>
        <v>0.05</v>
      </c>
      <c r="W238" s="27">
        <f>VLOOKUP($A238,'[1]Raw Data'!$A$3:$FB$285,29,FALSE)</f>
        <v>0</v>
      </c>
      <c r="X238" s="27">
        <f>VLOOKUP($A238,'[1]Raw Data'!$A$3:$FB$285,30,FALSE)</f>
        <v>0</v>
      </c>
      <c r="Y238" s="27">
        <f>VLOOKUP($A238,'[1]Raw Data'!$A$3:$FB$285,32,FALSE)</f>
        <v>0</v>
      </c>
      <c r="Z238" s="27">
        <f>VLOOKUP($A238,'[1]Raw Data'!$A$3:$FB$285,33,FALSE)</f>
        <v>0.13</v>
      </c>
      <c r="AA238" s="27">
        <f>VLOOKUP($A238,'[1]Raw Data'!$A$3:$FB$285,35,FALSE)</f>
        <v>0</v>
      </c>
      <c r="AB238" s="27">
        <f>VLOOKUP($A238,'[1]Raw Data'!$A$3:$FB$285,36,FALSE)</f>
        <v>4.76</v>
      </c>
      <c r="AC238" s="27">
        <f>VLOOKUP($A238,'[1]Raw Data'!$A$3:$FB$285,38,FALSE)</f>
        <v>0</v>
      </c>
      <c r="AD238" s="27">
        <f>VLOOKUP($A238,'[1]Raw Data'!$A$3:$FB$285,39,FALSE)</f>
        <v>0</v>
      </c>
      <c r="AE238" s="27">
        <f>VLOOKUP($A238,'[1]Raw Data'!$A$3:$FB$285,41,FALSE)</f>
        <v>0</v>
      </c>
      <c r="AF238" s="27">
        <f>VLOOKUP($A238,'[1]Raw Data'!$A$3:$FB$285,42,FALSE)</f>
        <v>0</v>
      </c>
      <c r="AG238" s="27">
        <f>VLOOKUP($A238,'[1]Raw Data'!$A$3:$FB$285,44,FALSE)</f>
        <v>0</v>
      </c>
      <c r="AH238" s="27">
        <f>VLOOKUP($A238,'[1]Raw Data'!$A$3:$FB$285,45,FALSE)</f>
        <v>0</v>
      </c>
      <c r="AI238" s="27">
        <f>VLOOKUP($A238,'[1]Raw Data'!$A$3:$FB$285,46,FALSE)</f>
        <v>389</v>
      </c>
      <c r="AJ238" s="27">
        <f>VLOOKUP($A238,'[1]Raw Data'!$A$3:$FB$285,47,FALSE)</f>
        <v>178</v>
      </c>
      <c r="AK238" s="27">
        <f>VLOOKUP($A238,'[1]Raw Data'!$A$3:$FB$285,48,FALSE)</f>
        <v>178</v>
      </c>
      <c r="AL238" s="27">
        <f>VLOOKUP($A238,'[1]Raw Data'!$A$3:$FB$285,49,FALSE)</f>
        <v>28</v>
      </c>
      <c r="AM238" s="27">
        <f>VLOOKUP($A238,'[1]Raw Data'!$A$3:$FB$285,50,FALSE)</f>
        <v>0</v>
      </c>
      <c r="AN238" s="27" t="str">
        <f>VLOOKUP($A238,'[1]Raw Data'!$A$3:$FB$285,51,FALSE)</f>
        <v/>
      </c>
      <c r="AO238" s="27" t="str">
        <f>VLOOKUP($A238,'[1]Raw Data'!$A$3:$FB$285,52,FALSE)</f>
        <v/>
      </c>
      <c r="AP238" s="27">
        <f>VLOOKUP($A238,'[1]Raw Data'!$A$3:$FB$285,53,FALSE)</f>
        <v>41</v>
      </c>
      <c r="AQ238" s="27" t="str">
        <f>VLOOKUP($A238,'[1]Raw Data'!$A$3:$FB$285,54,FALSE)</f>
        <v/>
      </c>
      <c r="AR238" s="27" t="str">
        <f>VLOOKUP($A238,'[1]Raw Data'!$A$3:$FB$285,55,FALSE)</f>
        <v/>
      </c>
      <c r="AS238" s="27" t="str">
        <f>VLOOKUP($A238,'[1]Raw Data'!$A$3:$FB$285,56,FALSE)</f>
        <v/>
      </c>
      <c r="AT238" s="27" t="str">
        <f>VLOOKUP($A238,'[1]Raw Data'!$A$3:$FB$285,57,FALSE)</f>
        <v/>
      </c>
      <c r="AU238" s="27" t="str">
        <f>VLOOKUP($A238,'[1]Raw Data'!$A$3:$FB$285,58,FALSE)</f>
        <v/>
      </c>
      <c r="AV238" s="27" t="str">
        <f>VLOOKUP($A238,'[1]Raw Data'!$A$3:$FB$285,59,FALSE)</f>
        <v/>
      </c>
      <c r="AW238" s="27" t="str">
        <f>VLOOKUP($A238,'[1]Raw Data'!$A$3:$FB$285,60,FALSE)</f>
        <v/>
      </c>
      <c r="AX238" s="27" t="str">
        <f>VLOOKUP(A238,'[1]PO''s List'!A236:E518,4,FALSE)</f>
        <v/>
      </c>
      <c r="AZ238" s="27" t="str">
        <f>VLOOKUP(A238,'[1]PO''s List'!$A$3:$E$285,5,FALSE)</f>
        <v/>
      </c>
      <c r="BB238" s="27">
        <f>VLOOKUP($A238,'[1]Raw Data'!$A$3:$FB$285,63,FALSE)</f>
        <v>5111</v>
      </c>
      <c r="BC238" s="27" t="str">
        <f>VLOOKUP($A238,'[1]Raw Data'!$A$3:$FB$285,64,FALSE)</f>
        <v/>
      </c>
      <c r="BD238" s="27" t="str">
        <f t="shared" si="27"/>
        <v/>
      </c>
      <c r="BE238" s="27" t="str">
        <f>VLOOKUP($A238,'[1]Raw Data'!$A$3:$FB$285,65,FALSE)</f>
        <v/>
      </c>
      <c r="BF238" s="27">
        <f>VLOOKUP($A238,'[1]Raw Data'!$A$3:$FB$285,66,FALSE)</f>
        <v>5196</v>
      </c>
      <c r="BG238" s="27" t="str">
        <f>VLOOKUP($A238,'[1]Raw Data'!$A$3:$FB$285,67,FALSE)</f>
        <v/>
      </c>
      <c r="BH238" s="27" t="str">
        <f t="shared" si="28"/>
        <v/>
      </c>
      <c r="BI238" s="27" t="str">
        <f>VLOOKUP($A238,'[1]Raw Data'!$A$3:$FB$285,68,FALSE)</f>
        <v/>
      </c>
      <c r="BJ238" s="27">
        <f>VLOOKUP($A238,'[1]Raw Data'!$A$3:$FB$285,69,FALSE)</f>
        <v>546</v>
      </c>
      <c r="BK238" s="27" t="str">
        <f>VLOOKUP($A238,'[1]Raw Data'!$A$3:$FB$285,70,FALSE)</f>
        <v/>
      </c>
      <c r="BL238" s="27" t="str">
        <f t="shared" si="29"/>
        <v/>
      </c>
      <c r="BM238" s="27" t="str">
        <f>VLOOKUP($A238,'[1]Raw Data'!$A$3:$FB$285,71,FALSE)</f>
        <v/>
      </c>
      <c r="BN238" s="27">
        <f>VLOOKUP($A238,'[1]Raw Data'!$A$3:$FB$285,72,FALSE)</f>
        <v>629</v>
      </c>
      <c r="BO238" s="27" t="str">
        <f>VLOOKUP($A238,'[1]Raw Data'!$A$3:$FB$285,73,FALSE)</f>
        <v/>
      </c>
      <c r="BP238" s="27" t="str">
        <f t="shared" si="30"/>
        <v/>
      </c>
      <c r="BQ238" s="27" t="str">
        <f>VLOOKUP($A238,'[1]Raw Data'!$A$3:$FB$285,74,FALSE)</f>
        <v/>
      </c>
      <c r="BR238" s="27" t="str">
        <f>VLOOKUP($A238,'[1]Raw Data'!$A$3:$FB$285,75,FALSE)</f>
        <v/>
      </c>
      <c r="BS238" s="27" t="str">
        <f>VLOOKUP($A238,'[1]Raw Data'!$A$3:$FB$285,76,FALSE)</f>
        <v/>
      </c>
      <c r="BT238" s="27" t="str">
        <f t="shared" si="31"/>
        <v/>
      </c>
      <c r="BU238" s="27" t="str">
        <f>VLOOKUP($A238,'[1]Raw Data'!$A$3:$FB$285,77,FALSE)</f>
        <v/>
      </c>
      <c r="BV238" s="27">
        <f>VLOOKUP($A238,'[1]Raw Data'!$A$3:$FB$285,78,FALSE)</f>
        <v>17398</v>
      </c>
      <c r="BW238" s="27" t="str">
        <f>VLOOKUP($A238,'[1]Raw Data'!$A$3:$FB$285,79,FALSE)</f>
        <v/>
      </c>
      <c r="BX238" s="27" t="str">
        <f t="shared" si="32"/>
        <v/>
      </c>
      <c r="BY238" s="27" t="str">
        <f>VLOOKUP($A238,'[1]Raw Data'!$A$3:$FB$285,80,FALSE)</f>
        <v/>
      </c>
      <c r="BZ238" s="27">
        <f>VLOOKUP($A238,'[1]Raw Data'!$A$3:$FB$285,81,FALSE)</f>
        <v>55702</v>
      </c>
      <c r="CA238" s="27" t="str">
        <f>VLOOKUP($A238,'[1]Raw Data'!$A$3:$FB$285,82,FALSE)</f>
        <v/>
      </c>
      <c r="CB238" s="27" t="str">
        <f t="shared" si="33"/>
        <v/>
      </c>
      <c r="CC238" s="27" t="str">
        <f>VLOOKUP($A238,'[1]Raw Data'!$A$3:$FB$285,83,FALSE)</f>
        <v/>
      </c>
      <c r="CD238" s="27">
        <f>VLOOKUP($A238,'[1]Raw Data'!$A$3:$FB$285,84,FALSE)</f>
        <v>712</v>
      </c>
      <c r="CE238" s="27" t="str">
        <f>VLOOKUP($A238,'[1]Raw Data'!$A$3:$FB$285,85,FALSE)</f>
        <v/>
      </c>
      <c r="CF238" s="27" t="str">
        <f t="shared" si="34"/>
        <v/>
      </c>
      <c r="CG238" s="27" t="str">
        <f>VLOOKUP($A238,'[1]Raw Data'!$A$3:$FB$285,86,FALSE)</f>
        <v/>
      </c>
      <c r="CH238" s="27">
        <f>VLOOKUP($A238,'[1]Raw Data'!$A$3:$FB$285,87,FALSE)</f>
        <v>80458</v>
      </c>
      <c r="CI238" s="27" t="str">
        <f>VLOOKUP($A238,'[1]Raw Data'!$A$3:$FB$285,88,FALSE)</f>
        <v/>
      </c>
      <c r="CJ238" s="27" t="str">
        <f t="shared" si="35"/>
        <v/>
      </c>
      <c r="CK238" s="27" t="str">
        <f>VLOOKUP($A238,'[1]Raw Data'!$A$3:$FB$285,89,FALSE)</f>
        <v/>
      </c>
      <c r="CL238" s="27" t="str">
        <f>VLOOKUP($A238,'[1]Raw Data'!$A$3:$FB$285,91,FALSE)</f>
        <v/>
      </c>
      <c r="CM238" s="27" t="str">
        <f>VLOOKUP($A238,'[1]Raw Data'!$A$3:$FB$285,93,FALSE)</f>
        <v/>
      </c>
      <c r="CN238" s="27" t="str">
        <f>VLOOKUP($A238,'[1]Raw Data'!$A$3:$FB$285,94,FALSE)</f>
        <v/>
      </c>
      <c r="CO238" s="27" t="str">
        <f>VLOOKUP($A238,'[1]Raw Data'!$A$3:$FB$285,95,FALSE)</f>
        <v/>
      </c>
      <c r="CP238" s="27" t="str">
        <f>VLOOKUP($A238,'[1]Raw Data'!$A$3:$FB$285,96,FALSE)</f>
        <v/>
      </c>
      <c r="CQ238" s="27" t="str">
        <f>VLOOKUP($A238,'[1]Raw Data'!$A$3:$FB$285,97,FALSE)</f>
        <v/>
      </c>
      <c r="CR238" s="27" t="str">
        <f>VLOOKUP($A238,'[1]Raw Data'!$A$3:$FB$285,98,FALSE)</f>
        <v/>
      </c>
      <c r="CS238" s="27" t="str">
        <f>VLOOKUP($A238,'[1]Raw Data'!$A$3:$FB$285,99,FALSE)</f>
        <v/>
      </c>
      <c r="CT238" s="27" t="str">
        <f>VLOOKUP($A238,'[1]Raw Data'!$A$3:$FB$285,101,FALSE)</f>
        <v/>
      </c>
      <c r="CV238" s="27" t="str">
        <f>VLOOKUP($A238,'[1]Raw Data'!$A$3:$FB$285,102,FALSE)</f>
        <v>Mayor</v>
      </c>
      <c r="CW238" s="27" t="s">
        <v>834</v>
      </c>
      <c r="CX238" s="27" t="str">
        <f>VLOOKUP($A238,'[1]Raw Data'!$A$3:$FB$285,103,FALSE)</f>
        <v/>
      </c>
      <c r="CY238" s="27" t="str">
        <f>VLOOKUP($A238,'[1]Raw Data'!$A$3:$FB$285,105,FALSE)</f>
        <v/>
      </c>
      <c r="DA238" s="27" t="str">
        <f>VLOOKUP($A238,'[1]Raw Data'!$A$3:$FB$285,106,FALSE)</f>
        <v>Deputy Mayor</v>
      </c>
      <c r="DB238" s="27" t="s">
        <v>888</v>
      </c>
      <c r="DC238" s="27" t="str">
        <f>VLOOKUP($A238,'[1]Raw Data'!$A$3:$FB$285,107,FALSE)</f>
        <v/>
      </c>
      <c r="DD238" s="27" t="str">
        <f>VLOOKUP($A238,'[1]Raw Data'!$A$3:$FB$285,109,FALSE)</f>
        <v/>
      </c>
      <c r="DF238" s="27" t="str">
        <f>VLOOKUP($A238,'[1]Raw Data'!$A$3:$FB$285,110,FALSE)</f>
        <v>Chief Adminstration Officer</v>
      </c>
      <c r="DG238" s="27" t="s">
        <v>880</v>
      </c>
      <c r="DH238" s="27" t="str">
        <f>VLOOKUP($A238,'[1]Raw Data'!$A$3:$FB$285,111,FALSE)</f>
        <v/>
      </c>
      <c r="DI238" s="27" t="str">
        <f>VLOOKUP($A238,'[1]Raw Data'!$A$3:$FB$285,121,FALSE)</f>
        <v/>
      </c>
      <c r="DK238" s="27" t="str">
        <f>VLOOKUP($A238,'[1]Raw Data'!$A$3:$FB$285,122,FALSE)</f>
        <v>Focal Person</v>
      </c>
      <c r="DL238" s="27" t="s">
        <v>881</v>
      </c>
      <c r="DM238" s="27" t="str">
        <f>VLOOKUP($A238,'[1]Raw Data'!$A$3:$FB$285,123,FALSE)</f>
        <v/>
      </c>
      <c r="DN238" s="27" t="str">
        <f>VLOOKUP($A238,'[1]Raw Data'!$A$3:$FB$285,113,FALSE)</f>
        <v/>
      </c>
      <c r="DP238" s="27" t="str">
        <f>VLOOKUP($A238,'[1]Raw Data'!$A$3:$FB$285,114,FALSE)</f>
        <v>NRA Chief-District</v>
      </c>
      <c r="DQ238" s="27" t="s">
        <v>882</v>
      </c>
      <c r="DR238" s="27" t="str">
        <f>VLOOKUP($A238,'[1]Raw Data'!$A$3:$FB$285,115,FALSE)</f>
        <v/>
      </c>
      <c r="DS238" s="27" t="str">
        <f>VLOOKUP($A238,'[1]Raw Data'!$A$3:$FB$285,117,FALSE)</f>
        <v/>
      </c>
      <c r="DU238" s="27" t="str">
        <f>VLOOKUP($A238,'[1]Raw Data'!$A$3:$FB$285,118,FALSE)</f>
        <v>DUDBC.DLPIU Chief</v>
      </c>
      <c r="DV238" s="27" t="s">
        <v>883</v>
      </c>
      <c r="DW238" s="27" t="str">
        <f>VLOOKUP($A238,'[1]Raw Data'!$A$3:$FB$285,119,FALSE)</f>
        <v/>
      </c>
      <c r="DX238" s="27" t="s">
        <v>339</v>
      </c>
      <c r="DY238" s="27" t="str">
        <f>VLOOKUP($A238,'[1]Raw Data'!$A$3:$FB$285,124,FALSE)</f>
        <v/>
      </c>
      <c r="DZ238" s="27" t="s">
        <v>884</v>
      </c>
      <c r="EA238" s="27" t="str">
        <f>VLOOKUP($A238,'[1]Raw Data'!$A$3:$FB$285,125,FALSE)</f>
        <v/>
      </c>
      <c r="EB238" s="27" t="s">
        <v>341</v>
      </c>
      <c r="EC238" s="27" t="str">
        <f>VLOOKUP($A238,'[1]Raw Data'!$A$3:$FB$285,126,FALSE)</f>
        <v/>
      </c>
      <c r="ED238" t="s">
        <v>478</v>
      </c>
      <c r="EE238" s="27" t="str">
        <f>VLOOKUP($A238,'[1]Raw Data'!$A$3:$FB$285,127,FALSE)</f>
        <v/>
      </c>
      <c r="EF238" s="27" t="s">
        <v>343</v>
      </c>
      <c r="EG238" s="27" t="str">
        <f>VLOOKUP($A238,'[1]Raw Data'!$A$3:$FB$285,128,FALSE)</f>
        <v/>
      </c>
      <c r="EH238" t="s">
        <v>344</v>
      </c>
      <c r="EI238" s="27" t="str">
        <f>VLOOKUP($A238,'[1]Raw Data'!$A$3:$FB$285,129,FALSE)</f>
        <v/>
      </c>
      <c r="EM238" s="27" t="str">
        <f>VLOOKUP($A238,'[1]Raw Data'!$A$3:$FB$285,130,FALSE)</f>
        <v/>
      </c>
      <c r="EN238" s="27" t="str">
        <f>VLOOKUP($A238,'[1]Raw Data'!$A$3:$FB$285,131,FALSE)</f>
        <v/>
      </c>
      <c r="EO238" s="27" t="str">
        <f>VLOOKUP($A238,'[1]Raw Data'!$A$3:$FB$285,132,FALSE)</f>
        <v/>
      </c>
      <c r="EP238" s="27" t="str">
        <f>VLOOKUP($A238,'[1]Raw Data'!$A$3:$FB$285,133,FALSE)</f>
        <v/>
      </c>
      <c r="EQ238" s="27" t="str">
        <f>VLOOKUP($A238,'[1]Raw Data'!$A$3:$FB$285,134,FALSE)</f>
        <v/>
      </c>
      <c r="ER238" s="27" t="str">
        <f>VLOOKUP($A238,'[1]Raw Data'!$A$3:$FB$285,135,FALSE)</f>
        <v/>
      </c>
      <c r="ES238" s="27" t="str">
        <f>VLOOKUP($A238,'[1]Raw Data'!$A$3:$FB$285,136,FALSE)</f>
        <v/>
      </c>
      <c r="ET238" s="27" t="str">
        <f>VLOOKUP($A238,'[1]Raw Data'!$A$3:$FB$285,137,FALSE)</f>
        <v/>
      </c>
      <c r="EU238" s="27" t="str">
        <f>VLOOKUP($A238,'[1]Raw Data'!$A$3:$FB$285,138,FALSE)</f>
        <v/>
      </c>
      <c r="EV238" s="27" t="str">
        <f>VLOOKUP($A238,'[1]Raw Data'!$A$3:$FB$285,139,FALSE)</f>
        <v/>
      </c>
      <c r="EW238" s="38">
        <f>VLOOKUP($A238,[1]Training!$A$2:$I$284,5,FALSE)</f>
        <v>29.923076923076923</v>
      </c>
      <c r="EX238" s="31">
        <f>VLOOKUP($A238,[1]Training!$A$2:$I$284,6,FALSE)</f>
        <v>49</v>
      </c>
      <c r="EY238" s="38">
        <f>VLOOKUP($A238,[1]Training!$A$2:$I$284,8,FALSE)</f>
        <v>35.363636363636367</v>
      </c>
      <c r="EZ238" s="31">
        <f>VLOOKUP($A238,[1]Training!$A$2:$I$284,9,FALSE)</f>
        <v>0</v>
      </c>
      <c r="FA238" s="27">
        <v>1</v>
      </c>
      <c r="FB238" s="27">
        <v>2</v>
      </c>
      <c r="FC238" s="27" t="str">
        <f>VLOOKUP($A238,'[1]Raw Data'!$A$3:$FB$285,148,FALSE)</f>
        <v/>
      </c>
      <c r="FE238" s="27" t="str">
        <f>VLOOKUP($A238,'[1]Raw Data'!$A$3:$FB$285,149,FALSE)</f>
        <v>District Coordinator</v>
      </c>
      <c r="FF238" s="27" t="s">
        <v>885</v>
      </c>
      <c r="FG238" s="27" t="str">
        <f>VLOOKUP($A238,'[1]Raw Data'!$A$3:$FB$285,150,FALSE)</f>
        <v/>
      </c>
      <c r="FH238" s="27" t="str">
        <f>VLOOKUP($A238,'[1]Raw Data'!$A$3:$FB$285,156,FALSE)</f>
        <v/>
      </c>
      <c r="FJ238" s="27" t="str">
        <f>VLOOKUP($A238,'[1]Raw Data'!$A$3:$FB$285,157,FALSE)</f>
        <v>District Technical Officer</v>
      </c>
      <c r="FK238" s="27" t="s">
        <v>886</v>
      </c>
      <c r="FL238" s="27" t="str">
        <f>VLOOKUP($A238,'[1]Raw Data'!$A$3:$FB$285,158,FALSE)</f>
        <v/>
      </c>
      <c r="FM238" s="27" t="str">
        <f>VLOOKUP($A238,'[1]Raw Data'!$A$3:$FB$285,152,FALSE)</f>
        <v/>
      </c>
      <c r="FO238" s="27" t="str">
        <f>VLOOKUP($A238,'[1]Raw Data'!$A$3:$FB$285,153,FALSE)</f>
        <v>DIstrict Information Management Officer</v>
      </c>
      <c r="FP238" s="27" t="s">
        <v>887</v>
      </c>
      <c r="FQ238" s="27" t="str">
        <f>VLOOKUP($A238,'[1]Raw Data'!$A$3:$FB$285,154,FALSE)</f>
        <v/>
      </c>
    </row>
    <row r="239" spans="1:173" ht="24" x14ac:dyDescent="0.45">
      <c r="A239" s="27">
        <v>45006</v>
      </c>
      <c r="B239" s="36" t="str">
        <f ca="1">IFERROR(__xludf.DUMMYFUNCTION("""COMPUTED_VALUE"""),"Jaimuni Nagarpalika")</f>
        <v>Jaimuni Nagarpalika</v>
      </c>
      <c r="C239" s="37" t="str">
        <f>VLOOKUP(A239,'[1]Palika and District in Nepali '!$D$1:$F$283,3,FALSE)</f>
        <v>जयमुनि नगरपालिका</v>
      </c>
      <c r="D239" s="36" t="str">
        <f ca="1">IFERROR(__xludf.DUMMYFUNCTION("""COMPUTED_VALUE"""),"Baglung")</f>
        <v>Baglung</v>
      </c>
      <c r="E239" s="36"/>
      <c r="F239" s="27">
        <f>VLOOKUP(A239,'[1]Raw Data'!$A$3:$FB$285,4,FALSE)</f>
        <v>52</v>
      </c>
      <c r="G239" s="27">
        <f>VLOOKUP(A239,'[1]Raw Data'!$A$3:$FB$285,5,FALSE)</f>
        <v>678</v>
      </c>
      <c r="H239" s="27">
        <f>VLOOKUP(A239,'[1]Raw Data'!$A$3:$FB$285,6,FALSE)</f>
        <v>730</v>
      </c>
      <c r="I239" s="27">
        <f>VLOOKUP($A239,'[1]Raw Data'!$A$3:$FB$285,8,FALSE)</f>
        <v>0</v>
      </c>
      <c r="J239" s="27">
        <f>VLOOKUP($A239,'[1]Raw Data'!$A$3:$FB$285,9,FALSE)</f>
        <v>1.27</v>
      </c>
      <c r="K239" s="27">
        <f>VLOOKUP($A239,'[1]Raw Data'!$A$3:$FB$285,11,FALSE)</f>
        <v>99.04</v>
      </c>
      <c r="L239" s="27">
        <f>VLOOKUP($A239,'[1]Raw Data'!$A$3:$FB$285,12,FALSE)</f>
        <v>87.91</v>
      </c>
      <c r="M239" s="27">
        <f>VLOOKUP($A239,'[1]Raw Data'!$A$3:$FB$285,14,FALSE)</f>
        <v>0</v>
      </c>
      <c r="N239" s="27">
        <f>VLOOKUP($A239,'[1]Raw Data'!$A$3:$FB$285,15,FALSE)</f>
        <v>0.68</v>
      </c>
      <c r="O239" s="27">
        <f>VLOOKUP($A239,'[1]Raw Data'!$A$3:$FB$285,17,FALSE)</f>
        <v>0</v>
      </c>
      <c r="P239" s="27">
        <f>VLOOKUP($A239,'[1]Raw Data'!$A$3:$FB$285,18,FALSE)</f>
        <v>2.63</v>
      </c>
      <c r="Q239" s="27">
        <f>VLOOKUP($A239,'[1]Raw Data'!$A$3:$FB$285,20,FALSE)</f>
        <v>0</v>
      </c>
      <c r="R239" s="27">
        <f>VLOOKUP($A239,'[1]Raw Data'!$A$3:$FB$285,21,FALSE)</f>
        <v>2.57</v>
      </c>
      <c r="S239" s="27">
        <f>VLOOKUP($A239,'[1]Raw Data'!$A$3:$FB$285,23,FALSE)</f>
        <v>0</v>
      </c>
      <c r="T239" s="27">
        <f>VLOOKUP($A239,'[1]Raw Data'!$A$3:$FB$285,24,FALSE)</f>
        <v>0</v>
      </c>
      <c r="U239" s="27">
        <f>VLOOKUP($A239,'[1]Raw Data'!$A$3:$FB$285,26,FALSE)</f>
        <v>0.14000000000000001</v>
      </c>
      <c r="V239" s="27">
        <f>VLOOKUP($A239,'[1]Raw Data'!$A$3:$FB$285,27,FALSE)</f>
        <v>0.05</v>
      </c>
      <c r="W239" s="27">
        <f>VLOOKUP($A239,'[1]Raw Data'!$A$3:$FB$285,29,FALSE)</f>
        <v>0</v>
      </c>
      <c r="X239" s="27">
        <f>VLOOKUP($A239,'[1]Raw Data'!$A$3:$FB$285,30,FALSE)</f>
        <v>0</v>
      </c>
      <c r="Y239" s="27">
        <f>VLOOKUP($A239,'[1]Raw Data'!$A$3:$FB$285,32,FALSE)</f>
        <v>0</v>
      </c>
      <c r="Z239" s="27">
        <f>VLOOKUP($A239,'[1]Raw Data'!$A$3:$FB$285,33,FALSE)</f>
        <v>0.13</v>
      </c>
      <c r="AA239" s="27">
        <f>VLOOKUP($A239,'[1]Raw Data'!$A$3:$FB$285,35,FALSE)</f>
        <v>0.82</v>
      </c>
      <c r="AB239" s="27">
        <f>VLOOKUP($A239,'[1]Raw Data'!$A$3:$FB$285,36,FALSE)</f>
        <v>4.76</v>
      </c>
      <c r="AC239" s="27">
        <f>VLOOKUP($A239,'[1]Raw Data'!$A$3:$FB$285,38,FALSE)</f>
        <v>0</v>
      </c>
      <c r="AD239" s="27">
        <f>VLOOKUP($A239,'[1]Raw Data'!$A$3:$FB$285,39,FALSE)</f>
        <v>0</v>
      </c>
      <c r="AE239" s="27">
        <f>VLOOKUP($A239,'[1]Raw Data'!$A$3:$FB$285,41,FALSE)</f>
        <v>0</v>
      </c>
      <c r="AF239" s="27">
        <f>VLOOKUP($A239,'[1]Raw Data'!$A$3:$FB$285,42,FALSE)</f>
        <v>0</v>
      </c>
      <c r="AG239" s="27">
        <f>VLOOKUP($A239,'[1]Raw Data'!$A$3:$FB$285,44,FALSE)</f>
        <v>0</v>
      </c>
      <c r="AH239" s="27">
        <f>VLOOKUP($A239,'[1]Raw Data'!$A$3:$FB$285,45,FALSE)</f>
        <v>0</v>
      </c>
      <c r="AI239" s="27">
        <f>VLOOKUP($A239,'[1]Raw Data'!$A$3:$FB$285,46,FALSE)</f>
        <v>654</v>
      </c>
      <c r="AJ239" s="27">
        <f>VLOOKUP($A239,'[1]Raw Data'!$A$3:$FB$285,47,FALSE)</f>
        <v>331</v>
      </c>
      <c r="AK239" s="27">
        <f>VLOOKUP($A239,'[1]Raw Data'!$A$3:$FB$285,48,FALSE)</f>
        <v>331</v>
      </c>
      <c r="AL239" s="27">
        <f>VLOOKUP($A239,'[1]Raw Data'!$A$3:$FB$285,49,FALSE)</f>
        <v>102</v>
      </c>
      <c r="AM239" s="27">
        <f>VLOOKUP($A239,'[1]Raw Data'!$A$3:$FB$285,50,FALSE)</f>
        <v>0</v>
      </c>
      <c r="AN239" s="27" t="str">
        <f>VLOOKUP($A239,'[1]Raw Data'!$A$3:$FB$285,51,FALSE)</f>
        <v/>
      </c>
      <c r="AO239" s="27" t="str">
        <f>VLOOKUP($A239,'[1]Raw Data'!$A$3:$FB$285,52,FALSE)</f>
        <v/>
      </c>
      <c r="AP239" s="27">
        <f>VLOOKUP($A239,'[1]Raw Data'!$A$3:$FB$285,53,FALSE)</f>
        <v>20</v>
      </c>
      <c r="AQ239" s="27" t="str">
        <f>VLOOKUP($A239,'[1]Raw Data'!$A$3:$FB$285,54,FALSE)</f>
        <v/>
      </c>
      <c r="AR239" s="27" t="str">
        <f>VLOOKUP($A239,'[1]Raw Data'!$A$3:$FB$285,55,FALSE)</f>
        <v/>
      </c>
      <c r="AS239" s="27" t="str">
        <f>VLOOKUP($A239,'[1]Raw Data'!$A$3:$FB$285,56,FALSE)</f>
        <v/>
      </c>
      <c r="AT239" s="27" t="str">
        <f>VLOOKUP($A239,'[1]Raw Data'!$A$3:$FB$285,57,FALSE)</f>
        <v/>
      </c>
      <c r="AU239" s="27" t="str">
        <f>VLOOKUP($A239,'[1]Raw Data'!$A$3:$FB$285,58,FALSE)</f>
        <v/>
      </c>
      <c r="AV239" s="27" t="str">
        <f>VLOOKUP($A239,'[1]Raw Data'!$A$3:$FB$285,59,FALSE)</f>
        <v/>
      </c>
      <c r="AW239" s="27" t="str">
        <f>VLOOKUP($A239,'[1]Raw Data'!$A$3:$FB$285,60,FALSE)</f>
        <v/>
      </c>
      <c r="AX239" s="27" t="str">
        <f>VLOOKUP(A239,'[1]PO''s List'!A237:E519,4,FALSE)</f>
        <v/>
      </c>
      <c r="AZ239" s="27" t="str">
        <f>VLOOKUP(A239,'[1]PO''s List'!$A$3:$E$285,5,FALSE)</f>
        <v/>
      </c>
      <c r="BB239" s="27">
        <f>VLOOKUP($A239,'[1]Raw Data'!$A$3:$FB$285,63,FALSE)</f>
        <v>9601</v>
      </c>
      <c r="BC239" s="27" t="str">
        <f>VLOOKUP($A239,'[1]Raw Data'!$A$3:$FB$285,64,FALSE)</f>
        <v/>
      </c>
      <c r="BD239" s="27" t="str">
        <f t="shared" si="27"/>
        <v/>
      </c>
      <c r="BE239" s="27" t="str">
        <f>VLOOKUP($A239,'[1]Raw Data'!$A$3:$FB$285,65,FALSE)</f>
        <v/>
      </c>
      <c r="BF239" s="27">
        <f>VLOOKUP($A239,'[1]Raw Data'!$A$3:$FB$285,66,FALSE)</f>
        <v>9552</v>
      </c>
      <c r="BG239" s="27" t="str">
        <f>VLOOKUP($A239,'[1]Raw Data'!$A$3:$FB$285,67,FALSE)</f>
        <v/>
      </c>
      <c r="BH239" s="27" t="str">
        <f t="shared" si="28"/>
        <v/>
      </c>
      <c r="BI239" s="27" t="str">
        <f>VLOOKUP($A239,'[1]Raw Data'!$A$3:$FB$285,68,FALSE)</f>
        <v/>
      </c>
      <c r="BJ239" s="27">
        <f>VLOOKUP($A239,'[1]Raw Data'!$A$3:$FB$285,69,FALSE)</f>
        <v>1023</v>
      </c>
      <c r="BK239" s="27" t="str">
        <f>VLOOKUP($A239,'[1]Raw Data'!$A$3:$FB$285,70,FALSE)</f>
        <v/>
      </c>
      <c r="BL239" s="27" t="str">
        <f t="shared" si="29"/>
        <v/>
      </c>
      <c r="BM239" s="27" t="str">
        <f>VLOOKUP($A239,'[1]Raw Data'!$A$3:$FB$285,71,FALSE)</f>
        <v/>
      </c>
      <c r="BN239" s="27">
        <f>VLOOKUP($A239,'[1]Raw Data'!$A$3:$FB$285,72,FALSE)</f>
        <v>1174</v>
      </c>
      <c r="BO239" s="27" t="str">
        <f>VLOOKUP($A239,'[1]Raw Data'!$A$3:$FB$285,73,FALSE)</f>
        <v/>
      </c>
      <c r="BP239" s="27" t="str">
        <f t="shared" si="30"/>
        <v/>
      </c>
      <c r="BQ239" s="27" t="str">
        <f>VLOOKUP($A239,'[1]Raw Data'!$A$3:$FB$285,74,FALSE)</f>
        <v/>
      </c>
      <c r="BR239" s="27" t="str">
        <f>VLOOKUP($A239,'[1]Raw Data'!$A$3:$FB$285,75,FALSE)</f>
        <v/>
      </c>
      <c r="BS239" s="27" t="str">
        <f>VLOOKUP($A239,'[1]Raw Data'!$A$3:$FB$285,76,FALSE)</f>
        <v/>
      </c>
      <c r="BT239" s="27" t="str">
        <f t="shared" si="31"/>
        <v/>
      </c>
      <c r="BU239" s="27" t="str">
        <f>VLOOKUP($A239,'[1]Raw Data'!$A$3:$FB$285,77,FALSE)</f>
        <v/>
      </c>
      <c r="BV239" s="27">
        <f>VLOOKUP($A239,'[1]Raw Data'!$A$3:$FB$285,78,FALSE)</f>
        <v>32317</v>
      </c>
      <c r="BW239" s="27" t="str">
        <f>VLOOKUP($A239,'[1]Raw Data'!$A$3:$FB$285,79,FALSE)</f>
        <v/>
      </c>
      <c r="BX239" s="27" t="str">
        <f t="shared" si="32"/>
        <v/>
      </c>
      <c r="BY239" s="27" t="str">
        <f>VLOOKUP($A239,'[1]Raw Data'!$A$3:$FB$285,80,FALSE)</f>
        <v/>
      </c>
      <c r="BZ239" s="27">
        <f>VLOOKUP($A239,'[1]Raw Data'!$A$3:$FB$285,81,FALSE)</f>
        <v>105354</v>
      </c>
      <c r="CA239" s="27" t="str">
        <f>VLOOKUP($A239,'[1]Raw Data'!$A$3:$FB$285,82,FALSE)</f>
        <v/>
      </c>
      <c r="CB239" s="27" t="str">
        <f t="shared" si="33"/>
        <v/>
      </c>
      <c r="CC239" s="27" t="str">
        <f>VLOOKUP($A239,'[1]Raw Data'!$A$3:$FB$285,83,FALSE)</f>
        <v/>
      </c>
      <c r="CD239" s="27">
        <f>VLOOKUP($A239,'[1]Raw Data'!$A$3:$FB$285,84,FALSE)</f>
        <v>1324</v>
      </c>
      <c r="CE239" s="27" t="str">
        <f>VLOOKUP($A239,'[1]Raw Data'!$A$3:$FB$285,85,FALSE)</f>
        <v/>
      </c>
      <c r="CF239" s="27" t="str">
        <f t="shared" si="34"/>
        <v/>
      </c>
      <c r="CG239" s="27" t="str">
        <f>VLOOKUP($A239,'[1]Raw Data'!$A$3:$FB$285,86,FALSE)</f>
        <v/>
      </c>
      <c r="CH239" s="27">
        <f>VLOOKUP($A239,'[1]Raw Data'!$A$3:$FB$285,87,FALSE)</f>
        <v>211576</v>
      </c>
      <c r="CI239" s="27" t="str">
        <f>VLOOKUP($A239,'[1]Raw Data'!$A$3:$FB$285,88,FALSE)</f>
        <v/>
      </c>
      <c r="CJ239" s="27" t="str">
        <f t="shared" si="35"/>
        <v/>
      </c>
      <c r="CK239" s="27" t="str">
        <f>VLOOKUP($A239,'[1]Raw Data'!$A$3:$FB$285,89,FALSE)</f>
        <v/>
      </c>
      <c r="CL239" s="27" t="str">
        <f>VLOOKUP($A239,'[1]Raw Data'!$A$3:$FB$285,91,FALSE)</f>
        <v/>
      </c>
      <c r="CM239" s="27" t="str">
        <f>VLOOKUP($A239,'[1]Raw Data'!$A$3:$FB$285,93,FALSE)</f>
        <v/>
      </c>
      <c r="CN239" s="27" t="str">
        <f>VLOOKUP($A239,'[1]Raw Data'!$A$3:$FB$285,94,FALSE)</f>
        <v/>
      </c>
      <c r="CO239" s="27" t="str">
        <f>VLOOKUP($A239,'[1]Raw Data'!$A$3:$FB$285,95,FALSE)</f>
        <v/>
      </c>
      <c r="CP239" s="27" t="str">
        <f>VLOOKUP($A239,'[1]Raw Data'!$A$3:$FB$285,96,FALSE)</f>
        <v/>
      </c>
      <c r="CQ239" s="27" t="str">
        <f>VLOOKUP($A239,'[1]Raw Data'!$A$3:$FB$285,97,FALSE)</f>
        <v/>
      </c>
      <c r="CR239" s="27" t="str">
        <f>VLOOKUP($A239,'[1]Raw Data'!$A$3:$FB$285,98,FALSE)</f>
        <v/>
      </c>
      <c r="CS239" s="27" t="str">
        <f>VLOOKUP($A239,'[1]Raw Data'!$A$3:$FB$285,99,FALSE)</f>
        <v/>
      </c>
      <c r="CT239" s="27" t="str">
        <f>VLOOKUP($A239,'[1]Raw Data'!$A$3:$FB$285,101,FALSE)</f>
        <v/>
      </c>
      <c r="CV239" s="27" t="str">
        <f>VLOOKUP($A239,'[1]Raw Data'!$A$3:$FB$285,102,FALSE)</f>
        <v>Mayor</v>
      </c>
      <c r="CW239" s="27" t="s">
        <v>834</v>
      </c>
      <c r="CX239" s="27" t="str">
        <f>VLOOKUP($A239,'[1]Raw Data'!$A$3:$FB$285,103,FALSE)</f>
        <v/>
      </c>
      <c r="CY239" s="27" t="str">
        <f>VLOOKUP($A239,'[1]Raw Data'!$A$3:$FB$285,105,FALSE)</f>
        <v/>
      </c>
      <c r="DA239" s="27" t="str">
        <f>VLOOKUP($A239,'[1]Raw Data'!$A$3:$FB$285,106,FALSE)</f>
        <v>Deputy Mayor</v>
      </c>
      <c r="DB239" s="27" t="s">
        <v>888</v>
      </c>
      <c r="DC239" s="27" t="str">
        <f>VLOOKUP($A239,'[1]Raw Data'!$A$3:$FB$285,107,FALSE)</f>
        <v/>
      </c>
      <c r="DD239" s="27" t="str">
        <f>VLOOKUP($A239,'[1]Raw Data'!$A$3:$FB$285,109,FALSE)</f>
        <v/>
      </c>
      <c r="DF239" s="27" t="str">
        <f>VLOOKUP($A239,'[1]Raw Data'!$A$3:$FB$285,110,FALSE)</f>
        <v>Chief Adminstration Officer</v>
      </c>
      <c r="DG239" s="27" t="s">
        <v>880</v>
      </c>
      <c r="DH239" s="27" t="str">
        <f>VLOOKUP($A239,'[1]Raw Data'!$A$3:$FB$285,111,FALSE)</f>
        <v/>
      </c>
      <c r="DI239" s="27" t="str">
        <f>VLOOKUP($A239,'[1]Raw Data'!$A$3:$FB$285,121,FALSE)</f>
        <v/>
      </c>
      <c r="DK239" s="27" t="str">
        <f>VLOOKUP($A239,'[1]Raw Data'!$A$3:$FB$285,122,FALSE)</f>
        <v>Focal Person</v>
      </c>
      <c r="DL239" s="27" t="s">
        <v>881</v>
      </c>
      <c r="DM239" s="27" t="str">
        <f>VLOOKUP($A239,'[1]Raw Data'!$A$3:$FB$285,123,FALSE)</f>
        <v/>
      </c>
      <c r="DN239" s="27" t="str">
        <f>VLOOKUP($A239,'[1]Raw Data'!$A$3:$FB$285,113,FALSE)</f>
        <v/>
      </c>
      <c r="DP239" s="27" t="str">
        <f>VLOOKUP($A239,'[1]Raw Data'!$A$3:$FB$285,114,FALSE)</f>
        <v>NRA Chief-District</v>
      </c>
      <c r="DQ239" s="27" t="s">
        <v>882</v>
      </c>
      <c r="DR239" s="27" t="str">
        <f>VLOOKUP($A239,'[1]Raw Data'!$A$3:$FB$285,115,FALSE)</f>
        <v/>
      </c>
      <c r="DS239" s="27" t="str">
        <f>VLOOKUP($A239,'[1]Raw Data'!$A$3:$FB$285,117,FALSE)</f>
        <v/>
      </c>
      <c r="DU239" s="27" t="str">
        <f>VLOOKUP($A239,'[1]Raw Data'!$A$3:$FB$285,118,FALSE)</f>
        <v>DUDBC.DLPIU Chief</v>
      </c>
      <c r="DV239" s="27" t="s">
        <v>883</v>
      </c>
      <c r="DW239" s="27" t="str">
        <f>VLOOKUP($A239,'[1]Raw Data'!$A$3:$FB$285,119,FALSE)</f>
        <v/>
      </c>
      <c r="DX239" s="27" t="s">
        <v>339</v>
      </c>
      <c r="DY239" s="27" t="str">
        <f>VLOOKUP($A239,'[1]Raw Data'!$A$3:$FB$285,124,FALSE)</f>
        <v/>
      </c>
      <c r="DZ239" s="27" t="s">
        <v>884</v>
      </c>
      <c r="EA239" s="27" t="str">
        <f>VLOOKUP($A239,'[1]Raw Data'!$A$3:$FB$285,125,FALSE)</f>
        <v/>
      </c>
      <c r="EB239" s="27" t="s">
        <v>341</v>
      </c>
      <c r="EC239" s="27" t="str">
        <f>VLOOKUP($A239,'[1]Raw Data'!$A$3:$FB$285,126,FALSE)</f>
        <v/>
      </c>
      <c r="ED239" t="s">
        <v>478</v>
      </c>
      <c r="EE239" s="27" t="str">
        <f>VLOOKUP($A239,'[1]Raw Data'!$A$3:$FB$285,127,FALSE)</f>
        <v/>
      </c>
      <c r="EF239" s="27" t="s">
        <v>343</v>
      </c>
      <c r="EG239" s="27" t="str">
        <f>VLOOKUP($A239,'[1]Raw Data'!$A$3:$FB$285,128,FALSE)</f>
        <v/>
      </c>
      <c r="EH239" t="s">
        <v>344</v>
      </c>
      <c r="EI239" s="27" t="str">
        <f>VLOOKUP($A239,'[1]Raw Data'!$A$3:$FB$285,129,FALSE)</f>
        <v/>
      </c>
      <c r="EM239" s="27" t="str">
        <f>VLOOKUP($A239,'[1]Raw Data'!$A$3:$FB$285,130,FALSE)</f>
        <v/>
      </c>
      <c r="EN239" s="27" t="str">
        <f>VLOOKUP($A239,'[1]Raw Data'!$A$3:$FB$285,131,FALSE)</f>
        <v/>
      </c>
      <c r="EO239" s="27" t="str">
        <f>VLOOKUP($A239,'[1]Raw Data'!$A$3:$FB$285,132,FALSE)</f>
        <v/>
      </c>
      <c r="EP239" s="27" t="str">
        <f>VLOOKUP($A239,'[1]Raw Data'!$A$3:$FB$285,133,FALSE)</f>
        <v/>
      </c>
      <c r="EQ239" s="27" t="str">
        <f>VLOOKUP($A239,'[1]Raw Data'!$A$3:$FB$285,134,FALSE)</f>
        <v/>
      </c>
      <c r="ER239" s="27" t="str">
        <f>VLOOKUP($A239,'[1]Raw Data'!$A$3:$FB$285,135,FALSE)</f>
        <v/>
      </c>
      <c r="ES239" s="27" t="str">
        <f>VLOOKUP($A239,'[1]Raw Data'!$A$3:$FB$285,136,FALSE)</f>
        <v/>
      </c>
      <c r="ET239" s="27" t="str">
        <f>VLOOKUP($A239,'[1]Raw Data'!$A$3:$FB$285,137,FALSE)</f>
        <v/>
      </c>
      <c r="EU239" s="27" t="str">
        <f>VLOOKUP($A239,'[1]Raw Data'!$A$3:$FB$285,138,FALSE)</f>
        <v/>
      </c>
      <c r="EV239" s="27" t="str">
        <f>VLOOKUP($A239,'[1]Raw Data'!$A$3:$FB$285,139,FALSE)</f>
        <v/>
      </c>
      <c r="EW239" s="38">
        <f>VLOOKUP($A239,[1]Training!$A$2:$I$284,5,FALSE)</f>
        <v>50.307692307692307</v>
      </c>
      <c r="EX239" s="31">
        <f>VLOOKUP($A239,[1]Training!$A$2:$I$284,6,FALSE)</f>
        <v>52</v>
      </c>
      <c r="EY239" s="38">
        <f>VLOOKUP($A239,[1]Training!$A$2:$I$284,8,FALSE)</f>
        <v>59.454545454545453</v>
      </c>
      <c r="EZ239" s="31">
        <f>VLOOKUP($A239,[1]Training!$A$2:$I$284,9,FALSE)</f>
        <v>0</v>
      </c>
      <c r="FA239" s="27">
        <v>1</v>
      </c>
      <c r="FB239" s="27">
        <v>2</v>
      </c>
      <c r="FC239" s="27" t="str">
        <f>VLOOKUP($A239,'[1]Raw Data'!$A$3:$FB$285,148,FALSE)</f>
        <v/>
      </c>
      <c r="FE239" s="27" t="str">
        <f>VLOOKUP($A239,'[1]Raw Data'!$A$3:$FB$285,149,FALSE)</f>
        <v>District Coordinator</v>
      </c>
      <c r="FF239" s="27" t="s">
        <v>885</v>
      </c>
      <c r="FG239" s="27" t="str">
        <f>VLOOKUP($A239,'[1]Raw Data'!$A$3:$FB$285,150,FALSE)</f>
        <v/>
      </c>
      <c r="FH239" s="27" t="str">
        <f>VLOOKUP($A239,'[1]Raw Data'!$A$3:$FB$285,156,FALSE)</f>
        <v/>
      </c>
      <c r="FJ239" s="27" t="str">
        <f>VLOOKUP($A239,'[1]Raw Data'!$A$3:$FB$285,157,FALSE)</f>
        <v>District Technical Officer</v>
      </c>
      <c r="FK239" s="27" t="s">
        <v>886</v>
      </c>
      <c r="FL239" s="27" t="str">
        <f>VLOOKUP($A239,'[1]Raw Data'!$A$3:$FB$285,158,FALSE)</f>
        <v/>
      </c>
      <c r="FM239" s="27" t="str">
        <f>VLOOKUP($A239,'[1]Raw Data'!$A$3:$FB$285,152,FALSE)</f>
        <v/>
      </c>
      <c r="FO239" s="27" t="str">
        <f>VLOOKUP($A239,'[1]Raw Data'!$A$3:$FB$285,153,FALSE)</f>
        <v>DIstrict Information Management Officer</v>
      </c>
      <c r="FP239" s="27" t="s">
        <v>887</v>
      </c>
      <c r="FQ239" s="27" t="str">
        <f>VLOOKUP($A239,'[1]Raw Data'!$A$3:$FB$285,154,FALSE)</f>
        <v/>
      </c>
    </row>
    <row r="240" spans="1:173" ht="24" x14ac:dyDescent="0.45">
      <c r="A240" s="27">
        <v>45007</v>
      </c>
      <c r="B240" s="36" t="str">
        <f ca="1">IFERROR(__xludf.DUMMYFUNCTION("""COMPUTED_VALUE"""),"Kanthekhola Gaunpalika")</f>
        <v>Kanthekhola Gaunpalika</v>
      </c>
      <c r="C240" s="37" t="str">
        <f>VLOOKUP(A240,'[1]Palika and District in Nepali '!$D$1:$F$283,3,FALSE)</f>
        <v>काठेखोला नगरपालिका</v>
      </c>
      <c r="D240" s="36" t="str">
        <f ca="1">IFERROR(__xludf.DUMMYFUNCTION("""COMPUTED_VALUE"""),"Baglung")</f>
        <v>Baglung</v>
      </c>
      <c r="E240" s="36"/>
      <c r="F240" s="27">
        <f>VLOOKUP(A240,'[1]Raw Data'!$A$3:$FB$285,4,FALSE)</f>
        <v>270</v>
      </c>
      <c r="G240" s="27">
        <f>VLOOKUP(A240,'[1]Raw Data'!$A$3:$FB$285,5,FALSE)</f>
        <v>303</v>
      </c>
      <c r="H240" s="27">
        <f>VLOOKUP(A240,'[1]Raw Data'!$A$3:$FB$285,6,FALSE)</f>
        <v>573</v>
      </c>
      <c r="I240" s="27">
        <f>VLOOKUP($A240,'[1]Raw Data'!$A$3:$FB$285,8,FALSE)</f>
        <v>0</v>
      </c>
      <c r="J240" s="27">
        <f>VLOOKUP($A240,'[1]Raw Data'!$A$3:$FB$285,9,FALSE)</f>
        <v>1.27</v>
      </c>
      <c r="K240" s="27">
        <f>VLOOKUP($A240,'[1]Raw Data'!$A$3:$FB$285,11,FALSE)</f>
        <v>93.37</v>
      </c>
      <c r="L240" s="27">
        <f>VLOOKUP($A240,'[1]Raw Data'!$A$3:$FB$285,12,FALSE)</f>
        <v>87.91</v>
      </c>
      <c r="M240" s="27">
        <f>VLOOKUP($A240,'[1]Raw Data'!$A$3:$FB$285,14,FALSE)</f>
        <v>0</v>
      </c>
      <c r="N240" s="27">
        <f>VLOOKUP($A240,'[1]Raw Data'!$A$3:$FB$285,15,FALSE)</f>
        <v>0.68</v>
      </c>
      <c r="O240" s="27">
        <f>VLOOKUP($A240,'[1]Raw Data'!$A$3:$FB$285,17,FALSE)</f>
        <v>0</v>
      </c>
      <c r="P240" s="27">
        <f>VLOOKUP($A240,'[1]Raw Data'!$A$3:$FB$285,18,FALSE)</f>
        <v>2.63</v>
      </c>
      <c r="Q240" s="27">
        <f>VLOOKUP($A240,'[1]Raw Data'!$A$3:$FB$285,20,FALSE)</f>
        <v>0.17</v>
      </c>
      <c r="R240" s="27">
        <f>VLOOKUP($A240,'[1]Raw Data'!$A$3:$FB$285,21,FALSE)</f>
        <v>2.57</v>
      </c>
      <c r="S240" s="27">
        <f>VLOOKUP($A240,'[1]Raw Data'!$A$3:$FB$285,23,FALSE)</f>
        <v>0</v>
      </c>
      <c r="T240" s="27">
        <f>VLOOKUP($A240,'[1]Raw Data'!$A$3:$FB$285,24,FALSE)</f>
        <v>0</v>
      </c>
      <c r="U240" s="27">
        <f>VLOOKUP($A240,'[1]Raw Data'!$A$3:$FB$285,26,FALSE)</f>
        <v>0</v>
      </c>
      <c r="V240" s="27">
        <f>VLOOKUP($A240,'[1]Raw Data'!$A$3:$FB$285,27,FALSE)</f>
        <v>0.05</v>
      </c>
      <c r="W240" s="27">
        <f>VLOOKUP($A240,'[1]Raw Data'!$A$3:$FB$285,29,FALSE)</f>
        <v>0</v>
      </c>
      <c r="X240" s="27">
        <f>VLOOKUP($A240,'[1]Raw Data'!$A$3:$FB$285,30,FALSE)</f>
        <v>0</v>
      </c>
      <c r="Y240" s="27">
        <f>VLOOKUP($A240,'[1]Raw Data'!$A$3:$FB$285,32,FALSE)</f>
        <v>0</v>
      </c>
      <c r="Z240" s="27">
        <f>VLOOKUP($A240,'[1]Raw Data'!$A$3:$FB$285,33,FALSE)</f>
        <v>0.13</v>
      </c>
      <c r="AA240" s="27">
        <f>VLOOKUP($A240,'[1]Raw Data'!$A$3:$FB$285,35,FALSE)</f>
        <v>6.46</v>
      </c>
      <c r="AB240" s="27">
        <f>VLOOKUP($A240,'[1]Raw Data'!$A$3:$FB$285,36,FALSE)</f>
        <v>4.76</v>
      </c>
      <c r="AC240" s="27">
        <f>VLOOKUP($A240,'[1]Raw Data'!$A$3:$FB$285,38,FALSE)</f>
        <v>0</v>
      </c>
      <c r="AD240" s="27">
        <f>VLOOKUP($A240,'[1]Raw Data'!$A$3:$FB$285,39,FALSE)</f>
        <v>0</v>
      </c>
      <c r="AE240" s="27">
        <f>VLOOKUP($A240,'[1]Raw Data'!$A$3:$FB$285,41,FALSE)</f>
        <v>0</v>
      </c>
      <c r="AF240" s="27">
        <f>VLOOKUP($A240,'[1]Raw Data'!$A$3:$FB$285,42,FALSE)</f>
        <v>0</v>
      </c>
      <c r="AG240" s="27">
        <f>VLOOKUP($A240,'[1]Raw Data'!$A$3:$FB$285,44,FALSE)</f>
        <v>0</v>
      </c>
      <c r="AH240" s="27">
        <f>VLOOKUP($A240,'[1]Raw Data'!$A$3:$FB$285,45,FALSE)</f>
        <v>0</v>
      </c>
      <c r="AI240" s="27">
        <f>VLOOKUP($A240,'[1]Raw Data'!$A$3:$FB$285,46,FALSE)</f>
        <v>283</v>
      </c>
      <c r="AJ240" s="27">
        <f>VLOOKUP($A240,'[1]Raw Data'!$A$3:$FB$285,47,FALSE)</f>
        <v>116</v>
      </c>
      <c r="AK240" s="27">
        <f>VLOOKUP($A240,'[1]Raw Data'!$A$3:$FB$285,48,FALSE)</f>
        <v>116</v>
      </c>
      <c r="AL240" s="27">
        <f>VLOOKUP($A240,'[1]Raw Data'!$A$3:$FB$285,49,FALSE)</f>
        <v>29</v>
      </c>
      <c r="AM240" s="27">
        <f>VLOOKUP($A240,'[1]Raw Data'!$A$3:$FB$285,50,FALSE)</f>
        <v>0</v>
      </c>
      <c r="AN240" s="27" t="str">
        <f>VLOOKUP($A240,'[1]Raw Data'!$A$3:$FB$285,51,FALSE)</f>
        <v/>
      </c>
      <c r="AO240" s="27" t="str">
        <f>VLOOKUP($A240,'[1]Raw Data'!$A$3:$FB$285,52,FALSE)</f>
        <v/>
      </c>
      <c r="AP240" s="27">
        <f>VLOOKUP($A240,'[1]Raw Data'!$A$3:$FB$285,53,FALSE)</f>
        <v>19</v>
      </c>
      <c r="AQ240" s="27" t="str">
        <f>VLOOKUP($A240,'[1]Raw Data'!$A$3:$FB$285,54,FALSE)</f>
        <v/>
      </c>
      <c r="AR240" s="27" t="str">
        <f>VLOOKUP($A240,'[1]Raw Data'!$A$3:$FB$285,55,FALSE)</f>
        <v/>
      </c>
      <c r="AS240" s="27" t="str">
        <f>VLOOKUP($A240,'[1]Raw Data'!$A$3:$FB$285,56,FALSE)</f>
        <v/>
      </c>
      <c r="AT240" s="27" t="str">
        <f>VLOOKUP($A240,'[1]Raw Data'!$A$3:$FB$285,57,FALSE)</f>
        <v/>
      </c>
      <c r="AU240" s="27" t="str">
        <f>VLOOKUP($A240,'[1]Raw Data'!$A$3:$FB$285,58,FALSE)</f>
        <v/>
      </c>
      <c r="AV240" s="27" t="str">
        <f>VLOOKUP($A240,'[1]Raw Data'!$A$3:$FB$285,59,FALSE)</f>
        <v/>
      </c>
      <c r="AW240" s="27" t="str">
        <f>VLOOKUP($A240,'[1]Raw Data'!$A$3:$FB$285,60,FALSE)</f>
        <v/>
      </c>
      <c r="AX240" s="27" t="str">
        <f>VLOOKUP(A240,'[1]PO''s List'!A238:E520,4,FALSE)</f>
        <v/>
      </c>
      <c r="AZ240" s="27" t="str">
        <f>VLOOKUP(A240,'[1]PO''s List'!$A$3:$E$285,5,FALSE)</f>
        <v/>
      </c>
      <c r="BB240" s="27">
        <f>VLOOKUP($A240,'[1]Raw Data'!$A$3:$FB$285,63,FALSE)</f>
        <v>3399</v>
      </c>
      <c r="BC240" s="27" t="str">
        <f>VLOOKUP($A240,'[1]Raw Data'!$A$3:$FB$285,64,FALSE)</f>
        <v/>
      </c>
      <c r="BD240" s="27" t="str">
        <f t="shared" si="27"/>
        <v/>
      </c>
      <c r="BE240" s="27" t="str">
        <f>VLOOKUP($A240,'[1]Raw Data'!$A$3:$FB$285,65,FALSE)</f>
        <v/>
      </c>
      <c r="BF240" s="27">
        <f>VLOOKUP($A240,'[1]Raw Data'!$A$3:$FB$285,66,FALSE)</f>
        <v>3415</v>
      </c>
      <c r="BG240" s="27" t="str">
        <f>VLOOKUP($A240,'[1]Raw Data'!$A$3:$FB$285,67,FALSE)</f>
        <v/>
      </c>
      <c r="BH240" s="27" t="str">
        <f t="shared" si="28"/>
        <v/>
      </c>
      <c r="BI240" s="27" t="str">
        <f>VLOOKUP($A240,'[1]Raw Data'!$A$3:$FB$285,68,FALSE)</f>
        <v/>
      </c>
      <c r="BJ240" s="27">
        <f>VLOOKUP($A240,'[1]Raw Data'!$A$3:$FB$285,69,FALSE)</f>
        <v>362</v>
      </c>
      <c r="BK240" s="27" t="str">
        <f>VLOOKUP($A240,'[1]Raw Data'!$A$3:$FB$285,70,FALSE)</f>
        <v/>
      </c>
      <c r="BL240" s="27" t="str">
        <f t="shared" si="29"/>
        <v/>
      </c>
      <c r="BM240" s="27" t="str">
        <f>VLOOKUP($A240,'[1]Raw Data'!$A$3:$FB$285,71,FALSE)</f>
        <v/>
      </c>
      <c r="BN240" s="27">
        <f>VLOOKUP($A240,'[1]Raw Data'!$A$3:$FB$285,72,FALSE)</f>
        <v>416</v>
      </c>
      <c r="BO240" s="27" t="str">
        <f>VLOOKUP($A240,'[1]Raw Data'!$A$3:$FB$285,73,FALSE)</f>
        <v/>
      </c>
      <c r="BP240" s="27" t="str">
        <f t="shared" si="30"/>
        <v/>
      </c>
      <c r="BQ240" s="27" t="str">
        <f>VLOOKUP($A240,'[1]Raw Data'!$A$3:$FB$285,74,FALSE)</f>
        <v/>
      </c>
      <c r="BR240" s="27" t="str">
        <f>VLOOKUP($A240,'[1]Raw Data'!$A$3:$FB$285,75,FALSE)</f>
        <v/>
      </c>
      <c r="BS240" s="27" t="str">
        <f>VLOOKUP($A240,'[1]Raw Data'!$A$3:$FB$285,76,FALSE)</f>
        <v/>
      </c>
      <c r="BT240" s="27" t="str">
        <f t="shared" si="31"/>
        <v/>
      </c>
      <c r="BU240" s="27" t="str">
        <f>VLOOKUP($A240,'[1]Raw Data'!$A$3:$FB$285,77,FALSE)</f>
        <v/>
      </c>
      <c r="BV240" s="27">
        <f>VLOOKUP($A240,'[1]Raw Data'!$A$3:$FB$285,78,FALSE)</f>
        <v>11320</v>
      </c>
      <c r="BW240" s="27" t="str">
        <f>VLOOKUP($A240,'[1]Raw Data'!$A$3:$FB$285,79,FALSE)</f>
        <v/>
      </c>
      <c r="BX240" s="27" t="str">
        <f t="shared" si="32"/>
        <v/>
      </c>
      <c r="BY240" s="27" t="str">
        <f>VLOOKUP($A240,'[1]Raw Data'!$A$3:$FB$285,80,FALSE)</f>
        <v/>
      </c>
      <c r="BZ240" s="27">
        <f>VLOOKUP($A240,'[1]Raw Data'!$A$3:$FB$285,81,FALSE)</f>
        <v>36944</v>
      </c>
      <c r="CA240" s="27" t="str">
        <f>VLOOKUP($A240,'[1]Raw Data'!$A$3:$FB$285,82,FALSE)</f>
        <v/>
      </c>
      <c r="CB240" s="27" t="str">
        <f t="shared" si="33"/>
        <v/>
      </c>
      <c r="CC240" s="27" t="str">
        <f>VLOOKUP($A240,'[1]Raw Data'!$A$3:$FB$285,83,FALSE)</f>
        <v/>
      </c>
      <c r="CD240" s="27">
        <f>VLOOKUP($A240,'[1]Raw Data'!$A$3:$FB$285,84,FALSE)</f>
        <v>462</v>
      </c>
      <c r="CE240" s="27" t="str">
        <f>VLOOKUP($A240,'[1]Raw Data'!$A$3:$FB$285,85,FALSE)</f>
        <v/>
      </c>
      <c r="CF240" s="27" t="str">
        <f t="shared" si="34"/>
        <v/>
      </c>
      <c r="CG240" s="27" t="str">
        <f>VLOOKUP($A240,'[1]Raw Data'!$A$3:$FB$285,86,FALSE)</f>
        <v/>
      </c>
      <c r="CH240" s="27">
        <f>VLOOKUP($A240,'[1]Raw Data'!$A$3:$FB$285,87,FALSE)</f>
        <v>37492</v>
      </c>
      <c r="CI240" s="27" t="str">
        <f>VLOOKUP($A240,'[1]Raw Data'!$A$3:$FB$285,88,FALSE)</f>
        <v/>
      </c>
      <c r="CJ240" s="27" t="str">
        <f t="shared" si="35"/>
        <v/>
      </c>
      <c r="CK240" s="27" t="str">
        <f>VLOOKUP($A240,'[1]Raw Data'!$A$3:$FB$285,89,FALSE)</f>
        <v/>
      </c>
      <c r="CL240" s="27" t="str">
        <f>VLOOKUP($A240,'[1]Raw Data'!$A$3:$FB$285,91,FALSE)</f>
        <v/>
      </c>
      <c r="CM240" s="27" t="str">
        <f>VLOOKUP($A240,'[1]Raw Data'!$A$3:$FB$285,93,FALSE)</f>
        <v/>
      </c>
      <c r="CN240" s="27" t="str">
        <f>VLOOKUP($A240,'[1]Raw Data'!$A$3:$FB$285,94,FALSE)</f>
        <v/>
      </c>
      <c r="CO240" s="27" t="str">
        <f>VLOOKUP($A240,'[1]Raw Data'!$A$3:$FB$285,95,FALSE)</f>
        <v/>
      </c>
      <c r="CP240" s="27" t="str">
        <f>VLOOKUP($A240,'[1]Raw Data'!$A$3:$FB$285,96,FALSE)</f>
        <v/>
      </c>
      <c r="CQ240" s="27" t="str">
        <f>VLOOKUP($A240,'[1]Raw Data'!$A$3:$FB$285,97,FALSE)</f>
        <v/>
      </c>
      <c r="CR240" s="27" t="str">
        <f>VLOOKUP($A240,'[1]Raw Data'!$A$3:$FB$285,98,FALSE)</f>
        <v/>
      </c>
      <c r="CS240" s="27" t="str">
        <f>VLOOKUP($A240,'[1]Raw Data'!$A$3:$FB$285,99,FALSE)</f>
        <v/>
      </c>
      <c r="CT240" s="27" t="str">
        <f>VLOOKUP($A240,'[1]Raw Data'!$A$3:$FB$285,101,FALSE)</f>
        <v/>
      </c>
      <c r="CV240" s="27" t="str">
        <f>VLOOKUP($A240,'[1]Raw Data'!$A$3:$FB$285,102,FALSE)</f>
        <v>Chairman</v>
      </c>
      <c r="CW240" s="27" t="s">
        <v>878</v>
      </c>
      <c r="CX240" s="27" t="str">
        <f>VLOOKUP($A240,'[1]Raw Data'!$A$3:$FB$285,103,FALSE)</f>
        <v/>
      </c>
      <c r="CY240" s="27" t="str">
        <f>VLOOKUP($A240,'[1]Raw Data'!$A$3:$FB$285,105,FALSE)</f>
        <v/>
      </c>
      <c r="DA240" s="27" t="str">
        <f>VLOOKUP($A240,'[1]Raw Data'!$A$3:$FB$285,106,FALSE)</f>
        <v>Deputy Chairman</v>
      </c>
      <c r="DB240" s="27" t="s">
        <v>879</v>
      </c>
      <c r="DC240" s="27" t="str">
        <f>VLOOKUP($A240,'[1]Raw Data'!$A$3:$FB$285,107,FALSE)</f>
        <v/>
      </c>
      <c r="DD240" s="27" t="str">
        <f>VLOOKUP($A240,'[1]Raw Data'!$A$3:$FB$285,109,FALSE)</f>
        <v/>
      </c>
      <c r="DF240" s="27" t="str">
        <f>VLOOKUP($A240,'[1]Raw Data'!$A$3:$FB$285,110,FALSE)</f>
        <v>Chief Adminstration Officer</v>
      </c>
      <c r="DG240" s="27" t="s">
        <v>880</v>
      </c>
      <c r="DH240" s="27" t="str">
        <f>VLOOKUP($A240,'[1]Raw Data'!$A$3:$FB$285,111,FALSE)</f>
        <v/>
      </c>
      <c r="DI240" s="27" t="str">
        <f>VLOOKUP($A240,'[1]Raw Data'!$A$3:$FB$285,121,FALSE)</f>
        <v/>
      </c>
      <c r="DK240" s="27" t="str">
        <f>VLOOKUP($A240,'[1]Raw Data'!$A$3:$FB$285,122,FALSE)</f>
        <v>Focal Person</v>
      </c>
      <c r="DL240" s="27" t="s">
        <v>881</v>
      </c>
      <c r="DM240" s="27" t="str">
        <f>VLOOKUP($A240,'[1]Raw Data'!$A$3:$FB$285,123,FALSE)</f>
        <v/>
      </c>
      <c r="DN240" s="27" t="str">
        <f>VLOOKUP($A240,'[1]Raw Data'!$A$3:$FB$285,113,FALSE)</f>
        <v/>
      </c>
      <c r="DP240" s="27" t="str">
        <f>VLOOKUP($A240,'[1]Raw Data'!$A$3:$FB$285,114,FALSE)</f>
        <v>NRA Chief-District</v>
      </c>
      <c r="DQ240" s="27" t="s">
        <v>882</v>
      </c>
      <c r="DR240" s="27" t="str">
        <f>VLOOKUP($A240,'[1]Raw Data'!$A$3:$FB$285,115,FALSE)</f>
        <v/>
      </c>
      <c r="DS240" s="27" t="str">
        <f>VLOOKUP($A240,'[1]Raw Data'!$A$3:$FB$285,117,FALSE)</f>
        <v/>
      </c>
      <c r="DU240" s="27" t="str">
        <f>VLOOKUP($A240,'[1]Raw Data'!$A$3:$FB$285,118,FALSE)</f>
        <v>DUDBC.DLPIU Chief</v>
      </c>
      <c r="DV240" s="27" t="s">
        <v>883</v>
      </c>
      <c r="DW240" s="27" t="str">
        <f>VLOOKUP($A240,'[1]Raw Data'!$A$3:$FB$285,119,FALSE)</f>
        <v/>
      </c>
      <c r="DX240" s="27" t="s">
        <v>339</v>
      </c>
      <c r="DY240" s="27" t="str">
        <f>VLOOKUP($A240,'[1]Raw Data'!$A$3:$FB$285,124,FALSE)</f>
        <v/>
      </c>
      <c r="DZ240" s="27" t="s">
        <v>884</v>
      </c>
      <c r="EA240" s="27" t="str">
        <f>VLOOKUP($A240,'[1]Raw Data'!$A$3:$FB$285,125,FALSE)</f>
        <v/>
      </c>
      <c r="EB240" s="27" t="s">
        <v>341</v>
      </c>
      <c r="EC240" s="27" t="str">
        <f>VLOOKUP($A240,'[1]Raw Data'!$A$3:$FB$285,126,FALSE)</f>
        <v/>
      </c>
      <c r="ED240" t="s">
        <v>478</v>
      </c>
      <c r="EE240" s="27" t="str">
        <f>VLOOKUP($A240,'[1]Raw Data'!$A$3:$FB$285,127,FALSE)</f>
        <v/>
      </c>
      <c r="EF240" s="27" t="s">
        <v>343</v>
      </c>
      <c r="EG240" s="27" t="str">
        <f>VLOOKUP($A240,'[1]Raw Data'!$A$3:$FB$285,128,FALSE)</f>
        <v/>
      </c>
      <c r="EH240" t="s">
        <v>344</v>
      </c>
      <c r="EI240" s="27" t="str">
        <f>VLOOKUP($A240,'[1]Raw Data'!$A$3:$FB$285,129,FALSE)</f>
        <v/>
      </c>
      <c r="EM240" s="27" t="str">
        <f>VLOOKUP($A240,'[1]Raw Data'!$A$3:$FB$285,130,FALSE)</f>
        <v/>
      </c>
      <c r="EN240" s="27" t="str">
        <f>VLOOKUP($A240,'[1]Raw Data'!$A$3:$FB$285,131,FALSE)</f>
        <v/>
      </c>
      <c r="EO240" s="27" t="str">
        <f>VLOOKUP($A240,'[1]Raw Data'!$A$3:$FB$285,132,FALSE)</f>
        <v/>
      </c>
      <c r="EP240" s="27" t="str">
        <f>VLOOKUP($A240,'[1]Raw Data'!$A$3:$FB$285,133,FALSE)</f>
        <v/>
      </c>
      <c r="EQ240" s="27" t="str">
        <f>VLOOKUP($A240,'[1]Raw Data'!$A$3:$FB$285,134,FALSE)</f>
        <v/>
      </c>
      <c r="ER240" s="27" t="str">
        <f>VLOOKUP($A240,'[1]Raw Data'!$A$3:$FB$285,135,FALSE)</f>
        <v/>
      </c>
      <c r="ES240" s="27" t="str">
        <f>VLOOKUP($A240,'[1]Raw Data'!$A$3:$FB$285,136,FALSE)</f>
        <v/>
      </c>
      <c r="ET240" s="27" t="str">
        <f>VLOOKUP($A240,'[1]Raw Data'!$A$3:$FB$285,137,FALSE)</f>
        <v/>
      </c>
      <c r="EU240" s="27" t="str">
        <f>VLOOKUP($A240,'[1]Raw Data'!$A$3:$FB$285,138,FALSE)</f>
        <v/>
      </c>
      <c r="EV240" s="27" t="str">
        <f>VLOOKUP($A240,'[1]Raw Data'!$A$3:$FB$285,139,FALSE)</f>
        <v/>
      </c>
      <c r="EW240" s="38">
        <f>VLOOKUP($A240,[1]Training!$A$2:$I$284,5,FALSE)</f>
        <v>21.76923076923077</v>
      </c>
      <c r="EX240" s="31">
        <f>VLOOKUP($A240,[1]Training!$A$2:$I$284,6,FALSE)</f>
        <v>26</v>
      </c>
      <c r="EY240" s="38">
        <f>VLOOKUP($A240,[1]Training!$A$2:$I$284,8,FALSE)</f>
        <v>25.727272727272727</v>
      </c>
      <c r="EZ240" s="31">
        <f>VLOOKUP($A240,[1]Training!$A$2:$I$284,9,FALSE)</f>
        <v>0</v>
      </c>
      <c r="FA240" s="27">
        <v>1</v>
      </c>
      <c r="FB240" s="27">
        <v>2</v>
      </c>
      <c r="FC240" s="27" t="str">
        <f>VLOOKUP($A240,'[1]Raw Data'!$A$3:$FB$285,148,FALSE)</f>
        <v/>
      </c>
      <c r="FE240" s="27" t="str">
        <f>VLOOKUP($A240,'[1]Raw Data'!$A$3:$FB$285,149,FALSE)</f>
        <v>District Coordinator</v>
      </c>
      <c r="FF240" s="27" t="s">
        <v>885</v>
      </c>
      <c r="FG240" s="27" t="str">
        <f>VLOOKUP($A240,'[1]Raw Data'!$A$3:$FB$285,150,FALSE)</f>
        <v/>
      </c>
      <c r="FH240" s="27" t="str">
        <f>VLOOKUP($A240,'[1]Raw Data'!$A$3:$FB$285,156,FALSE)</f>
        <v/>
      </c>
      <c r="FJ240" s="27" t="str">
        <f>VLOOKUP($A240,'[1]Raw Data'!$A$3:$FB$285,157,FALSE)</f>
        <v>District Technical Officer</v>
      </c>
      <c r="FK240" s="27" t="s">
        <v>886</v>
      </c>
      <c r="FL240" s="27" t="str">
        <f>VLOOKUP($A240,'[1]Raw Data'!$A$3:$FB$285,158,FALSE)</f>
        <v/>
      </c>
      <c r="FM240" s="27" t="str">
        <f>VLOOKUP($A240,'[1]Raw Data'!$A$3:$FB$285,152,FALSE)</f>
        <v/>
      </c>
      <c r="FO240" s="27" t="str">
        <f>VLOOKUP($A240,'[1]Raw Data'!$A$3:$FB$285,153,FALSE)</f>
        <v>DIstrict Information Management Officer</v>
      </c>
      <c r="FP240" s="27" t="s">
        <v>887</v>
      </c>
      <c r="FQ240" s="27" t="str">
        <f>VLOOKUP($A240,'[1]Raw Data'!$A$3:$FB$285,154,FALSE)</f>
        <v/>
      </c>
    </row>
    <row r="241" spans="1:173" ht="24" x14ac:dyDescent="0.45">
      <c r="A241" s="27">
        <v>45008</v>
      </c>
      <c r="B241" s="36" t="str">
        <f ca="1">IFERROR(__xludf.DUMMYFUNCTION("""COMPUTED_VALUE"""),"Nisikhola Gaunpalika")</f>
        <v>Nisikhola Gaunpalika</v>
      </c>
      <c r="C241" s="37" t="str">
        <f>VLOOKUP(A241,'[1]Palika and District in Nepali '!$D$1:$F$283,3,FALSE)</f>
        <v>निसिखोला गाउपालिका</v>
      </c>
      <c r="D241" s="36" t="str">
        <f ca="1">IFERROR(__xludf.DUMMYFUNCTION("""COMPUTED_VALUE"""),"Baglung")</f>
        <v>Baglung</v>
      </c>
      <c r="E241" s="36"/>
      <c r="F241" s="27">
        <f>VLOOKUP(A241,'[1]Raw Data'!$A$3:$FB$285,4,FALSE)</f>
        <v>42</v>
      </c>
      <c r="G241" s="27">
        <f>VLOOKUP(A241,'[1]Raw Data'!$A$3:$FB$285,5,FALSE)</f>
        <v>11</v>
      </c>
      <c r="H241" s="27">
        <f>VLOOKUP(A241,'[1]Raw Data'!$A$3:$FB$285,6,FALSE)</f>
        <v>53</v>
      </c>
      <c r="I241" s="27">
        <f>VLOOKUP($A241,'[1]Raw Data'!$A$3:$FB$285,8,FALSE)</f>
        <v>28.3</v>
      </c>
      <c r="J241" s="27">
        <f>VLOOKUP($A241,'[1]Raw Data'!$A$3:$FB$285,9,FALSE)</f>
        <v>1.27</v>
      </c>
      <c r="K241" s="27">
        <f>VLOOKUP($A241,'[1]Raw Data'!$A$3:$FB$285,11,FALSE)</f>
        <v>67.92</v>
      </c>
      <c r="L241" s="27">
        <f>VLOOKUP($A241,'[1]Raw Data'!$A$3:$FB$285,12,FALSE)</f>
        <v>87.91</v>
      </c>
      <c r="M241" s="27">
        <f>VLOOKUP($A241,'[1]Raw Data'!$A$3:$FB$285,14,FALSE)</f>
        <v>0</v>
      </c>
      <c r="N241" s="27">
        <f>VLOOKUP($A241,'[1]Raw Data'!$A$3:$FB$285,15,FALSE)</f>
        <v>0.68</v>
      </c>
      <c r="O241" s="27">
        <f>VLOOKUP($A241,'[1]Raw Data'!$A$3:$FB$285,17,FALSE)</f>
        <v>0</v>
      </c>
      <c r="P241" s="27">
        <f>VLOOKUP($A241,'[1]Raw Data'!$A$3:$FB$285,18,FALSE)</f>
        <v>2.63</v>
      </c>
      <c r="Q241" s="27">
        <f>VLOOKUP($A241,'[1]Raw Data'!$A$3:$FB$285,20,FALSE)</f>
        <v>0</v>
      </c>
      <c r="R241" s="27">
        <f>VLOOKUP($A241,'[1]Raw Data'!$A$3:$FB$285,21,FALSE)</f>
        <v>2.57</v>
      </c>
      <c r="S241" s="27">
        <f>VLOOKUP($A241,'[1]Raw Data'!$A$3:$FB$285,23,FALSE)</f>
        <v>0</v>
      </c>
      <c r="T241" s="27">
        <f>VLOOKUP($A241,'[1]Raw Data'!$A$3:$FB$285,24,FALSE)</f>
        <v>0</v>
      </c>
      <c r="U241" s="27">
        <f>VLOOKUP($A241,'[1]Raw Data'!$A$3:$FB$285,26,FALSE)</f>
        <v>1.89</v>
      </c>
      <c r="V241" s="27">
        <f>VLOOKUP($A241,'[1]Raw Data'!$A$3:$FB$285,27,FALSE)</f>
        <v>0.05</v>
      </c>
      <c r="W241" s="27">
        <f>VLOOKUP($A241,'[1]Raw Data'!$A$3:$FB$285,29,FALSE)</f>
        <v>0</v>
      </c>
      <c r="X241" s="27">
        <f>VLOOKUP($A241,'[1]Raw Data'!$A$3:$FB$285,30,FALSE)</f>
        <v>0</v>
      </c>
      <c r="Y241" s="27">
        <f>VLOOKUP($A241,'[1]Raw Data'!$A$3:$FB$285,32,FALSE)</f>
        <v>0</v>
      </c>
      <c r="Z241" s="27">
        <f>VLOOKUP($A241,'[1]Raw Data'!$A$3:$FB$285,33,FALSE)</f>
        <v>0.13</v>
      </c>
      <c r="AA241" s="27">
        <f>VLOOKUP($A241,'[1]Raw Data'!$A$3:$FB$285,35,FALSE)</f>
        <v>1.89</v>
      </c>
      <c r="AB241" s="27">
        <f>VLOOKUP($A241,'[1]Raw Data'!$A$3:$FB$285,36,FALSE)</f>
        <v>4.76</v>
      </c>
      <c r="AC241" s="27">
        <f>VLOOKUP($A241,'[1]Raw Data'!$A$3:$FB$285,38,FALSE)</f>
        <v>0</v>
      </c>
      <c r="AD241" s="27">
        <f>VLOOKUP($A241,'[1]Raw Data'!$A$3:$FB$285,39,FALSE)</f>
        <v>0</v>
      </c>
      <c r="AE241" s="27">
        <f>VLOOKUP($A241,'[1]Raw Data'!$A$3:$FB$285,41,FALSE)</f>
        <v>0</v>
      </c>
      <c r="AF241" s="27">
        <f>VLOOKUP($A241,'[1]Raw Data'!$A$3:$FB$285,42,FALSE)</f>
        <v>0</v>
      </c>
      <c r="AG241" s="27">
        <f>VLOOKUP($A241,'[1]Raw Data'!$A$3:$FB$285,44,FALSE)</f>
        <v>0</v>
      </c>
      <c r="AH241" s="27">
        <f>VLOOKUP($A241,'[1]Raw Data'!$A$3:$FB$285,45,FALSE)</f>
        <v>0</v>
      </c>
      <c r="AI241" s="27">
        <f>VLOOKUP($A241,'[1]Raw Data'!$A$3:$FB$285,46,FALSE)</f>
        <v>11</v>
      </c>
      <c r="AJ241" s="27">
        <f>VLOOKUP($A241,'[1]Raw Data'!$A$3:$FB$285,47,FALSE)</f>
        <v>9</v>
      </c>
      <c r="AK241" s="27">
        <f>VLOOKUP($A241,'[1]Raw Data'!$A$3:$FB$285,48,FALSE)</f>
        <v>9</v>
      </c>
      <c r="AL241" s="27">
        <f>VLOOKUP($A241,'[1]Raw Data'!$A$3:$FB$285,49,FALSE)</f>
        <v>2</v>
      </c>
      <c r="AM241" s="27">
        <f>VLOOKUP($A241,'[1]Raw Data'!$A$3:$FB$285,50,FALSE)</f>
        <v>0</v>
      </c>
      <c r="AN241" s="27" t="str">
        <f>VLOOKUP($A241,'[1]Raw Data'!$A$3:$FB$285,51,FALSE)</f>
        <v/>
      </c>
      <c r="AO241" s="27" t="str">
        <f>VLOOKUP($A241,'[1]Raw Data'!$A$3:$FB$285,52,FALSE)</f>
        <v/>
      </c>
      <c r="AP241" s="27">
        <f>VLOOKUP($A241,'[1]Raw Data'!$A$3:$FB$285,53,FALSE)</f>
        <v>0</v>
      </c>
      <c r="AQ241" s="27" t="str">
        <f>VLOOKUP($A241,'[1]Raw Data'!$A$3:$FB$285,54,FALSE)</f>
        <v/>
      </c>
      <c r="AR241" s="27" t="str">
        <f>VLOOKUP($A241,'[1]Raw Data'!$A$3:$FB$285,55,FALSE)</f>
        <v/>
      </c>
      <c r="AS241" s="27" t="str">
        <f>VLOOKUP($A241,'[1]Raw Data'!$A$3:$FB$285,56,FALSE)</f>
        <v/>
      </c>
      <c r="AT241" s="27" t="str">
        <f>VLOOKUP($A241,'[1]Raw Data'!$A$3:$FB$285,57,FALSE)</f>
        <v/>
      </c>
      <c r="AU241" s="27" t="str">
        <f>VLOOKUP($A241,'[1]Raw Data'!$A$3:$FB$285,58,FALSE)</f>
        <v/>
      </c>
      <c r="AV241" s="27" t="str">
        <f>VLOOKUP($A241,'[1]Raw Data'!$A$3:$FB$285,59,FALSE)</f>
        <v/>
      </c>
      <c r="AW241" s="27" t="str">
        <f>VLOOKUP($A241,'[1]Raw Data'!$A$3:$FB$285,60,FALSE)</f>
        <v/>
      </c>
      <c r="AX241" s="27" t="str">
        <f>VLOOKUP(A241,'[1]PO''s List'!A239:E521,4,FALSE)</f>
        <v/>
      </c>
      <c r="AZ241" s="27" t="str">
        <f>VLOOKUP(A241,'[1]PO''s List'!$A$3:$E$285,5,FALSE)</f>
        <v/>
      </c>
      <c r="BB241" s="27">
        <f>VLOOKUP($A241,'[1]Raw Data'!$A$3:$FB$285,63,FALSE)</f>
        <v>252</v>
      </c>
      <c r="BC241" s="27" t="str">
        <f>VLOOKUP($A241,'[1]Raw Data'!$A$3:$FB$285,64,FALSE)</f>
        <v/>
      </c>
      <c r="BD241" s="27" t="str">
        <f t="shared" si="27"/>
        <v/>
      </c>
      <c r="BE241" s="27" t="str">
        <f>VLOOKUP($A241,'[1]Raw Data'!$A$3:$FB$285,65,FALSE)</f>
        <v/>
      </c>
      <c r="BF241" s="27">
        <f>VLOOKUP($A241,'[1]Raw Data'!$A$3:$FB$285,66,FALSE)</f>
        <v>270</v>
      </c>
      <c r="BG241" s="27" t="str">
        <f>VLOOKUP($A241,'[1]Raw Data'!$A$3:$FB$285,67,FALSE)</f>
        <v/>
      </c>
      <c r="BH241" s="27" t="str">
        <f t="shared" si="28"/>
        <v/>
      </c>
      <c r="BI241" s="27" t="str">
        <f>VLOOKUP($A241,'[1]Raw Data'!$A$3:$FB$285,68,FALSE)</f>
        <v/>
      </c>
      <c r="BJ241" s="27">
        <f>VLOOKUP($A241,'[1]Raw Data'!$A$3:$FB$285,69,FALSE)</f>
        <v>27</v>
      </c>
      <c r="BK241" s="27" t="str">
        <f>VLOOKUP($A241,'[1]Raw Data'!$A$3:$FB$285,70,FALSE)</f>
        <v/>
      </c>
      <c r="BL241" s="27" t="str">
        <f t="shared" si="29"/>
        <v/>
      </c>
      <c r="BM241" s="27" t="str">
        <f>VLOOKUP($A241,'[1]Raw Data'!$A$3:$FB$285,71,FALSE)</f>
        <v/>
      </c>
      <c r="BN241" s="27">
        <f>VLOOKUP($A241,'[1]Raw Data'!$A$3:$FB$285,72,FALSE)</f>
        <v>32</v>
      </c>
      <c r="BO241" s="27" t="str">
        <f>VLOOKUP($A241,'[1]Raw Data'!$A$3:$FB$285,73,FALSE)</f>
        <v/>
      </c>
      <c r="BP241" s="27" t="str">
        <f t="shared" si="30"/>
        <v/>
      </c>
      <c r="BQ241" s="27" t="str">
        <f>VLOOKUP($A241,'[1]Raw Data'!$A$3:$FB$285,74,FALSE)</f>
        <v/>
      </c>
      <c r="BR241" s="27" t="str">
        <f>VLOOKUP($A241,'[1]Raw Data'!$A$3:$FB$285,75,FALSE)</f>
        <v/>
      </c>
      <c r="BS241" s="27" t="str">
        <f>VLOOKUP($A241,'[1]Raw Data'!$A$3:$FB$285,76,FALSE)</f>
        <v/>
      </c>
      <c r="BT241" s="27" t="str">
        <f t="shared" si="31"/>
        <v/>
      </c>
      <c r="BU241" s="27" t="str">
        <f>VLOOKUP($A241,'[1]Raw Data'!$A$3:$FB$285,77,FALSE)</f>
        <v/>
      </c>
      <c r="BV241" s="27">
        <f>VLOOKUP($A241,'[1]Raw Data'!$A$3:$FB$285,78,FALSE)</f>
        <v>882</v>
      </c>
      <c r="BW241" s="27" t="str">
        <f>VLOOKUP($A241,'[1]Raw Data'!$A$3:$FB$285,79,FALSE)</f>
        <v/>
      </c>
      <c r="BX241" s="27" t="str">
        <f t="shared" si="32"/>
        <v/>
      </c>
      <c r="BY241" s="27" t="str">
        <f>VLOOKUP($A241,'[1]Raw Data'!$A$3:$FB$285,80,FALSE)</f>
        <v/>
      </c>
      <c r="BZ241" s="27">
        <f>VLOOKUP($A241,'[1]Raw Data'!$A$3:$FB$285,81,FALSE)</f>
        <v>2700</v>
      </c>
      <c r="CA241" s="27" t="str">
        <f>VLOOKUP($A241,'[1]Raw Data'!$A$3:$FB$285,82,FALSE)</f>
        <v/>
      </c>
      <c r="CB241" s="27" t="str">
        <f t="shared" si="33"/>
        <v/>
      </c>
      <c r="CC241" s="27" t="str">
        <f>VLOOKUP($A241,'[1]Raw Data'!$A$3:$FB$285,83,FALSE)</f>
        <v/>
      </c>
      <c r="CD241" s="27">
        <f>VLOOKUP($A241,'[1]Raw Data'!$A$3:$FB$285,84,FALSE)</f>
        <v>36</v>
      </c>
      <c r="CE241" s="27" t="str">
        <f>VLOOKUP($A241,'[1]Raw Data'!$A$3:$FB$285,85,FALSE)</f>
        <v/>
      </c>
      <c r="CF241" s="27" t="str">
        <f t="shared" si="34"/>
        <v/>
      </c>
      <c r="CG241" s="27" t="str">
        <f>VLOOKUP($A241,'[1]Raw Data'!$A$3:$FB$285,86,FALSE)</f>
        <v/>
      </c>
      <c r="CH241" s="27">
        <f>VLOOKUP($A241,'[1]Raw Data'!$A$3:$FB$285,87,FALSE)</f>
        <v>0</v>
      </c>
      <c r="CI241" s="27" t="str">
        <f>VLOOKUP($A241,'[1]Raw Data'!$A$3:$FB$285,88,FALSE)</f>
        <v/>
      </c>
      <c r="CJ241" s="27" t="str">
        <f t="shared" si="35"/>
        <v/>
      </c>
      <c r="CK241" s="27" t="str">
        <f>VLOOKUP($A241,'[1]Raw Data'!$A$3:$FB$285,89,FALSE)</f>
        <v/>
      </c>
      <c r="CL241" s="27" t="str">
        <f>VLOOKUP($A241,'[1]Raw Data'!$A$3:$FB$285,91,FALSE)</f>
        <v/>
      </c>
      <c r="CM241" s="27" t="str">
        <f>VLOOKUP($A241,'[1]Raw Data'!$A$3:$FB$285,93,FALSE)</f>
        <v/>
      </c>
      <c r="CN241" s="27" t="str">
        <f>VLOOKUP($A241,'[1]Raw Data'!$A$3:$FB$285,94,FALSE)</f>
        <v/>
      </c>
      <c r="CO241" s="27" t="str">
        <f>VLOOKUP($A241,'[1]Raw Data'!$A$3:$FB$285,95,FALSE)</f>
        <v/>
      </c>
      <c r="CP241" s="27" t="str">
        <f>VLOOKUP($A241,'[1]Raw Data'!$A$3:$FB$285,96,FALSE)</f>
        <v/>
      </c>
      <c r="CQ241" s="27" t="str">
        <f>VLOOKUP($A241,'[1]Raw Data'!$A$3:$FB$285,97,FALSE)</f>
        <v/>
      </c>
      <c r="CR241" s="27" t="str">
        <f>VLOOKUP($A241,'[1]Raw Data'!$A$3:$FB$285,98,FALSE)</f>
        <v/>
      </c>
      <c r="CS241" s="27" t="str">
        <f>VLOOKUP($A241,'[1]Raw Data'!$A$3:$FB$285,99,FALSE)</f>
        <v/>
      </c>
      <c r="CT241" s="27" t="str">
        <f>VLOOKUP($A241,'[1]Raw Data'!$A$3:$FB$285,101,FALSE)</f>
        <v/>
      </c>
      <c r="CV241" s="27" t="str">
        <f>VLOOKUP($A241,'[1]Raw Data'!$A$3:$FB$285,102,FALSE)</f>
        <v>Chairman</v>
      </c>
      <c r="CW241" s="27" t="s">
        <v>878</v>
      </c>
      <c r="CX241" s="27" t="str">
        <f>VLOOKUP($A241,'[1]Raw Data'!$A$3:$FB$285,103,FALSE)</f>
        <v/>
      </c>
      <c r="CY241" s="27" t="str">
        <f>VLOOKUP($A241,'[1]Raw Data'!$A$3:$FB$285,105,FALSE)</f>
        <v/>
      </c>
      <c r="DA241" s="27" t="str">
        <f>VLOOKUP($A241,'[1]Raw Data'!$A$3:$FB$285,106,FALSE)</f>
        <v>Deputy Chairman</v>
      </c>
      <c r="DB241" s="27" t="s">
        <v>879</v>
      </c>
      <c r="DC241" s="27" t="str">
        <f>VLOOKUP($A241,'[1]Raw Data'!$A$3:$FB$285,107,FALSE)</f>
        <v/>
      </c>
      <c r="DD241" s="27" t="str">
        <f>VLOOKUP($A241,'[1]Raw Data'!$A$3:$FB$285,109,FALSE)</f>
        <v/>
      </c>
      <c r="DF241" s="27" t="str">
        <f>VLOOKUP($A241,'[1]Raw Data'!$A$3:$FB$285,110,FALSE)</f>
        <v>Chief Adminstration Officer</v>
      </c>
      <c r="DG241" s="27" t="s">
        <v>880</v>
      </c>
      <c r="DH241" s="27" t="str">
        <f>VLOOKUP($A241,'[1]Raw Data'!$A$3:$FB$285,111,FALSE)</f>
        <v/>
      </c>
      <c r="DI241" s="27" t="str">
        <f>VLOOKUP($A241,'[1]Raw Data'!$A$3:$FB$285,121,FALSE)</f>
        <v/>
      </c>
      <c r="DK241" s="27" t="str">
        <f>VLOOKUP($A241,'[1]Raw Data'!$A$3:$FB$285,122,FALSE)</f>
        <v>Focal Person</v>
      </c>
      <c r="DL241" s="27" t="s">
        <v>881</v>
      </c>
      <c r="DM241" s="27" t="str">
        <f>VLOOKUP($A241,'[1]Raw Data'!$A$3:$FB$285,123,FALSE)</f>
        <v/>
      </c>
      <c r="DN241" s="27" t="str">
        <f>VLOOKUP($A241,'[1]Raw Data'!$A$3:$FB$285,113,FALSE)</f>
        <v/>
      </c>
      <c r="DP241" s="27" t="str">
        <f>VLOOKUP($A241,'[1]Raw Data'!$A$3:$FB$285,114,FALSE)</f>
        <v>NRA Chief-District</v>
      </c>
      <c r="DQ241" s="27" t="s">
        <v>882</v>
      </c>
      <c r="DR241" s="27" t="str">
        <f>VLOOKUP($A241,'[1]Raw Data'!$A$3:$FB$285,115,FALSE)</f>
        <v/>
      </c>
      <c r="DS241" s="27" t="str">
        <f>VLOOKUP($A241,'[1]Raw Data'!$A$3:$FB$285,117,FALSE)</f>
        <v/>
      </c>
      <c r="DU241" s="27" t="str">
        <f>VLOOKUP($A241,'[1]Raw Data'!$A$3:$FB$285,118,FALSE)</f>
        <v>DUDBC.DLPIU Chief</v>
      </c>
      <c r="DV241" s="27" t="s">
        <v>883</v>
      </c>
      <c r="DW241" s="27" t="str">
        <f>VLOOKUP($A241,'[1]Raw Data'!$A$3:$FB$285,119,FALSE)</f>
        <v/>
      </c>
      <c r="DX241" s="27" t="s">
        <v>339</v>
      </c>
      <c r="DY241" s="27" t="str">
        <f>VLOOKUP($A241,'[1]Raw Data'!$A$3:$FB$285,124,FALSE)</f>
        <v/>
      </c>
      <c r="DZ241" s="27" t="s">
        <v>884</v>
      </c>
      <c r="EA241" s="27" t="str">
        <f>VLOOKUP($A241,'[1]Raw Data'!$A$3:$FB$285,125,FALSE)</f>
        <v/>
      </c>
      <c r="EB241" s="27" t="s">
        <v>341</v>
      </c>
      <c r="EC241" s="27" t="str">
        <f>VLOOKUP($A241,'[1]Raw Data'!$A$3:$FB$285,126,FALSE)</f>
        <v/>
      </c>
      <c r="ED241" t="s">
        <v>478</v>
      </c>
      <c r="EE241" s="27" t="str">
        <f>VLOOKUP($A241,'[1]Raw Data'!$A$3:$FB$285,127,FALSE)</f>
        <v/>
      </c>
      <c r="EF241" s="27" t="s">
        <v>343</v>
      </c>
      <c r="EG241" s="27" t="str">
        <f>VLOOKUP($A241,'[1]Raw Data'!$A$3:$FB$285,128,FALSE)</f>
        <v/>
      </c>
      <c r="EH241" t="s">
        <v>344</v>
      </c>
      <c r="EI241" s="27" t="str">
        <f>VLOOKUP($A241,'[1]Raw Data'!$A$3:$FB$285,129,FALSE)</f>
        <v/>
      </c>
      <c r="EM241" s="27" t="str">
        <f>VLOOKUP($A241,'[1]Raw Data'!$A$3:$FB$285,130,FALSE)</f>
        <v/>
      </c>
      <c r="EN241" s="27" t="str">
        <f>VLOOKUP($A241,'[1]Raw Data'!$A$3:$FB$285,131,FALSE)</f>
        <v/>
      </c>
      <c r="EO241" s="27" t="str">
        <f>VLOOKUP($A241,'[1]Raw Data'!$A$3:$FB$285,132,FALSE)</f>
        <v/>
      </c>
      <c r="EP241" s="27" t="str">
        <f>VLOOKUP($A241,'[1]Raw Data'!$A$3:$FB$285,133,FALSE)</f>
        <v/>
      </c>
      <c r="EQ241" s="27" t="str">
        <f>VLOOKUP($A241,'[1]Raw Data'!$A$3:$FB$285,134,FALSE)</f>
        <v/>
      </c>
      <c r="ER241" s="27" t="str">
        <f>VLOOKUP($A241,'[1]Raw Data'!$A$3:$FB$285,135,FALSE)</f>
        <v/>
      </c>
      <c r="ES241" s="27" t="str">
        <f>VLOOKUP($A241,'[1]Raw Data'!$A$3:$FB$285,136,FALSE)</f>
        <v/>
      </c>
      <c r="ET241" s="27" t="str">
        <f>VLOOKUP($A241,'[1]Raw Data'!$A$3:$FB$285,137,FALSE)</f>
        <v/>
      </c>
      <c r="EU241" s="27" t="str">
        <f>VLOOKUP($A241,'[1]Raw Data'!$A$3:$FB$285,138,FALSE)</f>
        <v/>
      </c>
      <c r="EV241" s="27" t="str">
        <f>VLOOKUP($A241,'[1]Raw Data'!$A$3:$FB$285,139,FALSE)</f>
        <v/>
      </c>
      <c r="EW241" s="38">
        <f>VLOOKUP($A241,[1]Training!$A$2:$I$284,5,FALSE)</f>
        <v>0.84615384615384615</v>
      </c>
      <c r="EX241" s="31">
        <f>VLOOKUP($A241,[1]Training!$A$2:$I$284,6,FALSE)</f>
        <v>28</v>
      </c>
      <c r="EY241" s="38">
        <f>VLOOKUP($A241,[1]Training!$A$2:$I$284,8,FALSE)</f>
        <v>1</v>
      </c>
      <c r="EZ241" s="31">
        <f>VLOOKUP($A241,[1]Training!$A$2:$I$284,9,FALSE)</f>
        <v>0</v>
      </c>
      <c r="FA241" s="27">
        <v>1</v>
      </c>
      <c r="FB241" s="27">
        <v>2</v>
      </c>
      <c r="FC241" s="27" t="str">
        <f>VLOOKUP($A241,'[1]Raw Data'!$A$3:$FB$285,148,FALSE)</f>
        <v/>
      </c>
      <c r="FE241" s="27" t="str">
        <f>VLOOKUP($A241,'[1]Raw Data'!$A$3:$FB$285,149,FALSE)</f>
        <v>District Coordinator</v>
      </c>
      <c r="FF241" s="27" t="s">
        <v>885</v>
      </c>
      <c r="FG241" s="27" t="str">
        <f>VLOOKUP($A241,'[1]Raw Data'!$A$3:$FB$285,150,FALSE)</f>
        <v/>
      </c>
      <c r="FH241" s="27" t="str">
        <f>VLOOKUP($A241,'[1]Raw Data'!$A$3:$FB$285,156,FALSE)</f>
        <v/>
      </c>
      <c r="FJ241" s="27" t="str">
        <f>VLOOKUP($A241,'[1]Raw Data'!$A$3:$FB$285,157,FALSE)</f>
        <v>District Technical Officer</v>
      </c>
      <c r="FK241" s="27" t="s">
        <v>886</v>
      </c>
      <c r="FL241" s="27" t="str">
        <f>VLOOKUP($A241,'[1]Raw Data'!$A$3:$FB$285,158,FALSE)</f>
        <v/>
      </c>
      <c r="FM241" s="27" t="str">
        <f>VLOOKUP($A241,'[1]Raw Data'!$A$3:$FB$285,152,FALSE)</f>
        <v/>
      </c>
      <c r="FO241" s="27" t="str">
        <f>VLOOKUP($A241,'[1]Raw Data'!$A$3:$FB$285,153,FALSE)</f>
        <v>DIstrict Information Management Officer</v>
      </c>
      <c r="FP241" s="27" t="s">
        <v>887</v>
      </c>
      <c r="FQ241" s="27" t="str">
        <f>VLOOKUP($A241,'[1]Raw Data'!$A$3:$FB$285,154,FALSE)</f>
        <v/>
      </c>
    </row>
    <row r="242" spans="1:173" ht="24" x14ac:dyDescent="0.45">
      <c r="A242" s="27">
        <v>45009</v>
      </c>
      <c r="B242" s="36" t="str">
        <f ca="1">IFERROR(__xludf.DUMMYFUNCTION("""COMPUTED_VALUE"""),"Taman Khola Gaunpalika")</f>
        <v>Taman Khola Gaunpalika</v>
      </c>
      <c r="C242" s="37" t="str">
        <f>VLOOKUP(A242,'[1]Palika and District in Nepali '!$D$1:$F$283,3,FALSE)</f>
        <v>तमनखोला गाउपालिका</v>
      </c>
      <c r="D242" s="36" t="str">
        <f ca="1">IFERROR(__xludf.DUMMYFUNCTION("""COMPUTED_VALUE"""),"Baglung")</f>
        <v>Baglung</v>
      </c>
      <c r="E242" s="36"/>
      <c r="F242" s="27">
        <f>VLOOKUP(A242,'[1]Raw Data'!$A$3:$FB$285,4,FALSE)</f>
        <v>3</v>
      </c>
      <c r="G242" s="27">
        <f>VLOOKUP(A242,'[1]Raw Data'!$A$3:$FB$285,5,FALSE)</f>
        <v>16</v>
      </c>
      <c r="H242" s="27">
        <f>VLOOKUP(A242,'[1]Raw Data'!$A$3:$FB$285,6,FALSE)</f>
        <v>19</v>
      </c>
      <c r="I242" s="27">
        <f>VLOOKUP($A242,'[1]Raw Data'!$A$3:$FB$285,8,FALSE)</f>
        <v>0</v>
      </c>
      <c r="J242" s="27">
        <f>VLOOKUP($A242,'[1]Raw Data'!$A$3:$FB$285,9,FALSE)</f>
        <v>1.27</v>
      </c>
      <c r="K242" s="27">
        <f>VLOOKUP($A242,'[1]Raw Data'!$A$3:$FB$285,11,FALSE)</f>
        <v>94.74</v>
      </c>
      <c r="L242" s="27">
        <f>VLOOKUP($A242,'[1]Raw Data'!$A$3:$FB$285,12,FALSE)</f>
        <v>87.91</v>
      </c>
      <c r="M242" s="27">
        <f>VLOOKUP($A242,'[1]Raw Data'!$A$3:$FB$285,14,FALSE)</f>
        <v>0</v>
      </c>
      <c r="N242" s="27">
        <f>VLOOKUP($A242,'[1]Raw Data'!$A$3:$FB$285,15,FALSE)</f>
        <v>0.68</v>
      </c>
      <c r="O242" s="27">
        <f>VLOOKUP($A242,'[1]Raw Data'!$A$3:$FB$285,17,FALSE)</f>
        <v>0</v>
      </c>
      <c r="P242" s="27">
        <f>VLOOKUP($A242,'[1]Raw Data'!$A$3:$FB$285,18,FALSE)</f>
        <v>2.63</v>
      </c>
      <c r="Q242" s="27">
        <f>VLOOKUP($A242,'[1]Raw Data'!$A$3:$FB$285,20,FALSE)</f>
        <v>0</v>
      </c>
      <c r="R242" s="27">
        <f>VLOOKUP($A242,'[1]Raw Data'!$A$3:$FB$285,21,FALSE)</f>
        <v>2.57</v>
      </c>
      <c r="S242" s="27">
        <f>VLOOKUP($A242,'[1]Raw Data'!$A$3:$FB$285,23,FALSE)</f>
        <v>0</v>
      </c>
      <c r="T242" s="27">
        <f>VLOOKUP($A242,'[1]Raw Data'!$A$3:$FB$285,24,FALSE)</f>
        <v>0</v>
      </c>
      <c r="U242" s="27">
        <f>VLOOKUP($A242,'[1]Raw Data'!$A$3:$FB$285,26,FALSE)</f>
        <v>0</v>
      </c>
      <c r="V242" s="27">
        <f>VLOOKUP($A242,'[1]Raw Data'!$A$3:$FB$285,27,FALSE)</f>
        <v>0.05</v>
      </c>
      <c r="W242" s="27">
        <f>VLOOKUP($A242,'[1]Raw Data'!$A$3:$FB$285,29,FALSE)</f>
        <v>0</v>
      </c>
      <c r="X242" s="27">
        <f>VLOOKUP($A242,'[1]Raw Data'!$A$3:$FB$285,30,FALSE)</f>
        <v>0</v>
      </c>
      <c r="Y242" s="27">
        <f>VLOOKUP($A242,'[1]Raw Data'!$A$3:$FB$285,32,FALSE)</f>
        <v>0</v>
      </c>
      <c r="Z242" s="27">
        <f>VLOOKUP($A242,'[1]Raw Data'!$A$3:$FB$285,33,FALSE)</f>
        <v>0.13</v>
      </c>
      <c r="AA242" s="27">
        <f>VLOOKUP($A242,'[1]Raw Data'!$A$3:$FB$285,35,FALSE)</f>
        <v>5.26</v>
      </c>
      <c r="AB242" s="27">
        <f>VLOOKUP($A242,'[1]Raw Data'!$A$3:$FB$285,36,FALSE)</f>
        <v>4.76</v>
      </c>
      <c r="AC242" s="27">
        <f>VLOOKUP($A242,'[1]Raw Data'!$A$3:$FB$285,38,FALSE)</f>
        <v>0</v>
      </c>
      <c r="AD242" s="27">
        <f>VLOOKUP($A242,'[1]Raw Data'!$A$3:$FB$285,39,FALSE)</f>
        <v>0</v>
      </c>
      <c r="AE242" s="27">
        <f>VLOOKUP($A242,'[1]Raw Data'!$A$3:$FB$285,41,FALSE)</f>
        <v>0</v>
      </c>
      <c r="AF242" s="27">
        <f>VLOOKUP($A242,'[1]Raw Data'!$A$3:$FB$285,42,FALSE)</f>
        <v>0</v>
      </c>
      <c r="AG242" s="27">
        <f>VLOOKUP($A242,'[1]Raw Data'!$A$3:$FB$285,44,FALSE)</f>
        <v>0</v>
      </c>
      <c r="AH242" s="27">
        <f>VLOOKUP($A242,'[1]Raw Data'!$A$3:$FB$285,45,FALSE)</f>
        <v>0</v>
      </c>
      <c r="AI242" s="27">
        <f>VLOOKUP($A242,'[1]Raw Data'!$A$3:$FB$285,46,FALSE)</f>
        <v>16</v>
      </c>
      <c r="AJ242" s="27">
        <f>VLOOKUP($A242,'[1]Raw Data'!$A$3:$FB$285,47,FALSE)</f>
        <v>20</v>
      </c>
      <c r="AK242" s="27">
        <f>VLOOKUP($A242,'[1]Raw Data'!$A$3:$FB$285,48,FALSE)</f>
        <v>20</v>
      </c>
      <c r="AL242" s="27">
        <f>VLOOKUP($A242,'[1]Raw Data'!$A$3:$FB$285,49,FALSE)</f>
        <v>6</v>
      </c>
      <c r="AM242" s="27">
        <f>VLOOKUP($A242,'[1]Raw Data'!$A$3:$FB$285,50,FALSE)</f>
        <v>0</v>
      </c>
      <c r="AN242" s="27" t="str">
        <f>VLOOKUP($A242,'[1]Raw Data'!$A$3:$FB$285,51,FALSE)</f>
        <v/>
      </c>
      <c r="AO242" s="27" t="str">
        <f>VLOOKUP($A242,'[1]Raw Data'!$A$3:$FB$285,52,FALSE)</f>
        <v/>
      </c>
      <c r="AP242" s="27">
        <f>VLOOKUP($A242,'[1]Raw Data'!$A$3:$FB$285,53,FALSE)</f>
        <v>0</v>
      </c>
      <c r="AQ242" s="27" t="str">
        <f>VLOOKUP($A242,'[1]Raw Data'!$A$3:$FB$285,54,FALSE)</f>
        <v/>
      </c>
      <c r="AR242" s="27" t="str">
        <f>VLOOKUP($A242,'[1]Raw Data'!$A$3:$FB$285,55,FALSE)</f>
        <v/>
      </c>
      <c r="AS242" s="27" t="str">
        <f>VLOOKUP($A242,'[1]Raw Data'!$A$3:$FB$285,56,FALSE)</f>
        <v/>
      </c>
      <c r="AT242" s="27" t="str">
        <f>VLOOKUP($A242,'[1]Raw Data'!$A$3:$FB$285,57,FALSE)</f>
        <v/>
      </c>
      <c r="AU242" s="27" t="str">
        <f>VLOOKUP($A242,'[1]Raw Data'!$A$3:$FB$285,58,FALSE)</f>
        <v/>
      </c>
      <c r="AV242" s="27" t="str">
        <f>VLOOKUP($A242,'[1]Raw Data'!$A$3:$FB$285,59,FALSE)</f>
        <v/>
      </c>
      <c r="AW242" s="27" t="str">
        <f>VLOOKUP($A242,'[1]Raw Data'!$A$3:$FB$285,60,FALSE)</f>
        <v/>
      </c>
      <c r="AX242" s="27" t="str">
        <f>VLOOKUP(A242,'[1]PO''s List'!A240:E522,4,FALSE)</f>
        <v/>
      </c>
      <c r="AZ242" s="27" t="str">
        <f>VLOOKUP(A242,'[1]PO''s List'!$A$3:$E$285,5,FALSE)</f>
        <v/>
      </c>
      <c r="BB242" s="27">
        <f>VLOOKUP($A242,'[1]Raw Data'!$A$3:$FB$285,63,FALSE)</f>
        <v>560</v>
      </c>
      <c r="BC242" s="27" t="str">
        <f>VLOOKUP($A242,'[1]Raw Data'!$A$3:$FB$285,64,FALSE)</f>
        <v/>
      </c>
      <c r="BD242" s="27" t="str">
        <f t="shared" si="27"/>
        <v/>
      </c>
      <c r="BE242" s="27" t="str">
        <f>VLOOKUP($A242,'[1]Raw Data'!$A$3:$FB$285,65,FALSE)</f>
        <v/>
      </c>
      <c r="BF242" s="27">
        <f>VLOOKUP($A242,'[1]Raw Data'!$A$3:$FB$285,66,FALSE)</f>
        <v>600</v>
      </c>
      <c r="BG242" s="27" t="str">
        <f>VLOOKUP($A242,'[1]Raw Data'!$A$3:$FB$285,67,FALSE)</f>
        <v/>
      </c>
      <c r="BH242" s="27" t="str">
        <f t="shared" si="28"/>
        <v/>
      </c>
      <c r="BI242" s="27" t="str">
        <f>VLOOKUP($A242,'[1]Raw Data'!$A$3:$FB$285,68,FALSE)</f>
        <v/>
      </c>
      <c r="BJ242" s="27">
        <f>VLOOKUP($A242,'[1]Raw Data'!$A$3:$FB$285,69,FALSE)</f>
        <v>60</v>
      </c>
      <c r="BK242" s="27" t="str">
        <f>VLOOKUP($A242,'[1]Raw Data'!$A$3:$FB$285,70,FALSE)</f>
        <v/>
      </c>
      <c r="BL242" s="27" t="str">
        <f t="shared" si="29"/>
        <v/>
      </c>
      <c r="BM242" s="27" t="str">
        <f>VLOOKUP($A242,'[1]Raw Data'!$A$3:$FB$285,71,FALSE)</f>
        <v/>
      </c>
      <c r="BN242" s="27">
        <f>VLOOKUP($A242,'[1]Raw Data'!$A$3:$FB$285,72,FALSE)</f>
        <v>70</v>
      </c>
      <c r="BO242" s="27" t="str">
        <f>VLOOKUP($A242,'[1]Raw Data'!$A$3:$FB$285,73,FALSE)</f>
        <v/>
      </c>
      <c r="BP242" s="27" t="str">
        <f t="shared" si="30"/>
        <v/>
      </c>
      <c r="BQ242" s="27" t="str">
        <f>VLOOKUP($A242,'[1]Raw Data'!$A$3:$FB$285,74,FALSE)</f>
        <v/>
      </c>
      <c r="BR242" s="27" t="str">
        <f>VLOOKUP($A242,'[1]Raw Data'!$A$3:$FB$285,75,FALSE)</f>
        <v/>
      </c>
      <c r="BS242" s="27" t="str">
        <f>VLOOKUP($A242,'[1]Raw Data'!$A$3:$FB$285,76,FALSE)</f>
        <v/>
      </c>
      <c r="BT242" s="27" t="str">
        <f t="shared" si="31"/>
        <v/>
      </c>
      <c r="BU242" s="27" t="str">
        <f>VLOOKUP($A242,'[1]Raw Data'!$A$3:$FB$285,77,FALSE)</f>
        <v/>
      </c>
      <c r="BV242" s="27">
        <f>VLOOKUP($A242,'[1]Raw Data'!$A$3:$FB$285,78,FALSE)</f>
        <v>1960</v>
      </c>
      <c r="BW242" s="27" t="str">
        <f>VLOOKUP($A242,'[1]Raw Data'!$A$3:$FB$285,79,FALSE)</f>
        <v/>
      </c>
      <c r="BX242" s="27" t="str">
        <f t="shared" si="32"/>
        <v/>
      </c>
      <c r="BY242" s="27" t="str">
        <f>VLOOKUP($A242,'[1]Raw Data'!$A$3:$FB$285,80,FALSE)</f>
        <v/>
      </c>
      <c r="BZ242" s="27">
        <f>VLOOKUP($A242,'[1]Raw Data'!$A$3:$FB$285,81,FALSE)</f>
        <v>6000</v>
      </c>
      <c r="CA242" s="27" t="str">
        <f>VLOOKUP($A242,'[1]Raw Data'!$A$3:$FB$285,82,FALSE)</f>
        <v/>
      </c>
      <c r="CB242" s="27" t="str">
        <f t="shared" si="33"/>
        <v/>
      </c>
      <c r="CC242" s="27" t="str">
        <f>VLOOKUP($A242,'[1]Raw Data'!$A$3:$FB$285,83,FALSE)</f>
        <v/>
      </c>
      <c r="CD242" s="27">
        <f>VLOOKUP($A242,'[1]Raw Data'!$A$3:$FB$285,84,FALSE)</f>
        <v>80</v>
      </c>
      <c r="CE242" s="27" t="str">
        <f>VLOOKUP($A242,'[1]Raw Data'!$A$3:$FB$285,85,FALSE)</f>
        <v/>
      </c>
      <c r="CF242" s="27" t="str">
        <f t="shared" si="34"/>
        <v/>
      </c>
      <c r="CG242" s="27" t="str">
        <f>VLOOKUP($A242,'[1]Raw Data'!$A$3:$FB$285,86,FALSE)</f>
        <v/>
      </c>
      <c r="CH242" s="27">
        <f>VLOOKUP($A242,'[1]Raw Data'!$A$3:$FB$285,87,FALSE)</f>
        <v>0</v>
      </c>
      <c r="CI242" s="27" t="str">
        <f>VLOOKUP($A242,'[1]Raw Data'!$A$3:$FB$285,88,FALSE)</f>
        <v/>
      </c>
      <c r="CJ242" s="27" t="str">
        <f t="shared" si="35"/>
        <v/>
      </c>
      <c r="CK242" s="27" t="str">
        <f>VLOOKUP($A242,'[1]Raw Data'!$A$3:$FB$285,89,FALSE)</f>
        <v/>
      </c>
      <c r="CL242" s="27" t="str">
        <f>VLOOKUP($A242,'[1]Raw Data'!$A$3:$FB$285,91,FALSE)</f>
        <v/>
      </c>
      <c r="CM242" s="27" t="str">
        <f>VLOOKUP($A242,'[1]Raw Data'!$A$3:$FB$285,93,FALSE)</f>
        <v/>
      </c>
      <c r="CN242" s="27" t="str">
        <f>VLOOKUP($A242,'[1]Raw Data'!$A$3:$FB$285,94,FALSE)</f>
        <v/>
      </c>
      <c r="CO242" s="27" t="str">
        <f>VLOOKUP($A242,'[1]Raw Data'!$A$3:$FB$285,95,FALSE)</f>
        <v/>
      </c>
      <c r="CP242" s="27" t="str">
        <f>VLOOKUP($A242,'[1]Raw Data'!$A$3:$FB$285,96,FALSE)</f>
        <v/>
      </c>
      <c r="CQ242" s="27" t="str">
        <f>VLOOKUP($A242,'[1]Raw Data'!$A$3:$FB$285,97,FALSE)</f>
        <v/>
      </c>
      <c r="CR242" s="27" t="str">
        <f>VLOOKUP($A242,'[1]Raw Data'!$A$3:$FB$285,98,FALSE)</f>
        <v/>
      </c>
      <c r="CS242" s="27" t="str">
        <f>VLOOKUP($A242,'[1]Raw Data'!$A$3:$FB$285,99,FALSE)</f>
        <v/>
      </c>
      <c r="CT242" s="27" t="str">
        <f>VLOOKUP($A242,'[1]Raw Data'!$A$3:$FB$285,101,FALSE)</f>
        <v/>
      </c>
      <c r="CV242" s="27" t="str">
        <f>VLOOKUP($A242,'[1]Raw Data'!$A$3:$FB$285,102,FALSE)</f>
        <v>Chairman</v>
      </c>
      <c r="CW242" s="27" t="s">
        <v>878</v>
      </c>
      <c r="CX242" s="27" t="str">
        <f>VLOOKUP($A242,'[1]Raw Data'!$A$3:$FB$285,103,FALSE)</f>
        <v/>
      </c>
      <c r="CY242" s="27" t="str">
        <f>VLOOKUP($A242,'[1]Raw Data'!$A$3:$FB$285,105,FALSE)</f>
        <v/>
      </c>
      <c r="DA242" s="27" t="str">
        <f>VLOOKUP($A242,'[1]Raw Data'!$A$3:$FB$285,106,FALSE)</f>
        <v>Deputy Chairman</v>
      </c>
      <c r="DB242" s="27" t="s">
        <v>879</v>
      </c>
      <c r="DC242" s="27" t="str">
        <f>VLOOKUP($A242,'[1]Raw Data'!$A$3:$FB$285,107,FALSE)</f>
        <v/>
      </c>
      <c r="DD242" s="27" t="str">
        <f>VLOOKUP($A242,'[1]Raw Data'!$A$3:$FB$285,109,FALSE)</f>
        <v/>
      </c>
      <c r="DF242" s="27" t="str">
        <f>VLOOKUP($A242,'[1]Raw Data'!$A$3:$FB$285,110,FALSE)</f>
        <v>Chief Adminstration Officer</v>
      </c>
      <c r="DG242" s="27" t="s">
        <v>880</v>
      </c>
      <c r="DH242" s="27" t="str">
        <f>VLOOKUP($A242,'[1]Raw Data'!$A$3:$FB$285,111,FALSE)</f>
        <v/>
      </c>
      <c r="DI242" s="27" t="str">
        <f>VLOOKUP($A242,'[1]Raw Data'!$A$3:$FB$285,121,FALSE)</f>
        <v/>
      </c>
      <c r="DK242" s="27" t="str">
        <f>VLOOKUP($A242,'[1]Raw Data'!$A$3:$FB$285,122,FALSE)</f>
        <v>Focal Person</v>
      </c>
      <c r="DL242" s="27" t="s">
        <v>881</v>
      </c>
      <c r="DM242" s="27" t="str">
        <f>VLOOKUP($A242,'[1]Raw Data'!$A$3:$FB$285,123,FALSE)</f>
        <v/>
      </c>
      <c r="DN242" s="27" t="str">
        <f>VLOOKUP($A242,'[1]Raw Data'!$A$3:$FB$285,113,FALSE)</f>
        <v/>
      </c>
      <c r="DP242" s="27" t="str">
        <f>VLOOKUP($A242,'[1]Raw Data'!$A$3:$FB$285,114,FALSE)</f>
        <v>NRA Chief-District</v>
      </c>
      <c r="DQ242" s="27" t="s">
        <v>882</v>
      </c>
      <c r="DR242" s="27" t="str">
        <f>VLOOKUP($A242,'[1]Raw Data'!$A$3:$FB$285,115,FALSE)</f>
        <v/>
      </c>
      <c r="DS242" s="27" t="str">
        <f>VLOOKUP($A242,'[1]Raw Data'!$A$3:$FB$285,117,FALSE)</f>
        <v/>
      </c>
      <c r="DU242" s="27" t="str">
        <f>VLOOKUP($A242,'[1]Raw Data'!$A$3:$FB$285,118,FALSE)</f>
        <v>DUDBC.DLPIU Chief</v>
      </c>
      <c r="DV242" s="27" t="s">
        <v>883</v>
      </c>
      <c r="DW242" s="27" t="str">
        <f>VLOOKUP($A242,'[1]Raw Data'!$A$3:$FB$285,119,FALSE)</f>
        <v/>
      </c>
      <c r="DX242" s="27" t="s">
        <v>339</v>
      </c>
      <c r="DY242" s="27" t="str">
        <f>VLOOKUP($A242,'[1]Raw Data'!$A$3:$FB$285,124,FALSE)</f>
        <v/>
      </c>
      <c r="DZ242" s="27" t="s">
        <v>884</v>
      </c>
      <c r="EA242" s="27" t="str">
        <f>VLOOKUP($A242,'[1]Raw Data'!$A$3:$FB$285,125,FALSE)</f>
        <v/>
      </c>
      <c r="EB242" s="27" t="s">
        <v>341</v>
      </c>
      <c r="EC242" s="27" t="str">
        <f>VLOOKUP($A242,'[1]Raw Data'!$A$3:$FB$285,126,FALSE)</f>
        <v/>
      </c>
      <c r="ED242" t="s">
        <v>478</v>
      </c>
      <c r="EE242" s="27" t="str">
        <f>VLOOKUP($A242,'[1]Raw Data'!$A$3:$FB$285,127,FALSE)</f>
        <v/>
      </c>
      <c r="EF242" s="27" t="s">
        <v>343</v>
      </c>
      <c r="EG242" s="27" t="str">
        <f>VLOOKUP($A242,'[1]Raw Data'!$A$3:$FB$285,128,FALSE)</f>
        <v/>
      </c>
      <c r="EH242" t="s">
        <v>344</v>
      </c>
      <c r="EI242" s="27" t="str">
        <f>VLOOKUP($A242,'[1]Raw Data'!$A$3:$FB$285,129,FALSE)</f>
        <v/>
      </c>
      <c r="EM242" s="27" t="str">
        <f>VLOOKUP($A242,'[1]Raw Data'!$A$3:$FB$285,130,FALSE)</f>
        <v/>
      </c>
      <c r="EN242" s="27" t="str">
        <f>VLOOKUP($A242,'[1]Raw Data'!$A$3:$FB$285,131,FALSE)</f>
        <v/>
      </c>
      <c r="EO242" s="27" t="str">
        <f>VLOOKUP($A242,'[1]Raw Data'!$A$3:$FB$285,132,FALSE)</f>
        <v/>
      </c>
      <c r="EP242" s="27" t="str">
        <f>VLOOKUP($A242,'[1]Raw Data'!$A$3:$FB$285,133,FALSE)</f>
        <v/>
      </c>
      <c r="EQ242" s="27" t="str">
        <f>VLOOKUP($A242,'[1]Raw Data'!$A$3:$FB$285,134,FALSE)</f>
        <v/>
      </c>
      <c r="ER242" s="27" t="str">
        <f>VLOOKUP($A242,'[1]Raw Data'!$A$3:$FB$285,135,FALSE)</f>
        <v/>
      </c>
      <c r="ES242" s="27" t="str">
        <f>VLOOKUP($A242,'[1]Raw Data'!$A$3:$FB$285,136,FALSE)</f>
        <v/>
      </c>
      <c r="ET242" s="27" t="str">
        <f>VLOOKUP($A242,'[1]Raw Data'!$A$3:$FB$285,137,FALSE)</f>
        <v/>
      </c>
      <c r="EU242" s="27" t="str">
        <f>VLOOKUP($A242,'[1]Raw Data'!$A$3:$FB$285,138,FALSE)</f>
        <v/>
      </c>
      <c r="EV242" s="27" t="str">
        <f>VLOOKUP($A242,'[1]Raw Data'!$A$3:$FB$285,139,FALSE)</f>
        <v/>
      </c>
      <c r="EW242" s="38">
        <f>VLOOKUP($A242,[1]Training!$A$2:$I$284,5,FALSE)</f>
        <v>1.2307692307692308</v>
      </c>
      <c r="EX242" s="31">
        <f>VLOOKUP($A242,[1]Training!$A$2:$I$284,6,FALSE)</f>
        <v>25</v>
      </c>
      <c r="EY242" s="38">
        <f>VLOOKUP($A242,[1]Training!$A$2:$I$284,8,FALSE)</f>
        <v>1.4545454545454546</v>
      </c>
      <c r="EZ242" s="31">
        <f>VLOOKUP($A242,[1]Training!$A$2:$I$284,9,FALSE)</f>
        <v>0</v>
      </c>
      <c r="FA242" s="27">
        <v>1</v>
      </c>
      <c r="FB242" s="27">
        <v>2</v>
      </c>
      <c r="FC242" s="27" t="str">
        <f>VLOOKUP($A242,'[1]Raw Data'!$A$3:$FB$285,148,FALSE)</f>
        <v/>
      </c>
      <c r="FE242" s="27" t="str">
        <f>VLOOKUP($A242,'[1]Raw Data'!$A$3:$FB$285,149,FALSE)</f>
        <v>District Coordinator</v>
      </c>
      <c r="FF242" s="27" t="s">
        <v>885</v>
      </c>
      <c r="FG242" s="27" t="str">
        <f>VLOOKUP($A242,'[1]Raw Data'!$A$3:$FB$285,150,FALSE)</f>
        <v/>
      </c>
      <c r="FH242" s="27" t="str">
        <f>VLOOKUP($A242,'[1]Raw Data'!$A$3:$FB$285,156,FALSE)</f>
        <v/>
      </c>
      <c r="FJ242" s="27" t="str">
        <f>VLOOKUP($A242,'[1]Raw Data'!$A$3:$FB$285,157,FALSE)</f>
        <v>District Technical Officer</v>
      </c>
      <c r="FK242" s="27" t="s">
        <v>886</v>
      </c>
      <c r="FL242" s="27" t="str">
        <f>VLOOKUP($A242,'[1]Raw Data'!$A$3:$FB$285,158,FALSE)</f>
        <v/>
      </c>
      <c r="FM242" s="27" t="str">
        <f>VLOOKUP($A242,'[1]Raw Data'!$A$3:$FB$285,152,FALSE)</f>
        <v/>
      </c>
      <c r="FO242" s="27" t="str">
        <f>VLOOKUP($A242,'[1]Raw Data'!$A$3:$FB$285,153,FALSE)</f>
        <v>DIstrict Information Management Officer</v>
      </c>
      <c r="FP242" s="27" t="s">
        <v>887</v>
      </c>
      <c r="FQ242" s="27" t="str">
        <f>VLOOKUP($A242,'[1]Raw Data'!$A$3:$FB$285,154,FALSE)</f>
        <v/>
      </c>
    </row>
    <row r="243" spans="1:173" ht="24" x14ac:dyDescent="0.45">
      <c r="A243" s="27">
        <v>45010</v>
      </c>
      <c r="B243" s="36" t="str">
        <f ca="1">IFERROR(__xludf.DUMMYFUNCTION("""COMPUTED_VALUE"""),"Tara Khola Gaunpalika")</f>
        <v>Tara Khola Gaunpalika</v>
      </c>
      <c r="C243" s="37" t="str">
        <f>VLOOKUP(A243,'[1]Palika and District in Nepali '!$D$1:$F$283,3,FALSE)</f>
        <v>ताराखोला  गाउपालिका</v>
      </c>
      <c r="D243" s="36" t="str">
        <f ca="1">IFERROR(__xludf.DUMMYFUNCTION("""COMPUTED_VALUE"""),"Baglung")</f>
        <v>Baglung</v>
      </c>
      <c r="E243" s="36"/>
      <c r="F243" s="27">
        <f>VLOOKUP(A243,'[1]Raw Data'!$A$3:$FB$285,4,FALSE)</f>
        <v>4</v>
      </c>
      <c r="G243" s="27">
        <f>VLOOKUP(A243,'[1]Raw Data'!$A$3:$FB$285,5,FALSE)</f>
        <v>102</v>
      </c>
      <c r="H243" s="27">
        <f>VLOOKUP(A243,'[1]Raw Data'!$A$3:$FB$285,6,FALSE)</f>
        <v>106</v>
      </c>
      <c r="I243" s="27">
        <f>VLOOKUP($A243,'[1]Raw Data'!$A$3:$FB$285,8,FALSE)</f>
        <v>0</v>
      </c>
      <c r="J243" s="27">
        <f>VLOOKUP($A243,'[1]Raw Data'!$A$3:$FB$285,9,FALSE)</f>
        <v>1.27</v>
      </c>
      <c r="K243" s="27">
        <f>VLOOKUP($A243,'[1]Raw Data'!$A$3:$FB$285,11,FALSE)</f>
        <v>100</v>
      </c>
      <c r="L243" s="27">
        <f>VLOOKUP($A243,'[1]Raw Data'!$A$3:$FB$285,12,FALSE)</f>
        <v>87.91</v>
      </c>
      <c r="M243" s="27">
        <f>VLOOKUP($A243,'[1]Raw Data'!$A$3:$FB$285,14,FALSE)</f>
        <v>0</v>
      </c>
      <c r="N243" s="27">
        <f>VLOOKUP($A243,'[1]Raw Data'!$A$3:$FB$285,15,FALSE)</f>
        <v>0.68</v>
      </c>
      <c r="O243" s="27">
        <f>VLOOKUP($A243,'[1]Raw Data'!$A$3:$FB$285,17,FALSE)</f>
        <v>0</v>
      </c>
      <c r="P243" s="27">
        <f>VLOOKUP($A243,'[1]Raw Data'!$A$3:$FB$285,18,FALSE)</f>
        <v>2.63</v>
      </c>
      <c r="Q243" s="27">
        <f>VLOOKUP($A243,'[1]Raw Data'!$A$3:$FB$285,20,FALSE)</f>
        <v>0</v>
      </c>
      <c r="R243" s="27">
        <f>VLOOKUP($A243,'[1]Raw Data'!$A$3:$FB$285,21,FALSE)</f>
        <v>2.57</v>
      </c>
      <c r="S243" s="27">
        <f>VLOOKUP($A243,'[1]Raw Data'!$A$3:$FB$285,23,FALSE)</f>
        <v>0</v>
      </c>
      <c r="T243" s="27">
        <f>VLOOKUP($A243,'[1]Raw Data'!$A$3:$FB$285,24,FALSE)</f>
        <v>0</v>
      </c>
      <c r="U243" s="27">
        <f>VLOOKUP($A243,'[1]Raw Data'!$A$3:$FB$285,26,FALSE)</f>
        <v>0</v>
      </c>
      <c r="V243" s="27">
        <f>VLOOKUP($A243,'[1]Raw Data'!$A$3:$FB$285,27,FALSE)</f>
        <v>0.05</v>
      </c>
      <c r="W243" s="27">
        <f>VLOOKUP($A243,'[1]Raw Data'!$A$3:$FB$285,29,FALSE)</f>
        <v>0</v>
      </c>
      <c r="X243" s="27">
        <f>VLOOKUP($A243,'[1]Raw Data'!$A$3:$FB$285,30,FALSE)</f>
        <v>0</v>
      </c>
      <c r="Y243" s="27">
        <f>VLOOKUP($A243,'[1]Raw Data'!$A$3:$FB$285,32,FALSE)</f>
        <v>0</v>
      </c>
      <c r="Z243" s="27">
        <f>VLOOKUP($A243,'[1]Raw Data'!$A$3:$FB$285,33,FALSE)</f>
        <v>0.13</v>
      </c>
      <c r="AA243" s="27">
        <f>VLOOKUP($A243,'[1]Raw Data'!$A$3:$FB$285,35,FALSE)</f>
        <v>0</v>
      </c>
      <c r="AB243" s="27">
        <f>VLOOKUP($A243,'[1]Raw Data'!$A$3:$FB$285,36,FALSE)</f>
        <v>4.76</v>
      </c>
      <c r="AC243" s="27">
        <f>VLOOKUP($A243,'[1]Raw Data'!$A$3:$FB$285,38,FALSE)</f>
        <v>0</v>
      </c>
      <c r="AD243" s="27">
        <f>VLOOKUP($A243,'[1]Raw Data'!$A$3:$FB$285,39,FALSE)</f>
        <v>0</v>
      </c>
      <c r="AE243" s="27">
        <f>VLOOKUP($A243,'[1]Raw Data'!$A$3:$FB$285,41,FALSE)</f>
        <v>0</v>
      </c>
      <c r="AF243" s="27">
        <f>VLOOKUP($A243,'[1]Raw Data'!$A$3:$FB$285,42,FALSE)</f>
        <v>0</v>
      </c>
      <c r="AG243" s="27">
        <f>VLOOKUP($A243,'[1]Raw Data'!$A$3:$FB$285,44,FALSE)</f>
        <v>0</v>
      </c>
      <c r="AH243" s="27">
        <f>VLOOKUP($A243,'[1]Raw Data'!$A$3:$FB$285,45,FALSE)</f>
        <v>0</v>
      </c>
      <c r="AI243" s="27">
        <f>VLOOKUP($A243,'[1]Raw Data'!$A$3:$FB$285,46,FALSE)</f>
        <v>102</v>
      </c>
      <c r="AJ243" s="27">
        <f>VLOOKUP($A243,'[1]Raw Data'!$A$3:$FB$285,47,FALSE)</f>
        <v>61</v>
      </c>
      <c r="AK243" s="27">
        <f>VLOOKUP($A243,'[1]Raw Data'!$A$3:$FB$285,48,FALSE)</f>
        <v>61</v>
      </c>
      <c r="AL243" s="27">
        <f>VLOOKUP($A243,'[1]Raw Data'!$A$3:$FB$285,49,FALSE)</f>
        <v>0</v>
      </c>
      <c r="AM243" s="27">
        <f>VLOOKUP($A243,'[1]Raw Data'!$A$3:$FB$285,50,FALSE)</f>
        <v>0</v>
      </c>
      <c r="AN243" s="27" t="str">
        <f>VLOOKUP($A243,'[1]Raw Data'!$A$3:$FB$285,51,FALSE)</f>
        <v/>
      </c>
      <c r="AO243" s="27" t="str">
        <f>VLOOKUP($A243,'[1]Raw Data'!$A$3:$FB$285,52,FALSE)</f>
        <v/>
      </c>
      <c r="AP243" s="27">
        <f>VLOOKUP($A243,'[1]Raw Data'!$A$3:$FB$285,53,FALSE)</f>
        <v>0</v>
      </c>
      <c r="AQ243" s="27" t="str">
        <f>VLOOKUP($A243,'[1]Raw Data'!$A$3:$FB$285,54,FALSE)</f>
        <v/>
      </c>
      <c r="AR243" s="27" t="str">
        <f>VLOOKUP($A243,'[1]Raw Data'!$A$3:$FB$285,55,FALSE)</f>
        <v/>
      </c>
      <c r="AS243" s="27" t="str">
        <f>VLOOKUP($A243,'[1]Raw Data'!$A$3:$FB$285,56,FALSE)</f>
        <v/>
      </c>
      <c r="AT243" s="27" t="str">
        <f>VLOOKUP($A243,'[1]Raw Data'!$A$3:$FB$285,57,FALSE)</f>
        <v/>
      </c>
      <c r="AU243" s="27" t="str">
        <f>VLOOKUP($A243,'[1]Raw Data'!$A$3:$FB$285,58,FALSE)</f>
        <v/>
      </c>
      <c r="AV243" s="27" t="str">
        <f>VLOOKUP($A243,'[1]Raw Data'!$A$3:$FB$285,59,FALSE)</f>
        <v/>
      </c>
      <c r="AW243" s="27" t="str">
        <f>VLOOKUP($A243,'[1]Raw Data'!$A$3:$FB$285,60,FALSE)</f>
        <v/>
      </c>
      <c r="AX243" s="27" t="str">
        <f>VLOOKUP(A243,'[1]PO''s List'!A241:E523,4,FALSE)</f>
        <v/>
      </c>
      <c r="AZ243" s="27" t="str">
        <f>VLOOKUP(A243,'[1]PO''s List'!$A$3:$E$285,5,FALSE)</f>
        <v/>
      </c>
      <c r="BB243" s="27">
        <f>VLOOKUP($A243,'[1]Raw Data'!$A$3:$FB$285,63,FALSE)</f>
        <v>1734</v>
      </c>
      <c r="BC243" s="27" t="str">
        <f>VLOOKUP($A243,'[1]Raw Data'!$A$3:$FB$285,64,FALSE)</f>
        <v/>
      </c>
      <c r="BD243" s="27" t="str">
        <f t="shared" si="27"/>
        <v/>
      </c>
      <c r="BE243" s="27" t="str">
        <f>VLOOKUP($A243,'[1]Raw Data'!$A$3:$FB$285,65,FALSE)</f>
        <v/>
      </c>
      <c r="BF243" s="27">
        <f>VLOOKUP($A243,'[1]Raw Data'!$A$3:$FB$285,66,FALSE)</f>
        <v>1800</v>
      </c>
      <c r="BG243" s="27" t="str">
        <f>VLOOKUP($A243,'[1]Raw Data'!$A$3:$FB$285,67,FALSE)</f>
        <v/>
      </c>
      <c r="BH243" s="27" t="str">
        <f t="shared" si="28"/>
        <v/>
      </c>
      <c r="BI243" s="27" t="str">
        <f>VLOOKUP($A243,'[1]Raw Data'!$A$3:$FB$285,68,FALSE)</f>
        <v/>
      </c>
      <c r="BJ243" s="27">
        <f>VLOOKUP($A243,'[1]Raw Data'!$A$3:$FB$285,69,FALSE)</f>
        <v>185</v>
      </c>
      <c r="BK243" s="27" t="str">
        <f>VLOOKUP($A243,'[1]Raw Data'!$A$3:$FB$285,70,FALSE)</f>
        <v/>
      </c>
      <c r="BL243" s="27" t="str">
        <f t="shared" si="29"/>
        <v/>
      </c>
      <c r="BM243" s="27" t="str">
        <f>VLOOKUP($A243,'[1]Raw Data'!$A$3:$FB$285,71,FALSE)</f>
        <v/>
      </c>
      <c r="BN243" s="27">
        <f>VLOOKUP($A243,'[1]Raw Data'!$A$3:$FB$285,72,FALSE)</f>
        <v>215</v>
      </c>
      <c r="BO243" s="27" t="str">
        <f>VLOOKUP($A243,'[1]Raw Data'!$A$3:$FB$285,73,FALSE)</f>
        <v/>
      </c>
      <c r="BP243" s="27" t="str">
        <f t="shared" si="30"/>
        <v/>
      </c>
      <c r="BQ243" s="27" t="str">
        <f>VLOOKUP($A243,'[1]Raw Data'!$A$3:$FB$285,74,FALSE)</f>
        <v/>
      </c>
      <c r="BR243" s="27" t="str">
        <f>VLOOKUP($A243,'[1]Raw Data'!$A$3:$FB$285,75,FALSE)</f>
        <v/>
      </c>
      <c r="BS243" s="27" t="str">
        <f>VLOOKUP($A243,'[1]Raw Data'!$A$3:$FB$285,76,FALSE)</f>
        <v/>
      </c>
      <c r="BT243" s="27" t="str">
        <f t="shared" si="31"/>
        <v/>
      </c>
      <c r="BU243" s="27" t="str">
        <f>VLOOKUP($A243,'[1]Raw Data'!$A$3:$FB$285,77,FALSE)</f>
        <v/>
      </c>
      <c r="BV243" s="27">
        <f>VLOOKUP($A243,'[1]Raw Data'!$A$3:$FB$285,78,FALSE)</f>
        <v>5968</v>
      </c>
      <c r="BW243" s="27" t="str">
        <f>VLOOKUP($A243,'[1]Raw Data'!$A$3:$FB$285,79,FALSE)</f>
        <v/>
      </c>
      <c r="BX243" s="27" t="str">
        <f t="shared" si="32"/>
        <v/>
      </c>
      <c r="BY243" s="27" t="str">
        <f>VLOOKUP($A243,'[1]Raw Data'!$A$3:$FB$285,80,FALSE)</f>
        <v/>
      </c>
      <c r="BZ243" s="27">
        <f>VLOOKUP($A243,'[1]Raw Data'!$A$3:$FB$285,81,FALSE)</f>
        <v>18778</v>
      </c>
      <c r="CA243" s="27" t="str">
        <f>VLOOKUP($A243,'[1]Raw Data'!$A$3:$FB$285,82,FALSE)</f>
        <v/>
      </c>
      <c r="CB243" s="27" t="str">
        <f t="shared" si="33"/>
        <v/>
      </c>
      <c r="CC243" s="27" t="str">
        <f>VLOOKUP($A243,'[1]Raw Data'!$A$3:$FB$285,83,FALSE)</f>
        <v/>
      </c>
      <c r="CD243" s="27">
        <f>VLOOKUP($A243,'[1]Raw Data'!$A$3:$FB$285,84,FALSE)</f>
        <v>244</v>
      </c>
      <c r="CE243" s="27" t="str">
        <f>VLOOKUP($A243,'[1]Raw Data'!$A$3:$FB$285,85,FALSE)</f>
        <v/>
      </c>
      <c r="CF243" s="27" t="str">
        <f t="shared" si="34"/>
        <v/>
      </c>
      <c r="CG243" s="27" t="str">
        <f>VLOOKUP($A243,'[1]Raw Data'!$A$3:$FB$285,86,FALSE)</f>
        <v/>
      </c>
      <c r="CH243" s="27">
        <f>VLOOKUP($A243,'[1]Raw Data'!$A$3:$FB$285,87,FALSE)</f>
        <v>16721</v>
      </c>
      <c r="CI243" s="27" t="str">
        <f>VLOOKUP($A243,'[1]Raw Data'!$A$3:$FB$285,88,FALSE)</f>
        <v/>
      </c>
      <c r="CJ243" s="27" t="str">
        <f t="shared" si="35"/>
        <v/>
      </c>
      <c r="CK243" s="27" t="str">
        <f>VLOOKUP($A243,'[1]Raw Data'!$A$3:$FB$285,89,FALSE)</f>
        <v/>
      </c>
      <c r="CL243" s="27" t="str">
        <f>VLOOKUP($A243,'[1]Raw Data'!$A$3:$FB$285,91,FALSE)</f>
        <v/>
      </c>
      <c r="CM243" s="27" t="str">
        <f>VLOOKUP($A243,'[1]Raw Data'!$A$3:$FB$285,93,FALSE)</f>
        <v/>
      </c>
      <c r="CN243" s="27" t="str">
        <f>VLOOKUP($A243,'[1]Raw Data'!$A$3:$FB$285,94,FALSE)</f>
        <v/>
      </c>
      <c r="CO243" s="27" t="str">
        <f>VLOOKUP($A243,'[1]Raw Data'!$A$3:$FB$285,95,FALSE)</f>
        <v/>
      </c>
      <c r="CP243" s="27" t="str">
        <f>VLOOKUP($A243,'[1]Raw Data'!$A$3:$FB$285,96,FALSE)</f>
        <v/>
      </c>
      <c r="CQ243" s="27" t="str">
        <f>VLOOKUP($A243,'[1]Raw Data'!$A$3:$FB$285,97,FALSE)</f>
        <v/>
      </c>
      <c r="CR243" s="27" t="str">
        <f>VLOOKUP($A243,'[1]Raw Data'!$A$3:$FB$285,98,FALSE)</f>
        <v/>
      </c>
      <c r="CS243" s="27" t="str">
        <f>VLOOKUP($A243,'[1]Raw Data'!$A$3:$FB$285,99,FALSE)</f>
        <v/>
      </c>
      <c r="CT243" s="27" t="str">
        <f>VLOOKUP($A243,'[1]Raw Data'!$A$3:$FB$285,101,FALSE)</f>
        <v/>
      </c>
      <c r="CV243" s="27" t="str">
        <f>VLOOKUP($A243,'[1]Raw Data'!$A$3:$FB$285,102,FALSE)</f>
        <v>Chairman</v>
      </c>
      <c r="CW243" s="27" t="s">
        <v>878</v>
      </c>
      <c r="CX243" s="27" t="str">
        <f>VLOOKUP($A243,'[1]Raw Data'!$A$3:$FB$285,103,FALSE)</f>
        <v/>
      </c>
      <c r="CY243" s="27" t="str">
        <f>VLOOKUP($A243,'[1]Raw Data'!$A$3:$FB$285,105,FALSE)</f>
        <v/>
      </c>
      <c r="DA243" s="27" t="str">
        <f>VLOOKUP($A243,'[1]Raw Data'!$A$3:$FB$285,106,FALSE)</f>
        <v>Deputy Chairman</v>
      </c>
      <c r="DB243" s="27" t="s">
        <v>879</v>
      </c>
      <c r="DC243" s="27" t="str">
        <f>VLOOKUP($A243,'[1]Raw Data'!$A$3:$FB$285,107,FALSE)</f>
        <v/>
      </c>
      <c r="DD243" s="27" t="str">
        <f>VLOOKUP($A243,'[1]Raw Data'!$A$3:$FB$285,109,FALSE)</f>
        <v/>
      </c>
      <c r="DF243" s="27" t="str">
        <f>VLOOKUP($A243,'[1]Raw Data'!$A$3:$FB$285,110,FALSE)</f>
        <v>Chief Adminstration Officer</v>
      </c>
      <c r="DG243" s="27" t="s">
        <v>880</v>
      </c>
      <c r="DH243" s="27" t="str">
        <f>VLOOKUP($A243,'[1]Raw Data'!$A$3:$FB$285,111,FALSE)</f>
        <v/>
      </c>
      <c r="DI243" s="27" t="str">
        <f>VLOOKUP($A243,'[1]Raw Data'!$A$3:$FB$285,121,FALSE)</f>
        <v/>
      </c>
      <c r="DK243" s="27" t="str">
        <f>VLOOKUP($A243,'[1]Raw Data'!$A$3:$FB$285,122,FALSE)</f>
        <v>Focal Person</v>
      </c>
      <c r="DL243" s="27" t="s">
        <v>881</v>
      </c>
      <c r="DM243" s="27" t="str">
        <f>VLOOKUP($A243,'[1]Raw Data'!$A$3:$FB$285,123,FALSE)</f>
        <v/>
      </c>
      <c r="DN243" s="27" t="str">
        <f>VLOOKUP($A243,'[1]Raw Data'!$A$3:$FB$285,113,FALSE)</f>
        <v/>
      </c>
      <c r="DP243" s="27" t="str">
        <f>VLOOKUP($A243,'[1]Raw Data'!$A$3:$FB$285,114,FALSE)</f>
        <v>NRA Chief-District</v>
      </c>
      <c r="DQ243" s="27" t="s">
        <v>882</v>
      </c>
      <c r="DR243" s="27" t="str">
        <f>VLOOKUP($A243,'[1]Raw Data'!$A$3:$FB$285,115,FALSE)</f>
        <v/>
      </c>
      <c r="DS243" s="27" t="str">
        <f>VLOOKUP($A243,'[1]Raw Data'!$A$3:$FB$285,117,FALSE)</f>
        <v/>
      </c>
      <c r="DU243" s="27" t="str">
        <f>VLOOKUP($A243,'[1]Raw Data'!$A$3:$FB$285,118,FALSE)</f>
        <v>DUDBC.DLPIU Chief</v>
      </c>
      <c r="DV243" s="27" t="s">
        <v>883</v>
      </c>
      <c r="DW243" s="27" t="str">
        <f>VLOOKUP($A243,'[1]Raw Data'!$A$3:$FB$285,119,FALSE)</f>
        <v/>
      </c>
      <c r="DX243" s="27" t="s">
        <v>339</v>
      </c>
      <c r="DY243" s="27" t="str">
        <f>VLOOKUP($A243,'[1]Raw Data'!$A$3:$FB$285,124,FALSE)</f>
        <v/>
      </c>
      <c r="DZ243" s="27" t="s">
        <v>884</v>
      </c>
      <c r="EA243" s="27" t="str">
        <f>VLOOKUP($A243,'[1]Raw Data'!$A$3:$FB$285,125,FALSE)</f>
        <v/>
      </c>
      <c r="EB243" s="27" t="s">
        <v>341</v>
      </c>
      <c r="EC243" s="27" t="str">
        <f>VLOOKUP($A243,'[1]Raw Data'!$A$3:$FB$285,126,FALSE)</f>
        <v/>
      </c>
      <c r="ED243" t="s">
        <v>478</v>
      </c>
      <c r="EE243" s="27" t="str">
        <f>VLOOKUP($A243,'[1]Raw Data'!$A$3:$FB$285,127,FALSE)</f>
        <v/>
      </c>
      <c r="EF243" s="27" t="s">
        <v>343</v>
      </c>
      <c r="EG243" s="27" t="str">
        <f>VLOOKUP($A243,'[1]Raw Data'!$A$3:$FB$285,128,FALSE)</f>
        <v/>
      </c>
      <c r="EH243" t="s">
        <v>344</v>
      </c>
      <c r="EI243" s="27" t="str">
        <f>VLOOKUP($A243,'[1]Raw Data'!$A$3:$FB$285,129,FALSE)</f>
        <v/>
      </c>
      <c r="EM243" s="27" t="str">
        <f>VLOOKUP($A243,'[1]Raw Data'!$A$3:$FB$285,130,FALSE)</f>
        <v/>
      </c>
      <c r="EN243" s="27" t="str">
        <f>VLOOKUP($A243,'[1]Raw Data'!$A$3:$FB$285,131,FALSE)</f>
        <v/>
      </c>
      <c r="EO243" s="27" t="str">
        <f>VLOOKUP($A243,'[1]Raw Data'!$A$3:$FB$285,132,FALSE)</f>
        <v/>
      </c>
      <c r="EP243" s="27" t="str">
        <f>VLOOKUP($A243,'[1]Raw Data'!$A$3:$FB$285,133,FALSE)</f>
        <v/>
      </c>
      <c r="EQ243" s="27" t="str">
        <f>VLOOKUP($A243,'[1]Raw Data'!$A$3:$FB$285,134,FALSE)</f>
        <v/>
      </c>
      <c r="ER243" s="27" t="str">
        <f>VLOOKUP($A243,'[1]Raw Data'!$A$3:$FB$285,135,FALSE)</f>
        <v/>
      </c>
      <c r="ES243" s="27" t="str">
        <f>VLOOKUP($A243,'[1]Raw Data'!$A$3:$FB$285,136,FALSE)</f>
        <v/>
      </c>
      <c r="ET243" s="27" t="str">
        <f>VLOOKUP($A243,'[1]Raw Data'!$A$3:$FB$285,137,FALSE)</f>
        <v/>
      </c>
      <c r="EU243" s="27" t="str">
        <f>VLOOKUP($A243,'[1]Raw Data'!$A$3:$FB$285,138,FALSE)</f>
        <v/>
      </c>
      <c r="EV243" s="27" t="str">
        <f>VLOOKUP($A243,'[1]Raw Data'!$A$3:$FB$285,139,FALSE)</f>
        <v/>
      </c>
      <c r="EW243" s="38">
        <f>VLOOKUP($A243,[1]Training!$A$2:$I$284,5,FALSE)</f>
        <v>7.8461538461538458</v>
      </c>
      <c r="EX243" s="31">
        <f>VLOOKUP($A243,[1]Training!$A$2:$I$284,6,FALSE)</f>
        <v>25</v>
      </c>
      <c r="EY243" s="38">
        <f>VLOOKUP($A243,[1]Training!$A$2:$I$284,8,FALSE)</f>
        <v>9.2727272727272734</v>
      </c>
      <c r="EZ243" s="31">
        <f>VLOOKUP($A243,[1]Training!$A$2:$I$284,9,FALSE)</f>
        <v>0</v>
      </c>
      <c r="FA243" s="27">
        <v>1</v>
      </c>
      <c r="FB243" s="27">
        <v>2</v>
      </c>
      <c r="FC243" s="27" t="str">
        <f>VLOOKUP($A243,'[1]Raw Data'!$A$3:$FB$285,148,FALSE)</f>
        <v/>
      </c>
      <c r="FE243" s="27" t="str">
        <f>VLOOKUP($A243,'[1]Raw Data'!$A$3:$FB$285,149,FALSE)</f>
        <v>District Coordinator</v>
      </c>
      <c r="FF243" s="27" t="s">
        <v>885</v>
      </c>
      <c r="FG243" s="27" t="str">
        <f>VLOOKUP($A243,'[1]Raw Data'!$A$3:$FB$285,150,FALSE)</f>
        <v/>
      </c>
      <c r="FH243" s="27" t="str">
        <f>VLOOKUP($A243,'[1]Raw Data'!$A$3:$FB$285,156,FALSE)</f>
        <v/>
      </c>
      <c r="FJ243" s="27" t="str">
        <f>VLOOKUP($A243,'[1]Raw Data'!$A$3:$FB$285,157,FALSE)</f>
        <v>District Technical Officer</v>
      </c>
      <c r="FK243" s="27" t="s">
        <v>886</v>
      </c>
      <c r="FL243" s="27" t="str">
        <f>VLOOKUP($A243,'[1]Raw Data'!$A$3:$FB$285,158,FALSE)</f>
        <v/>
      </c>
      <c r="FM243" s="27" t="str">
        <f>VLOOKUP($A243,'[1]Raw Data'!$A$3:$FB$285,152,FALSE)</f>
        <v/>
      </c>
      <c r="FO243" s="27" t="str">
        <f>VLOOKUP($A243,'[1]Raw Data'!$A$3:$FB$285,153,FALSE)</f>
        <v>DIstrict Information Management Officer</v>
      </c>
      <c r="FP243" s="27" t="s">
        <v>887</v>
      </c>
      <c r="FQ243" s="27" t="str">
        <f>VLOOKUP($A243,'[1]Raw Data'!$A$3:$FB$285,154,FALSE)</f>
        <v/>
      </c>
    </row>
    <row r="244" spans="1:173" ht="24" x14ac:dyDescent="0.45">
      <c r="A244" s="27">
        <v>46001</v>
      </c>
      <c r="B244" s="36" t="str">
        <f ca="1">IFERROR(__xludf.DUMMYFUNCTION("""COMPUTED_VALUE"""),"Chandrakot Gaunpalika")</f>
        <v>Chandrakot Gaunpalika</v>
      </c>
      <c r="C244" s="37" t="str">
        <f>VLOOKUP(A244,'[1]Palika and District in Nepali '!$D$1:$F$283,3,FALSE)</f>
        <v>चन्द्रकोट गाउँपालिका</v>
      </c>
      <c r="D244" s="36" t="str">
        <f ca="1">IFERROR(__xludf.DUMMYFUNCTION("""COMPUTED_VALUE"""),"Gulmi")</f>
        <v>Gulmi</v>
      </c>
      <c r="E244" s="36"/>
      <c r="F244" s="27">
        <f>VLOOKUP(A244,'[1]Raw Data'!$A$3:$FB$285,4,FALSE)</f>
        <v>74</v>
      </c>
      <c r="G244" s="27">
        <f>VLOOKUP(A244,'[1]Raw Data'!$A$3:$FB$285,5,FALSE)</f>
        <v>285</v>
      </c>
      <c r="H244" s="27">
        <f>VLOOKUP(A244,'[1]Raw Data'!$A$3:$FB$285,6,FALSE)</f>
        <v>359</v>
      </c>
      <c r="I244" s="27">
        <f>VLOOKUP($A244,'[1]Raw Data'!$A$3:$FB$285,8,FALSE)</f>
        <v>0</v>
      </c>
      <c r="J244" s="27">
        <f>VLOOKUP($A244,'[1]Raw Data'!$A$3:$FB$285,9,FALSE)</f>
        <v>0.82</v>
      </c>
      <c r="K244" s="27">
        <f>VLOOKUP($A244,'[1]Raw Data'!$A$3:$FB$285,11,FALSE)</f>
        <v>94.15</v>
      </c>
      <c r="L244" s="27">
        <f>VLOOKUP($A244,'[1]Raw Data'!$A$3:$FB$285,12,FALSE)</f>
        <v>94.78</v>
      </c>
      <c r="M244" s="27">
        <f>VLOOKUP($A244,'[1]Raw Data'!$A$3:$FB$285,14,FALSE)</f>
        <v>0</v>
      </c>
      <c r="N244" s="27">
        <f>VLOOKUP($A244,'[1]Raw Data'!$A$3:$FB$285,15,FALSE)</f>
        <v>0.21</v>
      </c>
      <c r="O244" s="27">
        <f>VLOOKUP($A244,'[1]Raw Data'!$A$3:$FB$285,17,FALSE)</f>
        <v>0</v>
      </c>
      <c r="P244" s="27">
        <f>VLOOKUP($A244,'[1]Raw Data'!$A$3:$FB$285,18,FALSE)</f>
        <v>0</v>
      </c>
      <c r="Q244" s="27">
        <f>VLOOKUP($A244,'[1]Raw Data'!$A$3:$FB$285,20,FALSE)</f>
        <v>1.1100000000000001</v>
      </c>
      <c r="R244" s="27">
        <f>VLOOKUP($A244,'[1]Raw Data'!$A$3:$FB$285,21,FALSE)</f>
        <v>0.5</v>
      </c>
      <c r="S244" s="27">
        <f>VLOOKUP($A244,'[1]Raw Data'!$A$3:$FB$285,23,FALSE)</f>
        <v>0</v>
      </c>
      <c r="T244" s="27">
        <f>VLOOKUP($A244,'[1]Raw Data'!$A$3:$FB$285,24,FALSE)</f>
        <v>0</v>
      </c>
      <c r="U244" s="27">
        <f>VLOOKUP($A244,'[1]Raw Data'!$A$3:$FB$285,26,FALSE)</f>
        <v>0</v>
      </c>
      <c r="V244" s="27">
        <f>VLOOKUP($A244,'[1]Raw Data'!$A$3:$FB$285,27,FALSE)</f>
        <v>0.17</v>
      </c>
      <c r="W244" s="27">
        <f>VLOOKUP($A244,'[1]Raw Data'!$A$3:$FB$285,29,FALSE)</f>
        <v>0</v>
      </c>
      <c r="X244" s="27">
        <f>VLOOKUP($A244,'[1]Raw Data'!$A$3:$FB$285,30,FALSE)</f>
        <v>0</v>
      </c>
      <c r="Y244" s="27">
        <f>VLOOKUP($A244,'[1]Raw Data'!$A$3:$FB$285,32,FALSE)</f>
        <v>0</v>
      </c>
      <c r="Z244" s="27">
        <f>VLOOKUP($A244,'[1]Raw Data'!$A$3:$FB$285,33,FALSE)</f>
        <v>0.44</v>
      </c>
      <c r="AA244" s="27">
        <f>VLOOKUP($A244,'[1]Raw Data'!$A$3:$FB$285,35,FALSE)</f>
        <v>4.46</v>
      </c>
      <c r="AB244" s="27">
        <f>VLOOKUP($A244,'[1]Raw Data'!$A$3:$FB$285,36,FALSE)</f>
        <v>3.06</v>
      </c>
      <c r="AC244" s="27">
        <f>VLOOKUP($A244,'[1]Raw Data'!$A$3:$FB$285,38,FALSE)</f>
        <v>0.28000000000000003</v>
      </c>
      <c r="AD244" s="27">
        <f>VLOOKUP($A244,'[1]Raw Data'!$A$3:$FB$285,39,FALSE)</f>
        <v>0.01</v>
      </c>
      <c r="AE244" s="27">
        <f>VLOOKUP($A244,'[1]Raw Data'!$A$3:$FB$285,41,FALSE)</f>
        <v>0</v>
      </c>
      <c r="AF244" s="27">
        <f>VLOOKUP($A244,'[1]Raw Data'!$A$3:$FB$285,42,FALSE)</f>
        <v>0</v>
      </c>
      <c r="AG244" s="27">
        <f>VLOOKUP($A244,'[1]Raw Data'!$A$3:$FB$285,44,FALSE)</f>
        <v>0</v>
      </c>
      <c r="AH244" s="27">
        <f>VLOOKUP($A244,'[1]Raw Data'!$A$3:$FB$285,45,FALSE)</f>
        <v>0</v>
      </c>
      <c r="AI244" s="27">
        <f>VLOOKUP($A244,'[1]Raw Data'!$A$3:$FB$285,46,FALSE)</f>
        <v>239</v>
      </c>
      <c r="AJ244" s="27">
        <f>VLOOKUP($A244,'[1]Raw Data'!$A$3:$FB$285,47,FALSE)</f>
        <v>122</v>
      </c>
      <c r="AK244" s="27">
        <f>VLOOKUP($A244,'[1]Raw Data'!$A$3:$FB$285,48,FALSE)</f>
        <v>122</v>
      </c>
      <c r="AL244" s="27">
        <f>VLOOKUP($A244,'[1]Raw Data'!$A$3:$FB$285,49,FALSE)</f>
        <v>32</v>
      </c>
      <c r="AM244" s="27">
        <f>VLOOKUP($A244,'[1]Raw Data'!$A$3:$FB$285,50,FALSE)</f>
        <v>8</v>
      </c>
      <c r="AN244" s="27" t="str">
        <f>VLOOKUP($A244,'[1]Raw Data'!$A$3:$FB$285,51,FALSE)</f>
        <v/>
      </c>
      <c r="AO244" s="27" t="str">
        <f>VLOOKUP($A244,'[1]Raw Data'!$A$3:$FB$285,52,FALSE)</f>
        <v/>
      </c>
      <c r="AP244" s="27">
        <f>VLOOKUP($A244,'[1]Raw Data'!$A$3:$FB$285,53,FALSE)</f>
        <v>32</v>
      </c>
      <c r="AQ244" s="27" t="str">
        <f>VLOOKUP($A244,'[1]Raw Data'!$A$3:$FB$285,54,FALSE)</f>
        <v/>
      </c>
      <c r="AR244" s="27" t="str">
        <f>VLOOKUP($A244,'[1]Raw Data'!$A$3:$FB$285,55,FALSE)</f>
        <v/>
      </c>
      <c r="AS244" s="27" t="str">
        <f>VLOOKUP($A244,'[1]Raw Data'!$A$3:$FB$285,56,FALSE)</f>
        <v/>
      </c>
      <c r="AT244" s="27" t="str">
        <f>VLOOKUP($A244,'[1]Raw Data'!$A$3:$FB$285,57,FALSE)</f>
        <v/>
      </c>
      <c r="AU244" s="27" t="str">
        <f>VLOOKUP($A244,'[1]Raw Data'!$A$3:$FB$285,58,FALSE)</f>
        <v/>
      </c>
      <c r="AV244" s="27" t="str">
        <f>VLOOKUP($A244,'[1]Raw Data'!$A$3:$FB$285,59,FALSE)</f>
        <v/>
      </c>
      <c r="AW244" s="27" t="str">
        <f>VLOOKUP($A244,'[1]Raw Data'!$A$3:$FB$285,60,FALSE)</f>
        <v/>
      </c>
      <c r="AX244" s="27" t="str">
        <f>VLOOKUP(A244,'[1]PO''s List'!A242:E524,4,FALSE)</f>
        <v/>
      </c>
      <c r="AZ244" s="27" t="str">
        <f>VLOOKUP(A244,'[1]PO''s List'!$A$3:$E$285,5,FALSE)</f>
        <v/>
      </c>
      <c r="BB244" s="27">
        <f>VLOOKUP($A244,'[1]Raw Data'!$A$3:$FB$285,63,FALSE)</f>
        <v>3295</v>
      </c>
      <c r="BC244" s="27" t="str">
        <f>VLOOKUP($A244,'[1]Raw Data'!$A$3:$FB$285,64,FALSE)</f>
        <v/>
      </c>
      <c r="BD244" s="27" t="str">
        <f t="shared" si="27"/>
        <v/>
      </c>
      <c r="BE244" s="27" t="str">
        <f>VLOOKUP($A244,'[1]Raw Data'!$A$3:$FB$285,65,FALSE)</f>
        <v/>
      </c>
      <c r="BF244" s="27">
        <f>VLOOKUP($A244,'[1]Raw Data'!$A$3:$FB$285,66,FALSE)</f>
        <v>3391</v>
      </c>
      <c r="BG244" s="27" t="str">
        <f>VLOOKUP($A244,'[1]Raw Data'!$A$3:$FB$285,67,FALSE)</f>
        <v/>
      </c>
      <c r="BH244" s="27" t="str">
        <f t="shared" si="28"/>
        <v/>
      </c>
      <c r="BI244" s="27" t="str">
        <f>VLOOKUP($A244,'[1]Raw Data'!$A$3:$FB$285,68,FALSE)</f>
        <v/>
      </c>
      <c r="BJ244" s="27">
        <f>VLOOKUP($A244,'[1]Raw Data'!$A$3:$FB$285,69,FALSE)</f>
        <v>352</v>
      </c>
      <c r="BK244" s="27" t="str">
        <f>VLOOKUP($A244,'[1]Raw Data'!$A$3:$FB$285,70,FALSE)</f>
        <v/>
      </c>
      <c r="BL244" s="27" t="str">
        <f t="shared" si="29"/>
        <v/>
      </c>
      <c r="BM244" s="27" t="str">
        <f>VLOOKUP($A244,'[1]Raw Data'!$A$3:$FB$285,71,FALSE)</f>
        <v/>
      </c>
      <c r="BN244" s="27">
        <f>VLOOKUP($A244,'[1]Raw Data'!$A$3:$FB$285,72,FALSE)</f>
        <v>406</v>
      </c>
      <c r="BO244" s="27" t="str">
        <f>VLOOKUP($A244,'[1]Raw Data'!$A$3:$FB$285,73,FALSE)</f>
        <v/>
      </c>
      <c r="BP244" s="27" t="str">
        <f t="shared" si="30"/>
        <v/>
      </c>
      <c r="BQ244" s="27" t="str">
        <f>VLOOKUP($A244,'[1]Raw Data'!$A$3:$FB$285,74,FALSE)</f>
        <v/>
      </c>
      <c r="BR244" s="27" t="str">
        <f>VLOOKUP($A244,'[1]Raw Data'!$A$3:$FB$285,75,FALSE)</f>
        <v/>
      </c>
      <c r="BS244" s="27" t="str">
        <f>VLOOKUP($A244,'[1]Raw Data'!$A$3:$FB$285,76,FALSE)</f>
        <v/>
      </c>
      <c r="BT244" s="27" t="str">
        <f t="shared" si="31"/>
        <v/>
      </c>
      <c r="BU244" s="27" t="str">
        <f>VLOOKUP($A244,'[1]Raw Data'!$A$3:$FB$285,77,FALSE)</f>
        <v/>
      </c>
      <c r="BV244" s="27">
        <f>VLOOKUP($A244,'[1]Raw Data'!$A$3:$FB$285,78,FALSE)</f>
        <v>11098</v>
      </c>
      <c r="BW244" s="27" t="str">
        <f>VLOOKUP($A244,'[1]Raw Data'!$A$3:$FB$285,79,FALSE)</f>
        <v/>
      </c>
      <c r="BX244" s="27" t="str">
        <f t="shared" si="32"/>
        <v/>
      </c>
      <c r="BY244" s="27" t="str">
        <f>VLOOKUP($A244,'[1]Raw Data'!$A$3:$FB$285,80,FALSE)</f>
        <v/>
      </c>
      <c r="BZ244" s="27">
        <f>VLOOKUP($A244,'[1]Raw Data'!$A$3:$FB$285,81,FALSE)</f>
        <v>35520</v>
      </c>
      <c r="CA244" s="27" t="str">
        <f>VLOOKUP($A244,'[1]Raw Data'!$A$3:$FB$285,82,FALSE)</f>
        <v/>
      </c>
      <c r="CB244" s="27" t="str">
        <f t="shared" si="33"/>
        <v/>
      </c>
      <c r="CC244" s="27" t="str">
        <f>VLOOKUP($A244,'[1]Raw Data'!$A$3:$FB$285,83,FALSE)</f>
        <v/>
      </c>
      <c r="CD244" s="27">
        <f>VLOOKUP($A244,'[1]Raw Data'!$A$3:$FB$285,84,FALSE)</f>
        <v>453</v>
      </c>
      <c r="CE244" s="27" t="str">
        <f>VLOOKUP($A244,'[1]Raw Data'!$A$3:$FB$285,85,FALSE)</f>
        <v/>
      </c>
      <c r="CF244" s="27" t="str">
        <f t="shared" si="34"/>
        <v/>
      </c>
      <c r="CG244" s="27" t="str">
        <f>VLOOKUP($A244,'[1]Raw Data'!$A$3:$FB$285,86,FALSE)</f>
        <v/>
      </c>
      <c r="CH244" s="27">
        <f>VLOOKUP($A244,'[1]Raw Data'!$A$3:$FB$285,87,FALSE)</f>
        <v>11212</v>
      </c>
      <c r="CI244" s="27" t="str">
        <f>VLOOKUP($A244,'[1]Raw Data'!$A$3:$FB$285,88,FALSE)</f>
        <v/>
      </c>
      <c r="CJ244" s="27" t="str">
        <f t="shared" si="35"/>
        <v/>
      </c>
      <c r="CK244" s="27" t="str">
        <f>VLOOKUP($A244,'[1]Raw Data'!$A$3:$FB$285,89,FALSE)</f>
        <v/>
      </c>
      <c r="CL244" s="27" t="str">
        <f>VLOOKUP($A244,'[1]Raw Data'!$A$3:$FB$285,91,FALSE)</f>
        <v/>
      </c>
      <c r="CM244" s="27" t="str">
        <f>VLOOKUP($A244,'[1]Raw Data'!$A$3:$FB$285,93,FALSE)</f>
        <v/>
      </c>
      <c r="CN244" s="27" t="str">
        <f>VLOOKUP($A244,'[1]Raw Data'!$A$3:$FB$285,94,FALSE)</f>
        <v/>
      </c>
      <c r="CO244" s="27" t="str">
        <f>VLOOKUP($A244,'[1]Raw Data'!$A$3:$FB$285,95,FALSE)</f>
        <v/>
      </c>
      <c r="CP244" s="27" t="str">
        <f>VLOOKUP($A244,'[1]Raw Data'!$A$3:$FB$285,96,FALSE)</f>
        <v/>
      </c>
      <c r="CQ244" s="27" t="str">
        <f>VLOOKUP($A244,'[1]Raw Data'!$A$3:$FB$285,97,FALSE)</f>
        <v/>
      </c>
      <c r="CR244" s="27" t="str">
        <f>VLOOKUP($A244,'[1]Raw Data'!$A$3:$FB$285,98,FALSE)</f>
        <v/>
      </c>
      <c r="CS244" s="27" t="str">
        <f>VLOOKUP($A244,'[1]Raw Data'!$A$3:$FB$285,99,FALSE)</f>
        <v/>
      </c>
      <c r="CT244" s="27" t="str">
        <f>VLOOKUP($A244,'[1]Raw Data'!$A$3:$FB$285,101,FALSE)</f>
        <v/>
      </c>
      <c r="CV244" s="27" t="str">
        <f>VLOOKUP($A244,'[1]Raw Data'!$A$3:$FB$285,102,FALSE)</f>
        <v>Chairman</v>
      </c>
      <c r="CW244" s="27" t="s">
        <v>878</v>
      </c>
      <c r="CX244" s="27" t="str">
        <f>VLOOKUP($A244,'[1]Raw Data'!$A$3:$FB$285,103,FALSE)</f>
        <v/>
      </c>
      <c r="CY244" s="27" t="str">
        <f>VLOOKUP($A244,'[1]Raw Data'!$A$3:$FB$285,105,FALSE)</f>
        <v/>
      </c>
      <c r="DA244" s="27" t="str">
        <f>VLOOKUP($A244,'[1]Raw Data'!$A$3:$FB$285,106,FALSE)</f>
        <v>Deputy Chairman</v>
      </c>
      <c r="DB244" s="27" t="s">
        <v>879</v>
      </c>
      <c r="DC244" s="27" t="str">
        <f>VLOOKUP($A244,'[1]Raw Data'!$A$3:$FB$285,107,FALSE)</f>
        <v/>
      </c>
      <c r="DD244" s="27" t="str">
        <f>VLOOKUP($A244,'[1]Raw Data'!$A$3:$FB$285,109,FALSE)</f>
        <v/>
      </c>
      <c r="DF244" s="27" t="str">
        <f>VLOOKUP($A244,'[1]Raw Data'!$A$3:$FB$285,110,FALSE)</f>
        <v>Chief Adminstration Officer</v>
      </c>
      <c r="DG244" s="27" t="s">
        <v>880</v>
      </c>
      <c r="DH244" s="27" t="str">
        <f>VLOOKUP($A244,'[1]Raw Data'!$A$3:$FB$285,111,FALSE)</f>
        <v/>
      </c>
      <c r="DI244" s="27" t="str">
        <f>VLOOKUP($A244,'[1]Raw Data'!$A$3:$FB$285,121,FALSE)</f>
        <v/>
      </c>
      <c r="DK244" s="27" t="str">
        <f>VLOOKUP($A244,'[1]Raw Data'!$A$3:$FB$285,122,FALSE)</f>
        <v>Focal Person</v>
      </c>
      <c r="DL244" s="27" t="s">
        <v>881</v>
      </c>
      <c r="DM244" s="27" t="str">
        <f>VLOOKUP($A244,'[1]Raw Data'!$A$3:$FB$285,123,FALSE)</f>
        <v/>
      </c>
      <c r="DN244" s="27" t="str">
        <f>VLOOKUP($A244,'[1]Raw Data'!$A$3:$FB$285,113,FALSE)</f>
        <v/>
      </c>
      <c r="DP244" s="27" t="str">
        <f>VLOOKUP($A244,'[1]Raw Data'!$A$3:$FB$285,114,FALSE)</f>
        <v>NRA Chief-District</v>
      </c>
      <c r="DQ244" s="27" t="s">
        <v>882</v>
      </c>
      <c r="DR244" s="27" t="str">
        <f>VLOOKUP($A244,'[1]Raw Data'!$A$3:$FB$285,115,FALSE)</f>
        <v/>
      </c>
      <c r="DS244" s="27" t="str">
        <f>VLOOKUP($A244,'[1]Raw Data'!$A$3:$FB$285,117,FALSE)</f>
        <v/>
      </c>
      <c r="DU244" s="27" t="str">
        <f>VLOOKUP($A244,'[1]Raw Data'!$A$3:$FB$285,118,FALSE)</f>
        <v>DUDBC.DLPIU Chief</v>
      </c>
      <c r="DV244" s="27" t="s">
        <v>883</v>
      </c>
      <c r="DW244" s="27" t="str">
        <f>VLOOKUP($A244,'[1]Raw Data'!$A$3:$FB$285,119,FALSE)</f>
        <v/>
      </c>
      <c r="DX244" s="27" t="s">
        <v>339</v>
      </c>
      <c r="DY244" s="27" t="str">
        <f>VLOOKUP($A244,'[1]Raw Data'!$A$3:$FB$285,124,FALSE)</f>
        <v/>
      </c>
      <c r="DZ244" s="27" t="s">
        <v>884</v>
      </c>
      <c r="EA244" s="27" t="str">
        <f>VLOOKUP($A244,'[1]Raw Data'!$A$3:$FB$285,125,FALSE)</f>
        <v/>
      </c>
      <c r="EB244" s="27" t="s">
        <v>341</v>
      </c>
      <c r="EC244" s="27" t="str">
        <f>VLOOKUP($A244,'[1]Raw Data'!$A$3:$FB$285,126,FALSE)</f>
        <v/>
      </c>
      <c r="ED244" t="s">
        <v>478</v>
      </c>
      <c r="EE244" s="27" t="str">
        <f>VLOOKUP($A244,'[1]Raw Data'!$A$3:$FB$285,127,FALSE)</f>
        <v/>
      </c>
      <c r="EF244" s="27" t="s">
        <v>343</v>
      </c>
      <c r="EG244" s="27" t="str">
        <f>VLOOKUP($A244,'[1]Raw Data'!$A$3:$FB$285,128,FALSE)</f>
        <v/>
      </c>
      <c r="EH244" t="s">
        <v>344</v>
      </c>
      <c r="EI244" s="27" t="str">
        <f>VLOOKUP($A244,'[1]Raw Data'!$A$3:$FB$285,129,FALSE)</f>
        <v/>
      </c>
      <c r="EM244" s="27" t="str">
        <f>VLOOKUP($A244,'[1]Raw Data'!$A$3:$FB$285,130,FALSE)</f>
        <v/>
      </c>
      <c r="EN244" s="27" t="str">
        <f>VLOOKUP($A244,'[1]Raw Data'!$A$3:$FB$285,131,FALSE)</f>
        <v/>
      </c>
      <c r="EO244" s="27" t="str">
        <f>VLOOKUP($A244,'[1]Raw Data'!$A$3:$FB$285,132,FALSE)</f>
        <v/>
      </c>
      <c r="EP244" s="27" t="str">
        <f>VLOOKUP($A244,'[1]Raw Data'!$A$3:$FB$285,133,FALSE)</f>
        <v/>
      </c>
      <c r="EQ244" s="27" t="str">
        <f>VLOOKUP($A244,'[1]Raw Data'!$A$3:$FB$285,134,FALSE)</f>
        <v/>
      </c>
      <c r="ER244" s="27" t="str">
        <f>VLOOKUP($A244,'[1]Raw Data'!$A$3:$FB$285,135,FALSE)</f>
        <v/>
      </c>
      <c r="ES244" s="27" t="str">
        <f>VLOOKUP($A244,'[1]Raw Data'!$A$3:$FB$285,136,FALSE)</f>
        <v/>
      </c>
      <c r="ET244" s="27" t="str">
        <f>VLOOKUP($A244,'[1]Raw Data'!$A$3:$FB$285,137,FALSE)</f>
        <v/>
      </c>
      <c r="EU244" s="27" t="str">
        <f>VLOOKUP($A244,'[1]Raw Data'!$A$3:$FB$285,138,FALSE)</f>
        <v/>
      </c>
      <c r="EV244" s="27" t="str">
        <f>VLOOKUP($A244,'[1]Raw Data'!$A$3:$FB$285,139,FALSE)</f>
        <v/>
      </c>
      <c r="EW244" s="38">
        <f>VLOOKUP($A244,[1]Training!$A$2:$I$284,5,FALSE)</f>
        <v>18.384615384615383</v>
      </c>
      <c r="EX244" s="31">
        <f>VLOOKUP($A244,[1]Training!$A$2:$I$284,6,FALSE)</f>
        <v>0</v>
      </c>
      <c r="EY244" s="38">
        <f>VLOOKUP($A244,[1]Training!$A$2:$I$284,8,FALSE)</f>
        <v>21.727272727272727</v>
      </c>
      <c r="EZ244" s="31">
        <f>VLOOKUP($A244,[1]Training!$A$2:$I$284,9,FALSE)</f>
        <v>0</v>
      </c>
      <c r="FA244" s="27">
        <v>1</v>
      </c>
      <c r="FB244" s="27">
        <v>2</v>
      </c>
      <c r="FC244" s="27" t="str">
        <f>VLOOKUP($A244,'[1]Raw Data'!$A$3:$FB$285,148,FALSE)</f>
        <v/>
      </c>
      <c r="FE244" s="27" t="str">
        <f>VLOOKUP($A244,'[1]Raw Data'!$A$3:$FB$285,149,FALSE)</f>
        <v>District Coordinator</v>
      </c>
      <c r="FF244" s="27" t="s">
        <v>885</v>
      </c>
      <c r="FG244" s="27" t="str">
        <f>VLOOKUP($A244,'[1]Raw Data'!$A$3:$FB$285,150,FALSE)</f>
        <v/>
      </c>
      <c r="FH244" s="27" t="str">
        <f>VLOOKUP($A244,'[1]Raw Data'!$A$3:$FB$285,156,FALSE)</f>
        <v/>
      </c>
      <c r="FJ244" s="27" t="str">
        <f>VLOOKUP($A244,'[1]Raw Data'!$A$3:$FB$285,157,FALSE)</f>
        <v>District Technical Officer</v>
      </c>
      <c r="FK244" s="27" t="s">
        <v>886</v>
      </c>
      <c r="FL244" s="27" t="str">
        <f>VLOOKUP($A244,'[1]Raw Data'!$A$3:$FB$285,158,FALSE)</f>
        <v/>
      </c>
      <c r="FM244" s="27" t="str">
        <f>VLOOKUP($A244,'[1]Raw Data'!$A$3:$FB$285,152,FALSE)</f>
        <v/>
      </c>
      <c r="FO244" s="27" t="str">
        <f>VLOOKUP($A244,'[1]Raw Data'!$A$3:$FB$285,153,FALSE)</f>
        <v>DIstrict Information Management Officer</v>
      </c>
      <c r="FP244" s="27" t="s">
        <v>887</v>
      </c>
      <c r="FQ244" s="27" t="str">
        <f>VLOOKUP($A244,'[1]Raw Data'!$A$3:$FB$285,154,FALSE)</f>
        <v/>
      </c>
    </row>
    <row r="245" spans="1:173" ht="24" x14ac:dyDescent="0.45">
      <c r="A245" s="27">
        <v>46002</v>
      </c>
      <c r="B245" s="36" t="str">
        <f ca="1">IFERROR(__xludf.DUMMYFUNCTION("""COMPUTED_VALUE"""),"Chatrakot Gaunpalika")</f>
        <v>Chatrakot Gaunpalika</v>
      </c>
      <c r="C245" s="37" t="str">
        <f>VLOOKUP(A245,'[1]Palika and District in Nepali '!$D$1:$F$283,3,FALSE)</f>
        <v>छत्रकोट गाउँपालिका</v>
      </c>
      <c r="D245" s="36" t="str">
        <f ca="1">IFERROR(__xludf.DUMMYFUNCTION("""COMPUTED_VALUE"""),"Gulmi")</f>
        <v>Gulmi</v>
      </c>
      <c r="E245" s="36"/>
      <c r="F245" s="27">
        <f>VLOOKUP(A245,'[1]Raw Data'!$A$3:$FB$285,4,FALSE)</f>
        <v>23</v>
      </c>
      <c r="G245" s="27">
        <f>VLOOKUP(A245,'[1]Raw Data'!$A$3:$FB$285,5,FALSE)</f>
        <v>274</v>
      </c>
      <c r="H245" s="27">
        <f>VLOOKUP(A245,'[1]Raw Data'!$A$3:$FB$285,6,FALSE)</f>
        <v>297</v>
      </c>
      <c r="I245" s="27">
        <f>VLOOKUP($A245,'[1]Raw Data'!$A$3:$FB$285,8,FALSE)</f>
        <v>0</v>
      </c>
      <c r="J245" s="27">
        <f>VLOOKUP($A245,'[1]Raw Data'!$A$3:$FB$285,9,FALSE)</f>
        <v>0.82</v>
      </c>
      <c r="K245" s="27">
        <f>VLOOKUP($A245,'[1]Raw Data'!$A$3:$FB$285,11,FALSE)</f>
        <v>91.25</v>
      </c>
      <c r="L245" s="27">
        <f>VLOOKUP($A245,'[1]Raw Data'!$A$3:$FB$285,12,FALSE)</f>
        <v>94.78</v>
      </c>
      <c r="M245" s="27">
        <f>VLOOKUP($A245,'[1]Raw Data'!$A$3:$FB$285,14,FALSE)</f>
        <v>0.67</v>
      </c>
      <c r="N245" s="27">
        <f>VLOOKUP($A245,'[1]Raw Data'!$A$3:$FB$285,15,FALSE)</f>
        <v>0.21</v>
      </c>
      <c r="O245" s="27">
        <f>VLOOKUP($A245,'[1]Raw Data'!$A$3:$FB$285,17,FALSE)</f>
        <v>0</v>
      </c>
      <c r="P245" s="27">
        <f>VLOOKUP($A245,'[1]Raw Data'!$A$3:$FB$285,18,FALSE)</f>
        <v>0</v>
      </c>
      <c r="Q245" s="27">
        <f>VLOOKUP($A245,'[1]Raw Data'!$A$3:$FB$285,20,FALSE)</f>
        <v>0</v>
      </c>
      <c r="R245" s="27">
        <f>VLOOKUP($A245,'[1]Raw Data'!$A$3:$FB$285,21,FALSE)</f>
        <v>0.5</v>
      </c>
      <c r="S245" s="27">
        <f>VLOOKUP($A245,'[1]Raw Data'!$A$3:$FB$285,23,FALSE)</f>
        <v>0</v>
      </c>
      <c r="T245" s="27">
        <f>VLOOKUP($A245,'[1]Raw Data'!$A$3:$FB$285,24,FALSE)</f>
        <v>0</v>
      </c>
      <c r="U245" s="27">
        <f>VLOOKUP($A245,'[1]Raw Data'!$A$3:$FB$285,26,FALSE)</f>
        <v>0.34</v>
      </c>
      <c r="V245" s="27">
        <f>VLOOKUP($A245,'[1]Raw Data'!$A$3:$FB$285,27,FALSE)</f>
        <v>0.17</v>
      </c>
      <c r="W245" s="27">
        <f>VLOOKUP($A245,'[1]Raw Data'!$A$3:$FB$285,29,FALSE)</f>
        <v>0</v>
      </c>
      <c r="X245" s="27">
        <f>VLOOKUP($A245,'[1]Raw Data'!$A$3:$FB$285,30,FALSE)</f>
        <v>0</v>
      </c>
      <c r="Y245" s="27">
        <f>VLOOKUP($A245,'[1]Raw Data'!$A$3:$FB$285,32,FALSE)</f>
        <v>7.41</v>
      </c>
      <c r="Z245" s="27">
        <f>VLOOKUP($A245,'[1]Raw Data'!$A$3:$FB$285,33,FALSE)</f>
        <v>0.44</v>
      </c>
      <c r="AA245" s="27">
        <f>VLOOKUP($A245,'[1]Raw Data'!$A$3:$FB$285,35,FALSE)</f>
        <v>0.34</v>
      </c>
      <c r="AB245" s="27">
        <f>VLOOKUP($A245,'[1]Raw Data'!$A$3:$FB$285,36,FALSE)</f>
        <v>3.06</v>
      </c>
      <c r="AC245" s="27">
        <f>VLOOKUP($A245,'[1]Raw Data'!$A$3:$FB$285,38,FALSE)</f>
        <v>0</v>
      </c>
      <c r="AD245" s="27">
        <f>VLOOKUP($A245,'[1]Raw Data'!$A$3:$FB$285,39,FALSE)</f>
        <v>0.01</v>
      </c>
      <c r="AE245" s="27">
        <f>VLOOKUP($A245,'[1]Raw Data'!$A$3:$FB$285,41,FALSE)</f>
        <v>0</v>
      </c>
      <c r="AF245" s="27">
        <f>VLOOKUP($A245,'[1]Raw Data'!$A$3:$FB$285,42,FALSE)</f>
        <v>0</v>
      </c>
      <c r="AG245" s="27">
        <f>VLOOKUP($A245,'[1]Raw Data'!$A$3:$FB$285,44,FALSE)</f>
        <v>0</v>
      </c>
      <c r="AH245" s="27">
        <f>VLOOKUP($A245,'[1]Raw Data'!$A$3:$FB$285,45,FALSE)</f>
        <v>0</v>
      </c>
      <c r="AI245" s="27">
        <f>VLOOKUP($A245,'[1]Raw Data'!$A$3:$FB$285,46,FALSE)</f>
        <v>213</v>
      </c>
      <c r="AJ245" s="27">
        <f>VLOOKUP($A245,'[1]Raw Data'!$A$3:$FB$285,47,FALSE)</f>
        <v>70</v>
      </c>
      <c r="AK245" s="27">
        <f>VLOOKUP($A245,'[1]Raw Data'!$A$3:$FB$285,48,FALSE)</f>
        <v>70</v>
      </c>
      <c r="AL245" s="27">
        <f>VLOOKUP($A245,'[1]Raw Data'!$A$3:$FB$285,49,FALSE)</f>
        <v>44</v>
      </c>
      <c r="AM245" s="27">
        <f>VLOOKUP($A245,'[1]Raw Data'!$A$3:$FB$285,50,FALSE)</f>
        <v>0</v>
      </c>
      <c r="AN245" s="27" t="str">
        <f>VLOOKUP($A245,'[1]Raw Data'!$A$3:$FB$285,51,FALSE)</f>
        <v/>
      </c>
      <c r="AO245" s="27" t="str">
        <f>VLOOKUP($A245,'[1]Raw Data'!$A$3:$FB$285,52,FALSE)</f>
        <v/>
      </c>
      <c r="AP245" s="27">
        <f>VLOOKUP($A245,'[1]Raw Data'!$A$3:$FB$285,53,FALSE)</f>
        <v>60</v>
      </c>
      <c r="AQ245" s="27" t="str">
        <f>VLOOKUP($A245,'[1]Raw Data'!$A$3:$FB$285,54,FALSE)</f>
        <v/>
      </c>
      <c r="AR245" s="27" t="str">
        <f>VLOOKUP($A245,'[1]Raw Data'!$A$3:$FB$285,55,FALSE)</f>
        <v/>
      </c>
      <c r="AS245" s="27" t="str">
        <f>VLOOKUP($A245,'[1]Raw Data'!$A$3:$FB$285,56,FALSE)</f>
        <v/>
      </c>
      <c r="AT245" s="27" t="str">
        <f>VLOOKUP($A245,'[1]Raw Data'!$A$3:$FB$285,57,FALSE)</f>
        <v/>
      </c>
      <c r="AU245" s="27" t="str">
        <f>VLOOKUP($A245,'[1]Raw Data'!$A$3:$FB$285,58,FALSE)</f>
        <v/>
      </c>
      <c r="AV245" s="27" t="str">
        <f>VLOOKUP($A245,'[1]Raw Data'!$A$3:$FB$285,59,FALSE)</f>
        <v/>
      </c>
      <c r="AW245" s="27" t="str">
        <f>VLOOKUP($A245,'[1]Raw Data'!$A$3:$FB$285,60,FALSE)</f>
        <v/>
      </c>
      <c r="AX245" s="27" t="str">
        <f>VLOOKUP(A245,'[1]PO''s List'!A243:E525,4,FALSE)</f>
        <v/>
      </c>
      <c r="AZ245" s="27" t="str">
        <f>VLOOKUP(A245,'[1]PO''s List'!$A$3:$E$285,5,FALSE)</f>
        <v/>
      </c>
      <c r="BB245" s="27">
        <f>VLOOKUP($A245,'[1]Raw Data'!$A$3:$FB$285,63,FALSE)</f>
        <v>2220</v>
      </c>
      <c r="BC245" s="27" t="str">
        <f>VLOOKUP($A245,'[1]Raw Data'!$A$3:$FB$285,64,FALSE)</f>
        <v/>
      </c>
      <c r="BD245" s="27" t="str">
        <f t="shared" si="27"/>
        <v/>
      </c>
      <c r="BE245" s="27" t="str">
        <f>VLOOKUP($A245,'[1]Raw Data'!$A$3:$FB$285,65,FALSE)</f>
        <v/>
      </c>
      <c r="BF245" s="27">
        <f>VLOOKUP($A245,'[1]Raw Data'!$A$3:$FB$285,66,FALSE)</f>
        <v>1987</v>
      </c>
      <c r="BG245" s="27" t="str">
        <f>VLOOKUP($A245,'[1]Raw Data'!$A$3:$FB$285,67,FALSE)</f>
        <v/>
      </c>
      <c r="BH245" s="27" t="str">
        <f t="shared" si="28"/>
        <v/>
      </c>
      <c r="BI245" s="27" t="str">
        <f>VLOOKUP($A245,'[1]Raw Data'!$A$3:$FB$285,68,FALSE)</f>
        <v/>
      </c>
      <c r="BJ245" s="27">
        <f>VLOOKUP($A245,'[1]Raw Data'!$A$3:$FB$285,69,FALSE)</f>
        <v>234</v>
      </c>
      <c r="BK245" s="27" t="str">
        <f>VLOOKUP($A245,'[1]Raw Data'!$A$3:$FB$285,70,FALSE)</f>
        <v/>
      </c>
      <c r="BL245" s="27" t="str">
        <f t="shared" si="29"/>
        <v/>
      </c>
      <c r="BM245" s="27" t="str">
        <f>VLOOKUP($A245,'[1]Raw Data'!$A$3:$FB$285,71,FALSE)</f>
        <v/>
      </c>
      <c r="BN245" s="27">
        <f>VLOOKUP($A245,'[1]Raw Data'!$A$3:$FB$285,72,FALSE)</f>
        <v>261</v>
      </c>
      <c r="BO245" s="27" t="str">
        <f>VLOOKUP($A245,'[1]Raw Data'!$A$3:$FB$285,73,FALSE)</f>
        <v/>
      </c>
      <c r="BP245" s="27" t="str">
        <f t="shared" si="30"/>
        <v/>
      </c>
      <c r="BQ245" s="27" t="str">
        <f>VLOOKUP($A245,'[1]Raw Data'!$A$3:$FB$285,74,FALSE)</f>
        <v/>
      </c>
      <c r="BR245" s="27" t="str">
        <f>VLOOKUP($A245,'[1]Raw Data'!$A$3:$FB$285,75,FALSE)</f>
        <v/>
      </c>
      <c r="BS245" s="27" t="str">
        <f>VLOOKUP($A245,'[1]Raw Data'!$A$3:$FB$285,76,FALSE)</f>
        <v/>
      </c>
      <c r="BT245" s="27" t="str">
        <f t="shared" si="31"/>
        <v/>
      </c>
      <c r="BU245" s="27" t="str">
        <f>VLOOKUP($A245,'[1]Raw Data'!$A$3:$FB$285,77,FALSE)</f>
        <v/>
      </c>
      <c r="BV245" s="27">
        <f>VLOOKUP($A245,'[1]Raw Data'!$A$3:$FB$285,78,FALSE)</f>
        <v>6724</v>
      </c>
      <c r="BW245" s="27" t="str">
        <f>VLOOKUP($A245,'[1]Raw Data'!$A$3:$FB$285,79,FALSE)</f>
        <v/>
      </c>
      <c r="BX245" s="27" t="str">
        <f t="shared" si="32"/>
        <v/>
      </c>
      <c r="BY245" s="27" t="str">
        <f>VLOOKUP($A245,'[1]Raw Data'!$A$3:$FB$285,80,FALSE)</f>
        <v/>
      </c>
      <c r="BZ245" s="27">
        <f>VLOOKUP($A245,'[1]Raw Data'!$A$3:$FB$285,81,FALSE)</f>
        <v>24628</v>
      </c>
      <c r="CA245" s="27" t="str">
        <f>VLOOKUP($A245,'[1]Raw Data'!$A$3:$FB$285,82,FALSE)</f>
        <v/>
      </c>
      <c r="CB245" s="27" t="str">
        <f t="shared" si="33"/>
        <v/>
      </c>
      <c r="CC245" s="27" t="str">
        <f>VLOOKUP($A245,'[1]Raw Data'!$A$3:$FB$285,83,FALSE)</f>
        <v/>
      </c>
      <c r="CD245" s="27">
        <f>VLOOKUP($A245,'[1]Raw Data'!$A$3:$FB$285,84,FALSE)</f>
        <v>275</v>
      </c>
      <c r="CE245" s="27" t="str">
        <f>VLOOKUP($A245,'[1]Raw Data'!$A$3:$FB$285,85,FALSE)</f>
        <v/>
      </c>
      <c r="CF245" s="27" t="str">
        <f t="shared" si="34"/>
        <v/>
      </c>
      <c r="CG245" s="27" t="str">
        <f>VLOOKUP($A245,'[1]Raw Data'!$A$3:$FB$285,86,FALSE)</f>
        <v/>
      </c>
      <c r="CH245" s="27">
        <f>VLOOKUP($A245,'[1]Raw Data'!$A$3:$FB$285,87,FALSE)</f>
        <v>57199</v>
      </c>
      <c r="CI245" s="27" t="str">
        <f>VLOOKUP($A245,'[1]Raw Data'!$A$3:$FB$285,88,FALSE)</f>
        <v/>
      </c>
      <c r="CJ245" s="27" t="str">
        <f t="shared" si="35"/>
        <v/>
      </c>
      <c r="CK245" s="27" t="str">
        <f>VLOOKUP($A245,'[1]Raw Data'!$A$3:$FB$285,89,FALSE)</f>
        <v/>
      </c>
      <c r="CL245" s="27" t="str">
        <f>VLOOKUP($A245,'[1]Raw Data'!$A$3:$FB$285,91,FALSE)</f>
        <v/>
      </c>
      <c r="CM245" s="27" t="str">
        <f>VLOOKUP($A245,'[1]Raw Data'!$A$3:$FB$285,93,FALSE)</f>
        <v/>
      </c>
      <c r="CN245" s="27" t="str">
        <f>VLOOKUP($A245,'[1]Raw Data'!$A$3:$FB$285,94,FALSE)</f>
        <v/>
      </c>
      <c r="CO245" s="27" t="str">
        <f>VLOOKUP($A245,'[1]Raw Data'!$A$3:$FB$285,95,FALSE)</f>
        <v/>
      </c>
      <c r="CP245" s="27" t="str">
        <f>VLOOKUP($A245,'[1]Raw Data'!$A$3:$FB$285,96,FALSE)</f>
        <v/>
      </c>
      <c r="CQ245" s="27" t="str">
        <f>VLOOKUP($A245,'[1]Raw Data'!$A$3:$FB$285,97,FALSE)</f>
        <v/>
      </c>
      <c r="CR245" s="27" t="str">
        <f>VLOOKUP($A245,'[1]Raw Data'!$A$3:$FB$285,98,FALSE)</f>
        <v/>
      </c>
      <c r="CS245" s="27" t="str">
        <f>VLOOKUP($A245,'[1]Raw Data'!$A$3:$FB$285,99,FALSE)</f>
        <v/>
      </c>
      <c r="CT245" s="27" t="str">
        <f>VLOOKUP($A245,'[1]Raw Data'!$A$3:$FB$285,101,FALSE)</f>
        <v/>
      </c>
      <c r="CV245" s="27" t="str">
        <f>VLOOKUP($A245,'[1]Raw Data'!$A$3:$FB$285,102,FALSE)</f>
        <v>Chairman</v>
      </c>
      <c r="CW245" s="27" t="s">
        <v>878</v>
      </c>
      <c r="CX245" s="27" t="str">
        <f>VLOOKUP($A245,'[1]Raw Data'!$A$3:$FB$285,103,FALSE)</f>
        <v/>
      </c>
      <c r="CY245" s="27" t="str">
        <f>VLOOKUP($A245,'[1]Raw Data'!$A$3:$FB$285,105,FALSE)</f>
        <v/>
      </c>
      <c r="DA245" s="27" t="str">
        <f>VLOOKUP($A245,'[1]Raw Data'!$A$3:$FB$285,106,FALSE)</f>
        <v>Deputy Chairman</v>
      </c>
      <c r="DB245" s="27" t="s">
        <v>879</v>
      </c>
      <c r="DC245" s="27" t="str">
        <f>VLOOKUP($A245,'[1]Raw Data'!$A$3:$FB$285,107,FALSE)</f>
        <v/>
      </c>
      <c r="DD245" s="27" t="str">
        <f>VLOOKUP($A245,'[1]Raw Data'!$A$3:$FB$285,109,FALSE)</f>
        <v/>
      </c>
      <c r="DF245" s="27" t="str">
        <f>VLOOKUP($A245,'[1]Raw Data'!$A$3:$FB$285,110,FALSE)</f>
        <v>Chief Adminstration Officer</v>
      </c>
      <c r="DG245" s="27" t="s">
        <v>880</v>
      </c>
      <c r="DH245" s="27" t="str">
        <f>VLOOKUP($A245,'[1]Raw Data'!$A$3:$FB$285,111,FALSE)</f>
        <v/>
      </c>
      <c r="DI245" s="27" t="str">
        <f>VLOOKUP($A245,'[1]Raw Data'!$A$3:$FB$285,121,FALSE)</f>
        <v/>
      </c>
      <c r="DK245" s="27" t="str">
        <f>VLOOKUP($A245,'[1]Raw Data'!$A$3:$FB$285,122,FALSE)</f>
        <v>Focal Person</v>
      </c>
      <c r="DL245" s="27" t="s">
        <v>881</v>
      </c>
      <c r="DM245" s="27" t="str">
        <f>VLOOKUP($A245,'[1]Raw Data'!$A$3:$FB$285,123,FALSE)</f>
        <v/>
      </c>
      <c r="DN245" s="27" t="str">
        <f>VLOOKUP($A245,'[1]Raw Data'!$A$3:$FB$285,113,FALSE)</f>
        <v/>
      </c>
      <c r="DP245" s="27" t="str">
        <f>VLOOKUP($A245,'[1]Raw Data'!$A$3:$FB$285,114,FALSE)</f>
        <v>NRA Chief-District</v>
      </c>
      <c r="DQ245" s="27" t="s">
        <v>882</v>
      </c>
      <c r="DR245" s="27" t="str">
        <f>VLOOKUP($A245,'[1]Raw Data'!$A$3:$FB$285,115,FALSE)</f>
        <v/>
      </c>
      <c r="DS245" s="27" t="str">
        <f>VLOOKUP($A245,'[1]Raw Data'!$A$3:$FB$285,117,FALSE)</f>
        <v/>
      </c>
      <c r="DU245" s="27" t="str">
        <f>VLOOKUP($A245,'[1]Raw Data'!$A$3:$FB$285,118,FALSE)</f>
        <v>DUDBC.DLPIU Chief</v>
      </c>
      <c r="DV245" s="27" t="s">
        <v>883</v>
      </c>
      <c r="DW245" s="27" t="str">
        <f>VLOOKUP($A245,'[1]Raw Data'!$A$3:$FB$285,119,FALSE)</f>
        <v/>
      </c>
      <c r="DX245" s="27" t="s">
        <v>339</v>
      </c>
      <c r="DY245" s="27" t="str">
        <f>VLOOKUP($A245,'[1]Raw Data'!$A$3:$FB$285,124,FALSE)</f>
        <v/>
      </c>
      <c r="DZ245" s="27" t="s">
        <v>884</v>
      </c>
      <c r="EA245" s="27" t="str">
        <f>VLOOKUP($A245,'[1]Raw Data'!$A$3:$FB$285,125,FALSE)</f>
        <v/>
      </c>
      <c r="EB245" s="27" t="s">
        <v>341</v>
      </c>
      <c r="EC245" s="27" t="str">
        <f>VLOOKUP($A245,'[1]Raw Data'!$A$3:$FB$285,126,FALSE)</f>
        <v/>
      </c>
      <c r="ED245" t="s">
        <v>478</v>
      </c>
      <c r="EE245" s="27" t="str">
        <f>VLOOKUP($A245,'[1]Raw Data'!$A$3:$FB$285,127,FALSE)</f>
        <v/>
      </c>
      <c r="EF245" s="27" t="s">
        <v>343</v>
      </c>
      <c r="EG245" s="27" t="str">
        <f>VLOOKUP($A245,'[1]Raw Data'!$A$3:$FB$285,128,FALSE)</f>
        <v/>
      </c>
      <c r="EH245" t="s">
        <v>344</v>
      </c>
      <c r="EI245" s="27" t="str">
        <f>VLOOKUP($A245,'[1]Raw Data'!$A$3:$FB$285,129,FALSE)</f>
        <v/>
      </c>
      <c r="EM245" s="27" t="str">
        <f>VLOOKUP($A245,'[1]Raw Data'!$A$3:$FB$285,130,FALSE)</f>
        <v/>
      </c>
      <c r="EN245" s="27" t="str">
        <f>VLOOKUP($A245,'[1]Raw Data'!$A$3:$FB$285,131,FALSE)</f>
        <v/>
      </c>
      <c r="EO245" s="27" t="str">
        <f>VLOOKUP($A245,'[1]Raw Data'!$A$3:$FB$285,132,FALSE)</f>
        <v/>
      </c>
      <c r="EP245" s="27" t="str">
        <f>VLOOKUP($A245,'[1]Raw Data'!$A$3:$FB$285,133,FALSE)</f>
        <v/>
      </c>
      <c r="EQ245" s="27" t="str">
        <f>VLOOKUP($A245,'[1]Raw Data'!$A$3:$FB$285,134,FALSE)</f>
        <v/>
      </c>
      <c r="ER245" s="27" t="str">
        <f>VLOOKUP($A245,'[1]Raw Data'!$A$3:$FB$285,135,FALSE)</f>
        <v/>
      </c>
      <c r="ES245" s="27" t="str">
        <f>VLOOKUP($A245,'[1]Raw Data'!$A$3:$FB$285,136,FALSE)</f>
        <v/>
      </c>
      <c r="ET245" s="27" t="str">
        <f>VLOOKUP($A245,'[1]Raw Data'!$A$3:$FB$285,137,FALSE)</f>
        <v/>
      </c>
      <c r="EU245" s="27" t="str">
        <f>VLOOKUP($A245,'[1]Raw Data'!$A$3:$FB$285,138,FALSE)</f>
        <v/>
      </c>
      <c r="EV245" s="27" t="str">
        <f>VLOOKUP($A245,'[1]Raw Data'!$A$3:$FB$285,139,FALSE)</f>
        <v/>
      </c>
      <c r="EW245" s="38">
        <f>VLOOKUP($A245,[1]Training!$A$2:$I$284,5,FALSE)</f>
        <v>16.384615384615383</v>
      </c>
      <c r="EX245" s="31">
        <f>VLOOKUP($A245,[1]Training!$A$2:$I$284,6,FALSE)</f>
        <v>75</v>
      </c>
      <c r="EY245" s="38">
        <f>VLOOKUP($A245,[1]Training!$A$2:$I$284,8,FALSE)</f>
        <v>19.363636363636363</v>
      </c>
      <c r="EZ245" s="31">
        <f>VLOOKUP($A245,[1]Training!$A$2:$I$284,9,FALSE)</f>
        <v>0</v>
      </c>
      <c r="FA245" s="27">
        <v>1</v>
      </c>
      <c r="FB245" s="27">
        <v>2</v>
      </c>
      <c r="FC245" s="27" t="str">
        <f>VLOOKUP($A245,'[1]Raw Data'!$A$3:$FB$285,148,FALSE)</f>
        <v/>
      </c>
      <c r="FE245" s="27" t="str">
        <f>VLOOKUP($A245,'[1]Raw Data'!$A$3:$FB$285,149,FALSE)</f>
        <v>District Coordinator</v>
      </c>
      <c r="FF245" s="27" t="s">
        <v>885</v>
      </c>
      <c r="FG245" s="27" t="str">
        <f>VLOOKUP($A245,'[1]Raw Data'!$A$3:$FB$285,150,FALSE)</f>
        <v/>
      </c>
      <c r="FH245" s="27" t="str">
        <f>VLOOKUP($A245,'[1]Raw Data'!$A$3:$FB$285,156,FALSE)</f>
        <v/>
      </c>
      <c r="FJ245" s="27" t="str">
        <f>VLOOKUP($A245,'[1]Raw Data'!$A$3:$FB$285,157,FALSE)</f>
        <v>District Technical Officer</v>
      </c>
      <c r="FK245" s="27" t="s">
        <v>886</v>
      </c>
      <c r="FL245" s="27" t="str">
        <f>VLOOKUP($A245,'[1]Raw Data'!$A$3:$FB$285,158,FALSE)</f>
        <v/>
      </c>
      <c r="FM245" s="27" t="str">
        <f>VLOOKUP($A245,'[1]Raw Data'!$A$3:$FB$285,152,FALSE)</f>
        <v/>
      </c>
      <c r="FO245" s="27" t="str">
        <f>VLOOKUP($A245,'[1]Raw Data'!$A$3:$FB$285,153,FALSE)</f>
        <v>DIstrict Information Management Officer</v>
      </c>
      <c r="FP245" s="27" t="s">
        <v>887</v>
      </c>
      <c r="FQ245" s="27" t="str">
        <f>VLOOKUP($A245,'[1]Raw Data'!$A$3:$FB$285,154,FALSE)</f>
        <v/>
      </c>
    </row>
    <row r="246" spans="1:173" ht="24" x14ac:dyDescent="0.45">
      <c r="A246" s="27">
        <v>46003</v>
      </c>
      <c r="B246" s="36" t="str">
        <f ca="1">IFERROR(__xludf.DUMMYFUNCTION("""COMPUTED_VALUE"""),"Dhurkot Gaunpalika")</f>
        <v>Dhurkot Gaunpalika</v>
      </c>
      <c r="C246" s="37" t="str">
        <f>VLOOKUP(A246,'[1]Palika and District in Nepali '!$D$1:$F$283,3,FALSE)</f>
        <v>धुरकोट गाउँपालिका</v>
      </c>
      <c r="D246" s="36" t="str">
        <f ca="1">IFERROR(__xludf.DUMMYFUNCTION("""COMPUTED_VALUE"""),"Gulmi")</f>
        <v>Gulmi</v>
      </c>
      <c r="E246" s="36"/>
      <c r="F246" s="27">
        <f>VLOOKUP(A246,'[1]Raw Data'!$A$3:$FB$285,4,FALSE)</f>
        <v>525</v>
      </c>
      <c r="G246" s="27">
        <f>VLOOKUP(A246,'[1]Raw Data'!$A$3:$FB$285,5,FALSE)</f>
        <v>522</v>
      </c>
      <c r="H246" s="27">
        <f>VLOOKUP(A246,'[1]Raw Data'!$A$3:$FB$285,6,FALSE)</f>
        <v>1047</v>
      </c>
      <c r="I246" s="27">
        <f>VLOOKUP($A246,'[1]Raw Data'!$A$3:$FB$285,8,FALSE)</f>
        <v>2.67</v>
      </c>
      <c r="J246" s="27">
        <f>VLOOKUP($A246,'[1]Raw Data'!$A$3:$FB$285,9,FALSE)</f>
        <v>0.82</v>
      </c>
      <c r="K246" s="27">
        <f>VLOOKUP($A246,'[1]Raw Data'!$A$3:$FB$285,11,FALSE)</f>
        <v>92.65</v>
      </c>
      <c r="L246" s="27">
        <f>VLOOKUP($A246,'[1]Raw Data'!$A$3:$FB$285,12,FALSE)</f>
        <v>94.78</v>
      </c>
      <c r="M246" s="27">
        <f>VLOOKUP($A246,'[1]Raw Data'!$A$3:$FB$285,14,FALSE)</f>
        <v>0.38</v>
      </c>
      <c r="N246" s="27">
        <f>VLOOKUP($A246,'[1]Raw Data'!$A$3:$FB$285,15,FALSE)</f>
        <v>0.21</v>
      </c>
      <c r="O246" s="27">
        <f>VLOOKUP($A246,'[1]Raw Data'!$A$3:$FB$285,17,FALSE)</f>
        <v>0</v>
      </c>
      <c r="P246" s="27">
        <f>VLOOKUP($A246,'[1]Raw Data'!$A$3:$FB$285,18,FALSE)</f>
        <v>0</v>
      </c>
      <c r="Q246" s="27">
        <f>VLOOKUP($A246,'[1]Raw Data'!$A$3:$FB$285,20,FALSE)</f>
        <v>0.1</v>
      </c>
      <c r="R246" s="27">
        <f>VLOOKUP($A246,'[1]Raw Data'!$A$3:$FB$285,21,FALSE)</f>
        <v>0.5</v>
      </c>
      <c r="S246" s="27">
        <f>VLOOKUP($A246,'[1]Raw Data'!$A$3:$FB$285,23,FALSE)</f>
        <v>0</v>
      </c>
      <c r="T246" s="27">
        <f>VLOOKUP($A246,'[1]Raw Data'!$A$3:$FB$285,24,FALSE)</f>
        <v>0</v>
      </c>
      <c r="U246" s="27">
        <f>VLOOKUP($A246,'[1]Raw Data'!$A$3:$FB$285,26,FALSE)</f>
        <v>0.1</v>
      </c>
      <c r="V246" s="27">
        <f>VLOOKUP($A246,'[1]Raw Data'!$A$3:$FB$285,27,FALSE)</f>
        <v>0.17</v>
      </c>
      <c r="W246" s="27">
        <f>VLOOKUP($A246,'[1]Raw Data'!$A$3:$FB$285,29,FALSE)</f>
        <v>0</v>
      </c>
      <c r="X246" s="27">
        <f>VLOOKUP($A246,'[1]Raw Data'!$A$3:$FB$285,30,FALSE)</f>
        <v>0</v>
      </c>
      <c r="Y246" s="27">
        <f>VLOOKUP($A246,'[1]Raw Data'!$A$3:$FB$285,32,FALSE)</f>
        <v>0.28999999999999998</v>
      </c>
      <c r="Z246" s="27">
        <f>VLOOKUP($A246,'[1]Raw Data'!$A$3:$FB$285,33,FALSE)</f>
        <v>0.44</v>
      </c>
      <c r="AA246" s="27">
        <f>VLOOKUP($A246,'[1]Raw Data'!$A$3:$FB$285,35,FALSE)</f>
        <v>3.82</v>
      </c>
      <c r="AB246" s="27">
        <f>VLOOKUP($A246,'[1]Raw Data'!$A$3:$FB$285,36,FALSE)</f>
        <v>3.06</v>
      </c>
      <c r="AC246" s="27">
        <f>VLOOKUP($A246,'[1]Raw Data'!$A$3:$FB$285,38,FALSE)</f>
        <v>0</v>
      </c>
      <c r="AD246" s="27">
        <f>VLOOKUP($A246,'[1]Raw Data'!$A$3:$FB$285,39,FALSE)</f>
        <v>0.01</v>
      </c>
      <c r="AE246" s="27">
        <f>VLOOKUP($A246,'[1]Raw Data'!$A$3:$FB$285,41,FALSE)</f>
        <v>0</v>
      </c>
      <c r="AF246" s="27">
        <f>VLOOKUP($A246,'[1]Raw Data'!$A$3:$FB$285,42,FALSE)</f>
        <v>0</v>
      </c>
      <c r="AG246" s="27">
        <f>VLOOKUP($A246,'[1]Raw Data'!$A$3:$FB$285,44,FALSE)</f>
        <v>0</v>
      </c>
      <c r="AH246" s="27">
        <f>VLOOKUP($A246,'[1]Raw Data'!$A$3:$FB$285,45,FALSE)</f>
        <v>0</v>
      </c>
      <c r="AI246" s="27">
        <f>VLOOKUP($A246,'[1]Raw Data'!$A$3:$FB$285,46,FALSE)</f>
        <v>492</v>
      </c>
      <c r="AJ246" s="27">
        <f>VLOOKUP($A246,'[1]Raw Data'!$A$3:$FB$285,47,FALSE)</f>
        <v>422</v>
      </c>
      <c r="AK246" s="27">
        <f>VLOOKUP($A246,'[1]Raw Data'!$A$3:$FB$285,48,FALSE)</f>
        <v>422</v>
      </c>
      <c r="AL246" s="27">
        <f>VLOOKUP($A246,'[1]Raw Data'!$A$3:$FB$285,49,FALSE)</f>
        <v>155</v>
      </c>
      <c r="AM246" s="27">
        <f>VLOOKUP($A246,'[1]Raw Data'!$A$3:$FB$285,50,FALSE)</f>
        <v>0</v>
      </c>
      <c r="AN246" s="27" t="str">
        <f>VLOOKUP($A246,'[1]Raw Data'!$A$3:$FB$285,51,FALSE)</f>
        <v/>
      </c>
      <c r="AO246" s="27" t="str">
        <f>VLOOKUP($A246,'[1]Raw Data'!$A$3:$FB$285,52,FALSE)</f>
        <v/>
      </c>
      <c r="AP246" s="27">
        <f>VLOOKUP($A246,'[1]Raw Data'!$A$3:$FB$285,53,FALSE)</f>
        <v>33</v>
      </c>
      <c r="AQ246" s="27" t="str">
        <f>VLOOKUP($A246,'[1]Raw Data'!$A$3:$FB$285,54,FALSE)</f>
        <v/>
      </c>
      <c r="AR246" s="27" t="str">
        <f>VLOOKUP($A246,'[1]Raw Data'!$A$3:$FB$285,55,FALSE)</f>
        <v/>
      </c>
      <c r="AS246" s="27" t="str">
        <f>VLOOKUP($A246,'[1]Raw Data'!$A$3:$FB$285,56,FALSE)</f>
        <v/>
      </c>
      <c r="AT246" s="27" t="str">
        <f>VLOOKUP($A246,'[1]Raw Data'!$A$3:$FB$285,57,FALSE)</f>
        <v/>
      </c>
      <c r="AU246" s="27" t="str">
        <f>VLOOKUP($A246,'[1]Raw Data'!$A$3:$FB$285,58,FALSE)</f>
        <v/>
      </c>
      <c r="AV246" s="27" t="str">
        <f>VLOOKUP($A246,'[1]Raw Data'!$A$3:$FB$285,59,FALSE)</f>
        <v/>
      </c>
      <c r="AW246" s="27" t="str">
        <f>VLOOKUP($A246,'[1]Raw Data'!$A$3:$FB$285,60,FALSE)</f>
        <v/>
      </c>
      <c r="AX246" s="27" t="str">
        <f>VLOOKUP(A246,'[1]PO''s List'!A244:E526,4,FALSE)</f>
        <v/>
      </c>
      <c r="AZ246" s="27" t="str">
        <f>VLOOKUP(A246,'[1]PO''s List'!$A$3:$E$285,5,FALSE)</f>
        <v/>
      </c>
      <c r="BB246" s="27">
        <f>VLOOKUP($A246,'[1]Raw Data'!$A$3:$FB$285,63,FALSE)</f>
        <v>12171</v>
      </c>
      <c r="BC246" s="27" t="str">
        <f>VLOOKUP($A246,'[1]Raw Data'!$A$3:$FB$285,64,FALSE)</f>
        <v/>
      </c>
      <c r="BD246" s="27" t="str">
        <f t="shared" si="27"/>
        <v/>
      </c>
      <c r="BE246" s="27" t="str">
        <f>VLOOKUP($A246,'[1]Raw Data'!$A$3:$FB$285,65,FALSE)</f>
        <v/>
      </c>
      <c r="BF246" s="27">
        <f>VLOOKUP($A246,'[1]Raw Data'!$A$3:$FB$285,66,FALSE)</f>
        <v>12483</v>
      </c>
      <c r="BG246" s="27" t="str">
        <f>VLOOKUP($A246,'[1]Raw Data'!$A$3:$FB$285,67,FALSE)</f>
        <v/>
      </c>
      <c r="BH246" s="27" t="str">
        <f t="shared" si="28"/>
        <v/>
      </c>
      <c r="BI246" s="27" t="str">
        <f>VLOOKUP($A246,'[1]Raw Data'!$A$3:$FB$285,68,FALSE)</f>
        <v/>
      </c>
      <c r="BJ246" s="27">
        <f>VLOOKUP($A246,'[1]Raw Data'!$A$3:$FB$285,69,FALSE)</f>
        <v>1299</v>
      </c>
      <c r="BK246" s="27" t="str">
        <f>VLOOKUP($A246,'[1]Raw Data'!$A$3:$FB$285,70,FALSE)</f>
        <v/>
      </c>
      <c r="BL246" s="27" t="str">
        <f t="shared" si="29"/>
        <v/>
      </c>
      <c r="BM246" s="27" t="str">
        <f>VLOOKUP($A246,'[1]Raw Data'!$A$3:$FB$285,71,FALSE)</f>
        <v/>
      </c>
      <c r="BN246" s="27">
        <f>VLOOKUP($A246,'[1]Raw Data'!$A$3:$FB$285,72,FALSE)</f>
        <v>1499</v>
      </c>
      <c r="BO246" s="27" t="str">
        <f>VLOOKUP($A246,'[1]Raw Data'!$A$3:$FB$285,73,FALSE)</f>
        <v/>
      </c>
      <c r="BP246" s="27" t="str">
        <f t="shared" si="30"/>
        <v/>
      </c>
      <c r="BQ246" s="27" t="str">
        <f>VLOOKUP($A246,'[1]Raw Data'!$A$3:$FB$285,74,FALSE)</f>
        <v/>
      </c>
      <c r="BR246" s="27" t="str">
        <f>VLOOKUP($A246,'[1]Raw Data'!$A$3:$FB$285,75,FALSE)</f>
        <v/>
      </c>
      <c r="BS246" s="27" t="str">
        <f>VLOOKUP($A246,'[1]Raw Data'!$A$3:$FB$285,76,FALSE)</f>
        <v/>
      </c>
      <c r="BT246" s="27" t="str">
        <f t="shared" si="31"/>
        <v/>
      </c>
      <c r="BU246" s="27" t="str">
        <f>VLOOKUP($A246,'[1]Raw Data'!$A$3:$FB$285,77,FALSE)</f>
        <v/>
      </c>
      <c r="BV246" s="27">
        <f>VLOOKUP($A246,'[1]Raw Data'!$A$3:$FB$285,78,FALSE)</f>
        <v>41241</v>
      </c>
      <c r="BW246" s="27" t="str">
        <f>VLOOKUP($A246,'[1]Raw Data'!$A$3:$FB$285,79,FALSE)</f>
        <v/>
      </c>
      <c r="BX246" s="27" t="str">
        <f t="shared" si="32"/>
        <v/>
      </c>
      <c r="BY246" s="27" t="str">
        <f>VLOOKUP($A246,'[1]Raw Data'!$A$3:$FB$285,80,FALSE)</f>
        <v/>
      </c>
      <c r="BZ246" s="27">
        <f>VLOOKUP($A246,'[1]Raw Data'!$A$3:$FB$285,81,FALSE)</f>
        <v>131774</v>
      </c>
      <c r="CA246" s="27" t="str">
        <f>VLOOKUP($A246,'[1]Raw Data'!$A$3:$FB$285,82,FALSE)</f>
        <v/>
      </c>
      <c r="CB246" s="27" t="str">
        <f t="shared" si="33"/>
        <v/>
      </c>
      <c r="CC246" s="27" t="str">
        <f>VLOOKUP($A246,'[1]Raw Data'!$A$3:$FB$285,83,FALSE)</f>
        <v/>
      </c>
      <c r="CD246" s="27">
        <f>VLOOKUP($A246,'[1]Raw Data'!$A$3:$FB$285,84,FALSE)</f>
        <v>1685</v>
      </c>
      <c r="CE246" s="27" t="str">
        <f>VLOOKUP($A246,'[1]Raw Data'!$A$3:$FB$285,85,FALSE)</f>
        <v/>
      </c>
      <c r="CF246" s="27" t="str">
        <f t="shared" si="34"/>
        <v/>
      </c>
      <c r="CG246" s="27" t="str">
        <f>VLOOKUP($A246,'[1]Raw Data'!$A$3:$FB$285,86,FALSE)</f>
        <v/>
      </c>
      <c r="CH246" s="27">
        <f>VLOOKUP($A246,'[1]Raw Data'!$A$3:$FB$285,87,FALSE)</f>
        <v>101774</v>
      </c>
      <c r="CI246" s="27" t="str">
        <f>VLOOKUP($A246,'[1]Raw Data'!$A$3:$FB$285,88,FALSE)</f>
        <v/>
      </c>
      <c r="CJ246" s="27" t="str">
        <f t="shared" si="35"/>
        <v/>
      </c>
      <c r="CK246" s="27" t="str">
        <f>VLOOKUP($A246,'[1]Raw Data'!$A$3:$FB$285,89,FALSE)</f>
        <v/>
      </c>
      <c r="CL246" s="27" t="str">
        <f>VLOOKUP($A246,'[1]Raw Data'!$A$3:$FB$285,91,FALSE)</f>
        <v/>
      </c>
      <c r="CM246" s="27" t="str">
        <f>VLOOKUP($A246,'[1]Raw Data'!$A$3:$FB$285,93,FALSE)</f>
        <v/>
      </c>
      <c r="CN246" s="27" t="str">
        <f>VLOOKUP($A246,'[1]Raw Data'!$A$3:$FB$285,94,FALSE)</f>
        <v/>
      </c>
      <c r="CO246" s="27" t="str">
        <f>VLOOKUP($A246,'[1]Raw Data'!$A$3:$FB$285,95,FALSE)</f>
        <v/>
      </c>
      <c r="CP246" s="27" t="str">
        <f>VLOOKUP($A246,'[1]Raw Data'!$A$3:$FB$285,96,FALSE)</f>
        <v/>
      </c>
      <c r="CQ246" s="27" t="str">
        <f>VLOOKUP($A246,'[1]Raw Data'!$A$3:$FB$285,97,FALSE)</f>
        <v/>
      </c>
      <c r="CR246" s="27" t="str">
        <f>VLOOKUP($A246,'[1]Raw Data'!$A$3:$FB$285,98,FALSE)</f>
        <v/>
      </c>
      <c r="CS246" s="27" t="str">
        <f>VLOOKUP($A246,'[1]Raw Data'!$A$3:$FB$285,99,FALSE)</f>
        <v/>
      </c>
      <c r="CT246" s="27" t="str">
        <f>VLOOKUP($A246,'[1]Raw Data'!$A$3:$FB$285,101,FALSE)</f>
        <v/>
      </c>
      <c r="CV246" s="27" t="str">
        <f>VLOOKUP($A246,'[1]Raw Data'!$A$3:$FB$285,102,FALSE)</f>
        <v>Chairman</v>
      </c>
      <c r="CW246" s="27" t="s">
        <v>878</v>
      </c>
      <c r="CX246" s="27" t="str">
        <f>VLOOKUP($A246,'[1]Raw Data'!$A$3:$FB$285,103,FALSE)</f>
        <v/>
      </c>
      <c r="CY246" s="27" t="str">
        <f>VLOOKUP($A246,'[1]Raw Data'!$A$3:$FB$285,105,FALSE)</f>
        <v/>
      </c>
      <c r="DA246" s="27" t="str">
        <f>VLOOKUP($A246,'[1]Raw Data'!$A$3:$FB$285,106,FALSE)</f>
        <v>Deputy Chairman</v>
      </c>
      <c r="DB246" s="27" t="s">
        <v>879</v>
      </c>
      <c r="DC246" s="27" t="str">
        <f>VLOOKUP($A246,'[1]Raw Data'!$A$3:$FB$285,107,FALSE)</f>
        <v/>
      </c>
      <c r="DD246" s="27" t="str">
        <f>VLOOKUP($A246,'[1]Raw Data'!$A$3:$FB$285,109,FALSE)</f>
        <v/>
      </c>
      <c r="DF246" s="27" t="str">
        <f>VLOOKUP($A246,'[1]Raw Data'!$A$3:$FB$285,110,FALSE)</f>
        <v>Chief Adminstration Officer</v>
      </c>
      <c r="DG246" s="27" t="s">
        <v>880</v>
      </c>
      <c r="DH246" s="27" t="str">
        <f>VLOOKUP($A246,'[1]Raw Data'!$A$3:$FB$285,111,FALSE)</f>
        <v/>
      </c>
      <c r="DI246" s="27" t="str">
        <f>VLOOKUP($A246,'[1]Raw Data'!$A$3:$FB$285,121,FALSE)</f>
        <v/>
      </c>
      <c r="DK246" s="27" t="str">
        <f>VLOOKUP($A246,'[1]Raw Data'!$A$3:$FB$285,122,FALSE)</f>
        <v>Focal Person</v>
      </c>
      <c r="DL246" s="27" t="s">
        <v>881</v>
      </c>
      <c r="DM246" s="27" t="str">
        <f>VLOOKUP($A246,'[1]Raw Data'!$A$3:$FB$285,123,FALSE)</f>
        <v/>
      </c>
      <c r="DN246" s="27" t="str">
        <f>VLOOKUP($A246,'[1]Raw Data'!$A$3:$FB$285,113,FALSE)</f>
        <v/>
      </c>
      <c r="DP246" s="27" t="str">
        <f>VLOOKUP($A246,'[1]Raw Data'!$A$3:$FB$285,114,FALSE)</f>
        <v>NRA Chief-District</v>
      </c>
      <c r="DQ246" s="27" t="s">
        <v>882</v>
      </c>
      <c r="DR246" s="27" t="str">
        <f>VLOOKUP($A246,'[1]Raw Data'!$A$3:$FB$285,115,FALSE)</f>
        <v/>
      </c>
      <c r="DS246" s="27" t="str">
        <f>VLOOKUP($A246,'[1]Raw Data'!$A$3:$FB$285,117,FALSE)</f>
        <v/>
      </c>
      <c r="DU246" s="27" t="str">
        <f>VLOOKUP($A246,'[1]Raw Data'!$A$3:$FB$285,118,FALSE)</f>
        <v>DUDBC.DLPIU Chief</v>
      </c>
      <c r="DV246" s="27" t="s">
        <v>883</v>
      </c>
      <c r="DW246" s="27" t="str">
        <f>VLOOKUP($A246,'[1]Raw Data'!$A$3:$FB$285,119,FALSE)</f>
        <v/>
      </c>
      <c r="DX246" s="27" t="s">
        <v>339</v>
      </c>
      <c r="DY246" s="27" t="str">
        <f>VLOOKUP($A246,'[1]Raw Data'!$A$3:$FB$285,124,FALSE)</f>
        <v/>
      </c>
      <c r="DZ246" s="27" t="s">
        <v>884</v>
      </c>
      <c r="EA246" s="27" t="str">
        <f>VLOOKUP($A246,'[1]Raw Data'!$A$3:$FB$285,125,FALSE)</f>
        <v/>
      </c>
      <c r="EB246" s="27" t="s">
        <v>341</v>
      </c>
      <c r="EC246" s="27" t="str">
        <f>VLOOKUP($A246,'[1]Raw Data'!$A$3:$FB$285,126,FALSE)</f>
        <v/>
      </c>
      <c r="ED246" t="s">
        <v>478</v>
      </c>
      <c r="EE246" s="27" t="str">
        <f>VLOOKUP($A246,'[1]Raw Data'!$A$3:$FB$285,127,FALSE)</f>
        <v/>
      </c>
      <c r="EF246" s="27" t="s">
        <v>343</v>
      </c>
      <c r="EG246" s="27" t="str">
        <f>VLOOKUP($A246,'[1]Raw Data'!$A$3:$FB$285,128,FALSE)</f>
        <v/>
      </c>
      <c r="EH246" t="s">
        <v>344</v>
      </c>
      <c r="EI246" s="27" t="str">
        <f>VLOOKUP($A246,'[1]Raw Data'!$A$3:$FB$285,129,FALSE)</f>
        <v/>
      </c>
      <c r="EM246" s="27" t="str">
        <f>VLOOKUP($A246,'[1]Raw Data'!$A$3:$FB$285,130,FALSE)</f>
        <v/>
      </c>
      <c r="EN246" s="27" t="str">
        <f>VLOOKUP($A246,'[1]Raw Data'!$A$3:$FB$285,131,FALSE)</f>
        <v/>
      </c>
      <c r="EO246" s="27" t="str">
        <f>VLOOKUP($A246,'[1]Raw Data'!$A$3:$FB$285,132,FALSE)</f>
        <v/>
      </c>
      <c r="EP246" s="27" t="str">
        <f>VLOOKUP($A246,'[1]Raw Data'!$A$3:$FB$285,133,FALSE)</f>
        <v/>
      </c>
      <c r="EQ246" s="27" t="str">
        <f>VLOOKUP($A246,'[1]Raw Data'!$A$3:$FB$285,134,FALSE)</f>
        <v/>
      </c>
      <c r="ER246" s="27" t="str">
        <f>VLOOKUP($A246,'[1]Raw Data'!$A$3:$FB$285,135,FALSE)</f>
        <v/>
      </c>
      <c r="ES246" s="27" t="str">
        <f>VLOOKUP($A246,'[1]Raw Data'!$A$3:$FB$285,136,FALSE)</f>
        <v/>
      </c>
      <c r="ET246" s="27" t="str">
        <f>VLOOKUP($A246,'[1]Raw Data'!$A$3:$FB$285,137,FALSE)</f>
        <v/>
      </c>
      <c r="EU246" s="27" t="str">
        <f>VLOOKUP($A246,'[1]Raw Data'!$A$3:$FB$285,138,FALSE)</f>
        <v/>
      </c>
      <c r="EV246" s="27" t="str">
        <f>VLOOKUP($A246,'[1]Raw Data'!$A$3:$FB$285,139,FALSE)</f>
        <v/>
      </c>
      <c r="EW246" s="38">
        <f>VLOOKUP($A246,[1]Training!$A$2:$I$284,5,FALSE)</f>
        <v>37.846153846153847</v>
      </c>
      <c r="EX246" s="31">
        <f>VLOOKUP($A246,[1]Training!$A$2:$I$284,6,FALSE)</f>
        <v>0</v>
      </c>
      <c r="EY246" s="38">
        <f>VLOOKUP($A246,[1]Training!$A$2:$I$284,8,FALSE)</f>
        <v>44.727272727272727</v>
      </c>
      <c r="EZ246" s="31">
        <f>VLOOKUP($A246,[1]Training!$A$2:$I$284,9,FALSE)</f>
        <v>0</v>
      </c>
      <c r="FA246" s="27">
        <v>1</v>
      </c>
      <c r="FB246" s="27">
        <v>2</v>
      </c>
      <c r="FC246" s="27" t="str">
        <f>VLOOKUP($A246,'[1]Raw Data'!$A$3:$FB$285,148,FALSE)</f>
        <v/>
      </c>
      <c r="FE246" s="27" t="str">
        <f>VLOOKUP($A246,'[1]Raw Data'!$A$3:$FB$285,149,FALSE)</f>
        <v>District Coordinator</v>
      </c>
      <c r="FF246" s="27" t="s">
        <v>885</v>
      </c>
      <c r="FG246" s="27" t="str">
        <f>VLOOKUP($A246,'[1]Raw Data'!$A$3:$FB$285,150,FALSE)</f>
        <v/>
      </c>
      <c r="FH246" s="27" t="str">
        <f>VLOOKUP($A246,'[1]Raw Data'!$A$3:$FB$285,156,FALSE)</f>
        <v/>
      </c>
      <c r="FJ246" s="27" t="str">
        <f>VLOOKUP($A246,'[1]Raw Data'!$A$3:$FB$285,157,FALSE)</f>
        <v>District Technical Officer</v>
      </c>
      <c r="FK246" s="27" t="s">
        <v>886</v>
      </c>
      <c r="FL246" s="27" t="str">
        <f>VLOOKUP($A246,'[1]Raw Data'!$A$3:$FB$285,158,FALSE)</f>
        <v/>
      </c>
      <c r="FM246" s="27" t="str">
        <f>VLOOKUP($A246,'[1]Raw Data'!$A$3:$FB$285,152,FALSE)</f>
        <v/>
      </c>
      <c r="FO246" s="27" t="str">
        <f>VLOOKUP($A246,'[1]Raw Data'!$A$3:$FB$285,153,FALSE)</f>
        <v>DIstrict Information Management Officer</v>
      </c>
      <c r="FP246" s="27" t="s">
        <v>887</v>
      </c>
      <c r="FQ246" s="27" t="str">
        <f>VLOOKUP($A246,'[1]Raw Data'!$A$3:$FB$285,154,FALSE)</f>
        <v/>
      </c>
    </row>
    <row r="247" spans="1:173" ht="24" x14ac:dyDescent="0.45">
      <c r="A247" s="27">
        <v>46004</v>
      </c>
      <c r="B247" s="36" t="str">
        <f ca="1">IFERROR(__xludf.DUMMYFUNCTION("""COMPUTED_VALUE"""),"Gulmidarbar Gaunpalika")</f>
        <v>Gulmidarbar Gaunpalika</v>
      </c>
      <c r="C247" s="37" t="str">
        <f>VLOOKUP(A247,'[1]Palika and District in Nepali '!$D$1:$F$283,3,FALSE)</f>
        <v>गुल्मी दरवार गाउँपालिका</v>
      </c>
      <c r="D247" s="36" t="str">
        <f ca="1">IFERROR(__xludf.DUMMYFUNCTION("""COMPUTED_VALUE"""),"Gulmi")</f>
        <v>Gulmi</v>
      </c>
      <c r="E247" s="36"/>
      <c r="F247" s="27">
        <f>VLOOKUP(A247,'[1]Raw Data'!$A$3:$FB$285,4,FALSE)</f>
        <v>79</v>
      </c>
      <c r="G247" s="27">
        <f>VLOOKUP(A247,'[1]Raw Data'!$A$3:$FB$285,5,FALSE)</f>
        <v>192</v>
      </c>
      <c r="H247" s="27">
        <f>VLOOKUP(A247,'[1]Raw Data'!$A$3:$FB$285,6,FALSE)</f>
        <v>271</v>
      </c>
      <c r="I247" s="27">
        <f>VLOOKUP($A247,'[1]Raw Data'!$A$3:$FB$285,8,FALSE)</f>
        <v>0.37</v>
      </c>
      <c r="J247" s="27">
        <f>VLOOKUP($A247,'[1]Raw Data'!$A$3:$FB$285,9,FALSE)</f>
        <v>0.82</v>
      </c>
      <c r="K247" s="27">
        <f>VLOOKUP($A247,'[1]Raw Data'!$A$3:$FB$285,11,FALSE)</f>
        <v>97.79</v>
      </c>
      <c r="L247" s="27">
        <f>VLOOKUP($A247,'[1]Raw Data'!$A$3:$FB$285,12,FALSE)</f>
        <v>94.78</v>
      </c>
      <c r="M247" s="27">
        <f>VLOOKUP($A247,'[1]Raw Data'!$A$3:$FB$285,14,FALSE)</f>
        <v>0</v>
      </c>
      <c r="N247" s="27">
        <f>VLOOKUP($A247,'[1]Raw Data'!$A$3:$FB$285,15,FALSE)</f>
        <v>0.21</v>
      </c>
      <c r="O247" s="27">
        <f>VLOOKUP($A247,'[1]Raw Data'!$A$3:$FB$285,17,FALSE)</f>
        <v>0</v>
      </c>
      <c r="P247" s="27">
        <f>VLOOKUP($A247,'[1]Raw Data'!$A$3:$FB$285,18,FALSE)</f>
        <v>0</v>
      </c>
      <c r="Q247" s="27">
        <f>VLOOKUP($A247,'[1]Raw Data'!$A$3:$FB$285,20,FALSE)</f>
        <v>0</v>
      </c>
      <c r="R247" s="27">
        <f>VLOOKUP($A247,'[1]Raw Data'!$A$3:$FB$285,21,FALSE)</f>
        <v>0.5</v>
      </c>
      <c r="S247" s="27">
        <f>VLOOKUP($A247,'[1]Raw Data'!$A$3:$FB$285,23,FALSE)</f>
        <v>0</v>
      </c>
      <c r="T247" s="27">
        <f>VLOOKUP($A247,'[1]Raw Data'!$A$3:$FB$285,24,FALSE)</f>
        <v>0</v>
      </c>
      <c r="U247" s="27">
        <f>VLOOKUP($A247,'[1]Raw Data'!$A$3:$FB$285,26,FALSE)</f>
        <v>0.37</v>
      </c>
      <c r="V247" s="27">
        <f>VLOOKUP($A247,'[1]Raw Data'!$A$3:$FB$285,27,FALSE)</f>
        <v>0.17</v>
      </c>
      <c r="W247" s="27">
        <f>VLOOKUP($A247,'[1]Raw Data'!$A$3:$FB$285,29,FALSE)</f>
        <v>0</v>
      </c>
      <c r="X247" s="27">
        <f>VLOOKUP($A247,'[1]Raw Data'!$A$3:$FB$285,30,FALSE)</f>
        <v>0</v>
      </c>
      <c r="Y247" s="27">
        <f>VLOOKUP($A247,'[1]Raw Data'!$A$3:$FB$285,32,FALSE)</f>
        <v>0</v>
      </c>
      <c r="Z247" s="27">
        <f>VLOOKUP($A247,'[1]Raw Data'!$A$3:$FB$285,33,FALSE)</f>
        <v>0.44</v>
      </c>
      <c r="AA247" s="27">
        <f>VLOOKUP($A247,'[1]Raw Data'!$A$3:$FB$285,35,FALSE)</f>
        <v>1.48</v>
      </c>
      <c r="AB247" s="27">
        <f>VLOOKUP($A247,'[1]Raw Data'!$A$3:$FB$285,36,FALSE)</f>
        <v>3.06</v>
      </c>
      <c r="AC247" s="27">
        <f>VLOOKUP($A247,'[1]Raw Data'!$A$3:$FB$285,38,FALSE)</f>
        <v>0</v>
      </c>
      <c r="AD247" s="27">
        <f>VLOOKUP($A247,'[1]Raw Data'!$A$3:$FB$285,39,FALSE)</f>
        <v>0.01</v>
      </c>
      <c r="AE247" s="27">
        <f>VLOOKUP($A247,'[1]Raw Data'!$A$3:$FB$285,41,FALSE)</f>
        <v>0</v>
      </c>
      <c r="AF247" s="27">
        <f>VLOOKUP($A247,'[1]Raw Data'!$A$3:$FB$285,42,FALSE)</f>
        <v>0</v>
      </c>
      <c r="AG247" s="27">
        <f>VLOOKUP($A247,'[1]Raw Data'!$A$3:$FB$285,44,FALSE)</f>
        <v>0</v>
      </c>
      <c r="AH247" s="27">
        <f>VLOOKUP($A247,'[1]Raw Data'!$A$3:$FB$285,45,FALSE)</f>
        <v>0</v>
      </c>
      <c r="AI247" s="27">
        <f>VLOOKUP($A247,'[1]Raw Data'!$A$3:$FB$285,46,FALSE)</f>
        <v>166</v>
      </c>
      <c r="AJ247" s="27">
        <f>VLOOKUP($A247,'[1]Raw Data'!$A$3:$FB$285,47,FALSE)</f>
        <v>172</v>
      </c>
      <c r="AK247" s="27">
        <f>VLOOKUP($A247,'[1]Raw Data'!$A$3:$FB$285,48,FALSE)</f>
        <v>172</v>
      </c>
      <c r="AL247" s="27">
        <f>VLOOKUP($A247,'[1]Raw Data'!$A$3:$FB$285,49,FALSE)</f>
        <v>101</v>
      </c>
      <c r="AM247" s="27">
        <f>VLOOKUP($A247,'[1]Raw Data'!$A$3:$FB$285,50,FALSE)</f>
        <v>0</v>
      </c>
      <c r="AN247" s="27" t="str">
        <f>VLOOKUP($A247,'[1]Raw Data'!$A$3:$FB$285,51,FALSE)</f>
        <v/>
      </c>
      <c r="AO247" s="27" t="str">
        <f>VLOOKUP($A247,'[1]Raw Data'!$A$3:$FB$285,52,FALSE)</f>
        <v/>
      </c>
      <c r="AP247" s="27">
        <f>VLOOKUP($A247,'[1]Raw Data'!$A$3:$FB$285,53,FALSE)</f>
        <v>20</v>
      </c>
      <c r="AQ247" s="27" t="str">
        <f>VLOOKUP($A247,'[1]Raw Data'!$A$3:$FB$285,54,FALSE)</f>
        <v/>
      </c>
      <c r="AR247" s="27" t="str">
        <f>VLOOKUP($A247,'[1]Raw Data'!$A$3:$FB$285,55,FALSE)</f>
        <v/>
      </c>
      <c r="AS247" s="27" t="str">
        <f>VLOOKUP($A247,'[1]Raw Data'!$A$3:$FB$285,56,FALSE)</f>
        <v/>
      </c>
      <c r="AT247" s="27" t="str">
        <f>VLOOKUP($A247,'[1]Raw Data'!$A$3:$FB$285,57,FALSE)</f>
        <v/>
      </c>
      <c r="AU247" s="27" t="str">
        <f>VLOOKUP($A247,'[1]Raw Data'!$A$3:$FB$285,58,FALSE)</f>
        <v/>
      </c>
      <c r="AV247" s="27" t="str">
        <f>VLOOKUP($A247,'[1]Raw Data'!$A$3:$FB$285,59,FALSE)</f>
        <v/>
      </c>
      <c r="AW247" s="27" t="str">
        <f>VLOOKUP($A247,'[1]Raw Data'!$A$3:$FB$285,60,FALSE)</f>
        <v/>
      </c>
      <c r="AX247" s="27" t="str">
        <f>VLOOKUP(A247,'[1]PO''s List'!A245:E527,4,FALSE)</f>
        <v/>
      </c>
      <c r="AZ247" s="27" t="str">
        <f>VLOOKUP(A247,'[1]PO''s List'!$A$3:$E$285,5,FALSE)</f>
        <v/>
      </c>
      <c r="BB247" s="27">
        <f>VLOOKUP($A247,'[1]Raw Data'!$A$3:$FB$285,63,FALSE)</f>
        <v>5327</v>
      </c>
      <c r="BC247" s="27" t="str">
        <f>VLOOKUP($A247,'[1]Raw Data'!$A$3:$FB$285,64,FALSE)</f>
        <v/>
      </c>
      <c r="BD247" s="27" t="str">
        <f t="shared" si="27"/>
        <v/>
      </c>
      <c r="BE247" s="27" t="str">
        <f>VLOOKUP($A247,'[1]Raw Data'!$A$3:$FB$285,65,FALSE)</f>
        <v/>
      </c>
      <c r="BF247" s="27">
        <f>VLOOKUP($A247,'[1]Raw Data'!$A$3:$FB$285,66,FALSE)</f>
        <v>5082</v>
      </c>
      <c r="BG247" s="27" t="str">
        <f>VLOOKUP($A247,'[1]Raw Data'!$A$3:$FB$285,67,FALSE)</f>
        <v/>
      </c>
      <c r="BH247" s="27" t="str">
        <f t="shared" si="28"/>
        <v/>
      </c>
      <c r="BI247" s="27" t="str">
        <f>VLOOKUP($A247,'[1]Raw Data'!$A$3:$FB$285,68,FALSE)</f>
        <v/>
      </c>
      <c r="BJ247" s="27">
        <f>VLOOKUP($A247,'[1]Raw Data'!$A$3:$FB$285,69,FALSE)</f>
        <v>565</v>
      </c>
      <c r="BK247" s="27" t="str">
        <f>VLOOKUP($A247,'[1]Raw Data'!$A$3:$FB$285,70,FALSE)</f>
        <v/>
      </c>
      <c r="BL247" s="27" t="str">
        <f t="shared" si="29"/>
        <v/>
      </c>
      <c r="BM247" s="27" t="str">
        <f>VLOOKUP($A247,'[1]Raw Data'!$A$3:$FB$285,71,FALSE)</f>
        <v/>
      </c>
      <c r="BN247" s="27">
        <f>VLOOKUP($A247,'[1]Raw Data'!$A$3:$FB$285,72,FALSE)</f>
        <v>638</v>
      </c>
      <c r="BO247" s="27" t="str">
        <f>VLOOKUP($A247,'[1]Raw Data'!$A$3:$FB$285,73,FALSE)</f>
        <v/>
      </c>
      <c r="BP247" s="27" t="str">
        <f t="shared" si="30"/>
        <v/>
      </c>
      <c r="BQ247" s="27" t="str">
        <f>VLOOKUP($A247,'[1]Raw Data'!$A$3:$FB$285,74,FALSE)</f>
        <v/>
      </c>
      <c r="BR247" s="27" t="str">
        <f>VLOOKUP($A247,'[1]Raw Data'!$A$3:$FB$285,75,FALSE)</f>
        <v/>
      </c>
      <c r="BS247" s="27" t="str">
        <f>VLOOKUP($A247,'[1]Raw Data'!$A$3:$FB$285,76,FALSE)</f>
        <v/>
      </c>
      <c r="BT247" s="27" t="str">
        <f t="shared" si="31"/>
        <v/>
      </c>
      <c r="BU247" s="27" t="str">
        <f>VLOOKUP($A247,'[1]Raw Data'!$A$3:$FB$285,77,FALSE)</f>
        <v/>
      </c>
      <c r="BV247" s="27">
        <f>VLOOKUP($A247,'[1]Raw Data'!$A$3:$FB$285,78,FALSE)</f>
        <v>16702</v>
      </c>
      <c r="BW247" s="27" t="str">
        <f>VLOOKUP($A247,'[1]Raw Data'!$A$3:$FB$285,79,FALSE)</f>
        <v/>
      </c>
      <c r="BX247" s="27" t="str">
        <f t="shared" si="32"/>
        <v/>
      </c>
      <c r="BY247" s="27" t="str">
        <f>VLOOKUP($A247,'[1]Raw Data'!$A$3:$FB$285,80,FALSE)</f>
        <v/>
      </c>
      <c r="BZ247" s="27">
        <f>VLOOKUP($A247,'[1]Raw Data'!$A$3:$FB$285,81,FALSE)</f>
        <v>58050</v>
      </c>
      <c r="CA247" s="27" t="str">
        <f>VLOOKUP($A247,'[1]Raw Data'!$A$3:$FB$285,82,FALSE)</f>
        <v/>
      </c>
      <c r="CB247" s="27" t="str">
        <f t="shared" si="33"/>
        <v/>
      </c>
      <c r="CC247" s="27" t="str">
        <f>VLOOKUP($A247,'[1]Raw Data'!$A$3:$FB$285,83,FALSE)</f>
        <v/>
      </c>
      <c r="CD247" s="27">
        <f>VLOOKUP($A247,'[1]Raw Data'!$A$3:$FB$285,84,FALSE)</f>
        <v>681</v>
      </c>
      <c r="CE247" s="27" t="str">
        <f>VLOOKUP($A247,'[1]Raw Data'!$A$3:$FB$285,85,FALSE)</f>
        <v/>
      </c>
      <c r="CF247" s="27" t="str">
        <f t="shared" si="34"/>
        <v/>
      </c>
      <c r="CG247" s="27" t="str">
        <f>VLOOKUP($A247,'[1]Raw Data'!$A$3:$FB$285,86,FALSE)</f>
        <v/>
      </c>
      <c r="CH247" s="27">
        <f>VLOOKUP($A247,'[1]Raw Data'!$A$3:$FB$285,87,FALSE)</f>
        <v>50222</v>
      </c>
      <c r="CI247" s="27" t="str">
        <f>VLOOKUP($A247,'[1]Raw Data'!$A$3:$FB$285,88,FALSE)</f>
        <v/>
      </c>
      <c r="CJ247" s="27" t="str">
        <f t="shared" si="35"/>
        <v/>
      </c>
      <c r="CK247" s="27" t="str">
        <f>VLOOKUP($A247,'[1]Raw Data'!$A$3:$FB$285,89,FALSE)</f>
        <v/>
      </c>
      <c r="CL247" s="27" t="str">
        <f>VLOOKUP($A247,'[1]Raw Data'!$A$3:$FB$285,91,FALSE)</f>
        <v/>
      </c>
      <c r="CM247" s="27" t="str">
        <f>VLOOKUP($A247,'[1]Raw Data'!$A$3:$FB$285,93,FALSE)</f>
        <v/>
      </c>
      <c r="CN247" s="27" t="str">
        <f>VLOOKUP($A247,'[1]Raw Data'!$A$3:$FB$285,94,FALSE)</f>
        <v/>
      </c>
      <c r="CO247" s="27" t="str">
        <f>VLOOKUP($A247,'[1]Raw Data'!$A$3:$FB$285,95,FALSE)</f>
        <v/>
      </c>
      <c r="CP247" s="27" t="str">
        <f>VLOOKUP($A247,'[1]Raw Data'!$A$3:$FB$285,96,FALSE)</f>
        <v/>
      </c>
      <c r="CQ247" s="27" t="str">
        <f>VLOOKUP($A247,'[1]Raw Data'!$A$3:$FB$285,97,FALSE)</f>
        <v/>
      </c>
      <c r="CR247" s="27" t="str">
        <f>VLOOKUP($A247,'[1]Raw Data'!$A$3:$FB$285,98,FALSE)</f>
        <v/>
      </c>
      <c r="CS247" s="27" t="str">
        <f>VLOOKUP($A247,'[1]Raw Data'!$A$3:$FB$285,99,FALSE)</f>
        <v/>
      </c>
      <c r="CT247" s="27" t="str">
        <f>VLOOKUP($A247,'[1]Raw Data'!$A$3:$FB$285,101,FALSE)</f>
        <v/>
      </c>
      <c r="CV247" s="27" t="str">
        <f>VLOOKUP($A247,'[1]Raw Data'!$A$3:$FB$285,102,FALSE)</f>
        <v>Chairman</v>
      </c>
      <c r="CW247" s="27" t="s">
        <v>878</v>
      </c>
      <c r="CX247" s="27" t="str">
        <f>VLOOKUP($A247,'[1]Raw Data'!$A$3:$FB$285,103,FALSE)</f>
        <v/>
      </c>
      <c r="CY247" s="27" t="str">
        <f>VLOOKUP($A247,'[1]Raw Data'!$A$3:$FB$285,105,FALSE)</f>
        <v/>
      </c>
      <c r="DA247" s="27" t="str">
        <f>VLOOKUP($A247,'[1]Raw Data'!$A$3:$FB$285,106,FALSE)</f>
        <v>Deputy Chairman</v>
      </c>
      <c r="DB247" s="27" t="s">
        <v>879</v>
      </c>
      <c r="DC247" s="27" t="str">
        <f>VLOOKUP($A247,'[1]Raw Data'!$A$3:$FB$285,107,FALSE)</f>
        <v/>
      </c>
      <c r="DD247" s="27" t="str">
        <f>VLOOKUP($A247,'[1]Raw Data'!$A$3:$FB$285,109,FALSE)</f>
        <v/>
      </c>
      <c r="DF247" s="27" t="str">
        <f>VLOOKUP($A247,'[1]Raw Data'!$A$3:$FB$285,110,FALSE)</f>
        <v>Chief Adminstration Officer</v>
      </c>
      <c r="DG247" s="27" t="s">
        <v>880</v>
      </c>
      <c r="DH247" s="27" t="str">
        <f>VLOOKUP($A247,'[1]Raw Data'!$A$3:$FB$285,111,FALSE)</f>
        <v/>
      </c>
      <c r="DI247" s="27" t="str">
        <f>VLOOKUP($A247,'[1]Raw Data'!$A$3:$FB$285,121,FALSE)</f>
        <v/>
      </c>
      <c r="DK247" s="27" t="str">
        <f>VLOOKUP($A247,'[1]Raw Data'!$A$3:$FB$285,122,FALSE)</f>
        <v>Focal Person</v>
      </c>
      <c r="DL247" s="27" t="s">
        <v>881</v>
      </c>
      <c r="DM247" s="27" t="str">
        <f>VLOOKUP($A247,'[1]Raw Data'!$A$3:$FB$285,123,FALSE)</f>
        <v/>
      </c>
      <c r="DN247" s="27" t="str">
        <f>VLOOKUP($A247,'[1]Raw Data'!$A$3:$FB$285,113,FALSE)</f>
        <v/>
      </c>
      <c r="DP247" s="27" t="str">
        <f>VLOOKUP($A247,'[1]Raw Data'!$A$3:$FB$285,114,FALSE)</f>
        <v>NRA Chief-District</v>
      </c>
      <c r="DQ247" s="27" t="s">
        <v>882</v>
      </c>
      <c r="DR247" s="27" t="str">
        <f>VLOOKUP($A247,'[1]Raw Data'!$A$3:$FB$285,115,FALSE)</f>
        <v/>
      </c>
      <c r="DS247" s="27" t="str">
        <f>VLOOKUP($A247,'[1]Raw Data'!$A$3:$FB$285,117,FALSE)</f>
        <v/>
      </c>
      <c r="DU247" s="27" t="str">
        <f>VLOOKUP($A247,'[1]Raw Data'!$A$3:$FB$285,118,FALSE)</f>
        <v>DUDBC.DLPIU Chief</v>
      </c>
      <c r="DV247" s="27" t="s">
        <v>883</v>
      </c>
      <c r="DW247" s="27" t="str">
        <f>VLOOKUP($A247,'[1]Raw Data'!$A$3:$FB$285,119,FALSE)</f>
        <v/>
      </c>
      <c r="DX247" s="27" t="s">
        <v>339</v>
      </c>
      <c r="DY247" s="27" t="str">
        <f>VLOOKUP($A247,'[1]Raw Data'!$A$3:$FB$285,124,FALSE)</f>
        <v/>
      </c>
      <c r="DZ247" s="27" t="s">
        <v>884</v>
      </c>
      <c r="EA247" s="27" t="str">
        <f>VLOOKUP($A247,'[1]Raw Data'!$A$3:$FB$285,125,FALSE)</f>
        <v/>
      </c>
      <c r="EB247" s="27" t="s">
        <v>341</v>
      </c>
      <c r="EC247" s="27" t="str">
        <f>VLOOKUP($A247,'[1]Raw Data'!$A$3:$FB$285,126,FALSE)</f>
        <v/>
      </c>
      <c r="ED247" t="s">
        <v>478</v>
      </c>
      <c r="EE247" s="27" t="str">
        <f>VLOOKUP($A247,'[1]Raw Data'!$A$3:$FB$285,127,FALSE)</f>
        <v/>
      </c>
      <c r="EF247" s="27" t="s">
        <v>343</v>
      </c>
      <c r="EG247" s="27" t="str">
        <f>VLOOKUP($A247,'[1]Raw Data'!$A$3:$FB$285,128,FALSE)</f>
        <v/>
      </c>
      <c r="EH247" t="s">
        <v>344</v>
      </c>
      <c r="EI247" s="27" t="str">
        <f>VLOOKUP($A247,'[1]Raw Data'!$A$3:$FB$285,129,FALSE)</f>
        <v/>
      </c>
      <c r="EM247" s="27" t="str">
        <f>VLOOKUP($A247,'[1]Raw Data'!$A$3:$FB$285,130,FALSE)</f>
        <v/>
      </c>
      <c r="EN247" s="27" t="str">
        <f>VLOOKUP($A247,'[1]Raw Data'!$A$3:$FB$285,131,FALSE)</f>
        <v/>
      </c>
      <c r="EO247" s="27" t="str">
        <f>VLOOKUP($A247,'[1]Raw Data'!$A$3:$FB$285,132,FALSE)</f>
        <v/>
      </c>
      <c r="EP247" s="27" t="str">
        <f>VLOOKUP($A247,'[1]Raw Data'!$A$3:$FB$285,133,FALSE)</f>
        <v/>
      </c>
      <c r="EQ247" s="27" t="str">
        <f>VLOOKUP($A247,'[1]Raw Data'!$A$3:$FB$285,134,FALSE)</f>
        <v/>
      </c>
      <c r="ER247" s="27" t="str">
        <f>VLOOKUP($A247,'[1]Raw Data'!$A$3:$FB$285,135,FALSE)</f>
        <v/>
      </c>
      <c r="ES247" s="27" t="str">
        <f>VLOOKUP($A247,'[1]Raw Data'!$A$3:$FB$285,136,FALSE)</f>
        <v/>
      </c>
      <c r="ET247" s="27" t="str">
        <f>VLOOKUP($A247,'[1]Raw Data'!$A$3:$FB$285,137,FALSE)</f>
        <v/>
      </c>
      <c r="EU247" s="27" t="str">
        <f>VLOOKUP($A247,'[1]Raw Data'!$A$3:$FB$285,138,FALSE)</f>
        <v/>
      </c>
      <c r="EV247" s="27" t="str">
        <f>VLOOKUP($A247,'[1]Raw Data'!$A$3:$FB$285,139,FALSE)</f>
        <v/>
      </c>
      <c r="EW247" s="38">
        <f>VLOOKUP($A247,[1]Training!$A$2:$I$284,5,FALSE)</f>
        <v>12.76923076923077</v>
      </c>
      <c r="EX247" s="31">
        <f>VLOOKUP($A247,[1]Training!$A$2:$I$284,6,FALSE)</f>
        <v>0</v>
      </c>
      <c r="EY247" s="38">
        <f>VLOOKUP($A247,[1]Training!$A$2:$I$284,8,FALSE)</f>
        <v>15.090909090909092</v>
      </c>
      <c r="EZ247" s="31">
        <f>VLOOKUP($A247,[1]Training!$A$2:$I$284,9,FALSE)</f>
        <v>0</v>
      </c>
      <c r="FA247" s="27">
        <v>1</v>
      </c>
      <c r="FB247" s="27">
        <v>2</v>
      </c>
      <c r="FC247" s="27" t="str">
        <f>VLOOKUP($A247,'[1]Raw Data'!$A$3:$FB$285,148,FALSE)</f>
        <v/>
      </c>
      <c r="FE247" s="27" t="str">
        <f>VLOOKUP($A247,'[1]Raw Data'!$A$3:$FB$285,149,FALSE)</f>
        <v>District Coordinator</v>
      </c>
      <c r="FF247" s="27" t="s">
        <v>885</v>
      </c>
      <c r="FG247" s="27" t="str">
        <f>VLOOKUP($A247,'[1]Raw Data'!$A$3:$FB$285,150,FALSE)</f>
        <v/>
      </c>
      <c r="FH247" s="27" t="str">
        <f>VLOOKUP($A247,'[1]Raw Data'!$A$3:$FB$285,156,FALSE)</f>
        <v/>
      </c>
      <c r="FJ247" s="27" t="str">
        <f>VLOOKUP($A247,'[1]Raw Data'!$A$3:$FB$285,157,FALSE)</f>
        <v>District Technical Officer</v>
      </c>
      <c r="FK247" s="27" t="s">
        <v>886</v>
      </c>
      <c r="FL247" s="27" t="str">
        <f>VLOOKUP($A247,'[1]Raw Data'!$A$3:$FB$285,158,FALSE)</f>
        <v/>
      </c>
      <c r="FM247" s="27" t="str">
        <f>VLOOKUP($A247,'[1]Raw Data'!$A$3:$FB$285,152,FALSE)</f>
        <v/>
      </c>
      <c r="FO247" s="27" t="str">
        <f>VLOOKUP($A247,'[1]Raw Data'!$A$3:$FB$285,153,FALSE)</f>
        <v>DIstrict Information Management Officer</v>
      </c>
      <c r="FP247" s="27" t="s">
        <v>887</v>
      </c>
      <c r="FQ247" s="27" t="str">
        <f>VLOOKUP($A247,'[1]Raw Data'!$A$3:$FB$285,154,FALSE)</f>
        <v/>
      </c>
    </row>
    <row r="248" spans="1:173" ht="24" x14ac:dyDescent="0.45">
      <c r="A248" s="27">
        <v>46005</v>
      </c>
      <c r="B248" s="36" t="str">
        <f ca="1">IFERROR(__xludf.DUMMYFUNCTION("""COMPUTED_VALUE"""),"Isma Gaunpalika")</f>
        <v>Isma Gaunpalika</v>
      </c>
      <c r="C248" s="37" t="str">
        <f>VLOOKUP(A248,'[1]Palika and District in Nepali '!$D$1:$F$283,3,FALSE)</f>
        <v>इस्मा गाउँपालिका</v>
      </c>
      <c r="D248" s="36" t="str">
        <f ca="1">IFERROR(__xludf.DUMMYFUNCTION("""COMPUTED_VALUE"""),"Gulmi")</f>
        <v>Gulmi</v>
      </c>
      <c r="E248" s="36"/>
      <c r="F248" s="27">
        <f>VLOOKUP(A248,'[1]Raw Data'!$A$3:$FB$285,4,FALSE)</f>
        <v>25</v>
      </c>
      <c r="G248" s="27">
        <f>VLOOKUP(A248,'[1]Raw Data'!$A$3:$FB$285,5,FALSE)</f>
        <v>113</v>
      </c>
      <c r="H248" s="27">
        <f>VLOOKUP(A248,'[1]Raw Data'!$A$3:$FB$285,6,FALSE)</f>
        <v>138</v>
      </c>
      <c r="I248" s="27">
        <f>VLOOKUP($A248,'[1]Raw Data'!$A$3:$FB$285,8,FALSE)</f>
        <v>0</v>
      </c>
      <c r="J248" s="27">
        <f>VLOOKUP($A248,'[1]Raw Data'!$A$3:$FB$285,9,FALSE)</f>
        <v>0.82</v>
      </c>
      <c r="K248" s="27">
        <f>VLOOKUP($A248,'[1]Raw Data'!$A$3:$FB$285,11,FALSE)</f>
        <v>100</v>
      </c>
      <c r="L248" s="27">
        <f>VLOOKUP($A248,'[1]Raw Data'!$A$3:$FB$285,12,FALSE)</f>
        <v>94.78</v>
      </c>
      <c r="M248" s="27">
        <f>VLOOKUP($A248,'[1]Raw Data'!$A$3:$FB$285,14,FALSE)</f>
        <v>0</v>
      </c>
      <c r="N248" s="27">
        <f>VLOOKUP($A248,'[1]Raw Data'!$A$3:$FB$285,15,FALSE)</f>
        <v>0.21</v>
      </c>
      <c r="O248" s="27">
        <f>VLOOKUP($A248,'[1]Raw Data'!$A$3:$FB$285,17,FALSE)</f>
        <v>0</v>
      </c>
      <c r="P248" s="27">
        <f>VLOOKUP($A248,'[1]Raw Data'!$A$3:$FB$285,18,FALSE)</f>
        <v>0</v>
      </c>
      <c r="Q248" s="27">
        <f>VLOOKUP($A248,'[1]Raw Data'!$A$3:$FB$285,20,FALSE)</f>
        <v>0</v>
      </c>
      <c r="R248" s="27">
        <f>VLOOKUP($A248,'[1]Raw Data'!$A$3:$FB$285,21,FALSE)</f>
        <v>0.5</v>
      </c>
      <c r="S248" s="27">
        <f>VLOOKUP($A248,'[1]Raw Data'!$A$3:$FB$285,23,FALSE)</f>
        <v>0</v>
      </c>
      <c r="T248" s="27">
        <f>VLOOKUP($A248,'[1]Raw Data'!$A$3:$FB$285,24,FALSE)</f>
        <v>0</v>
      </c>
      <c r="U248" s="27">
        <f>VLOOKUP($A248,'[1]Raw Data'!$A$3:$FB$285,26,FALSE)</f>
        <v>0</v>
      </c>
      <c r="V248" s="27">
        <f>VLOOKUP($A248,'[1]Raw Data'!$A$3:$FB$285,27,FALSE)</f>
        <v>0.17</v>
      </c>
      <c r="W248" s="27">
        <f>VLOOKUP($A248,'[1]Raw Data'!$A$3:$FB$285,29,FALSE)</f>
        <v>0</v>
      </c>
      <c r="X248" s="27">
        <f>VLOOKUP($A248,'[1]Raw Data'!$A$3:$FB$285,30,FALSE)</f>
        <v>0</v>
      </c>
      <c r="Y248" s="27">
        <f>VLOOKUP($A248,'[1]Raw Data'!$A$3:$FB$285,32,FALSE)</f>
        <v>0</v>
      </c>
      <c r="Z248" s="27">
        <f>VLOOKUP($A248,'[1]Raw Data'!$A$3:$FB$285,33,FALSE)</f>
        <v>0.44</v>
      </c>
      <c r="AA248" s="27">
        <f>VLOOKUP($A248,'[1]Raw Data'!$A$3:$FB$285,35,FALSE)</f>
        <v>0</v>
      </c>
      <c r="AB248" s="27">
        <f>VLOOKUP($A248,'[1]Raw Data'!$A$3:$FB$285,36,FALSE)</f>
        <v>3.06</v>
      </c>
      <c r="AC248" s="27">
        <f>VLOOKUP($A248,'[1]Raw Data'!$A$3:$FB$285,38,FALSE)</f>
        <v>0</v>
      </c>
      <c r="AD248" s="27">
        <f>VLOOKUP($A248,'[1]Raw Data'!$A$3:$FB$285,39,FALSE)</f>
        <v>0.01</v>
      </c>
      <c r="AE248" s="27">
        <f>VLOOKUP($A248,'[1]Raw Data'!$A$3:$FB$285,41,FALSE)</f>
        <v>0</v>
      </c>
      <c r="AF248" s="27">
        <f>VLOOKUP($A248,'[1]Raw Data'!$A$3:$FB$285,42,FALSE)</f>
        <v>0</v>
      </c>
      <c r="AG248" s="27">
        <f>VLOOKUP($A248,'[1]Raw Data'!$A$3:$FB$285,44,FALSE)</f>
        <v>0</v>
      </c>
      <c r="AH248" s="27">
        <f>VLOOKUP($A248,'[1]Raw Data'!$A$3:$FB$285,45,FALSE)</f>
        <v>0</v>
      </c>
      <c r="AI248" s="27">
        <f>VLOOKUP($A248,'[1]Raw Data'!$A$3:$FB$285,46,FALSE)</f>
        <v>111</v>
      </c>
      <c r="AJ248" s="27">
        <f>VLOOKUP($A248,'[1]Raw Data'!$A$3:$FB$285,47,FALSE)</f>
        <v>32</v>
      </c>
      <c r="AK248" s="27">
        <f>VLOOKUP($A248,'[1]Raw Data'!$A$3:$FB$285,48,FALSE)</f>
        <v>32</v>
      </c>
      <c r="AL248" s="27">
        <f>VLOOKUP($A248,'[1]Raw Data'!$A$3:$FB$285,49,FALSE)</f>
        <v>25</v>
      </c>
      <c r="AM248" s="27">
        <f>VLOOKUP($A248,'[1]Raw Data'!$A$3:$FB$285,50,FALSE)</f>
        <v>0</v>
      </c>
      <c r="AN248" s="27" t="str">
        <f>VLOOKUP($A248,'[1]Raw Data'!$A$3:$FB$285,51,FALSE)</f>
        <v/>
      </c>
      <c r="AO248" s="27" t="str">
        <f>VLOOKUP($A248,'[1]Raw Data'!$A$3:$FB$285,52,FALSE)</f>
        <v/>
      </c>
      <c r="AP248" s="27">
        <f>VLOOKUP($A248,'[1]Raw Data'!$A$3:$FB$285,53,FALSE)</f>
        <v>1</v>
      </c>
      <c r="AQ248" s="27" t="str">
        <f>VLOOKUP($A248,'[1]Raw Data'!$A$3:$FB$285,54,FALSE)</f>
        <v/>
      </c>
      <c r="AR248" s="27" t="str">
        <f>VLOOKUP($A248,'[1]Raw Data'!$A$3:$FB$285,55,FALSE)</f>
        <v/>
      </c>
      <c r="AS248" s="27" t="str">
        <f>VLOOKUP($A248,'[1]Raw Data'!$A$3:$FB$285,56,FALSE)</f>
        <v/>
      </c>
      <c r="AT248" s="27" t="str">
        <f>VLOOKUP($A248,'[1]Raw Data'!$A$3:$FB$285,57,FALSE)</f>
        <v/>
      </c>
      <c r="AU248" s="27" t="str">
        <f>VLOOKUP($A248,'[1]Raw Data'!$A$3:$FB$285,58,FALSE)</f>
        <v/>
      </c>
      <c r="AV248" s="27" t="str">
        <f>VLOOKUP($A248,'[1]Raw Data'!$A$3:$FB$285,59,FALSE)</f>
        <v/>
      </c>
      <c r="AW248" s="27" t="str">
        <f>VLOOKUP($A248,'[1]Raw Data'!$A$3:$FB$285,60,FALSE)</f>
        <v/>
      </c>
      <c r="AX248" s="27" t="str">
        <f>VLOOKUP(A248,'[1]PO''s List'!A246:E528,4,FALSE)</f>
        <v/>
      </c>
      <c r="AZ248" s="27" t="str">
        <f>VLOOKUP(A248,'[1]PO''s List'!$A$3:$E$285,5,FALSE)</f>
        <v/>
      </c>
      <c r="BB248" s="27">
        <f>VLOOKUP($A248,'[1]Raw Data'!$A$3:$FB$285,63,FALSE)</f>
        <v>902</v>
      </c>
      <c r="BC248" s="27" t="str">
        <f>VLOOKUP($A248,'[1]Raw Data'!$A$3:$FB$285,64,FALSE)</f>
        <v/>
      </c>
      <c r="BD248" s="27" t="str">
        <f t="shared" si="27"/>
        <v/>
      </c>
      <c r="BE248" s="27" t="str">
        <f>VLOOKUP($A248,'[1]Raw Data'!$A$3:$FB$285,65,FALSE)</f>
        <v/>
      </c>
      <c r="BF248" s="27">
        <f>VLOOKUP($A248,'[1]Raw Data'!$A$3:$FB$285,66,FALSE)</f>
        <v>953</v>
      </c>
      <c r="BG248" s="27" t="str">
        <f>VLOOKUP($A248,'[1]Raw Data'!$A$3:$FB$285,67,FALSE)</f>
        <v/>
      </c>
      <c r="BH248" s="27" t="str">
        <f t="shared" si="28"/>
        <v/>
      </c>
      <c r="BI248" s="27" t="str">
        <f>VLOOKUP($A248,'[1]Raw Data'!$A$3:$FB$285,68,FALSE)</f>
        <v/>
      </c>
      <c r="BJ248" s="27">
        <f>VLOOKUP($A248,'[1]Raw Data'!$A$3:$FB$285,69,FALSE)</f>
        <v>97</v>
      </c>
      <c r="BK248" s="27" t="str">
        <f>VLOOKUP($A248,'[1]Raw Data'!$A$3:$FB$285,70,FALSE)</f>
        <v/>
      </c>
      <c r="BL248" s="27" t="str">
        <f t="shared" si="29"/>
        <v/>
      </c>
      <c r="BM248" s="27" t="str">
        <f>VLOOKUP($A248,'[1]Raw Data'!$A$3:$FB$285,71,FALSE)</f>
        <v/>
      </c>
      <c r="BN248" s="27">
        <f>VLOOKUP($A248,'[1]Raw Data'!$A$3:$FB$285,72,FALSE)</f>
        <v>112</v>
      </c>
      <c r="BO248" s="27" t="str">
        <f>VLOOKUP($A248,'[1]Raw Data'!$A$3:$FB$285,73,FALSE)</f>
        <v/>
      </c>
      <c r="BP248" s="27" t="str">
        <f t="shared" si="30"/>
        <v/>
      </c>
      <c r="BQ248" s="27" t="str">
        <f>VLOOKUP($A248,'[1]Raw Data'!$A$3:$FB$285,74,FALSE)</f>
        <v/>
      </c>
      <c r="BR248" s="27" t="str">
        <f>VLOOKUP($A248,'[1]Raw Data'!$A$3:$FB$285,75,FALSE)</f>
        <v/>
      </c>
      <c r="BS248" s="27" t="str">
        <f>VLOOKUP($A248,'[1]Raw Data'!$A$3:$FB$285,76,FALSE)</f>
        <v/>
      </c>
      <c r="BT248" s="27" t="str">
        <f t="shared" si="31"/>
        <v/>
      </c>
      <c r="BU248" s="27" t="str">
        <f>VLOOKUP($A248,'[1]Raw Data'!$A$3:$FB$285,77,FALSE)</f>
        <v/>
      </c>
      <c r="BV248" s="27">
        <f>VLOOKUP($A248,'[1]Raw Data'!$A$3:$FB$285,78,FALSE)</f>
        <v>3134</v>
      </c>
      <c r="BW248" s="27" t="str">
        <f>VLOOKUP($A248,'[1]Raw Data'!$A$3:$FB$285,79,FALSE)</f>
        <v/>
      </c>
      <c r="BX248" s="27" t="str">
        <f t="shared" si="32"/>
        <v/>
      </c>
      <c r="BY248" s="27" t="str">
        <f>VLOOKUP($A248,'[1]Raw Data'!$A$3:$FB$285,80,FALSE)</f>
        <v/>
      </c>
      <c r="BZ248" s="27">
        <f>VLOOKUP($A248,'[1]Raw Data'!$A$3:$FB$285,81,FALSE)</f>
        <v>9713</v>
      </c>
      <c r="CA248" s="27" t="str">
        <f>VLOOKUP($A248,'[1]Raw Data'!$A$3:$FB$285,82,FALSE)</f>
        <v/>
      </c>
      <c r="CB248" s="27" t="str">
        <f t="shared" si="33"/>
        <v/>
      </c>
      <c r="CC248" s="27" t="str">
        <f>VLOOKUP($A248,'[1]Raw Data'!$A$3:$FB$285,83,FALSE)</f>
        <v/>
      </c>
      <c r="CD248" s="27">
        <f>VLOOKUP($A248,'[1]Raw Data'!$A$3:$FB$285,84,FALSE)</f>
        <v>128</v>
      </c>
      <c r="CE248" s="27" t="str">
        <f>VLOOKUP($A248,'[1]Raw Data'!$A$3:$FB$285,85,FALSE)</f>
        <v/>
      </c>
      <c r="CF248" s="27" t="str">
        <f t="shared" si="34"/>
        <v/>
      </c>
      <c r="CG248" s="27" t="str">
        <f>VLOOKUP($A248,'[1]Raw Data'!$A$3:$FB$285,86,FALSE)</f>
        <v/>
      </c>
      <c r="CH248" s="27">
        <f>VLOOKUP($A248,'[1]Raw Data'!$A$3:$FB$285,87,FALSE)</f>
        <v>3959</v>
      </c>
      <c r="CI248" s="27" t="str">
        <f>VLOOKUP($A248,'[1]Raw Data'!$A$3:$FB$285,88,FALSE)</f>
        <v/>
      </c>
      <c r="CJ248" s="27" t="str">
        <f t="shared" si="35"/>
        <v/>
      </c>
      <c r="CK248" s="27" t="str">
        <f>VLOOKUP($A248,'[1]Raw Data'!$A$3:$FB$285,89,FALSE)</f>
        <v/>
      </c>
      <c r="CL248" s="27" t="str">
        <f>VLOOKUP($A248,'[1]Raw Data'!$A$3:$FB$285,91,FALSE)</f>
        <v/>
      </c>
      <c r="CM248" s="27" t="str">
        <f>VLOOKUP($A248,'[1]Raw Data'!$A$3:$FB$285,93,FALSE)</f>
        <v/>
      </c>
      <c r="CN248" s="27" t="str">
        <f>VLOOKUP($A248,'[1]Raw Data'!$A$3:$FB$285,94,FALSE)</f>
        <v/>
      </c>
      <c r="CO248" s="27" t="str">
        <f>VLOOKUP($A248,'[1]Raw Data'!$A$3:$FB$285,95,FALSE)</f>
        <v/>
      </c>
      <c r="CP248" s="27" t="str">
        <f>VLOOKUP($A248,'[1]Raw Data'!$A$3:$FB$285,96,FALSE)</f>
        <v/>
      </c>
      <c r="CQ248" s="27" t="str">
        <f>VLOOKUP($A248,'[1]Raw Data'!$A$3:$FB$285,97,FALSE)</f>
        <v/>
      </c>
      <c r="CR248" s="27" t="str">
        <f>VLOOKUP($A248,'[1]Raw Data'!$A$3:$FB$285,98,FALSE)</f>
        <v/>
      </c>
      <c r="CS248" s="27" t="str">
        <f>VLOOKUP($A248,'[1]Raw Data'!$A$3:$FB$285,99,FALSE)</f>
        <v/>
      </c>
      <c r="CT248" s="27" t="str">
        <f>VLOOKUP($A248,'[1]Raw Data'!$A$3:$FB$285,101,FALSE)</f>
        <v/>
      </c>
      <c r="CV248" s="27" t="str">
        <f>VLOOKUP($A248,'[1]Raw Data'!$A$3:$FB$285,102,FALSE)</f>
        <v>Chairman</v>
      </c>
      <c r="CW248" s="27" t="s">
        <v>878</v>
      </c>
      <c r="CX248" s="27" t="str">
        <f>VLOOKUP($A248,'[1]Raw Data'!$A$3:$FB$285,103,FALSE)</f>
        <v/>
      </c>
      <c r="CY248" s="27" t="str">
        <f>VLOOKUP($A248,'[1]Raw Data'!$A$3:$FB$285,105,FALSE)</f>
        <v/>
      </c>
      <c r="DA248" s="27" t="str">
        <f>VLOOKUP($A248,'[1]Raw Data'!$A$3:$FB$285,106,FALSE)</f>
        <v>Deputy Chairman</v>
      </c>
      <c r="DB248" s="27" t="s">
        <v>879</v>
      </c>
      <c r="DC248" s="27" t="str">
        <f>VLOOKUP($A248,'[1]Raw Data'!$A$3:$FB$285,107,FALSE)</f>
        <v/>
      </c>
      <c r="DD248" s="27" t="str">
        <f>VLOOKUP($A248,'[1]Raw Data'!$A$3:$FB$285,109,FALSE)</f>
        <v/>
      </c>
      <c r="DF248" s="27" t="str">
        <f>VLOOKUP($A248,'[1]Raw Data'!$A$3:$FB$285,110,FALSE)</f>
        <v>Chief Adminstration Officer</v>
      </c>
      <c r="DG248" s="27" t="s">
        <v>880</v>
      </c>
      <c r="DH248" s="27" t="str">
        <f>VLOOKUP($A248,'[1]Raw Data'!$A$3:$FB$285,111,FALSE)</f>
        <v/>
      </c>
      <c r="DI248" s="27" t="str">
        <f>VLOOKUP($A248,'[1]Raw Data'!$A$3:$FB$285,121,FALSE)</f>
        <v/>
      </c>
      <c r="DK248" s="27" t="str">
        <f>VLOOKUP($A248,'[1]Raw Data'!$A$3:$FB$285,122,FALSE)</f>
        <v>Focal Person</v>
      </c>
      <c r="DL248" s="27" t="s">
        <v>881</v>
      </c>
      <c r="DM248" s="27" t="str">
        <f>VLOOKUP($A248,'[1]Raw Data'!$A$3:$FB$285,123,FALSE)</f>
        <v/>
      </c>
      <c r="DN248" s="27" t="str">
        <f>VLOOKUP($A248,'[1]Raw Data'!$A$3:$FB$285,113,FALSE)</f>
        <v/>
      </c>
      <c r="DP248" s="27" t="str">
        <f>VLOOKUP($A248,'[1]Raw Data'!$A$3:$FB$285,114,FALSE)</f>
        <v>NRA Chief-District</v>
      </c>
      <c r="DQ248" s="27" t="s">
        <v>882</v>
      </c>
      <c r="DR248" s="27" t="str">
        <f>VLOOKUP($A248,'[1]Raw Data'!$A$3:$FB$285,115,FALSE)</f>
        <v/>
      </c>
      <c r="DS248" s="27" t="str">
        <f>VLOOKUP($A248,'[1]Raw Data'!$A$3:$FB$285,117,FALSE)</f>
        <v/>
      </c>
      <c r="DU248" s="27" t="str">
        <f>VLOOKUP($A248,'[1]Raw Data'!$A$3:$FB$285,118,FALSE)</f>
        <v>DUDBC.DLPIU Chief</v>
      </c>
      <c r="DV248" s="27" t="s">
        <v>883</v>
      </c>
      <c r="DW248" s="27" t="str">
        <f>VLOOKUP($A248,'[1]Raw Data'!$A$3:$FB$285,119,FALSE)</f>
        <v/>
      </c>
      <c r="DX248" s="27" t="s">
        <v>339</v>
      </c>
      <c r="DY248" s="27" t="str">
        <f>VLOOKUP($A248,'[1]Raw Data'!$A$3:$FB$285,124,FALSE)</f>
        <v/>
      </c>
      <c r="DZ248" s="27" t="s">
        <v>884</v>
      </c>
      <c r="EA248" s="27" t="str">
        <f>VLOOKUP($A248,'[1]Raw Data'!$A$3:$FB$285,125,FALSE)</f>
        <v/>
      </c>
      <c r="EB248" s="27" t="s">
        <v>341</v>
      </c>
      <c r="EC248" s="27" t="str">
        <f>VLOOKUP($A248,'[1]Raw Data'!$A$3:$FB$285,126,FALSE)</f>
        <v/>
      </c>
      <c r="ED248" t="s">
        <v>478</v>
      </c>
      <c r="EE248" s="27" t="str">
        <f>VLOOKUP($A248,'[1]Raw Data'!$A$3:$FB$285,127,FALSE)</f>
        <v/>
      </c>
      <c r="EF248" s="27" t="s">
        <v>343</v>
      </c>
      <c r="EG248" s="27" t="str">
        <f>VLOOKUP($A248,'[1]Raw Data'!$A$3:$FB$285,128,FALSE)</f>
        <v/>
      </c>
      <c r="EH248" t="s">
        <v>344</v>
      </c>
      <c r="EI248" s="27" t="str">
        <f>VLOOKUP($A248,'[1]Raw Data'!$A$3:$FB$285,129,FALSE)</f>
        <v/>
      </c>
      <c r="EM248" s="27" t="str">
        <f>VLOOKUP($A248,'[1]Raw Data'!$A$3:$FB$285,130,FALSE)</f>
        <v/>
      </c>
      <c r="EN248" s="27" t="str">
        <f>VLOOKUP($A248,'[1]Raw Data'!$A$3:$FB$285,131,FALSE)</f>
        <v/>
      </c>
      <c r="EO248" s="27" t="str">
        <f>VLOOKUP($A248,'[1]Raw Data'!$A$3:$FB$285,132,FALSE)</f>
        <v/>
      </c>
      <c r="EP248" s="27" t="str">
        <f>VLOOKUP($A248,'[1]Raw Data'!$A$3:$FB$285,133,FALSE)</f>
        <v/>
      </c>
      <c r="EQ248" s="27" t="str">
        <f>VLOOKUP($A248,'[1]Raw Data'!$A$3:$FB$285,134,FALSE)</f>
        <v/>
      </c>
      <c r="ER248" s="27" t="str">
        <f>VLOOKUP($A248,'[1]Raw Data'!$A$3:$FB$285,135,FALSE)</f>
        <v/>
      </c>
      <c r="ES248" s="27" t="str">
        <f>VLOOKUP($A248,'[1]Raw Data'!$A$3:$FB$285,136,FALSE)</f>
        <v/>
      </c>
      <c r="ET248" s="27" t="str">
        <f>VLOOKUP($A248,'[1]Raw Data'!$A$3:$FB$285,137,FALSE)</f>
        <v/>
      </c>
      <c r="EU248" s="27" t="str">
        <f>VLOOKUP($A248,'[1]Raw Data'!$A$3:$FB$285,138,FALSE)</f>
        <v/>
      </c>
      <c r="EV248" s="27" t="str">
        <f>VLOOKUP($A248,'[1]Raw Data'!$A$3:$FB$285,139,FALSE)</f>
        <v/>
      </c>
      <c r="EW248" s="38">
        <f>VLOOKUP($A248,[1]Training!$A$2:$I$284,5,FALSE)</f>
        <v>8.5384615384615383</v>
      </c>
      <c r="EX248" s="31">
        <f>VLOOKUP($A248,[1]Training!$A$2:$I$284,6,FALSE)</f>
        <v>0</v>
      </c>
      <c r="EY248" s="38">
        <f>VLOOKUP($A248,[1]Training!$A$2:$I$284,8,FALSE)</f>
        <v>10.090909090909092</v>
      </c>
      <c r="EZ248" s="31">
        <f>VLOOKUP($A248,[1]Training!$A$2:$I$284,9,FALSE)</f>
        <v>0</v>
      </c>
      <c r="FA248" s="27">
        <v>1</v>
      </c>
      <c r="FB248" s="27">
        <v>2</v>
      </c>
      <c r="FC248" s="27" t="str">
        <f>VLOOKUP($A248,'[1]Raw Data'!$A$3:$FB$285,148,FALSE)</f>
        <v/>
      </c>
      <c r="FE248" s="27" t="str">
        <f>VLOOKUP($A248,'[1]Raw Data'!$A$3:$FB$285,149,FALSE)</f>
        <v>District Coordinator</v>
      </c>
      <c r="FF248" s="27" t="s">
        <v>885</v>
      </c>
      <c r="FG248" s="27" t="str">
        <f>VLOOKUP($A248,'[1]Raw Data'!$A$3:$FB$285,150,FALSE)</f>
        <v/>
      </c>
      <c r="FH248" s="27" t="str">
        <f>VLOOKUP($A248,'[1]Raw Data'!$A$3:$FB$285,156,FALSE)</f>
        <v/>
      </c>
      <c r="FJ248" s="27" t="str">
        <f>VLOOKUP($A248,'[1]Raw Data'!$A$3:$FB$285,157,FALSE)</f>
        <v>District Technical Officer</v>
      </c>
      <c r="FK248" s="27" t="s">
        <v>886</v>
      </c>
      <c r="FL248" s="27" t="str">
        <f>VLOOKUP($A248,'[1]Raw Data'!$A$3:$FB$285,158,FALSE)</f>
        <v/>
      </c>
      <c r="FM248" s="27" t="str">
        <f>VLOOKUP($A248,'[1]Raw Data'!$A$3:$FB$285,152,FALSE)</f>
        <v/>
      </c>
      <c r="FO248" s="27" t="str">
        <f>VLOOKUP($A248,'[1]Raw Data'!$A$3:$FB$285,153,FALSE)</f>
        <v>DIstrict Information Management Officer</v>
      </c>
      <c r="FP248" s="27" t="s">
        <v>887</v>
      </c>
      <c r="FQ248" s="27" t="str">
        <f>VLOOKUP($A248,'[1]Raw Data'!$A$3:$FB$285,154,FALSE)</f>
        <v/>
      </c>
    </row>
    <row r="249" spans="1:173" ht="24" x14ac:dyDescent="0.45">
      <c r="A249" s="27">
        <v>46006</v>
      </c>
      <c r="B249" s="36" t="str">
        <f ca="1">IFERROR(__xludf.DUMMYFUNCTION("""COMPUTED_VALUE"""),"Kaligandaki Gaunpalika")</f>
        <v>Kaligandaki Gaunpalika</v>
      </c>
      <c r="C249" s="37" t="str">
        <f>VLOOKUP(A249,'[1]Palika and District in Nepali '!$D$1:$F$283,3,FALSE)</f>
        <v>कालीगण्डकी गाउँपालिका</v>
      </c>
      <c r="D249" s="36" t="str">
        <f ca="1">IFERROR(__xludf.DUMMYFUNCTION("""COMPUTED_VALUE"""),"Gulmi")</f>
        <v>Gulmi</v>
      </c>
      <c r="E249" s="36"/>
      <c r="F249" s="27">
        <f>VLOOKUP(A249,'[1]Raw Data'!$A$3:$FB$285,4,FALSE)</f>
        <v>633</v>
      </c>
      <c r="G249" s="27">
        <f>VLOOKUP(A249,'[1]Raw Data'!$A$3:$FB$285,5,FALSE)</f>
        <v>1190</v>
      </c>
      <c r="H249" s="27">
        <f>VLOOKUP(A249,'[1]Raw Data'!$A$3:$FB$285,6,FALSE)</f>
        <v>1823</v>
      </c>
      <c r="I249" s="27">
        <f>VLOOKUP($A249,'[1]Raw Data'!$A$3:$FB$285,8,FALSE)</f>
        <v>0.6</v>
      </c>
      <c r="J249" s="27">
        <f>VLOOKUP($A249,'[1]Raw Data'!$A$3:$FB$285,9,FALSE)</f>
        <v>0.82</v>
      </c>
      <c r="K249" s="27">
        <f>VLOOKUP($A249,'[1]Raw Data'!$A$3:$FB$285,11,FALSE)</f>
        <v>98.52</v>
      </c>
      <c r="L249" s="27">
        <f>VLOOKUP($A249,'[1]Raw Data'!$A$3:$FB$285,12,FALSE)</f>
        <v>94.78</v>
      </c>
      <c r="M249" s="27">
        <f>VLOOKUP($A249,'[1]Raw Data'!$A$3:$FB$285,14,FALSE)</f>
        <v>0.11</v>
      </c>
      <c r="N249" s="27">
        <f>VLOOKUP($A249,'[1]Raw Data'!$A$3:$FB$285,15,FALSE)</f>
        <v>0.21</v>
      </c>
      <c r="O249" s="27">
        <f>VLOOKUP($A249,'[1]Raw Data'!$A$3:$FB$285,17,FALSE)</f>
        <v>0</v>
      </c>
      <c r="P249" s="27">
        <f>VLOOKUP($A249,'[1]Raw Data'!$A$3:$FB$285,18,FALSE)</f>
        <v>0</v>
      </c>
      <c r="Q249" s="27">
        <f>VLOOKUP($A249,'[1]Raw Data'!$A$3:$FB$285,20,FALSE)</f>
        <v>0.22</v>
      </c>
      <c r="R249" s="27">
        <f>VLOOKUP($A249,'[1]Raw Data'!$A$3:$FB$285,21,FALSE)</f>
        <v>0.5</v>
      </c>
      <c r="S249" s="27">
        <f>VLOOKUP($A249,'[1]Raw Data'!$A$3:$FB$285,23,FALSE)</f>
        <v>0</v>
      </c>
      <c r="T249" s="27">
        <f>VLOOKUP($A249,'[1]Raw Data'!$A$3:$FB$285,24,FALSE)</f>
        <v>0</v>
      </c>
      <c r="U249" s="27">
        <f>VLOOKUP($A249,'[1]Raw Data'!$A$3:$FB$285,26,FALSE)</f>
        <v>0.38</v>
      </c>
      <c r="V249" s="27">
        <f>VLOOKUP($A249,'[1]Raw Data'!$A$3:$FB$285,27,FALSE)</f>
        <v>0.17</v>
      </c>
      <c r="W249" s="27">
        <f>VLOOKUP($A249,'[1]Raw Data'!$A$3:$FB$285,29,FALSE)</f>
        <v>0</v>
      </c>
      <c r="X249" s="27">
        <f>VLOOKUP($A249,'[1]Raw Data'!$A$3:$FB$285,30,FALSE)</f>
        <v>0</v>
      </c>
      <c r="Y249" s="27">
        <f>VLOOKUP($A249,'[1]Raw Data'!$A$3:$FB$285,32,FALSE)</f>
        <v>0.11</v>
      </c>
      <c r="Z249" s="27">
        <f>VLOOKUP($A249,'[1]Raw Data'!$A$3:$FB$285,33,FALSE)</f>
        <v>0.44</v>
      </c>
      <c r="AA249" s="27">
        <f>VLOOKUP($A249,'[1]Raw Data'!$A$3:$FB$285,35,FALSE)</f>
        <v>0.05</v>
      </c>
      <c r="AB249" s="27">
        <f>VLOOKUP($A249,'[1]Raw Data'!$A$3:$FB$285,36,FALSE)</f>
        <v>3.06</v>
      </c>
      <c r="AC249" s="27">
        <f>VLOOKUP($A249,'[1]Raw Data'!$A$3:$FB$285,38,FALSE)</f>
        <v>0</v>
      </c>
      <c r="AD249" s="27">
        <f>VLOOKUP($A249,'[1]Raw Data'!$A$3:$FB$285,39,FALSE)</f>
        <v>0.01</v>
      </c>
      <c r="AE249" s="27">
        <f>VLOOKUP($A249,'[1]Raw Data'!$A$3:$FB$285,41,FALSE)</f>
        <v>0</v>
      </c>
      <c r="AF249" s="27">
        <f>VLOOKUP($A249,'[1]Raw Data'!$A$3:$FB$285,42,FALSE)</f>
        <v>0</v>
      </c>
      <c r="AG249" s="27">
        <f>VLOOKUP($A249,'[1]Raw Data'!$A$3:$FB$285,44,FALSE)</f>
        <v>0</v>
      </c>
      <c r="AH249" s="27">
        <f>VLOOKUP($A249,'[1]Raw Data'!$A$3:$FB$285,45,FALSE)</f>
        <v>0</v>
      </c>
      <c r="AI249" s="27">
        <f>VLOOKUP($A249,'[1]Raw Data'!$A$3:$FB$285,46,FALSE)</f>
        <v>1071</v>
      </c>
      <c r="AJ249" s="27">
        <f>VLOOKUP($A249,'[1]Raw Data'!$A$3:$FB$285,47,FALSE)</f>
        <v>298</v>
      </c>
      <c r="AK249" s="27">
        <f>VLOOKUP($A249,'[1]Raw Data'!$A$3:$FB$285,48,FALSE)</f>
        <v>298</v>
      </c>
      <c r="AL249" s="27">
        <f>VLOOKUP($A249,'[1]Raw Data'!$A$3:$FB$285,49,FALSE)</f>
        <v>235</v>
      </c>
      <c r="AM249" s="27">
        <f>VLOOKUP($A249,'[1]Raw Data'!$A$3:$FB$285,50,FALSE)</f>
        <v>35</v>
      </c>
      <c r="AN249" s="27" t="str">
        <f>VLOOKUP($A249,'[1]Raw Data'!$A$3:$FB$285,51,FALSE)</f>
        <v/>
      </c>
      <c r="AO249" s="27" t="str">
        <f>VLOOKUP($A249,'[1]Raw Data'!$A$3:$FB$285,52,FALSE)</f>
        <v/>
      </c>
      <c r="AP249" s="27">
        <f>VLOOKUP($A249,'[1]Raw Data'!$A$3:$FB$285,53,FALSE)</f>
        <v>101</v>
      </c>
      <c r="AQ249" s="27" t="str">
        <f>VLOOKUP($A249,'[1]Raw Data'!$A$3:$FB$285,54,FALSE)</f>
        <v/>
      </c>
      <c r="AR249" s="27" t="str">
        <f>VLOOKUP($A249,'[1]Raw Data'!$A$3:$FB$285,55,FALSE)</f>
        <v/>
      </c>
      <c r="AS249" s="27" t="str">
        <f>VLOOKUP($A249,'[1]Raw Data'!$A$3:$FB$285,56,FALSE)</f>
        <v/>
      </c>
      <c r="AT249" s="27" t="str">
        <f>VLOOKUP($A249,'[1]Raw Data'!$A$3:$FB$285,57,FALSE)</f>
        <v/>
      </c>
      <c r="AU249" s="27" t="str">
        <f>VLOOKUP($A249,'[1]Raw Data'!$A$3:$FB$285,58,FALSE)</f>
        <v/>
      </c>
      <c r="AV249" s="27" t="str">
        <f>VLOOKUP($A249,'[1]Raw Data'!$A$3:$FB$285,59,FALSE)</f>
        <v/>
      </c>
      <c r="AW249" s="27" t="str">
        <f>VLOOKUP($A249,'[1]Raw Data'!$A$3:$FB$285,60,FALSE)</f>
        <v/>
      </c>
      <c r="AX249" s="27" t="str">
        <f>VLOOKUP(A249,'[1]PO''s List'!A247:E529,4,FALSE)</f>
        <v/>
      </c>
      <c r="AZ249" s="27" t="str">
        <f>VLOOKUP(A249,'[1]PO''s List'!$A$3:$E$285,5,FALSE)</f>
        <v/>
      </c>
      <c r="BB249" s="27">
        <f>VLOOKUP($A249,'[1]Raw Data'!$A$3:$FB$285,63,FALSE)</f>
        <v>7546</v>
      </c>
      <c r="BC249" s="27" t="str">
        <f>VLOOKUP($A249,'[1]Raw Data'!$A$3:$FB$285,64,FALSE)</f>
        <v/>
      </c>
      <c r="BD249" s="27" t="str">
        <f t="shared" si="27"/>
        <v/>
      </c>
      <c r="BE249" s="27" t="str">
        <f>VLOOKUP($A249,'[1]Raw Data'!$A$3:$FB$285,65,FALSE)</f>
        <v/>
      </c>
      <c r="BF249" s="27">
        <f>VLOOKUP($A249,'[1]Raw Data'!$A$3:$FB$285,66,FALSE)</f>
        <v>7602</v>
      </c>
      <c r="BG249" s="27" t="str">
        <f>VLOOKUP($A249,'[1]Raw Data'!$A$3:$FB$285,67,FALSE)</f>
        <v/>
      </c>
      <c r="BH249" s="27" t="str">
        <f t="shared" si="28"/>
        <v/>
      </c>
      <c r="BI249" s="27" t="str">
        <f>VLOOKUP($A249,'[1]Raw Data'!$A$3:$FB$285,68,FALSE)</f>
        <v/>
      </c>
      <c r="BJ249" s="27">
        <f>VLOOKUP($A249,'[1]Raw Data'!$A$3:$FB$285,69,FALSE)</f>
        <v>805</v>
      </c>
      <c r="BK249" s="27" t="str">
        <f>VLOOKUP($A249,'[1]Raw Data'!$A$3:$FB$285,70,FALSE)</f>
        <v/>
      </c>
      <c r="BL249" s="27" t="str">
        <f t="shared" si="29"/>
        <v/>
      </c>
      <c r="BM249" s="27" t="str">
        <f>VLOOKUP($A249,'[1]Raw Data'!$A$3:$FB$285,71,FALSE)</f>
        <v/>
      </c>
      <c r="BN249" s="27">
        <f>VLOOKUP($A249,'[1]Raw Data'!$A$3:$FB$285,72,FALSE)</f>
        <v>926</v>
      </c>
      <c r="BO249" s="27" t="str">
        <f>VLOOKUP($A249,'[1]Raw Data'!$A$3:$FB$285,73,FALSE)</f>
        <v/>
      </c>
      <c r="BP249" s="27" t="str">
        <f t="shared" si="30"/>
        <v/>
      </c>
      <c r="BQ249" s="27" t="str">
        <f>VLOOKUP($A249,'[1]Raw Data'!$A$3:$FB$285,74,FALSE)</f>
        <v/>
      </c>
      <c r="BR249" s="27" t="str">
        <f>VLOOKUP($A249,'[1]Raw Data'!$A$3:$FB$285,75,FALSE)</f>
        <v/>
      </c>
      <c r="BS249" s="27" t="str">
        <f>VLOOKUP($A249,'[1]Raw Data'!$A$3:$FB$285,76,FALSE)</f>
        <v/>
      </c>
      <c r="BT249" s="27" t="str">
        <f t="shared" si="31"/>
        <v/>
      </c>
      <c r="BU249" s="27" t="str">
        <f>VLOOKUP($A249,'[1]Raw Data'!$A$3:$FB$285,77,FALSE)</f>
        <v/>
      </c>
      <c r="BV249" s="27">
        <f>VLOOKUP($A249,'[1]Raw Data'!$A$3:$FB$285,78,FALSE)</f>
        <v>25564</v>
      </c>
      <c r="BW249" s="27" t="str">
        <f>VLOOKUP($A249,'[1]Raw Data'!$A$3:$FB$285,79,FALSE)</f>
        <v/>
      </c>
      <c r="BX249" s="27" t="str">
        <f t="shared" si="32"/>
        <v/>
      </c>
      <c r="BY249" s="27" t="str">
        <f>VLOOKUP($A249,'[1]Raw Data'!$A$3:$FB$285,80,FALSE)</f>
        <v/>
      </c>
      <c r="BZ249" s="27">
        <f>VLOOKUP($A249,'[1]Raw Data'!$A$3:$FB$285,81,FALSE)</f>
        <v>82480</v>
      </c>
      <c r="CA249" s="27" t="str">
        <f>VLOOKUP($A249,'[1]Raw Data'!$A$3:$FB$285,82,FALSE)</f>
        <v/>
      </c>
      <c r="CB249" s="27" t="str">
        <f t="shared" si="33"/>
        <v/>
      </c>
      <c r="CC249" s="27" t="str">
        <f>VLOOKUP($A249,'[1]Raw Data'!$A$3:$FB$285,83,FALSE)</f>
        <v/>
      </c>
      <c r="CD249" s="27">
        <f>VLOOKUP($A249,'[1]Raw Data'!$A$3:$FB$285,84,FALSE)</f>
        <v>1047</v>
      </c>
      <c r="CE249" s="27" t="str">
        <f>VLOOKUP($A249,'[1]Raw Data'!$A$3:$FB$285,85,FALSE)</f>
        <v/>
      </c>
      <c r="CF249" s="27" t="str">
        <f t="shared" si="34"/>
        <v/>
      </c>
      <c r="CG249" s="27" t="str">
        <f>VLOOKUP($A249,'[1]Raw Data'!$A$3:$FB$285,86,FALSE)</f>
        <v/>
      </c>
      <c r="CH249" s="27">
        <f>VLOOKUP($A249,'[1]Raw Data'!$A$3:$FB$285,87,FALSE)</f>
        <v>139036</v>
      </c>
      <c r="CI249" s="27" t="str">
        <f>VLOOKUP($A249,'[1]Raw Data'!$A$3:$FB$285,88,FALSE)</f>
        <v/>
      </c>
      <c r="CJ249" s="27" t="str">
        <f t="shared" si="35"/>
        <v/>
      </c>
      <c r="CK249" s="27" t="str">
        <f>VLOOKUP($A249,'[1]Raw Data'!$A$3:$FB$285,89,FALSE)</f>
        <v/>
      </c>
      <c r="CL249" s="27" t="str">
        <f>VLOOKUP($A249,'[1]Raw Data'!$A$3:$FB$285,91,FALSE)</f>
        <v/>
      </c>
      <c r="CM249" s="27" t="str">
        <f>VLOOKUP($A249,'[1]Raw Data'!$A$3:$FB$285,93,FALSE)</f>
        <v/>
      </c>
      <c r="CN249" s="27" t="str">
        <f>VLOOKUP($A249,'[1]Raw Data'!$A$3:$FB$285,94,FALSE)</f>
        <v/>
      </c>
      <c r="CO249" s="27" t="str">
        <f>VLOOKUP($A249,'[1]Raw Data'!$A$3:$FB$285,95,FALSE)</f>
        <v/>
      </c>
      <c r="CP249" s="27" t="str">
        <f>VLOOKUP($A249,'[1]Raw Data'!$A$3:$FB$285,96,FALSE)</f>
        <v/>
      </c>
      <c r="CQ249" s="27" t="str">
        <f>VLOOKUP($A249,'[1]Raw Data'!$A$3:$FB$285,97,FALSE)</f>
        <v/>
      </c>
      <c r="CR249" s="27" t="str">
        <f>VLOOKUP($A249,'[1]Raw Data'!$A$3:$FB$285,98,FALSE)</f>
        <v/>
      </c>
      <c r="CS249" s="27" t="str">
        <f>VLOOKUP($A249,'[1]Raw Data'!$A$3:$FB$285,99,FALSE)</f>
        <v/>
      </c>
      <c r="CT249" s="27" t="str">
        <f>VLOOKUP($A249,'[1]Raw Data'!$A$3:$FB$285,101,FALSE)</f>
        <v/>
      </c>
      <c r="CV249" s="27" t="str">
        <f>VLOOKUP($A249,'[1]Raw Data'!$A$3:$FB$285,102,FALSE)</f>
        <v>Chairman</v>
      </c>
      <c r="CW249" s="27" t="s">
        <v>878</v>
      </c>
      <c r="CX249" s="27" t="str">
        <f>VLOOKUP($A249,'[1]Raw Data'!$A$3:$FB$285,103,FALSE)</f>
        <v/>
      </c>
      <c r="CY249" s="27" t="str">
        <f>VLOOKUP($A249,'[1]Raw Data'!$A$3:$FB$285,105,FALSE)</f>
        <v/>
      </c>
      <c r="DA249" s="27" t="str">
        <f>VLOOKUP($A249,'[1]Raw Data'!$A$3:$FB$285,106,FALSE)</f>
        <v>Deputy Chairman</v>
      </c>
      <c r="DB249" s="27" t="s">
        <v>879</v>
      </c>
      <c r="DC249" s="27" t="str">
        <f>VLOOKUP($A249,'[1]Raw Data'!$A$3:$FB$285,107,FALSE)</f>
        <v/>
      </c>
      <c r="DD249" s="27" t="str">
        <f>VLOOKUP($A249,'[1]Raw Data'!$A$3:$FB$285,109,FALSE)</f>
        <v/>
      </c>
      <c r="DF249" s="27" t="str">
        <f>VLOOKUP($A249,'[1]Raw Data'!$A$3:$FB$285,110,FALSE)</f>
        <v>Chief Adminstration Officer</v>
      </c>
      <c r="DG249" s="27" t="s">
        <v>880</v>
      </c>
      <c r="DH249" s="27" t="str">
        <f>VLOOKUP($A249,'[1]Raw Data'!$A$3:$FB$285,111,FALSE)</f>
        <v/>
      </c>
      <c r="DI249" s="27" t="str">
        <f>VLOOKUP($A249,'[1]Raw Data'!$A$3:$FB$285,121,FALSE)</f>
        <v/>
      </c>
      <c r="DK249" s="27" t="str">
        <f>VLOOKUP($A249,'[1]Raw Data'!$A$3:$FB$285,122,FALSE)</f>
        <v>Focal Person</v>
      </c>
      <c r="DL249" s="27" t="s">
        <v>881</v>
      </c>
      <c r="DM249" s="27" t="str">
        <f>VLOOKUP($A249,'[1]Raw Data'!$A$3:$FB$285,123,FALSE)</f>
        <v/>
      </c>
      <c r="DN249" s="27" t="str">
        <f>VLOOKUP($A249,'[1]Raw Data'!$A$3:$FB$285,113,FALSE)</f>
        <v/>
      </c>
      <c r="DP249" s="27" t="str">
        <f>VLOOKUP($A249,'[1]Raw Data'!$A$3:$FB$285,114,FALSE)</f>
        <v>NRA Chief-District</v>
      </c>
      <c r="DQ249" s="27" t="s">
        <v>882</v>
      </c>
      <c r="DR249" s="27" t="str">
        <f>VLOOKUP($A249,'[1]Raw Data'!$A$3:$FB$285,115,FALSE)</f>
        <v/>
      </c>
      <c r="DS249" s="27" t="str">
        <f>VLOOKUP($A249,'[1]Raw Data'!$A$3:$FB$285,117,FALSE)</f>
        <v/>
      </c>
      <c r="DU249" s="27" t="str">
        <f>VLOOKUP($A249,'[1]Raw Data'!$A$3:$FB$285,118,FALSE)</f>
        <v>DUDBC.DLPIU Chief</v>
      </c>
      <c r="DV249" s="27" t="s">
        <v>883</v>
      </c>
      <c r="DW249" s="27" t="str">
        <f>VLOOKUP($A249,'[1]Raw Data'!$A$3:$FB$285,119,FALSE)</f>
        <v/>
      </c>
      <c r="DX249" s="27" t="s">
        <v>339</v>
      </c>
      <c r="DY249" s="27" t="str">
        <f>VLOOKUP($A249,'[1]Raw Data'!$A$3:$FB$285,124,FALSE)</f>
        <v/>
      </c>
      <c r="DZ249" s="27" t="s">
        <v>884</v>
      </c>
      <c r="EA249" s="27" t="str">
        <f>VLOOKUP($A249,'[1]Raw Data'!$A$3:$FB$285,125,FALSE)</f>
        <v/>
      </c>
      <c r="EB249" s="27" t="s">
        <v>341</v>
      </c>
      <c r="EC249" s="27" t="str">
        <f>VLOOKUP($A249,'[1]Raw Data'!$A$3:$FB$285,126,FALSE)</f>
        <v/>
      </c>
      <c r="ED249" t="s">
        <v>478</v>
      </c>
      <c r="EE249" s="27" t="str">
        <f>VLOOKUP($A249,'[1]Raw Data'!$A$3:$FB$285,127,FALSE)</f>
        <v/>
      </c>
      <c r="EF249" s="27" t="s">
        <v>343</v>
      </c>
      <c r="EG249" s="27" t="str">
        <f>VLOOKUP($A249,'[1]Raw Data'!$A$3:$FB$285,128,FALSE)</f>
        <v/>
      </c>
      <c r="EH249" t="s">
        <v>344</v>
      </c>
      <c r="EI249" s="27" t="str">
        <f>VLOOKUP($A249,'[1]Raw Data'!$A$3:$FB$285,129,FALSE)</f>
        <v/>
      </c>
      <c r="EM249" s="27" t="str">
        <f>VLOOKUP($A249,'[1]Raw Data'!$A$3:$FB$285,130,FALSE)</f>
        <v/>
      </c>
      <c r="EN249" s="27" t="str">
        <f>VLOOKUP($A249,'[1]Raw Data'!$A$3:$FB$285,131,FALSE)</f>
        <v/>
      </c>
      <c r="EO249" s="27" t="str">
        <f>VLOOKUP($A249,'[1]Raw Data'!$A$3:$FB$285,132,FALSE)</f>
        <v/>
      </c>
      <c r="EP249" s="27" t="str">
        <f>VLOOKUP($A249,'[1]Raw Data'!$A$3:$FB$285,133,FALSE)</f>
        <v/>
      </c>
      <c r="EQ249" s="27" t="str">
        <f>VLOOKUP($A249,'[1]Raw Data'!$A$3:$FB$285,134,FALSE)</f>
        <v/>
      </c>
      <c r="ER249" s="27" t="str">
        <f>VLOOKUP($A249,'[1]Raw Data'!$A$3:$FB$285,135,FALSE)</f>
        <v/>
      </c>
      <c r="ES249" s="27" t="str">
        <f>VLOOKUP($A249,'[1]Raw Data'!$A$3:$FB$285,136,FALSE)</f>
        <v/>
      </c>
      <c r="ET249" s="27" t="str">
        <f>VLOOKUP($A249,'[1]Raw Data'!$A$3:$FB$285,137,FALSE)</f>
        <v/>
      </c>
      <c r="EU249" s="27" t="str">
        <f>VLOOKUP($A249,'[1]Raw Data'!$A$3:$FB$285,138,FALSE)</f>
        <v/>
      </c>
      <c r="EV249" s="27" t="str">
        <f>VLOOKUP($A249,'[1]Raw Data'!$A$3:$FB$285,139,FALSE)</f>
        <v/>
      </c>
      <c r="EW249" s="38">
        <f>VLOOKUP($A249,[1]Training!$A$2:$I$284,5,FALSE)</f>
        <v>82.384615384615387</v>
      </c>
      <c r="EX249" s="31">
        <f>VLOOKUP($A249,[1]Training!$A$2:$I$284,6,FALSE)</f>
        <v>0</v>
      </c>
      <c r="EY249" s="38">
        <f>VLOOKUP($A249,[1]Training!$A$2:$I$284,8,FALSE)</f>
        <v>97.36363636363636</v>
      </c>
      <c r="EZ249" s="31">
        <f>VLOOKUP($A249,[1]Training!$A$2:$I$284,9,FALSE)</f>
        <v>0</v>
      </c>
      <c r="FA249" s="27">
        <v>1</v>
      </c>
      <c r="FB249" s="27">
        <v>2</v>
      </c>
      <c r="FC249" s="27" t="str">
        <f>VLOOKUP($A249,'[1]Raw Data'!$A$3:$FB$285,148,FALSE)</f>
        <v/>
      </c>
      <c r="FE249" s="27" t="str">
        <f>VLOOKUP($A249,'[1]Raw Data'!$A$3:$FB$285,149,FALSE)</f>
        <v>District Coordinator</v>
      </c>
      <c r="FF249" s="27" t="s">
        <v>885</v>
      </c>
      <c r="FG249" s="27" t="str">
        <f>VLOOKUP($A249,'[1]Raw Data'!$A$3:$FB$285,150,FALSE)</f>
        <v/>
      </c>
      <c r="FH249" s="27" t="str">
        <f>VLOOKUP($A249,'[1]Raw Data'!$A$3:$FB$285,156,FALSE)</f>
        <v/>
      </c>
      <c r="FJ249" s="27" t="str">
        <f>VLOOKUP($A249,'[1]Raw Data'!$A$3:$FB$285,157,FALSE)</f>
        <v>District Technical Officer</v>
      </c>
      <c r="FK249" s="27" t="s">
        <v>886</v>
      </c>
      <c r="FL249" s="27" t="str">
        <f>VLOOKUP($A249,'[1]Raw Data'!$A$3:$FB$285,158,FALSE)</f>
        <v/>
      </c>
      <c r="FM249" s="27" t="str">
        <f>VLOOKUP($A249,'[1]Raw Data'!$A$3:$FB$285,152,FALSE)</f>
        <v/>
      </c>
      <c r="FO249" s="27" t="str">
        <f>VLOOKUP($A249,'[1]Raw Data'!$A$3:$FB$285,153,FALSE)</f>
        <v>DIstrict Information Management Officer</v>
      </c>
      <c r="FP249" s="27" t="s">
        <v>887</v>
      </c>
      <c r="FQ249" s="27" t="str">
        <f>VLOOKUP($A249,'[1]Raw Data'!$A$3:$FB$285,154,FALSE)</f>
        <v/>
      </c>
    </row>
    <row r="250" spans="1:173" ht="24" x14ac:dyDescent="0.45">
      <c r="A250" s="27">
        <v>46007</v>
      </c>
      <c r="B250" s="36" t="str">
        <f ca="1">IFERROR(__xludf.DUMMYFUNCTION("""COMPUTED_VALUE"""),"Madane Gaunpalika")</f>
        <v>Madane Gaunpalika</v>
      </c>
      <c r="C250" s="37" t="str">
        <f>VLOOKUP(A250,'[1]Palika and District in Nepali '!$D$1:$F$283,3,FALSE)</f>
        <v>मदाने गाउँपालिका</v>
      </c>
      <c r="D250" s="36" t="str">
        <f ca="1">IFERROR(__xludf.DUMMYFUNCTION("""COMPUTED_VALUE"""),"Gulmi")</f>
        <v>Gulmi</v>
      </c>
      <c r="E250" s="36"/>
      <c r="F250" s="27">
        <f>VLOOKUP(A250,'[1]Raw Data'!$A$3:$FB$285,4,FALSE)</f>
        <v>127</v>
      </c>
      <c r="G250" s="27">
        <f>VLOOKUP(A250,'[1]Raw Data'!$A$3:$FB$285,5,FALSE)</f>
        <v>130</v>
      </c>
      <c r="H250" s="27">
        <f>VLOOKUP(A250,'[1]Raw Data'!$A$3:$FB$285,6,FALSE)</f>
        <v>257</v>
      </c>
      <c r="I250" s="27">
        <f>VLOOKUP($A250,'[1]Raw Data'!$A$3:$FB$285,8,FALSE)</f>
        <v>1.95</v>
      </c>
      <c r="J250" s="27">
        <f>VLOOKUP($A250,'[1]Raw Data'!$A$3:$FB$285,9,FALSE)</f>
        <v>0.82</v>
      </c>
      <c r="K250" s="27">
        <f>VLOOKUP($A250,'[1]Raw Data'!$A$3:$FB$285,11,FALSE)</f>
        <v>97.67</v>
      </c>
      <c r="L250" s="27">
        <f>VLOOKUP($A250,'[1]Raw Data'!$A$3:$FB$285,12,FALSE)</f>
        <v>94.78</v>
      </c>
      <c r="M250" s="27">
        <f>VLOOKUP($A250,'[1]Raw Data'!$A$3:$FB$285,14,FALSE)</f>
        <v>0</v>
      </c>
      <c r="N250" s="27">
        <f>VLOOKUP($A250,'[1]Raw Data'!$A$3:$FB$285,15,FALSE)</f>
        <v>0.21</v>
      </c>
      <c r="O250" s="27">
        <f>VLOOKUP($A250,'[1]Raw Data'!$A$3:$FB$285,17,FALSE)</f>
        <v>0</v>
      </c>
      <c r="P250" s="27">
        <f>VLOOKUP($A250,'[1]Raw Data'!$A$3:$FB$285,18,FALSE)</f>
        <v>0</v>
      </c>
      <c r="Q250" s="27">
        <f>VLOOKUP($A250,'[1]Raw Data'!$A$3:$FB$285,20,FALSE)</f>
        <v>0</v>
      </c>
      <c r="R250" s="27">
        <f>VLOOKUP($A250,'[1]Raw Data'!$A$3:$FB$285,21,FALSE)</f>
        <v>0.5</v>
      </c>
      <c r="S250" s="27">
        <f>VLOOKUP($A250,'[1]Raw Data'!$A$3:$FB$285,23,FALSE)</f>
        <v>0</v>
      </c>
      <c r="T250" s="27">
        <f>VLOOKUP($A250,'[1]Raw Data'!$A$3:$FB$285,24,FALSE)</f>
        <v>0</v>
      </c>
      <c r="U250" s="27">
        <f>VLOOKUP($A250,'[1]Raw Data'!$A$3:$FB$285,26,FALSE)</f>
        <v>0</v>
      </c>
      <c r="V250" s="27">
        <f>VLOOKUP($A250,'[1]Raw Data'!$A$3:$FB$285,27,FALSE)</f>
        <v>0.17</v>
      </c>
      <c r="W250" s="27">
        <f>VLOOKUP($A250,'[1]Raw Data'!$A$3:$FB$285,29,FALSE)</f>
        <v>0</v>
      </c>
      <c r="X250" s="27">
        <f>VLOOKUP($A250,'[1]Raw Data'!$A$3:$FB$285,30,FALSE)</f>
        <v>0</v>
      </c>
      <c r="Y250" s="27">
        <f>VLOOKUP($A250,'[1]Raw Data'!$A$3:$FB$285,32,FALSE)</f>
        <v>0</v>
      </c>
      <c r="Z250" s="27">
        <f>VLOOKUP($A250,'[1]Raw Data'!$A$3:$FB$285,33,FALSE)</f>
        <v>0.44</v>
      </c>
      <c r="AA250" s="27">
        <f>VLOOKUP($A250,'[1]Raw Data'!$A$3:$FB$285,35,FALSE)</f>
        <v>0.39</v>
      </c>
      <c r="AB250" s="27">
        <f>VLOOKUP($A250,'[1]Raw Data'!$A$3:$FB$285,36,FALSE)</f>
        <v>3.06</v>
      </c>
      <c r="AC250" s="27">
        <f>VLOOKUP($A250,'[1]Raw Data'!$A$3:$FB$285,38,FALSE)</f>
        <v>0</v>
      </c>
      <c r="AD250" s="27">
        <f>VLOOKUP($A250,'[1]Raw Data'!$A$3:$FB$285,39,FALSE)</f>
        <v>0.01</v>
      </c>
      <c r="AE250" s="27">
        <f>VLOOKUP($A250,'[1]Raw Data'!$A$3:$FB$285,41,FALSE)</f>
        <v>0</v>
      </c>
      <c r="AF250" s="27">
        <f>VLOOKUP($A250,'[1]Raw Data'!$A$3:$FB$285,42,FALSE)</f>
        <v>0</v>
      </c>
      <c r="AG250" s="27">
        <f>VLOOKUP($A250,'[1]Raw Data'!$A$3:$FB$285,44,FALSE)</f>
        <v>0</v>
      </c>
      <c r="AH250" s="27">
        <f>VLOOKUP($A250,'[1]Raw Data'!$A$3:$FB$285,45,FALSE)</f>
        <v>0</v>
      </c>
      <c r="AI250" s="27">
        <f>VLOOKUP($A250,'[1]Raw Data'!$A$3:$FB$285,46,FALSE)</f>
        <v>158</v>
      </c>
      <c r="AJ250" s="27">
        <f>VLOOKUP($A250,'[1]Raw Data'!$A$3:$FB$285,47,FALSE)</f>
        <v>96</v>
      </c>
      <c r="AK250" s="27">
        <f>VLOOKUP($A250,'[1]Raw Data'!$A$3:$FB$285,48,FALSE)</f>
        <v>96</v>
      </c>
      <c r="AL250" s="27">
        <f>VLOOKUP($A250,'[1]Raw Data'!$A$3:$FB$285,49,FALSE)</f>
        <v>86</v>
      </c>
      <c r="AM250" s="27">
        <f>VLOOKUP($A250,'[1]Raw Data'!$A$3:$FB$285,50,FALSE)</f>
        <v>16</v>
      </c>
      <c r="AN250" s="27" t="str">
        <f>VLOOKUP($A250,'[1]Raw Data'!$A$3:$FB$285,51,FALSE)</f>
        <v/>
      </c>
      <c r="AO250" s="27" t="str">
        <f>VLOOKUP($A250,'[1]Raw Data'!$A$3:$FB$285,52,FALSE)</f>
        <v/>
      </c>
      <c r="AP250" s="27">
        <f>VLOOKUP($A250,'[1]Raw Data'!$A$3:$FB$285,53,FALSE)</f>
        <v>1</v>
      </c>
      <c r="AQ250" s="27" t="str">
        <f>VLOOKUP($A250,'[1]Raw Data'!$A$3:$FB$285,54,FALSE)</f>
        <v/>
      </c>
      <c r="AR250" s="27" t="str">
        <f>VLOOKUP($A250,'[1]Raw Data'!$A$3:$FB$285,55,FALSE)</f>
        <v/>
      </c>
      <c r="AS250" s="27" t="str">
        <f>VLOOKUP($A250,'[1]Raw Data'!$A$3:$FB$285,56,FALSE)</f>
        <v/>
      </c>
      <c r="AT250" s="27" t="str">
        <f>VLOOKUP($A250,'[1]Raw Data'!$A$3:$FB$285,57,FALSE)</f>
        <v/>
      </c>
      <c r="AU250" s="27" t="str">
        <f>VLOOKUP($A250,'[1]Raw Data'!$A$3:$FB$285,58,FALSE)</f>
        <v/>
      </c>
      <c r="AV250" s="27" t="str">
        <f>VLOOKUP($A250,'[1]Raw Data'!$A$3:$FB$285,59,FALSE)</f>
        <v/>
      </c>
      <c r="AW250" s="27" t="str">
        <f>VLOOKUP($A250,'[1]Raw Data'!$A$3:$FB$285,60,FALSE)</f>
        <v/>
      </c>
      <c r="AX250" s="27" t="str">
        <f>VLOOKUP(A250,'[1]PO''s List'!A248:E530,4,FALSE)</f>
        <v/>
      </c>
      <c r="AZ250" s="27" t="str">
        <f>VLOOKUP(A250,'[1]PO''s List'!$A$3:$E$285,5,FALSE)</f>
        <v/>
      </c>
      <c r="BB250" s="27">
        <f>VLOOKUP($A250,'[1]Raw Data'!$A$3:$FB$285,63,FALSE)</f>
        <v>2591</v>
      </c>
      <c r="BC250" s="27" t="str">
        <f>VLOOKUP($A250,'[1]Raw Data'!$A$3:$FB$285,64,FALSE)</f>
        <v/>
      </c>
      <c r="BD250" s="27" t="str">
        <f t="shared" si="27"/>
        <v/>
      </c>
      <c r="BE250" s="27" t="str">
        <f>VLOOKUP($A250,'[1]Raw Data'!$A$3:$FB$285,65,FALSE)</f>
        <v/>
      </c>
      <c r="BF250" s="27">
        <f>VLOOKUP($A250,'[1]Raw Data'!$A$3:$FB$285,66,FALSE)</f>
        <v>2346</v>
      </c>
      <c r="BG250" s="27" t="str">
        <f>VLOOKUP($A250,'[1]Raw Data'!$A$3:$FB$285,67,FALSE)</f>
        <v/>
      </c>
      <c r="BH250" s="27" t="str">
        <f t="shared" si="28"/>
        <v/>
      </c>
      <c r="BI250" s="27" t="str">
        <f>VLOOKUP($A250,'[1]Raw Data'!$A$3:$FB$285,68,FALSE)</f>
        <v/>
      </c>
      <c r="BJ250" s="27">
        <f>VLOOKUP($A250,'[1]Raw Data'!$A$3:$FB$285,69,FALSE)</f>
        <v>274</v>
      </c>
      <c r="BK250" s="27" t="str">
        <f>VLOOKUP($A250,'[1]Raw Data'!$A$3:$FB$285,70,FALSE)</f>
        <v/>
      </c>
      <c r="BL250" s="27" t="str">
        <f t="shared" si="29"/>
        <v/>
      </c>
      <c r="BM250" s="27" t="str">
        <f>VLOOKUP($A250,'[1]Raw Data'!$A$3:$FB$285,71,FALSE)</f>
        <v/>
      </c>
      <c r="BN250" s="27">
        <f>VLOOKUP($A250,'[1]Raw Data'!$A$3:$FB$285,72,FALSE)</f>
        <v>305</v>
      </c>
      <c r="BO250" s="27" t="str">
        <f>VLOOKUP($A250,'[1]Raw Data'!$A$3:$FB$285,73,FALSE)</f>
        <v/>
      </c>
      <c r="BP250" s="27" t="str">
        <f t="shared" si="30"/>
        <v/>
      </c>
      <c r="BQ250" s="27" t="str">
        <f>VLOOKUP($A250,'[1]Raw Data'!$A$3:$FB$285,74,FALSE)</f>
        <v/>
      </c>
      <c r="BR250" s="27" t="str">
        <f>VLOOKUP($A250,'[1]Raw Data'!$A$3:$FB$285,75,FALSE)</f>
        <v/>
      </c>
      <c r="BS250" s="27" t="str">
        <f>VLOOKUP($A250,'[1]Raw Data'!$A$3:$FB$285,76,FALSE)</f>
        <v/>
      </c>
      <c r="BT250" s="27" t="str">
        <f t="shared" si="31"/>
        <v/>
      </c>
      <c r="BU250" s="27" t="str">
        <f>VLOOKUP($A250,'[1]Raw Data'!$A$3:$FB$285,77,FALSE)</f>
        <v/>
      </c>
      <c r="BV250" s="27">
        <f>VLOOKUP($A250,'[1]Raw Data'!$A$3:$FB$285,78,FALSE)</f>
        <v>7734</v>
      </c>
      <c r="BW250" s="27" t="str">
        <f>VLOOKUP($A250,'[1]Raw Data'!$A$3:$FB$285,79,FALSE)</f>
        <v/>
      </c>
      <c r="BX250" s="27" t="str">
        <f t="shared" si="32"/>
        <v/>
      </c>
      <c r="BY250" s="27" t="str">
        <f>VLOOKUP($A250,'[1]Raw Data'!$A$3:$FB$285,80,FALSE)</f>
        <v/>
      </c>
      <c r="BZ250" s="27">
        <f>VLOOKUP($A250,'[1]Raw Data'!$A$3:$FB$285,81,FALSE)</f>
        <v>28431</v>
      </c>
      <c r="CA250" s="27" t="str">
        <f>VLOOKUP($A250,'[1]Raw Data'!$A$3:$FB$285,82,FALSE)</f>
        <v/>
      </c>
      <c r="CB250" s="27" t="str">
        <f t="shared" si="33"/>
        <v/>
      </c>
      <c r="CC250" s="27" t="str">
        <f>VLOOKUP($A250,'[1]Raw Data'!$A$3:$FB$285,83,FALSE)</f>
        <v/>
      </c>
      <c r="CD250" s="27">
        <f>VLOOKUP($A250,'[1]Raw Data'!$A$3:$FB$285,84,FALSE)</f>
        <v>315</v>
      </c>
      <c r="CE250" s="27" t="str">
        <f>VLOOKUP($A250,'[1]Raw Data'!$A$3:$FB$285,85,FALSE)</f>
        <v/>
      </c>
      <c r="CF250" s="27" t="str">
        <f t="shared" si="34"/>
        <v/>
      </c>
      <c r="CG250" s="27" t="str">
        <f>VLOOKUP($A250,'[1]Raw Data'!$A$3:$FB$285,86,FALSE)</f>
        <v/>
      </c>
      <c r="CH250" s="27">
        <f>VLOOKUP($A250,'[1]Raw Data'!$A$3:$FB$285,87,FALSE)</f>
        <v>34500</v>
      </c>
      <c r="CI250" s="27" t="str">
        <f>VLOOKUP($A250,'[1]Raw Data'!$A$3:$FB$285,88,FALSE)</f>
        <v/>
      </c>
      <c r="CJ250" s="27" t="str">
        <f t="shared" si="35"/>
        <v/>
      </c>
      <c r="CK250" s="27" t="str">
        <f>VLOOKUP($A250,'[1]Raw Data'!$A$3:$FB$285,89,FALSE)</f>
        <v/>
      </c>
      <c r="CL250" s="27" t="str">
        <f>VLOOKUP($A250,'[1]Raw Data'!$A$3:$FB$285,91,FALSE)</f>
        <v/>
      </c>
      <c r="CM250" s="27" t="str">
        <f>VLOOKUP($A250,'[1]Raw Data'!$A$3:$FB$285,93,FALSE)</f>
        <v/>
      </c>
      <c r="CN250" s="27" t="str">
        <f>VLOOKUP($A250,'[1]Raw Data'!$A$3:$FB$285,94,FALSE)</f>
        <v/>
      </c>
      <c r="CO250" s="27" t="str">
        <f>VLOOKUP($A250,'[1]Raw Data'!$A$3:$FB$285,95,FALSE)</f>
        <v/>
      </c>
      <c r="CP250" s="27" t="str">
        <f>VLOOKUP($A250,'[1]Raw Data'!$A$3:$FB$285,96,FALSE)</f>
        <v/>
      </c>
      <c r="CQ250" s="27" t="str">
        <f>VLOOKUP($A250,'[1]Raw Data'!$A$3:$FB$285,97,FALSE)</f>
        <v/>
      </c>
      <c r="CR250" s="27" t="str">
        <f>VLOOKUP($A250,'[1]Raw Data'!$A$3:$FB$285,98,FALSE)</f>
        <v/>
      </c>
      <c r="CS250" s="27" t="str">
        <f>VLOOKUP($A250,'[1]Raw Data'!$A$3:$FB$285,99,FALSE)</f>
        <v/>
      </c>
      <c r="CT250" s="27" t="str">
        <f>VLOOKUP($A250,'[1]Raw Data'!$A$3:$FB$285,101,FALSE)</f>
        <v/>
      </c>
      <c r="CV250" s="27" t="str">
        <f>VLOOKUP($A250,'[1]Raw Data'!$A$3:$FB$285,102,FALSE)</f>
        <v>Chairman</v>
      </c>
      <c r="CW250" s="27" t="s">
        <v>878</v>
      </c>
      <c r="CX250" s="27" t="str">
        <f>VLOOKUP($A250,'[1]Raw Data'!$A$3:$FB$285,103,FALSE)</f>
        <v/>
      </c>
      <c r="CY250" s="27" t="str">
        <f>VLOOKUP($A250,'[1]Raw Data'!$A$3:$FB$285,105,FALSE)</f>
        <v/>
      </c>
      <c r="DA250" s="27" t="str">
        <f>VLOOKUP($A250,'[1]Raw Data'!$A$3:$FB$285,106,FALSE)</f>
        <v>Deputy Chairman</v>
      </c>
      <c r="DB250" s="27" t="s">
        <v>879</v>
      </c>
      <c r="DC250" s="27" t="str">
        <f>VLOOKUP($A250,'[1]Raw Data'!$A$3:$FB$285,107,FALSE)</f>
        <v/>
      </c>
      <c r="DD250" s="27" t="str">
        <f>VLOOKUP($A250,'[1]Raw Data'!$A$3:$FB$285,109,FALSE)</f>
        <v/>
      </c>
      <c r="DF250" s="27" t="str">
        <f>VLOOKUP($A250,'[1]Raw Data'!$A$3:$FB$285,110,FALSE)</f>
        <v>Chief Adminstration Officer</v>
      </c>
      <c r="DG250" s="27" t="s">
        <v>880</v>
      </c>
      <c r="DH250" s="27" t="str">
        <f>VLOOKUP($A250,'[1]Raw Data'!$A$3:$FB$285,111,FALSE)</f>
        <v/>
      </c>
      <c r="DI250" s="27" t="str">
        <f>VLOOKUP($A250,'[1]Raw Data'!$A$3:$FB$285,121,FALSE)</f>
        <v/>
      </c>
      <c r="DK250" s="27" t="str">
        <f>VLOOKUP($A250,'[1]Raw Data'!$A$3:$FB$285,122,FALSE)</f>
        <v>Focal Person</v>
      </c>
      <c r="DL250" s="27" t="s">
        <v>881</v>
      </c>
      <c r="DM250" s="27" t="str">
        <f>VLOOKUP($A250,'[1]Raw Data'!$A$3:$FB$285,123,FALSE)</f>
        <v/>
      </c>
      <c r="DN250" s="27" t="str">
        <f>VLOOKUP($A250,'[1]Raw Data'!$A$3:$FB$285,113,FALSE)</f>
        <v/>
      </c>
      <c r="DP250" s="27" t="str">
        <f>VLOOKUP($A250,'[1]Raw Data'!$A$3:$FB$285,114,FALSE)</f>
        <v>NRA Chief-District</v>
      </c>
      <c r="DQ250" s="27" t="s">
        <v>882</v>
      </c>
      <c r="DR250" s="27" t="str">
        <f>VLOOKUP($A250,'[1]Raw Data'!$A$3:$FB$285,115,FALSE)</f>
        <v/>
      </c>
      <c r="DS250" s="27" t="str">
        <f>VLOOKUP($A250,'[1]Raw Data'!$A$3:$FB$285,117,FALSE)</f>
        <v/>
      </c>
      <c r="DU250" s="27" t="str">
        <f>VLOOKUP($A250,'[1]Raw Data'!$A$3:$FB$285,118,FALSE)</f>
        <v>DUDBC.DLPIU Chief</v>
      </c>
      <c r="DV250" s="27" t="s">
        <v>883</v>
      </c>
      <c r="DW250" s="27" t="str">
        <f>VLOOKUP($A250,'[1]Raw Data'!$A$3:$FB$285,119,FALSE)</f>
        <v/>
      </c>
      <c r="DX250" s="27" t="s">
        <v>339</v>
      </c>
      <c r="DY250" s="27" t="str">
        <f>VLOOKUP($A250,'[1]Raw Data'!$A$3:$FB$285,124,FALSE)</f>
        <v/>
      </c>
      <c r="DZ250" s="27" t="s">
        <v>884</v>
      </c>
      <c r="EA250" s="27" t="str">
        <f>VLOOKUP($A250,'[1]Raw Data'!$A$3:$FB$285,125,FALSE)</f>
        <v/>
      </c>
      <c r="EB250" s="27" t="s">
        <v>341</v>
      </c>
      <c r="EC250" s="27" t="str">
        <f>VLOOKUP($A250,'[1]Raw Data'!$A$3:$FB$285,126,FALSE)</f>
        <v/>
      </c>
      <c r="ED250" t="s">
        <v>478</v>
      </c>
      <c r="EE250" s="27" t="str">
        <f>VLOOKUP($A250,'[1]Raw Data'!$A$3:$FB$285,127,FALSE)</f>
        <v/>
      </c>
      <c r="EF250" s="27" t="s">
        <v>343</v>
      </c>
      <c r="EG250" s="27" t="str">
        <f>VLOOKUP($A250,'[1]Raw Data'!$A$3:$FB$285,128,FALSE)</f>
        <v/>
      </c>
      <c r="EH250" t="s">
        <v>344</v>
      </c>
      <c r="EI250" s="27" t="str">
        <f>VLOOKUP($A250,'[1]Raw Data'!$A$3:$FB$285,129,FALSE)</f>
        <v/>
      </c>
      <c r="EM250" s="27" t="str">
        <f>VLOOKUP($A250,'[1]Raw Data'!$A$3:$FB$285,130,FALSE)</f>
        <v/>
      </c>
      <c r="EN250" s="27" t="str">
        <f>VLOOKUP($A250,'[1]Raw Data'!$A$3:$FB$285,131,FALSE)</f>
        <v/>
      </c>
      <c r="EO250" s="27" t="str">
        <f>VLOOKUP($A250,'[1]Raw Data'!$A$3:$FB$285,132,FALSE)</f>
        <v/>
      </c>
      <c r="EP250" s="27" t="str">
        <f>VLOOKUP($A250,'[1]Raw Data'!$A$3:$FB$285,133,FALSE)</f>
        <v/>
      </c>
      <c r="EQ250" s="27" t="str">
        <f>VLOOKUP($A250,'[1]Raw Data'!$A$3:$FB$285,134,FALSE)</f>
        <v/>
      </c>
      <c r="ER250" s="27" t="str">
        <f>VLOOKUP($A250,'[1]Raw Data'!$A$3:$FB$285,135,FALSE)</f>
        <v/>
      </c>
      <c r="ES250" s="27" t="str">
        <f>VLOOKUP($A250,'[1]Raw Data'!$A$3:$FB$285,136,FALSE)</f>
        <v/>
      </c>
      <c r="ET250" s="27" t="str">
        <f>VLOOKUP($A250,'[1]Raw Data'!$A$3:$FB$285,137,FALSE)</f>
        <v/>
      </c>
      <c r="EU250" s="27" t="str">
        <f>VLOOKUP($A250,'[1]Raw Data'!$A$3:$FB$285,138,FALSE)</f>
        <v/>
      </c>
      <c r="EV250" s="27" t="str">
        <f>VLOOKUP($A250,'[1]Raw Data'!$A$3:$FB$285,139,FALSE)</f>
        <v/>
      </c>
      <c r="EW250" s="38">
        <f>VLOOKUP($A250,[1]Training!$A$2:$I$284,5,FALSE)</f>
        <v>12.153846153846153</v>
      </c>
      <c r="EX250" s="31">
        <f>VLOOKUP($A250,[1]Training!$A$2:$I$284,6,FALSE)</f>
        <v>0</v>
      </c>
      <c r="EY250" s="38">
        <f>VLOOKUP($A250,[1]Training!$A$2:$I$284,8,FALSE)</f>
        <v>14.363636363636363</v>
      </c>
      <c r="EZ250" s="31">
        <f>VLOOKUP($A250,[1]Training!$A$2:$I$284,9,FALSE)</f>
        <v>0</v>
      </c>
      <c r="FA250" s="27">
        <v>1</v>
      </c>
      <c r="FB250" s="27">
        <v>2</v>
      </c>
      <c r="FC250" s="27" t="str">
        <f>VLOOKUP($A250,'[1]Raw Data'!$A$3:$FB$285,148,FALSE)</f>
        <v/>
      </c>
      <c r="FE250" s="27" t="str">
        <f>VLOOKUP($A250,'[1]Raw Data'!$A$3:$FB$285,149,FALSE)</f>
        <v>District Coordinator</v>
      </c>
      <c r="FF250" s="27" t="s">
        <v>885</v>
      </c>
      <c r="FG250" s="27" t="str">
        <f>VLOOKUP($A250,'[1]Raw Data'!$A$3:$FB$285,150,FALSE)</f>
        <v/>
      </c>
      <c r="FH250" s="27" t="str">
        <f>VLOOKUP($A250,'[1]Raw Data'!$A$3:$FB$285,156,FALSE)</f>
        <v/>
      </c>
      <c r="FJ250" s="27" t="str">
        <f>VLOOKUP($A250,'[1]Raw Data'!$A$3:$FB$285,157,FALSE)</f>
        <v>District Technical Officer</v>
      </c>
      <c r="FK250" s="27" t="s">
        <v>886</v>
      </c>
      <c r="FL250" s="27" t="str">
        <f>VLOOKUP($A250,'[1]Raw Data'!$A$3:$FB$285,158,FALSE)</f>
        <v/>
      </c>
      <c r="FM250" s="27" t="str">
        <f>VLOOKUP($A250,'[1]Raw Data'!$A$3:$FB$285,152,FALSE)</f>
        <v/>
      </c>
      <c r="FO250" s="27" t="str">
        <f>VLOOKUP($A250,'[1]Raw Data'!$A$3:$FB$285,153,FALSE)</f>
        <v>DIstrict Information Management Officer</v>
      </c>
      <c r="FP250" s="27" t="s">
        <v>887</v>
      </c>
      <c r="FQ250" s="27" t="str">
        <f>VLOOKUP($A250,'[1]Raw Data'!$A$3:$FB$285,154,FALSE)</f>
        <v/>
      </c>
    </row>
    <row r="251" spans="1:173" ht="24" x14ac:dyDescent="0.45">
      <c r="A251" s="27">
        <v>46008</v>
      </c>
      <c r="B251" s="36" t="str">
        <f ca="1">IFERROR(__xludf.DUMMYFUNCTION("""COMPUTED_VALUE"""),"Malika Gaunpalika")</f>
        <v>Malika Gaunpalika</v>
      </c>
      <c r="C251" s="37" t="str">
        <f>VLOOKUP(A251,'[1]Palika and District in Nepali '!$D$1:$F$283,3,FALSE)</f>
        <v>मालिका गाउँपालिका</v>
      </c>
      <c r="D251" s="36" t="str">
        <f ca="1">IFERROR(__xludf.DUMMYFUNCTION("""COMPUTED_VALUE"""),"Gulmi")</f>
        <v>Gulmi</v>
      </c>
      <c r="E251" s="36"/>
      <c r="F251" s="27">
        <f>VLOOKUP(A251,'[1]Raw Data'!$A$3:$FB$285,4,FALSE)</f>
        <v>25</v>
      </c>
      <c r="G251" s="27">
        <f>VLOOKUP(A251,'[1]Raw Data'!$A$3:$FB$285,5,FALSE)</f>
        <v>78</v>
      </c>
      <c r="H251" s="27">
        <f>VLOOKUP(A251,'[1]Raw Data'!$A$3:$FB$285,6,FALSE)</f>
        <v>103</v>
      </c>
      <c r="I251" s="27">
        <f>VLOOKUP($A251,'[1]Raw Data'!$A$3:$FB$285,8,FALSE)</f>
        <v>0</v>
      </c>
      <c r="J251" s="27">
        <f>VLOOKUP($A251,'[1]Raw Data'!$A$3:$FB$285,9,FALSE)</f>
        <v>0.82</v>
      </c>
      <c r="K251" s="27">
        <f>VLOOKUP($A251,'[1]Raw Data'!$A$3:$FB$285,11,FALSE)</f>
        <v>98.06</v>
      </c>
      <c r="L251" s="27">
        <f>VLOOKUP($A251,'[1]Raw Data'!$A$3:$FB$285,12,FALSE)</f>
        <v>94.78</v>
      </c>
      <c r="M251" s="27">
        <f>VLOOKUP($A251,'[1]Raw Data'!$A$3:$FB$285,14,FALSE)</f>
        <v>0</v>
      </c>
      <c r="N251" s="27">
        <f>VLOOKUP($A251,'[1]Raw Data'!$A$3:$FB$285,15,FALSE)</f>
        <v>0.21</v>
      </c>
      <c r="O251" s="27">
        <f>VLOOKUP($A251,'[1]Raw Data'!$A$3:$FB$285,17,FALSE)</f>
        <v>0</v>
      </c>
      <c r="P251" s="27">
        <f>VLOOKUP($A251,'[1]Raw Data'!$A$3:$FB$285,18,FALSE)</f>
        <v>0</v>
      </c>
      <c r="Q251" s="27">
        <f>VLOOKUP($A251,'[1]Raw Data'!$A$3:$FB$285,20,FALSE)</f>
        <v>1.94</v>
      </c>
      <c r="R251" s="27">
        <f>VLOOKUP($A251,'[1]Raw Data'!$A$3:$FB$285,21,FALSE)</f>
        <v>0.5</v>
      </c>
      <c r="S251" s="27">
        <f>VLOOKUP($A251,'[1]Raw Data'!$A$3:$FB$285,23,FALSE)</f>
        <v>0</v>
      </c>
      <c r="T251" s="27">
        <f>VLOOKUP($A251,'[1]Raw Data'!$A$3:$FB$285,24,FALSE)</f>
        <v>0</v>
      </c>
      <c r="U251" s="27">
        <f>VLOOKUP($A251,'[1]Raw Data'!$A$3:$FB$285,26,FALSE)</f>
        <v>0</v>
      </c>
      <c r="V251" s="27">
        <f>VLOOKUP($A251,'[1]Raw Data'!$A$3:$FB$285,27,FALSE)</f>
        <v>0.17</v>
      </c>
      <c r="W251" s="27">
        <f>VLOOKUP($A251,'[1]Raw Data'!$A$3:$FB$285,29,FALSE)</f>
        <v>0</v>
      </c>
      <c r="X251" s="27">
        <f>VLOOKUP($A251,'[1]Raw Data'!$A$3:$FB$285,30,FALSE)</f>
        <v>0</v>
      </c>
      <c r="Y251" s="27">
        <f>VLOOKUP($A251,'[1]Raw Data'!$A$3:$FB$285,32,FALSE)</f>
        <v>0</v>
      </c>
      <c r="Z251" s="27">
        <f>VLOOKUP($A251,'[1]Raw Data'!$A$3:$FB$285,33,FALSE)</f>
        <v>0.44</v>
      </c>
      <c r="AA251" s="27">
        <f>VLOOKUP($A251,'[1]Raw Data'!$A$3:$FB$285,35,FALSE)</f>
        <v>0</v>
      </c>
      <c r="AB251" s="27">
        <f>VLOOKUP($A251,'[1]Raw Data'!$A$3:$FB$285,36,FALSE)</f>
        <v>3.06</v>
      </c>
      <c r="AC251" s="27">
        <f>VLOOKUP($A251,'[1]Raw Data'!$A$3:$FB$285,38,FALSE)</f>
        <v>0</v>
      </c>
      <c r="AD251" s="27">
        <f>VLOOKUP($A251,'[1]Raw Data'!$A$3:$FB$285,39,FALSE)</f>
        <v>0.01</v>
      </c>
      <c r="AE251" s="27">
        <f>VLOOKUP($A251,'[1]Raw Data'!$A$3:$FB$285,41,FALSE)</f>
        <v>0</v>
      </c>
      <c r="AF251" s="27">
        <f>VLOOKUP($A251,'[1]Raw Data'!$A$3:$FB$285,42,FALSE)</f>
        <v>0</v>
      </c>
      <c r="AG251" s="27">
        <f>VLOOKUP($A251,'[1]Raw Data'!$A$3:$FB$285,44,FALSE)</f>
        <v>0</v>
      </c>
      <c r="AH251" s="27">
        <f>VLOOKUP($A251,'[1]Raw Data'!$A$3:$FB$285,45,FALSE)</f>
        <v>0</v>
      </c>
      <c r="AI251" s="27">
        <f>VLOOKUP($A251,'[1]Raw Data'!$A$3:$FB$285,46,FALSE)</f>
        <v>77</v>
      </c>
      <c r="AJ251" s="27">
        <f>VLOOKUP($A251,'[1]Raw Data'!$A$3:$FB$285,47,FALSE)</f>
        <v>38</v>
      </c>
      <c r="AK251" s="27">
        <f>VLOOKUP($A251,'[1]Raw Data'!$A$3:$FB$285,48,FALSE)</f>
        <v>38</v>
      </c>
      <c r="AL251" s="27">
        <f>VLOOKUP($A251,'[1]Raw Data'!$A$3:$FB$285,49,FALSE)</f>
        <v>38</v>
      </c>
      <c r="AM251" s="27">
        <f>VLOOKUP($A251,'[1]Raw Data'!$A$3:$FB$285,50,FALSE)</f>
        <v>12</v>
      </c>
      <c r="AN251" s="27" t="str">
        <f>VLOOKUP($A251,'[1]Raw Data'!$A$3:$FB$285,51,FALSE)</f>
        <v/>
      </c>
      <c r="AO251" s="27" t="str">
        <f>VLOOKUP($A251,'[1]Raw Data'!$A$3:$FB$285,52,FALSE)</f>
        <v/>
      </c>
      <c r="AP251" s="27">
        <f>VLOOKUP($A251,'[1]Raw Data'!$A$3:$FB$285,53,FALSE)</f>
        <v>0</v>
      </c>
      <c r="AQ251" s="27" t="str">
        <f>VLOOKUP($A251,'[1]Raw Data'!$A$3:$FB$285,54,FALSE)</f>
        <v/>
      </c>
      <c r="AR251" s="27" t="str">
        <f>VLOOKUP($A251,'[1]Raw Data'!$A$3:$FB$285,55,FALSE)</f>
        <v/>
      </c>
      <c r="AS251" s="27" t="str">
        <f>VLOOKUP($A251,'[1]Raw Data'!$A$3:$FB$285,56,FALSE)</f>
        <v/>
      </c>
      <c r="AT251" s="27" t="str">
        <f>VLOOKUP($A251,'[1]Raw Data'!$A$3:$FB$285,57,FALSE)</f>
        <v/>
      </c>
      <c r="AU251" s="27" t="str">
        <f>VLOOKUP($A251,'[1]Raw Data'!$A$3:$FB$285,58,FALSE)</f>
        <v/>
      </c>
      <c r="AV251" s="27" t="str">
        <f>VLOOKUP($A251,'[1]Raw Data'!$A$3:$FB$285,59,FALSE)</f>
        <v/>
      </c>
      <c r="AW251" s="27" t="str">
        <f>VLOOKUP($A251,'[1]Raw Data'!$A$3:$FB$285,60,FALSE)</f>
        <v/>
      </c>
      <c r="AX251" s="27" t="str">
        <f>VLOOKUP(A251,'[1]PO''s List'!A249:E531,4,FALSE)</f>
        <v/>
      </c>
      <c r="AZ251" s="27" t="str">
        <f>VLOOKUP(A251,'[1]PO''s List'!$A$3:$E$285,5,FALSE)</f>
        <v/>
      </c>
      <c r="BB251" s="27">
        <f>VLOOKUP($A251,'[1]Raw Data'!$A$3:$FB$285,63,FALSE)</f>
        <v>823</v>
      </c>
      <c r="BC251" s="27" t="str">
        <f>VLOOKUP($A251,'[1]Raw Data'!$A$3:$FB$285,64,FALSE)</f>
        <v/>
      </c>
      <c r="BD251" s="27" t="str">
        <f t="shared" si="27"/>
        <v/>
      </c>
      <c r="BE251" s="27" t="str">
        <f>VLOOKUP($A251,'[1]Raw Data'!$A$3:$FB$285,65,FALSE)</f>
        <v/>
      </c>
      <c r="BF251" s="27">
        <f>VLOOKUP($A251,'[1]Raw Data'!$A$3:$FB$285,66,FALSE)</f>
        <v>765</v>
      </c>
      <c r="BG251" s="27" t="str">
        <f>VLOOKUP($A251,'[1]Raw Data'!$A$3:$FB$285,67,FALSE)</f>
        <v/>
      </c>
      <c r="BH251" s="27" t="str">
        <f t="shared" si="28"/>
        <v/>
      </c>
      <c r="BI251" s="27" t="str">
        <f>VLOOKUP($A251,'[1]Raw Data'!$A$3:$FB$285,68,FALSE)</f>
        <v/>
      </c>
      <c r="BJ251" s="27">
        <f>VLOOKUP($A251,'[1]Raw Data'!$A$3:$FB$285,69,FALSE)</f>
        <v>87</v>
      </c>
      <c r="BK251" s="27" t="str">
        <f>VLOOKUP($A251,'[1]Raw Data'!$A$3:$FB$285,70,FALSE)</f>
        <v/>
      </c>
      <c r="BL251" s="27" t="str">
        <f t="shared" si="29"/>
        <v/>
      </c>
      <c r="BM251" s="27" t="str">
        <f>VLOOKUP($A251,'[1]Raw Data'!$A$3:$FB$285,71,FALSE)</f>
        <v/>
      </c>
      <c r="BN251" s="27">
        <f>VLOOKUP($A251,'[1]Raw Data'!$A$3:$FB$285,72,FALSE)</f>
        <v>98</v>
      </c>
      <c r="BO251" s="27" t="str">
        <f>VLOOKUP($A251,'[1]Raw Data'!$A$3:$FB$285,73,FALSE)</f>
        <v/>
      </c>
      <c r="BP251" s="27" t="str">
        <f t="shared" si="30"/>
        <v/>
      </c>
      <c r="BQ251" s="27" t="str">
        <f>VLOOKUP($A251,'[1]Raw Data'!$A$3:$FB$285,74,FALSE)</f>
        <v/>
      </c>
      <c r="BR251" s="27" t="str">
        <f>VLOOKUP($A251,'[1]Raw Data'!$A$3:$FB$285,75,FALSE)</f>
        <v/>
      </c>
      <c r="BS251" s="27" t="str">
        <f>VLOOKUP($A251,'[1]Raw Data'!$A$3:$FB$285,76,FALSE)</f>
        <v/>
      </c>
      <c r="BT251" s="27" t="str">
        <f t="shared" si="31"/>
        <v/>
      </c>
      <c r="BU251" s="27" t="str">
        <f>VLOOKUP($A251,'[1]Raw Data'!$A$3:$FB$285,77,FALSE)</f>
        <v/>
      </c>
      <c r="BV251" s="27">
        <f>VLOOKUP($A251,'[1]Raw Data'!$A$3:$FB$285,78,FALSE)</f>
        <v>2519</v>
      </c>
      <c r="BW251" s="27" t="str">
        <f>VLOOKUP($A251,'[1]Raw Data'!$A$3:$FB$285,79,FALSE)</f>
        <v/>
      </c>
      <c r="BX251" s="27" t="str">
        <f t="shared" si="32"/>
        <v/>
      </c>
      <c r="BY251" s="27" t="str">
        <f>VLOOKUP($A251,'[1]Raw Data'!$A$3:$FB$285,80,FALSE)</f>
        <v/>
      </c>
      <c r="BZ251" s="27">
        <f>VLOOKUP($A251,'[1]Raw Data'!$A$3:$FB$285,81,FALSE)</f>
        <v>9000</v>
      </c>
      <c r="CA251" s="27" t="str">
        <f>VLOOKUP($A251,'[1]Raw Data'!$A$3:$FB$285,82,FALSE)</f>
        <v/>
      </c>
      <c r="CB251" s="27" t="str">
        <f t="shared" si="33"/>
        <v/>
      </c>
      <c r="CC251" s="27" t="str">
        <f>VLOOKUP($A251,'[1]Raw Data'!$A$3:$FB$285,83,FALSE)</f>
        <v/>
      </c>
      <c r="CD251" s="27">
        <f>VLOOKUP($A251,'[1]Raw Data'!$A$3:$FB$285,84,FALSE)</f>
        <v>103</v>
      </c>
      <c r="CE251" s="27" t="str">
        <f>VLOOKUP($A251,'[1]Raw Data'!$A$3:$FB$285,85,FALSE)</f>
        <v/>
      </c>
      <c r="CF251" s="27" t="str">
        <f t="shared" si="34"/>
        <v/>
      </c>
      <c r="CG251" s="27" t="str">
        <f>VLOOKUP($A251,'[1]Raw Data'!$A$3:$FB$285,86,FALSE)</f>
        <v/>
      </c>
      <c r="CH251" s="27">
        <f>VLOOKUP($A251,'[1]Raw Data'!$A$3:$FB$285,87,FALSE)</f>
        <v>9344</v>
      </c>
      <c r="CI251" s="27" t="str">
        <f>VLOOKUP($A251,'[1]Raw Data'!$A$3:$FB$285,88,FALSE)</f>
        <v/>
      </c>
      <c r="CJ251" s="27" t="str">
        <f t="shared" si="35"/>
        <v/>
      </c>
      <c r="CK251" s="27" t="str">
        <f>VLOOKUP($A251,'[1]Raw Data'!$A$3:$FB$285,89,FALSE)</f>
        <v/>
      </c>
      <c r="CL251" s="27" t="str">
        <f>VLOOKUP($A251,'[1]Raw Data'!$A$3:$FB$285,91,FALSE)</f>
        <v/>
      </c>
      <c r="CM251" s="27" t="str">
        <f>VLOOKUP($A251,'[1]Raw Data'!$A$3:$FB$285,93,FALSE)</f>
        <v/>
      </c>
      <c r="CN251" s="27" t="str">
        <f>VLOOKUP($A251,'[1]Raw Data'!$A$3:$FB$285,94,FALSE)</f>
        <v/>
      </c>
      <c r="CO251" s="27" t="str">
        <f>VLOOKUP($A251,'[1]Raw Data'!$A$3:$FB$285,95,FALSE)</f>
        <v/>
      </c>
      <c r="CP251" s="27" t="str">
        <f>VLOOKUP($A251,'[1]Raw Data'!$A$3:$FB$285,96,FALSE)</f>
        <v/>
      </c>
      <c r="CQ251" s="27" t="str">
        <f>VLOOKUP($A251,'[1]Raw Data'!$A$3:$FB$285,97,FALSE)</f>
        <v/>
      </c>
      <c r="CR251" s="27" t="str">
        <f>VLOOKUP($A251,'[1]Raw Data'!$A$3:$FB$285,98,FALSE)</f>
        <v/>
      </c>
      <c r="CS251" s="27" t="str">
        <f>VLOOKUP($A251,'[1]Raw Data'!$A$3:$FB$285,99,FALSE)</f>
        <v/>
      </c>
      <c r="CT251" s="27" t="str">
        <f>VLOOKUP($A251,'[1]Raw Data'!$A$3:$FB$285,101,FALSE)</f>
        <v/>
      </c>
      <c r="CV251" s="27" t="str">
        <f>VLOOKUP($A251,'[1]Raw Data'!$A$3:$FB$285,102,FALSE)</f>
        <v>Chairman</v>
      </c>
      <c r="CW251" s="27" t="s">
        <v>878</v>
      </c>
      <c r="CX251" s="27" t="str">
        <f>VLOOKUP($A251,'[1]Raw Data'!$A$3:$FB$285,103,FALSE)</f>
        <v/>
      </c>
      <c r="CY251" s="27" t="str">
        <f>VLOOKUP($A251,'[1]Raw Data'!$A$3:$FB$285,105,FALSE)</f>
        <v/>
      </c>
      <c r="DA251" s="27" t="str">
        <f>VLOOKUP($A251,'[1]Raw Data'!$A$3:$FB$285,106,FALSE)</f>
        <v>Deputy Chairman</v>
      </c>
      <c r="DB251" s="27" t="s">
        <v>879</v>
      </c>
      <c r="DC251" s="27" t="str">
        <f>VLOOKUP($A251,'[1]Raw Data'!$A$3:$FB$285,107,FALSE)</f>
        <v/>
      </c>
      <c r="DD251" s="27" t="str">
        <f>VLOOKUP($A251,'[1]Raw Data'!$A$3:$FB$285,109,FALSE)</f>
        <v/>
      </c>
      <c r="DF251" s="27" t="str">
        <f>VLOOKUP($A251,'[1]Raw Data'!$A$3:$FB$285,110,FALSE)</f>
        <v>Chief Adminstration Officer</v>
      </c>
      <c r="DG251" s="27" t="s">
        <v>880</v>
      </c>
      <c r="DH251" s="27" t="str">
        <f>VLOOKUP($A251,'[1]Raw Data'!$A$3:$FB$285,111,FALSE)</f>
        <v/>
      </c>
      <c r="DI251" s="27" t="str">
        <f>VLOOKUP($A251,'[1]Raw Data'!$A$3:$FB$285,121,FALSE)</f>
        <v/>
      </c>
      <c r="DK251" s="27" t="str">
        <f>VLOOKUP($A251,'[1]Raw Data'!$A$3:$FB$285,122,FALSE)</f>
        <v>Focal Person</v>
      </c>
      <c r="DL251" s="27" t="s">
        <v>881</v>
      </c>
      <c r="DM251" s="27" t="str">
        <f>VLOOKUP($A251,'[1]Raw Data'!$A$3:$FB$285,123,FALSE)</f>
        <v/>
      </c>
      <c r="DN251" s="27" t="str">
        <f>VLOOKUP($A251,'[1]Raw Data'!$A$3:$FB$285,113,FALSE)</f>
        <v/>
      </c>
      <c r="DP251" s="27" t="str">
        <f>VLOOKUP($A251,'[1]Raw Data'!$A$3:$FB$285,114,FALSE)</f>
        <v>NRA Chief-District</v>
      </c>
      <c r="DQ251" s="27" t="s">
        <v>882</v>
      </c>
      <c r="DR251" s="27" t="str">
        <f>VLOOKUP($A251,'[1]Raw Data'!$A$3:$FB$285,115,FALSE)</f>
        <v/>
      </c>
      <c r="DS251" s="27" t="str">
        <f>VLOOKUP($A251,'[1]Raw Data'!$A$3:$FB$285,117,FALSE)</f>
        <v/>
      </c>
      <c r="DU251" s="27" t="str">
        <f>VLOOKUP($A251,'[1]Raw Data'!$A$3:$FB$285,118,FALSE)</f>
        <v>DUDBC.DLPIU Chief</v>
      </c>
      <c r="DV251" s="27" t="s">
        <v>883</v>
      </c>
      <c r="DW251" s="27" t="str">
        <f>VLOOKUP($A251,'[1]Raw Data'!$A$3:$FB$285,119,FALSE)</f>
        <v/>
      </c>
      <c r="DX251" s="27" t="s">
        <v>339</v>
      </c>
      <c r="DY251" s="27" t="str">
        <f>VLOOKUP($A251,'[1]Raw Data'!$A$3:$FB$285,124,FALSE)</f>
        <v/>
      </c>
      <c r="DZ251" s="27" t="s">
        <v>884</v>
      </c>
      <c r="EA251" s="27" t="str">
        <f>VLOOKUP($A251,'[1]Raw Data'!$A$3:$FB$285,125,FALSE)</f>
        <v/>
      </c>
      <c r="EB251" s="27" t="s">
        <v>341</v>
      </c>
      <c r="EC251" s="27" t="str">
        <f>VLOOKUP($A251,'[1]Raw Data'!$A$3:$FB$285,126,FALSE)</f>
        <v/>
      </c>
      <c r="ED251" t="s">
        <v>478</v>
      </c>
      <c r="EE251" s="27" t="str">
        <f>VLOOKUP($A251,'[1]Raw Data'!$A$3:$FB$285,127,FALSE)</f>
        <v/>
      </c>
      <c r="EF251" s="27" t="s">
        <v>343</v>
      </c>
      <c r="EG251" s="27" t="str">
        <f>VLOOKUP($A251,'[1]Raw Data'!$A$3:$FB$285,128,FALSE)</f>
        <v/>
      </c>
      <c r="EH251" t="s">
        <v>344</v>
      </c>
      <c r="EI251" s="27" t="str">
        <f>VLOOKUP($A251,'[1]Raw Data'!$A$3:$FB$285,129,FALSE)</f>
        <v/>
      </c>
      <c r="EM251" s="27" t="str">
        <f>VLOOKUP($A251,'[1]Raw Data'!$A$3:$FB$285,130,FALSE)</f>
        <v/>
      </c>
      <c r="EN251" s="27" t="str">
        <f>VLOOKUP($A251,'[1]Raw Data'!$A$3:$FB$285,131,FALSE)</f>
        <v/>
      </c>
      <c r="EO251" s="27" t="str">
        <f>VLOOKUP($A251,'[1]Raw Data'!$A$3:$FB$285,132,FALSE)</f>
        <v/>
      </c>
      <c r="EP251" s="27" t="str">
        <f>VLOOKUP($A251,'[1]Raw Data'!$A$3:$FB$285,133,FALSE)</f>
        <v/>
      </c>
      <c r="EQ251" s="27" t="str">
        <f>VLOOKUP($A251,'[1]Raw Data'!$A$3:$FB$285,134,FALSE)</f>
        <v/>
      </c>
      <c r="ER251" s="27" t="str">
        <f>VLOOKUP($A251,'[1]Raw Data'!$A$3:$FB$285,135,FALSE)</f>
        <v/>
      </c>
      <c r="ES251" s="27" t="str">
        <f>VLOOKUP($A251,'[1]Raw Data'!$A$3:$FB$285,136,FALSE)</f>
        <v/>
      </c>
      <c r="ET251" s="27" t="str">
        <f>VLOOKUP($A251,'[1]Raw Data'!$A$3:$FB$285,137,FALSE)</f>
        <v/>
      </c>
      <c r="EU251" s="27" t="str">
        <f>VLOOKUP($A251,'[1]Raw Data'!$A$3:$FB$285,138,FALSE)</f>
        <v/>
      </c>
      <c r="EV251" s="27" t="str">
        <f>VLOOKUP($A251,'[1]Raw Data'!$A$3:$FB$285,139,FALSE)</f>
        <v/>
      </c>
      <c r="EW251" s="38">
        <f>VLOOKUP($A251,[1]Training!$A$2:$I$284,5,FALSE)</f>
        <v>5.9230769230769234</v>
      </c>
      <c r="EX251" s="31">
        <f>VLOOKUP($A251,[1]Training!$A$2:$I$284,6,FALSE)</f>
        <v>25</v>
      </c>
      <c r="EY251" s="38">
        <f>VLOOKUP($A251,[1]Training!$A$2:$I$284,8,FALSE)</f>
        <v>7</v>
      </c>
      <c r="EZ251" s="31">
        <f>VLOOKUP($A251,[1]Training!$A$2:$I$284,9,FALSE)</f>
        <v>0</v>
      </c>
      <c r="FA251" s="27">
        <v>1</v>
      </c>
      <c r="FB251" s="27">
        <v>2</v>
      </c>
      <c r="FC251" s="27" t="str">
        <f>VLOOKUP($A251,'[1]Raw Data'!$A$3:$FB$285,148,FALSE)</f>
        <v/>
      </c>
      <c r="FE251" s="27" t="str">
        <f>VLOOKUP($A251,'[1]Raw Data'!$A$3:$FB$285,149,FALSE)</f>
        <v>District Coordinator</v>
      </c>
      <c r="FF251" s="27" t="s">
        <v>885</v>
      </c>
      <c r="FG251" s="27" t="str">
        <f>VLOOKUP($A251,'[1]Raw Data'!$A$3:$FB$285,150,FALSE)</f>
        <v/>
      </c>
      <c r="FH251" s="27" t="str">
        <f>VLOOKUP($A251,'[1]Raw Data'!$A$3:$FB$285,156,FALSE)</f>
        <v/>
      </c>
      <c r="FJ251" s="27" t="str">
        <f>VLOOKUP($A251,'[1]Raw Data'!$A$3:$FB$285,157,FALSE)</f>
        <v>District Technical Officer</v>
      </c>
      <c r="FK251" s="27" t="s">
        <v>886</v>
      </c>
      <c r="FL251" s="27" t="str">
        <f>VLOOKUP($A251,'[1]Raw Data'!$A$3:$FB$285,158,FALSE)</f>
        <v/>
      </c>
      <c r="FM251" s="27" t="str">
        <f>VLOOKUP($A251,'[1]Raw Data'!$A$3:$FB$285,152,FALSE)</f>
        <v/>
      </c>
      <c r="FO251" s="27" t="str">
        <f>VLOOKUP($A251,'[1]Raw Data'!$A$3:$FB$285,153,FALSE)</f>
        <v>DIstrict Information Management Officer</v>
      </c>
      <c r="FP251" s="27" t="s">
        <v>887</v>
      </c>
      <c r="FQ251" s="27" t="str">
        <f>VLOOKUP($A251,'[1]Raw Data'!$A$3:$FB$285,154,FALSE)</f>
        <v/>
      </c>
    </row>
    <row r="252" spans="1:173" ht="24" x14ac:dyDescent="0.45">
      <c r="A252" s="27">
        <v>46009</v>
      </c>
      <c r="B252" s="36" t="str">
        <f ca="1">IFERROR(__xludf.DUMMYFUNCTION("""COMPUTED_VALUE"""),"Musikot Nagarpalika")</f>
        <v>Musikot Nagarpalika</v>
      </c>
      <c r="C252" s="37" t="str">
        <f>VLOOKUP(A252,'[1]Palika and District in Nepali '!$D$1:$F$283,3,FALSE)</f>
        <v>मुसिकोट गाउँपालिका</v>
      </c>
      <c r="D252" s="36" t="str">
        <f ca="1">IFERROR(__xludf.DUMMYFUNCTION("""COMPUTED_VALUE"""),"Gulmi")</f>
        <v>Gulmi</v>
      </c>
      <c r="E252" s="36"/>
      <c r="F252" s="27">
        <f>VLOOKUP(A252,'[1]Raw Data'!$A$3:$FB$285,4,FALSE)</f>
        <v>339</v>
      </c>
      <c r="G252" s="27">
        <f>VLOOKUP(A252,'[1]Raw Data'!$A$3:$FB$285,5,FALSE)</f>
        <v>829</v>
      </c>
      <c r="H252" s="27">
        <f>VLOOKUP(A252,'[1]Raw Data'!$A$3:$FB$285,6,FALSE)</f>
        <v>1168</v>
      </c>
      <c r="I252" s="27">
        <f>VLOOKUP($A252,'[1]Raw Data'!$A$3:$FB$285,8,FALSE)</f>
        <v>0.77</v>
      </c>
      <c r="J252" s="27">
        <f>VLOOKUP($A252,'[1]Raw Data'!$A$3:$FB$285,9,FALSE)</f>
        <v>0.82</v>
      </c>
      <c r="K252" s="27">
        <f>VLOOKUP($A252,'[1]Raw Data'!$A$3:$FB$285,11,FALSE)</f>
        <v>85.45</v>
      </c>
      <c r="L252" s="27">
        <f>VLOOKUP($A252,'[1]Raw Data'!$A$3:$FB$285,12,FALSE)</f>
        <v>94.78</v>
      </c>
      <c r="M252" s="27">
        <f>VLOOKUP($A252,'[1]Raw Data'!$A$3:$FB$285,14,FALSE)</f>
        <v>0.26</v>
      </c>
      <c r="N252" s="27">
        <f>VLOOKUP($A252,'[1]Raw Data'!$A$3:$FB$285,15,FALSE)</f>
        <v>0.21</v>
      </c>
      <c r="O252" s="27">
        <f>VLOOKUP($A252,'[1]Raw Data'!$A$3:$FB$285,17,FALSE)</f>
        <v>0</v>
      </c>
      <c r="P252" s="27">
        <f>VLOOKUP($A252,'[1]Raw Data'!$A$3:$FB$285,18,FALSE)</f>
        <v>0</v>
      </c>
      <c r="Q252" s="27">
        <f>VLOOKUP($A252,'[1]Raw Data'!$A$3:$FB$285,20,FALSE)</f>
        <v>1.2</v>
      </c>
      <c r="R252" s="27">
        <f>VLOOKUP($A252,'[1]Raw Data'!$A$3:$FB$285,21,FALSE)</f>
        <v>0.5</v>
      </c>
      <c r="S252" s="27">
        <f>VLOOKUP($A252,'[1]Raw Data'!$A$3:$FB$285,23,FALSE)</f>
        <v>0</v>
      </c>
      <c r="T252" s="27">
        <f>VLOOKUP($A252,'[1]Raw Data'!$A$3:$FB$285,24,FALSE)</f>
        <v>0</v>
      </c>
      <c r="U252" s="27">
        <f>VLOOKUP($A252,'[1]Raw Data'!$A$3:$FB$285,26,FALSE)</f>
        <v>0.09</v>
      </c>
      <c r="V252" s="27">
        <f>VLOOKUP($A252,'[1]Raw Data'!$A$3:$FB$285,27,FALSE)</f>
        <v>0.17</v>
      </c>
      <c r="W252" s="27">
        <f>VLOOKUP($A252,'[1]Raw Data'!$A$3:$FB$285,29,FALSE)</f>
        <v>0</v>
      </c>
      <c r="X252" s="27">
        <f>VLOOKUP($A252,'[1]Raw Data'!$A$3:$FB$285,30,FALSE)</f>
        <v>0</v>
      </c>
      <c r="Y252" s="27">
        <f>VLOOKUP($A252,'[1]Raw Data'!$A$3:$FB$285,32,FALSE)</f>
        <v>0.09</v>
      </c>
      <c r="Z252" s="27">
        <f>VLOOKUP($A252,'[1]Raw Data'!$A$3:$FB$285,33,FALSE)</f>
        <v>0.44</v>
      </c>
      <c r="AA252" s="27">
        <f>VLOOKUP($A252,'[1]Raw Data'!$A$3:$FB$285,35,FALSE)</f>
        <v>12.16</v>
      </c>
      <c r="AB252" s="27">
        <f>VLOOKUP($A252,'[1]Raw Data'!$A$3:$FB$285,36,FALSE)</f>
        <v>3.06</v>
      </c>
      <c r="AC252" s="27">
        <f>VLOOKUP($A252,'[1]Raw Data'!$A$3:$FB$285,38,FALSE)</f>
        <v>0</v>
      </c>
      <c r="AD252" s="27">
        <f>VLOOKUP($A252,'[1]Raw Data'!$A$3:$FB$285,39,FALSE)</f>
        <v>0.01</v>
      </c>
      <c r="AE252" s="27">
        <f>VLOOKUP($A252,'[1]Raw Data'!$A$3:$FB$285,41,FALSE)</f>
        <v>0</v>
      </c>
      <c r="AF252" s="27">
        <f>VLOOKUP($A252,'[1]Raw Data'!$A$3:$FB$285,42,FALSE)</f>
        <v>0</v>
      </c>
      <c r="AG252" s="27">
        <f>VLOOKUP($A252,'[1]Raw Data'!$A$3:$FB$285,44,FALSE)</f>
        <v>0</v>
      </c>
      <c r="AH252" s="27">
        <f>VLOOKUP($A252,'[1]Raw Data'!$A$3:$FB$285,45,FALSE)</f>
        <v>0</v>
      </c>
      <c r="AI252" s="27">
        <f>VLOOKUP($A252,'[1]Raw Data'!$A$3:$FB$285,46,FALSE)</f>
        <v>754</v>
      </c>
      <c r="AJ252" s="27">
        <f>VLOOKUP($A252,'[1]Raw Data'!$A$3:$FB$285,47,FALSE)</f>
        <v>704</v>
      </c>
      <c r="AK252" s="27">
        <f>VLOOKUP($A252,'[1]Raw Data'!$A$3:$FB$285,48,FALSE)</f>
        <v>704</v>
      </c>
      <c r="AL252" s="27">
        <f>VLOOKUP($A252,'[1]Raw Data'!$A$3:$FB$285,49,FALSE)</f>
        <v>127</v>
      </c>
      <c r="AM252" s="27">
        <f>VLOOKUP($A252,'[1]Raw Data'!$A$3:$FB$285,50,FALSE)</f>
        <v>6</v>
      </c>
      <c r="AN252" s="27" t="str">
        <f>VLOOKUP($A252,'[1]Raw Data'!$A$3:$FB$285,51,FALSE)</f>
        <v/>
      </c>
      <c r="AO252" s="27" t="str">
        <f>VLOOKUP($A252,'[1]Raw Data'!$A$3:$FB$285,52,FALSE)</f>
        <v/>
      </c>
      <c r="AP252" s="27">
        <f>VLOOKUP($A252,'[1]Raw Data'!$A$3:$FB$285,53,FALSE)</f>
        <v>14</v>
      </c>
      <c r="AQ252" s="27" t="str">
        <f>VLOOKUP($A252,'[1]Raw Data'!$A$3:$FB$285,54,FALSE)</f>
        <v/>
      </c>
      <c r="AR252" s="27" t="str">
        <f>VLOOKUP($A252,'[1]Raw Data'!$A$3:$FB$285,55,FALSE)</f>
        <v/>
      </c>
      <c r="AS252" s="27" t="str">
        <f>VLOOKUP($A252,'[1]Raw Data'!$A$3:$FB$285,56,FALSE)</f>
        <v/>
      </c>
      <c r="AT252" s="27" t="str">
        <f>VLOOKUP($A252,'[1]Raw Data'!$A$3:$FB$285,57,FALSE)</f>
        <v/>
      </c>
      <c r="AU252" s="27" t="str">
        <f>VLOOKUP($A252,'[1]Raw Data'!$A$3:$FB$285,58,FALSE)</f>
        <v/>
      </c>
      <c r="AV252" s="27" t="str">
        <f>VLOOKUP($A252,'[1]Raw Data'!$A$3:$FB$285,59,FALSE)</f>
        <v/>
      </c>
      <c r="AW252" s="27" t="str">
        <f>VLOOKUP($A252,'[1]Raw Data'!$A$3:$FB$285,60,FALSE)</f>
        <v/>
      </c>
      <c r="AX252" s="27" t="str">
        <f>VLOOKUP(A252,'[1]PO''s List'!A250:E532,4,FALSE)</f>
        <v/>
      </c>
      <c r="AZ252" s="27" t="str">
        <f>VLOOKUP(A252,'[1]PO''s List'!$A$3:$E$285,5,FALSE)</f>
        <v/>
      </c>
      <c r="BB252" s="27">
        <f>VLOOKUP($A252,'[1]Raw Data'!$A$3:$FB$285,63,FALSE)</f>
        <v>22451</v>
      </c>
      <c r="BC252" s="27" t="str">
        <f>VLOOKUP($A252,'[1]Raw Data'!$A$3:$FB$285,64,FALSE)</f>
        <v/>
      </c>
      <c r="BD252" s="27" t="str">
        <f t="shared" si="27"/>
        <v/>
      </c>
      <c r="BE252" s="27" t="str">
        <f>VLOOKUP($A252,'[1]Raw Data'!$A$3:$FB$285,65,FALSE)</f>
        <v/>
      </c>
      <c r="BF252" s="27">
        <f>VLOOKUP($A252,'[1]Raw Data'!$A$3:$FB$285,66,FALSE)</f>
        <v>20365</v>
      </c>
      <c r="BG252" s="27" t="str">
        <f>VLOOKUP($A252,'[1]Raw Data'!$A$3:$FB$285,67,FALSE)</f>
        <v/>
      </c>
      <c r="BH252" s="27" t="str">
        <f t="shared" si="28"/>
        <v/>
      </c>
      <c r="BI252" s="27" t="str">
        <f>VLOOKUP($A252,'[1]Raw Data'!$A$3:$FB$285,68,FALSE)</f>
        <v/>
      </c>
      <c r="BJ252" s="27">
        <f>VLOOKUP($A252,'[1]Raw Data'!$A$3:$FB$285,69,FALSE)</f>
        <v>2372</v>
      </c>
      <c r="BK252" s="27" t="str">
        <f>VLOOKUP($A252,'[1]Raw Data'!$A$3:$FB$285,70,FALSE)</f>
        <v/>
      </c>
      <c r="BL252" s="27" t="str">
        <f t="shared" si="29"/>
        <v/>
      </c>
      <c r="BM252" s="27" t="str">
        <f>VLOOKUP($A252,'[1]Raw Data'!$A$3:$FB$285,71,FALSE)</f>
        <v/>
      </c>
      <c r="BN252" s="27">
        <f>VLOOKUP($A252,'[1]Raw Data'!$A$3:$FB$285,72,FALSE)</f>
        <v>2643</v>
      </c>
      <c r="BO252" s="27" t="str">
        <f>VLOOKUP($A252,'[1]Raw Data'!$A$3:$FB$285,73,FALSE)</f>
        <v/>
      </c>
      <c r="BP252" s="27" t="str">
        <f t="shared" si="30"/>
        <v/>
      </c>
      <c r="BQ252" s="27" t="str">
        <f>VLOOKUP($A252,'[1]Raw Data'!$A$3:$FB$285,74,FALSE)</f>
        <v/>
      </c>
      <c r="BR252" s="27" t="str">
        <f>VLOOKUP($A252,'[1]Raw Data'!$A$3:$FB$285,75,FALSE)</f>
        <v/>
      </c>
      <c r="BS252" s="27" t="str">
        <f>VLOOKUP($A252,'[1]Raw Data'!$A$3:$FB$285,76,FALSE)</f>
        <v/>
      </c>
      <c r="BT252" s="27" t="str">
        <f t="shared" si="31"/>
        <v/>
      </c>
      <c r="BU252" s="27" t="str">
        <f>VLOOKUP($A252,'[1]Raw Data'!$A$3:$FB$285,77,FALSE)</f>
        <v/>
      </c>
      <c r="BV252" s="27">
        <f>VLOOKUP($A252,'[1]Raw Data'!$A$3:$FB$285,78,FALSE)</f>
        <v>67343</v>
      </c>
      <c r="BW252" s="27" t="str">
        <f>VLOOKUP($A252,'[1]Raw Data'!$A$3:$FB$285,79,FALSE)</f>
        <v/>
      </c>
      <c r="BX252" s="27" t="str">
        <f t="shared" si="32"/>
        <v/>
      </c>
      <c r="BY252" s="27" t="str">
        <f>VLOOKUP($A252,'[1]Raw Data'!$A$3:$FB$285,80,FALSE)</f>
        <v/>
      </c>
      <c r="BZ252" s="27">
        <f>VLOOKUP($A252,'[1]Raw Data'!$A$3:$FB$285,81,FALSE)</f>
        <v>246615</v>
      </c>
      <c r="CA252" s="27" t="str">
        <f>VLOOKUP($A252,'[1]Raw Data'!$A$3:$FB$285,82,FALSE)</f>
        <v/>
      </c>
      <c r="CB252" s="27" t="str">
        <f t="shared" si="33"/>
        <v/>
      </c>
      <c r="CC252" s="27" t="str">
        <f>VLOOKUP($A252,'[1]Raw Data'!$A$3:$FB$285,83,FALSE)</f>
        <v/>
      </c>
      <c r="CD252" s="27">
        <f>VLOOKUP($A252,'[1]Raw Data'!$A$3:$FB$285,84,FALSE)</f>
        <v>2745</v>
      </c>
      <c r="CE252" s="27" t="str">
        <f>VLOOKUP($A252,'[1]Raw Data'!$A$3:$FB$285,85,FALSE)</f>
        <v/>
      </c>
      <c r="CF252" s="27" t="str">
        <f t="shared" si="34"/>
        <v/>
      </c>
      <c r="CG252" s="27" t="str">
        <f>VLOOKUP($A252,'[1]Raw Data'!$A$3:$FB$285,86,FALSE)</f>
        <v/>
      </c>
      <c r="CH252" s="27">
        <f>VLOOKUP($A252,'[1]Raw Data'!$A$3:$FB$285,87,FALSE)</f>
        <v>330301</v>
      </c>
      <c r="CI252" s="27" t="str">
        <f>VLOOKUP($A252,'[1]Raw Data'!$A$3:$FB$285,88,FALSE)</f>
        <v/>
      </c>
      <c r="CJ252" s="27" t="str">
        <f t="shared" si="35"/>
        <v/>
      </c>
      <c r="CK252" s="27" t="str">
        <f>VLOOKUP($A252,'[1]Raw Data'!$A$3:$FB$285,89,FALSE)</f>
        <v/>
      </c>
      <c r="CL252" s="27" t="str">
        <f>VLOOKUP($A252,'[1]Raw Data'!$A$3:$FB$285,91,FALSE)</f>
        <v/>
      </c>
      <c r="CM252" s="27" t="str">
        <f>VLOOKUP($A252,'[1]Raw Data'!$A$3:$FB$285,93,FALSE)</f>
        <v/>
      </c>
      <c r="CN252" s="27" t="str">
        <f>VLOOKUP($A252,'[1]Raw Data'!$A$3:$FB$285,94,FALSE)</f>
        <v/>
      </c>
      <c r="CO252" s="27" t="str">
        <f>VLOOKUP($A252,'[1]Raw Data'!$A$3:$FB$285,95,FALSE)</f>
        <v/>
      </c>
      <c r="CP252" s="27" t="str">
        <f>VLOOKUP($A252,'[1]Raw Data'!$A$3:$FB$285,96,FALSE)</f>
        <v/>
      </c>
      <c r="CQ252" s="27" t="str">
        <f>VLOOKUP($A252,'[1]Raw Data'!$A$3:$FB$285,97,FALSE)</f>
        <v/>
      </c>
      <c r="CR252" s="27" t="str">
        <f>VLOOKUP($A252,'[1]Raw Data'!$A$3:$FB$285,98,FALSE)</f>
        <v/>
      </c>
      <c r="CS252" s="27" t="str">
        <f>VLOOKUP($A252,'[1]Raw Data'!$A$3:$FB$285,99,FALSE)</f>
        <v/>
      </c>
      <c r="CT252" s="27" t="str">
        <f>VLOOKUP($A252,'[1]Raw Data'!$A$3:$FB$285,101,FALSE)</f>
        <v/>
      </c>
      <c r="CV252" s="27" t="str">
        <f>VLOOKUP($A252,'[1]Raw Data'!$A$3:$FB$285,102,FALSE)</f>
        <v>Mayor</v>
      </c>
      <c r="CW252" s="27" t="s">
        <v>834</v>
      </c>
      <c r="CX252" s="27" t="str">
        <f>VLOOKUP($A252,'[1]Raw Data'!$A$3:$FB$285,103,FALSE)</f>
        <v/>
      </c>
      <c r="CY252" s="27" t="str">
        <f>VLOOKUP($A252,'[1]Raw Data'!$A$3:$FB$285,105,FALSE)</f>
        <v/>
      </c>
      <c r="DA252" s="27" t="str">
        <f>VLOOKUP($A252,'[1]Raw Data'!$A$3:$FB$285,106,FALSE)</f>
        <v>Deputy Mayor</v>
      </c>
      <c r="DB252" s="27" t="s">
        <v>888</v>
      </c>
      <c r="DC252" s="27" t="str">
        <f>VLOOKUP($A252,'[1]Raw Data'!$A$3:$FB$285,107,FALSE)</f>
        <v/>
      </c>
      <c r="DD252" s="27" t="str">
        <f>VLOOKUP($A252,'[1]Raw Data'!$A$3:$FB$285,109,FALSE)</f>
        <v/>
      </c>
      <c r="DF252" s="27" t="str">
        <f>VLOOKUP($A252,'[1]Raw Data'!$A$3:$FB$285,110,FALSE)</f>
        <v>Chief Adminstration Officer</v>
      </c>
      <c r="DG252" s="27" t="s">
        <v>880</v>
      </c>
      <c r="DH252" s="27" t="str">
        <f>VLOOKUP($A252,'[1]Raw Data'!$A$3:$FB$285,111,FALSE)</f>
        <v/>
      </c>
      <c r="DI252" s="27" t="str">
        <f>VLOOKUP($A252,'[1]Raw Data'!$A$3:$FB$285,121,FALSE)</f>
        <v/>
      </c>
      <c r="DK252" s="27" t="str">
        <f>VLOOKUP($A252,'[1]Raw Data'!$A$3:$FB$285,122,FALSE)</f>
        <v>Focal Person</v>
      </c>
      <c r="DL252" s="27" t="s">
        <v>881</v>
      </c>
      <c r="DM252" s="27" t="str">
        <f>VLOOKUP($A252,'[1]Raw Data'!$A$3:$FB$285,123,FALSE)</f>
        <v/>
      </c>
      <c r="DN252" s="27" t="str">
        <f>VLOOKUP($A252,'[1]Raw Data'!$A$3:$FB$285,113,FALSE)</f>
        <v/>
      </c>
      <c r="DP252" s="27" t="str">
        <f>VLOOKUP($A252,'[1]Raw Data'!$A$3:$FB$285,114,FALSE)</f>
        <v>NRA Chief-District</v>
      </c>
      <c r="DQ252" s="27" t="s">
        <v>882</v>
      </c>
      <c r="DR252" s="27" t="str">
        <f>VLOOKUP($A252,'[1]Raw Data'!$A$3:$FB$285,115,FALSE)</f>
        <v/>
      </c>
      <c r="DS252" s="27" t="str">
        <f>VLOOKUP($A252,'[1]Raw Data'!$A$3:$FB$285,117,FALSE)</f>
        <v/>
      </c>
      <c r="DU252" s="27" t="str">
        <f>VLOOKUP($A252,'[1]Raw Data'!$A$3:$FB$285,118,FALSE)</f>
        <v>DUDBC.DLPIU Chief</v>
      </c>
      <c r="DV252" s="27" t="s">
        <v>883</v>
      </c>
      <c r="DW252" s="27" t="str">
        <f>VLOOKUP($A252,'[1]Raw Data'!$A$3:$FB$285,119,FALSE)</f>
        <v/>
      </c>
      <c r="DX252" s="27" t="s">
        <v>339</v>
      </c>
      <c r="DY252" s="27" t="str">
        <f>VLOOKUP($A252,'[1]Raw Data'!$A$3:$FB$285,124,FALSE)</f>
        <v/>
      </c>
      <c r="DZ252" s="27" t="s">
        <v>884</v>
      </c>
      <c r="EA252" s="27" t="str">
        <f>VLOOKUP($A252,'[1]Raw Data'!$A$3:$FB$285,125,FALSE)</f>
        <v/>
      </c>
      <c r="EB252" s="27" t="s">
        <v>341</v>
      </c>
      <c r="EC252" s="27" t="str">
        <f>VLOOKUP($A252,'[1]Raw Data'!$A$3:$FB$285,126,FALSE)</f>
        <v/>
      </c>
      <c r="ED252" t="s">
        <v>478</v>
      </c>
      <c r="EE252" s="27" t="str">
        <f>VLOOKUP($A252,'[1]Raw Data'!$A$3:$FB$285,127,FALSE)</f>
        <v/>
      </c>
      <c r="EF252" s="27" t="s">
        <v>343</v>
      </c>
      <c r="EG252" s="27" t="str">
        <f>VLOOKUP($A252,'[1]Raw Data'!$A$3:$FB$285,128,FALSE)</f>
        <v/>
      </c>
      <c r="EH252" t="s">
        <v>344</v>
      </c>
      <c r="EI252" s="27" t="str">
        <f>VLOOKUP($A252,'[1]Raw Data'!$A$3:$FB$285,129,FALSE)</f>
        <v/>
      </c>
      <c r="EM252" s="27" t="str">
        <f>VLOOKUP($A252,'[1]Raw Data'!$A$3:$FB$285,130,FALSE)</f>
        <v/>
      </c>
      <c r="EN252" s="27" t="str">
        <f>VLOOKUP($A252,'[1]Raw Data'!$A$3:$FB$285,131,FALSE)</f>
        <v/>
      </c>
      <c r="EO252" s="27" t="str">
        <f>VLOOKUP($A252,'[1]Raw Data'!$A$3:$FB$285,132,FALSE)</f>
        <v/>
      </c>
      <c r="EP252" s="27" t="str">
        <f>VLOOKUP($A252,'[1]Raw Data'!$A$3:$FB$285,133,FALSE)</f>
        <v/>
      </c>
      <c r="EQ252" s="27" t="str">
        <f>VLOOKUP($A252,'[1]Raw Data'!$A$3:$FB$285,134,FALSE)</f>
        <v/>
      </c>
      <c r="ER252" s="27" t="str">
        <f>VLOOKUP($A252,'[1]Raw Data'!$A$3:$FB$285,135,FALSE)</f>
        <v/>
      </c>
      <c r="ES252" s="27" t="str">
        <f>VLOOKUP($A252,'[1]Raw Data'!$A$3:$FB$285,136,FALSE)</f>
        <v/>
      </c>
      <c r="ET252" s="27" t="str">
        <f>VLOOKUP($A252,'[1]Raw Data'!$A$3:$FB$285,137,FALSE)</f>
        <v/>
      </c>
      <c r="EU252" s="27" t="str">
        <f>VLOOKUP($A252,'[1]Raw Data'!$A$3:$FB$285,138,FALSE)</f>
        <v/>
      </c>
      <c r="EV252" s="27" t="str">
        <f>VLOOKUP($A252,'[1]Raw Data'!$A$3:$FB$285,139,FALSE)</f>
        <v/>
      </c>
      <c r="EW252" s="38">
        <f>VLOOKUP($A252,[1]Training!$A$2:$I$284,5,FALSE)</f>
        <v>58</v>
      </c>
      <c r="EX252" s="31">
        <f>VLOOKUP($A252,[1]Training!$A$2:$I$284,6,FALSE)</f>
        <v>0</v>
      </c>
      <c r="EY252" s="38">
        <f>VLOOKUP($A252,[1]Training!$A$2:$I$284,8,FALSE)</f>
        <v>68.545454545454547</v>
      </c>
      <c r="EZ252" s="31">
        <f>VLOOKUP($A252,[1]Training!$A$2:$I$284,9,FALSE)</f>
        <v>0</v>
      </c>
      <c r="FA252" s="27">
        <v>1</v>
      </c>
      <c r="FB252" s="27">
        <v>2</v>
      </c>
      <c r="FC252" s="27" t="str">
        <f>VLOOKUP($A252,'[1]Raw Data'!$A$3:$FB$285,148,FALSE)</f>
        <v/>
      </c>
      <c r="FE252" s="27" t="str">
        <f>VLOOKUP($A252,'[1]Raw Data'!$A$3:$FB$285,149,FALSE)</f>
        <v>District Coordinator</v>
      </c>
      <c r="FF252" s="27" t="s">
        <v>885</v>
      </c>
      <c r="FG252" s="27" t="str">
        <f>VLOOKUP($A252,'[1]Raw Data'!$A$3:$FB$285,150,FALSE)</f>
        <v/>
      </c>
      <c r="FH252" s="27" t="str">
        <f>VLOOKUP($A252,'[1]Raw Data'!$A$3:$FB$285,156,FALSE)</f>
        <v/>
      </c>
      <c r="FJ252" s="27" t="str">
        <f>VLOOKUP($A252,'[1]Raw Data'!$A$3:$FB$285,157,FALSE)</f>
        <v>District Technical Officer</v>
      </c>
      <c r="FK252" s="27" t="s">
        <v>886</v>
      </c>
      <c r="FL252" s="27" t="str">
        <f>VLOOKUP($A252,'[1]Raw Data'!$A$3:$FB$285,158,FALSE)</f>
        <v/>
      </c>
      <c r="FM252" s="27" t="str">
        <f>VLOOKUP($A252,'[1]Raw Data'!$A$3:$FB$285,152,FALSE)</f>
        <v/>
      </c>
      <c r="FO252" s="27" t="str">
        <f>VLOOKUP($A252,'[1]Raw Data'!$A$3:$FB$285,153,FALSE)</f>
        <v>DIstrict Information Management Officer</v>
      </c>
      <c r="FP252" s="27" t="s">
        <v>887</v>
      </c>
      <c r="FQ252" s="27" t="str">
        <f>VLOOKUP($A252,'[1]Raw Data'!$A$3:$FB$285,154,FALSE)</f>
        <v/>
      </c>
    </row>
    <row r="253" spans="1:173" ht="24" x14ac:dyDescent="0.45">
      <c r="A253" s="27">
        <v>46010</v>
      </c>
      <c r="B253" s="36" t="str">
        <f ca="1">IFERROR(__xludf.DUMMYFUNCTION("""COMPUTED_VALUE"""),"Resunga Nagarpalika")</f>
        <v>Resunga Nagarpalika</v>
      </c>
      <c r="C253" s="37" t="str">
        <f>VLOOKUP(A253,'[1]Palika and District in Nepali '!$D$1:$F$283,3,FALSE)</f>
        <v>रेसुंगा नगरपालिका</v>
      </c>
      <c r="D253" s="36" t="str">
        <f ca="1">IFERROR(__xludf.DUMMYFUNCTION("""COMPUTED_VALUE"""),"Gulmi")</f>
        <v>Gulmi</v>
      </c>
      <c r="E253" s="36"/>
      <c r="F253" s="27">
        <f>VLOOKUP(A253,'[1]Raw Data'!$A$3:$FB$285,4,FALSE)</f>
        <v>158</v>
      </c>
      <c r="G253" s="27">
        <f>VLOOKUP(A253,'[1]Raw Data'!$A$3:$FB$285,5,FALSE)</f>
        <v>148</v>
      </c>
      <c r="H253" s="27">
        <f>VLOOKUP(A253,'[1]Raw Data'!$A$3:$FB$285,6,FALSE)</f>
        <v>306</v>
      </c>
      <c r="I253" s="27">
        <f>VLOOKUP($A253,'[1]Raw Data'!$A$3:$FB$285,8,FALSE)</f>
        <v>0</v>
      </c>
      <c r="J253" s="27">
        <f>VLOOKUP($A253,'[1]Raw Data'!$A$3:$FB$285,9,FALSE)</f>
        <v>0.82</v>
      </c>
      <c r="K253" s="27">
        <f>VLOOKUP($A253,'[1]Raw Data'!$A$3:$FB$285,11,FALSE)</f>
        <v>98.04</v>
      </c>
      <c r="L253" s="27">
        <f>VLOOKUP($A253,'[1]Raw Data'!$A$3:$FB$285,12,FALSE)</f>
        <v>94.78</v>
      </c>
      <c r="M253" s="27">
        <f>VLOOKUP($A253,'[1]Raw Data'!$A$3:$FB$285,14,FALSE)</f>
        <v>0.98</v>
      </c>
      <c r="N253" s="27">
        <f>VLOOKUP($A253,'[1]Raw Data'!$A$3:$FB$285,15,FALSE)</f>
        <v>0.21</v>
      </c>
      <c r="O253" s="27">
        <f>VLOOKUP($A253,'[1]Raw Data'!$A$3:$FB$285,17,FALSE)</f>
        <v>0</v>
      </c>
      <c r="P253" s="27">
        <f>VLOOKUP($A253,'[1]Raw Data'!$A$3:$FB$285,18,FALSE)</f>
        <v>0</v>
      </c>
      <c r="Q253" s="27">
        <f>VLOOKUP($A253,'[1]Raw Data'!$A$3:$FB$285,20,FALSE)</f>
        <v>0</v>
      </c>
      <c r="R253" s="27">
        <f>VLOOKUP($A253,'[1]Raw Data'!$A$3:$FB$285,21,FALSE)</f>
        <v>0.5</v>
      </c>
      <c r="S253" s="27">
        <f>VLOOKUP($A253,'[1]Raw Data'!$A$3:$FB$285,23,FALSE)</f>
        <v>0</v>
      </c>
      <c r="T253" s="27">
        <f>VLOOKUP($A253,'[1]Raw Data'!$A$3:$FB$285,24,FALSE)</f>
        <v>0</v>
      </c>
      <c r="U253" s="27">
        <f>VLOOKUP($A253,'[1]Raw Data'!$A$3:$FB$285,26,FALSE)</f>
        <v>0</v>
      </c>
      <c r="V253" s="27">
        <f>VLOOKUP($A253,'[1]Raw Data'!$A$3:$FB$285,27,FALSE)</f>
        <v>0.17</v>
      </c>
      <c r="W253" s="27">
        <f>VLOOKUP($A253,'[1]Raw Data'!$A$3:$FB$285,29,FALSE)</f>
        <v>0</v>
      </c>
      <c r="X253" s="27">
        <f>VLOOKUP($A253,'[1]Raw Data'!$A$3:$FB$285,30,FALSE)</f>
        <v>0</v>
      </c>
      <c r="Y253" s="27">
        <f>VLOOKUP($A253,'[1]Raw Data'!$A$3:$FB$285,32,FALSE)</f>
        <v>0.65</v>
      </c>
      <c r="Z253" s="27">
        <f>VLOOKUP($A253,'[1]Raw Data'!$A$3:$FB$285,33,FALSE)</f>
        <v>0.44</v>
      </c>
      <c r="AA253" s="27">
        <f>VLOOKUP($A253,'[1]Raw Data'!$A$3:$FB$285,35,FALSE)</f>
        <v>0.33</v>
      </c>
      <c r="AB253" s="27">
        <f>VLOOKUP($A253,'[1]Raw Data'!$A$3:$FB$285,36,FALSE)</f>
        <v>3.06</v>
      </c>
      <c r="AC253" s="27">
        <f>VLOOKUP($A253,'[1]Raw Data'!$A$3:$FB$285,38,FALSE)</f>
        <v>0</v>
      </c>
      <c r="AD253" s="27">
        <f>VLOOKUP($A253,'[1]Raw Data'!$A$3:$FB$285,39,FALSE)</f>
        <v>0.01</v>
      </c>
      <c r="AE253" s="27">
        <f>VLOOKUP($A253,'[1]Raw Data'!$A$3:$FB$285,41,FALSE)</f>
        <v>0</v>
      </c>
      <c r="AF253" s="27">
        <f>VLOOKUP($A253,'[1]Raw Data'!$A$3:$FB$285,42,FALSE)</f>
        <v>0</v>
      </c>
      <c r="AG253" s="27">
        <f>VLOOKUP($A253,'[1]Raw Data'!$A$3:$FB$285,44,FALSE)</f>
        <v>0</v>
      </c>
      <c r="AH253" s="27">
        <f>VLOOKUP($A253,'[1]Raw Data'!$A$3:$FB$285,45,FALSE)</f>
        <v>0</v>
      </c>
      <c r="AI253" s="27">
        <f>VLOOKUP($A253,'[1]Raw Data'!$A$3:$FB$285,46,FALSE)</f>
        <v>181</v>
      </c>
      <c r="AJ253" s="27">
        <f>VLOOKUP($A253,'[1]Raw Data'!$A$3:$FB$285,47,FALSE)</f>
        <v>135</v>
      </c>
      <c r="AK253" s="27">
        <f>VLOOKUP($A253,'[1]Raw Data'!$A$3:$FB$285,48,FALSE)</f>
        <v>135</v>
      </c>
      <c r="AL253" s="27">
        <f>VLOOKUP($A253,'[1]Raw Data'!$A$3:$FB$285,49,FALSE)</f>
        <v>120</v>
      </c>
      <c r="AM253" s="27">
        <f>VLOOKUP($A253,'[1]Raw Data'!$A$3:$FB$285,50,FALSE)</f>
        <v>0</v>
      </c>
      <c r="AN253" s="27" t="str">
        <f>VLOOKUP($A253,'[1]Raw Data'!$A$3:$FB$285,51,FALSE)</f>
        <v/>
      </c>
      <c r="AO253" s="27" t="str">
        <f>VLOOKUP($A253,'[1]Raw Data'!$A$3:$FB$285,52,FALSE)</f>
        <v/>
      </c>
      <c r="AP253" s="27">
        <f>VLOOKUP($A253,'[1]Raw Data'!$A$3:$FB$285,53,FALSE)</f>
        <v>2</v>
      </c>
      <c r="AQ253" s="27" t="str">
        <f>VLOOKUP($A253,'[1]Raw Data'!$A$3:$FB$285,54,FALSE)</f>
        <v/>
      </c>
      <c r="AR253" s="27" t="str">
        <f>VLOOKUP($A253,'[1]Raw Data'!$A$3:$FB$285,55,FALSE)</f>
        <v/>
      </c>
      <c r="AS253" s="27" t="str">
        <f>VLOOKUP($A253,'[1]Raw Data'!$A$3:$FB$285,56,FALSE)</f>
        <v/>
      </c>
      <c r="AT253" s="27" t="str">
        <f>VLOOKUP($A253,'[1]Raw Data'!$A$3:$FB$285,57,FALSE)</f>
        <v/>
      </c>
      <c r="AU253" s="27" t="str">
        <f>VLOOKUP($A253,'[1]Raw Data'!$A$3:$FB$285,58,FALSE)</f>
        <v/>
      </c>
      <c r="AV253" s="27" t="str">
        <f>VLOOKUP($A253,'[1]Raw Data'!$A$3:$FB$285,59,FALSE)</f>
        <v/>
      </c>
      <c r="AW253" s="27" t="str">
        <f>VLOOKUP($A253,'[1]Raw Data'!$A$3:$FB$285,60,FALSE)</f>
        <v/>
      </c>
      <c r="AX253" s="27" t="str">
        <f>VLOOKUP(A253,'[1]PO''s List'!A251:E533,4,FALSE)</f>
        <v/>
      </c>
      <c r="AZ253" s="27" t="str">
        <f>VLOOKUP(A253,'[1]PO''s List'!$A$3:$E$285,5,FALSE)</f>
        <v/>
      </c>
      <c r="BB253" s="27">
        <f>VLOOKUP($A253,'[1]Raw Data'!$A$3:$FB$285,63,FALSE)</f>
        <v>3880</v>
      </c>
      <c r="BC253" s="27" t="str">
        <f>VLOOKUP($A253,'[1]Raw Data'!$A$3:$FB$285,64,FALSE)</f>
        <v/>
      </c>
      <c r="BD253" s="27" t="str">
        <f t="shared" si="27"/>
        <v/>
      </c>
      <c r="BE253" s="27" t="str">
        <f>VLOOKUP($A253,'[1]Raw Data'!$A$3:$FB$285,65,FALSE)</f>
        <v/>
      </c>
      <c r="BF253" s="27">
        <f>VLOOKUP($A253,'[1]Raw Data'!$A$3:$FB$285,66,FALSE)</f>
        <v>3936</v>
      </c>
      <c r="BG253" s="27" t="str">
        <f>VLOOKUP($A253,'[1]Raw Data'!$A$3:$FB$285,67,FALSE)</f>
        <v/>
      </c>
      <c r="BH253" s="27" t="str">
        <f t="shared" si="28"/>
        <v/>
      </c>
      <c r="BI253" s="27" t="str">
        <f>VLOOKUP($A253,'[1]Raw Data'!$A$3:$FB$285,68,FALSE)</f>
        <v/>
      </c>
      <c r="BJ253" s="27">
        <f>VLOOKUP($A253,'[1]Raw Data'!$A$3:$FB$285,69,FALSE)</f>
        <v>414</v>
      </c>
      <c r="BK253" s="27" t="str">
        <f>VLOOKUP($A253,'[1]Raw Data'!$A$3:$FB$285,70,FALSE)</f>
        <v/>
      </c>
      <c r="BL253" s="27" t="str">
        <f t="shared" si="29"/>
        <v/>
      </c>
      <c r="BM253" s="27" t="str">
        <f>VLOOKUP($A253,'[1]Raw Data'!$A$3:$FB$285,71,FALSE)</f>
        <v/>
      </c>
      <c r="BN253" s="27">
        <f>VLOOKUP($A253,'[1]Raw Data'!$A$3:$FB$285,72,FALSE)</f>
        <v>477</v>
      </c>
      <c r="BO253" s="27" t="str">
        <f>VLOOKUP($A253,'[1]Raw Data'!$A$3:$FB$285,73,FALSE)</f>
        <v/>
      </c>
      <c r="BP253" s="27" t="str">
        <f t="shared" si="30"/>
        <v/>
      </c>
      <c r="BQ253" s="27" t="str">
        <f>VLOOKUP($A253,'[1]Raw Data'!$A$3:$FB$285,74,FALSE)</f>
        <v/>
      </c>
      <c r="BR253" s="27" t="str">
        <f>VLOOKUP($A253,'[1]Raw Data'!$A$3:$FB$285,75,FALSE)</f>
        <v/>
      </c>
      <c r="BS253" s="27" t="str">
        <f>VLOOKUP($A253,'[1]Raw Data'!$A$3:$FB$285,76,FALSE)</f>
        <v/>
      </c>
      <c r="BT253" s="27" t="str">
        <f t="shared" si="31"/>
        <v/>
      </c>
      <c r="BU253" s="27" t="str">
        <f>VLOOKUP($A253,'[1]Raw Data'!$A$3:$FB$285,77,FALSE)</f>
        <v/>
      </c>
      <c r="BV253" s="27">
        <f>VLOOKUP($A253,'[1]Raw Data'!$A$3:$FB$285,78,FALSE)</f>
        <v>13194</v>
      </c>
      <c r="BW253" s="27" t="str">
        <f>VLOOKUP($A253,'[1]Raw Data'!$A$3:$FB$285,79,FALSE)</f>
        <v/>
      </c>
      <c r="BX253" s="27" t="str">
        <f t="shared" si="32"/>
        <v/>
      </c>
      <c r="BY253" s="27" t="str">
        <f>VLOOKUP($A253,'[1]Raw Data'!$A$3:$FB$285,80,FALSE)</f>
        <v/>
      </c>
      <c r="BZ253" s="27">
        <f>VLOOKUP($A253,'[1]Raw Data'!$A$3:$FB$285,81,FALSE)</f>
        <v>42324</v>
      </c>
      <c r="CA253" s="27" t="str">
        <f>VLOOKUP($A253,'[1]Raw Data'!$A$3:$FB$285,82,FALSE)</f>
        <v/>
      </c>
      <c r="CB253" s="27" t="str">
        <f t="shared" si="33"/>
        <v/>
      </c>
      <c r="CC253" s="27" t="str">
        <f>VLOOKUP($A253,'[1]Raw Data'!$A$3:$FB$285,83,FALSE)</f>
        <v/>
      </c>
      <c r="CD253" s="27">
        <f>VLOOKUP($A253,'[1]Raw Data'!$A$3:$FB$285,84,FALSE)</f>
        <v>540</v>
      </c>
      <c r="CE253" s="27" t="str">
        <f>VLOOKUP($A253,'[1]Raw Data'!$A$3:$FB$285,85,FALSE)</f>
        <v/>
      </c>
      <c r="CF253" s="27" t="str">
        <f t="shared" si="34"/>
        <v/>
      </c>
      <c r="CG253" s="27" t="str">
        <f>VLOOKUP($A253,'[1]Raw Data'!$A$3:$FB$285,86,FALSE)</f>
        <v/>
      </c>
      <c r="CH253" s="27">
        <f>VLOOKUP($A253,'[1]Raw Data'!$A$3:$FB$285,87,FALSE)</f>
        <v>63760</v>
      </c>
      <c r="CI253" s="27" t="str">
        <f>VLOOKUP($A253,'[1]Raw Data'!$A$3:$FB$285,88,FALSE)</f>
        <v/>
      </c>
      <c r="CJ253" s="27" t="str">
        <f t="shared" si="35"/>
        <v/>
      </c>
      <c r="CK253" s="27" t="str">
        <f>VLOOKUP($A253,'[1]Raw Data'!$A$3:$FB$285,89,FALSE)</f>
        <v/>
      </c>
      <c r="CL253" s="27" t="str">
        <f>VLOOKUP($A253,'[1]Raw Data'!$A$3:$FB$285,91,FALSE)</f>
        <v/>
      </c>
      <c r="CM253" s="27" t="str">
        <f>VLOOKUP($A253,'[1]Raw Data'!$A$3:$FB$285,93,FALSE)</f>
        <v/>
      </c>
      <c r="CN253" s="27" t="str">
        <f>VLOOKUP($A253,'[1]Raw Data'!$A$3:$FB$285,94,FALSE)</f>
        <v/>
      </c>
      <c r="CO253" s="27" t="str">
        <f>VLOOKUP($A253,'[1]Raw Data'!$A$3:$FB$285,95,FALSE)</f>
        <v/>
      </c>
      <c r="CP253" s="27" t="str">
        <f>VLOOKUP($A253,'[1]Raw Data'!$A$3:$FB$285,96,FALSE)</f>
        <v/>
      </c>
      <c r="CQ253" s="27" t="str">
        <f>VLOOKUP($A253,'[1]Raw Data'!$A$3:$FB$285,97,FALSE)</f>
        <v/>
      </c>
      <c r="CR253" s="27" t="str">
        <f>VLOOKUP($A253,'[1]Raw Data'!$A$3:$FB$285,98,FALSE)</f>
        <v/>
      </c>
      <c r="CS253" s="27" t="str">
        <f>VLOOKUP($A253,'[1]Raw Data'!$A$3:$FB$285,99,FALSE)</f>
        <v/>
      </c>
      <c r="CT253" s="27" t="str">
        <f>VLOOKUP($A253,'[1]Raw Data'!$A$3:$FB$285,101,FALSE)</f>
        <v/>
      </c>
      <c r="CV253" s="27" t="str">
        <f>VLOOKUP($A253,'[1]Raw Data'!$A$3:$FB$285,102,FALSE)</f>
        <v>Mayor</v>
      </c>
      <c r="CW253" s="27" t="s">
        <v>834</v>
      </c>
      <c r="CX253" s="27" t="str">
        <f>VLOOKUP($A253,'[1]Raw Data'!$A$3:$FB$285,103,FALSE)</f>
        <v/>
      </c>
      <c r="CY253" s="27" t="str">
        <f>VLOOKUP($A253,'[1]Raw Data'!$A$3:$FB$285,105,FALSE)</f>
        <v/>
      </c>
      <c r="DA253" s="27" t="str">
        <f>VLOOKUP($A253,'[1]Raw Data'!$A$3:$FB$285,106,FALSE)</f>
        <v>Deputy Mayor</v>
      </c>
      <c r="DB253" s="27" t="s">
        <v>888</v>
      </c>
      <c r="DC253" s="27" t="str">
        <f>VLOOKUP($A253,'[1]Raw Data'!$A$3:$FB$285,107,FALSE)</f>
        <v/>
      </c>
      <c r="DD253" s="27" t="str">
        <f>VLOOKUP($A253,'[1]Raw Data'!$A$3:$FB$285,109,FALSE)</f>
        <v/>
      </c>
      <c r="DF253" s="27" t="str">
        <f>VLOOKUP($A253,'[1]Raw Data'!$A$3:$FB$285,110,FALSE)</f>
        <v>Chief Adminstration Officer</v>
      </c>
      <c r="DG253" s="27" t="s">
        <v>880</v>
      </c>
      <c r="DH253" s="27" t="str">
        <f>VLOOKUP($A253,'[1]Raw Data'!$A$3:$FB$285,111,FALSE)</f>
        <v/>
      </c>
      <c r="DI253" s="27" t="str">
        <f>VLOOKUP($A253,'[1]Raw Data'!$A$3:$FB$285,121,FALSE)</f>
        <v/>
      </c>
      <c r="DK253" s="27" t="str">
        <f>VLOOKUP($A253,'[1]Raw Data'!$A$3:$FB$285,122,FALSE)</f>
        <v>Focal Person</v>
      </c>
      <c r="DL253" s="27" t="s">
        <v>881</v>
      </c>
      <c r="DM253" s="27" t="str">
        <f>VLOOKUP($A253,'[1]Raw Data'!$A$3:$FB$285,123,FALSE)</f>
        <v/>
      </c>
      <c r="DN253" s="27" t="str">
        <f>VLOOKUP($A253,'[1]Raw Data'!$A$3:$FB$285,113,FALSE)</f>
        <v/>
      </c>
      <c r="DP253" s="27" t="str">
        <f>VLOOKUP($A253,'[1]Raw Data'!$A$3:$FB$285,114,FALSE)</f>
        <v>NRA Chief-District</v>
      </c>
      <c r="DQ253" s="27" t="s">
        <v>882</v>
      </c>
      <c r="DR253" s="27" t="str">
        <f>VLOOKUP($A253,'[1]Raw Data'!$A$3:$FB$285,115,FALSE)</f>
        <v/>
      </c>
      <c r="DS253" s="27" t="str">
        <f>VLOOKUP($A253,'[1]Raw Data'!$A$3:$FB$285,117,FALSE)</f>
        <v/>
      </c>
      <c r="DU253" s="27" t="str">
        <f>VLOOKUP($A253,'[1]Raw Data'!$A$3:$FB$285,118,FALSE)</f>
        <v>DUDBC.DLPIU Chief</v>
      </c>
      <c r="DV253" s="27" t="s">
        <v>883</v>
      </c>
      <c r="DW253" s="27" t="str">
        <f>VLOOKUP($A253,'[1]Raw Data'!$A$3:$FB$285,119,FALSE)</f>
        <v/>
      </c>
      <c r="DX253" s="27" t="s">
        <v>339</v>
      </c>
      <c r="DY253" s="27" t="str">
        <f>VLOOKUP($A253,'[1]Raw Data'!$A$3:$FB$285,124,FALSE)</f>
        <v/>
      </c>
      <c r="DZ253" s="27" t="s">
        <v>884</v>
      </c>
      <c r="EA253" s="27" t="str">
        <f>VLOOKUP($A253,'[1]Raw Data'!$A$3:$FB$285,125,FALSE)</f>
        <v/>
      </c>
      <c r="EB253" s="27" t="s">
        <v>341</v>
      </c>
      <c r="EC253" s="27" t="str">
        <f>VLOOKUP($A253,'[1]Raw Data'!$A$3:$FB$285,126,FALSE)</f>
        <v/>
      </c>
      <c r="ED253" t="s">
        <v>478</v>
      </c>
      <c r="EE253" s="27" t="str">
        <f>VLOOKUP($A253,'[1]Raw Data'!$A$3:$FB$285,127,FALSE)</f>
        <v/>
      </c>
      <c r="EF253" s="27" t="s">
        <v>343</v>
      </c>
      <c r="EG253" s="27" t="str">
        <f>VLOOKUP($A253,'[1]Raw Data'!$A$3:$FB$285,128,FALSE)</f>
        <v/>
      </c>
      <c r="EH253" t="s">
        <v>344</v>
      </c>
      <c r="EI253" s="27" t="str">
        <f>VLOOKUP($A253,'[1]Raw Data'!$A$3:$FB$285,129,FALSE)</f>
        <v/>
      </c>
      <c r="EM253" s="27" t="str">
        <f>VLOOKUP($A253,'[1]Raw Data'!$A$3:$FB$285,130,FALSE)</f>
        <v/>
      </c>
      <c r="EN253" s="27" t="str">
        <f>VLOOKUP($A253,'[1]Raw Data'!$A$3:$FB$285,131,FALSE)</f>
        <v/>
      </c>
      <c r="EO253" s="27" t="str">
        <f>VLOOKUP($A253,'[1]Raw Data'!$A$3:$FB$285,132,FALSE)</f>
        <v/>
      </c>
      <c r="EP253" s="27" t="str">
        <f>VLOOKUP($A253,'[1]Raw Data'!$A$3:$FB$285,133,FALSE)</f>
        <v/>
      </c>
      <c r="EQ253" s="27" t="str">
        <f>VLOOKUP($A253,'[1]Raw Data'!$A$3:$FB$285,134,FALSE)</f>
        <v/>
      </c>
      <c r="ER253" s="27" t="str">
        <f>VLOOKUP($A253,'[1]Raw Data'!$A$3:$FB$285,135,FALSE)</f>
        <v/>
      </c>
      <c r="ES253" s="27" t="str">
        <f>VLOOKUP($A253,'[1]Raw Data'!$A$3:$FB$285,136,FALSE)</f>
        <v/>
      </c>
      <c r="ET253" s="27" t="str">
        <f>VLOOKUP($A253,'[1]Raw Data'!$A$3:$FB$285,137,FALSE)</f>
        <v/>
      </c>
      <c r="EU253" s="27" t="str">
        <f>VLOOKUP($A253,'[1]Raw Data'!$A$3:$FB$285,138,FALSE)</f>
        <v/>
      </c>
      <c r="EV253" s="27" t="str">
        <f>VLOOKUP($A253,'[1]Raw Data'!$A$3:$FB$285,139,FALSE)</f>
        <v/>
      </c>
      <c r="EW253" s="38">
        <f>VLOOKUP($A253,[1]Training!$A$2:$I$284,5,FALSE)</f>
        <v>13.923076923076923</v>
      </c>
      <c r="EX253" s="31">
        <f>VLOOKUP($A253,[1]Training!$A$2:$I$284,6,FALSE)</f>
        <v>20</v>
      </c>
      <c r="EY253" s="38">
        <f>VLOOKUP($A253,[1]Training!$A$2:$I$284,8,FALSE)</f>
        <v>16.454545454545453</v>
      </c>
      <c r="EZ253" s="31">
        <f>VLOOKUP($A253,[1]Training!$A$2:$I$284,9,FALSE)</f>
        <v>0</v>
      </c>
      <c r="FA253" s="27">
        <v>1</v>
      </c>
      <c r="FB253" s="27">
        <v>2</v>
      </c>
      <c r="FC253" s="27" t="str">
        <f>VLOOKUP($A253,'[1]Raw Data'!$A$3:$FB$285,148,FALSE)</f>
        <v/>
      </c>
      <c r="FE253" s="27" t="str">
        <f>VLOOKUP($A253,'[1]Raw Data'!$A$3:$FB$285,149,FALSE)</f>
        <v>District Coordinator</v>
      </c>
      <c r="FF253" s="27" t="s">
        <v>885</v>
      </c>
      <c r="FG253" s="27" t="str">
        <f>VLOOKUP($A253,'[1]Raw Data'!$A$3:$FB$285,150,FALSE)</f>
        <v/>
      </c>
      <c r="FH253" s="27" t="str">
        <f>VLOOKUP($A253,'[1]Raw Data'!$A$3:$FB$285,156,FALSE)</f>
        <v/>
      </c>
      <c r="FJ253" s="27" t="str">
        <f>VLOOKUP($A253,'[1]Raw Data'!$A$3:$FB$285,157,FALSE)</f>
        <v>District Technical Officer</v>
      </c>
      <c r="FK253" s="27" t="s">
        <v>886</v>
      </c>
      <c r="FL253" s="27" t="str">
        <f>VLOOKUP($A253,'[1]Raw Data'!$A$3:$FB$285,158,FALSE)</f>
        <v/>
      </c>
      <c r="FM253" s="27" t="str">
        <f>VLOOKUP($A253,'[1]Raw Data'!$A$3:$FB$285,152,FALSE)</f>
        <v/>
      </c>
      <c r="FO253" s="27" t="str">
        <f>VLOOKUP($A253,'[1]Raw Data'!$A$3:$FB$285,153,FALSE)</f>
        <v>DIstrict Information Management Officer</v>
      </c>
      <c r="FP253" s="27" t="s">
        <v>887</v>
      </c>
      <c r="FQ253" s="27" t="str">
        <f>VLOOKUP($A253,'[1]Raw Data'!$A$3:$FB$285,154,FALSE)</f>
        <v/>
      </c>
    </row>
    <row r="254" spans="1:173" ht="24" x14ac:dyDescent="0.45">
      <c r="A254" s="27">
        <v>46011</v>
      </c>
      <c r="B254" s="36" t="str">
        <f ca="1">IFERROR(__xludf.DUMMYFUNCTION("""COMPUTED_VALUE"""),"Ruru Gaunpalika")</f>
        <v>Ruru Gaunpalika</v>
      </c>
      <c r="C254" s="37" t="str">
        <f>VLOOKUP(A254,'[1]Palika and District in Nepali '!$D$1:$F$283,3,FALSE)</f>
        <v xml:space="preserve">रुरु गाउँपालिका </v>
      </c>
      <c r="D254" s="36" t="str">
        <f ca="1">IFERROR(__xludf.DUMMYFUNCTION("""COMPUTED_VALUE"""),"Gulmi")</f>
        <v>Gulmi</v>
      </c>
      <c r="E254" s="36"/>
      <c r="F254" s="27">
        <f>VLOOKUP(A254,'[1]Raw Data'!$A$3:$FB$285,4,FALSE)</f>
        <v>139</v>
      </c>
      <c r="G254" s="27">
        <f>VLOOKUP(A254,'[1]Raw Data'!$A$3:$FB$285,5,FALSE)</f>
        <v>300</v>
      </c>
      <c r="H254" s="27">
        <f>VLOOKUP(A254,'[1]Raw Data'!$A$3:$FB$285,6,FALSE)</f>
        <v>439</v>
      </c>
      <c r="I254" s="27">
        <f>VLOOKUP($A254,'[1]Raw Data'!$A$3:$FB$285,8,FALSE)</f>
        <v>0.23</v>
      </c>
      <c r="J254" s="27">
        <f>VLOOKUP($A254,'[1]Raw Data'!$A$3:$FB$285,9,FALSE)</f>
        <v>0.82</v>
      </c>
      <c r="K254" s="27">
        <f>VLOOKUP($A254,'[1]Raw Data'!$A$3:$FB$285,11,FALSE)</f>
        <v>96.58</v>
      </c>
      <c r="L254" s="27">
        <f>VLOOKUP($A254,'[1]Raw Data'!$A$3:$FB$285,12,FALSE)</f>
        <v>94.78</v>
      </c>
      <c r="M254" s="27">
        <f>VLOOKUP($A254,'[1]Raw Data'!$A$3:$FB$285,14,FALSE)</f>
        <v>0.23</v>
      </c>
      <c r="N254" s="27">
        <f>VLOOKUP($A254,'[1]Raw Data'!$A$3:$FB$285,15,FALSE)</f>
        <v>0.21</v>
      </c>
      <c r="O254" s="27">
        <f>VLOOKUP($A254,'[1]Raw Data'!$A$3:$FB$285,17,FALSE)</f>
        <v>0</v>
      </c>
      <c r="P254" s="27">
        <f>VLOOKUP($A254,'[1]Raw Data'!$A$3:$FB$285,18,FALSE)</f>
        <v>0</v>
      </c>
      <c r="Q254" s="27">
        <f>VLOOKUP($A254,'[1]Raw Data'!$A$3:$FB$285,20,FALSE)</f>
        <v>0.68</v>
      </c>
      <c r="R254" s="27">
        <f>VLOOKUP($A254,'[1]Raw Data'!$A$3:$FB$285,21,FALSE)</f>
        <v>0.5</v>
      </c>
      <c r="S254" s="27">
        <f>VLOOKUP($A254,'[1]Raw Data'!$A$3:$FB$285,23,FALSE)</f>
        <v>0</v>
      </c>
      <c r="T254" s="27">
        <f>VLOOKUP($A254,'[1]Raw Data'!$A$3:$FB$285,24,FALSE)</f>
        <v>0</v>
      </c>
      <c r="U254" s="27">
        <f>VLOOKUP($A254,'[1]Raw Data'!$A$3:$FB$285,26,FALSE)</f>
        <v>0</v>
      </c>
      <c r="V254" s="27">
        <f>VLOOKUP($A254,'[1]Raw Data'!$A$3:$FB$285,27,FALSE)</f>
        <v>0.17</v>
      </c>
      <c r="W254" s="27">
        <f>VLOOKUP($A254,'[1]Raw Data'!$A$3:$FB$285,29,FALSE)</f>
        <v>0</v>
      </c>
      <c r="X254" s="27">
        <f>VLOOKUP($A254,'[1]Raw Data'!$A$3:$FB$285,30,FALSE)</f>
        <v>0</v>
      </c>
      <c r="Y254" s="27">
        <f>VLOOKUP($A254,'[1]Raw Data'!$A$3:$FB$285,32,FALSE)</f>
        <v>0.23</v>
      </c>
      <c r="Z254" s="27">
        <f>VLOOKUP($A254,'[1]Raw Data'!$A$3:$FB$285,33,FALSE)</f>
        <v>0.44</v>
      </c>
      <c r="AA254" s="27">
        <f>VLOOKUP($A254,'[1]Raw Data'!$A$3:$FB$285,35,FALSE)</f>
        <v>2.0499999999999998</v>
      </c>
      <c r="AB254" s="27">
        <f>VLOOKUP($A254,'[1]Raw Data'!$A$3:$FB$285,36,FALSE)</f>
        <v>3.06</v>
      </c>
      <c r="AC254" s="27">
        <f>VLOOKUP($A254,'[1]Raw Data'!$A$3:$FB$285,38,FALSE)</f>
        <v>0</v>
      </c>
      <c r="AD254" s="27">
        <f>VLOOKUP($A254,'[1]Raw Data'!$A$3:$FB$285,39,FALSE)</f>
        <v>0.01</v>
      </c>
      <c r="AE254" s="27">
        <f>VLOOKUP($A254,'[1]Raw Data'!$A$3:$FB$285,41,FALSE)</f>
        <v>0</v>
      </c>
      <c r="AF254" s="27">
        <f>VLOOKUP($A254,'[1]Raw Data'!$A$3:$FB$285,42,FALSE)</f>
        <v>0</v>
      </c>
      <c r="AG254" s="27">
        <f>VLOOKUP($A254,'[1]Raw Data'!$A$3:$FB$285,44,FALSE)</f>
        <v>0</v>
      </c>
      <c r="AH254" s="27">
        <f>VLOOKUP($A254,'[1]Raw Data'!$A$3:$FB$285,45,FALSE)</f>
        <v>0</v>
      </c>
      <c r="AI254" s="27">
        <f>VLOOKUP($A254,'[1]Raw Data'!$A$3:$FB$285,46,FALSE)</f>
        <v>289</v>
      </c>
      <c r="AJ254" s="27">
        <f>VLOOKUP($A254,'[1]Raw Data'!$A$3:$FB$285,47,FALSE)</f>
        <v>423</v>
      </c>
      <c r="AK254" s="27">
        <f>VLOOKUP($A254,'[1]Raw Data'!$A$3:$FB$285,48,FALSE)</f>
        <v>423</v>
      </c>
      <c r="AL254" s="27">
        <f>VLOOKUP($A254,'[1]Raw Data'!$A$3:$FB$285,49,FALSE)</f>
        <v>149</v>
      </c>
      <c r="AM254" s="27">
        <f>VLOOKUP($A254,'[1]Raw Data'!$A$3:$FB$285,50,FALSE)</f>
        <v>34</v>
      </c>
      <c r="AN254" s="27" t="str">
        <f>VLOOKUP($A254,'[1]Raw Data'!$A$3:$FB$285,51,FALSE)</f>
        <v/>
      </c>
      <c r="AO254" s="27" t="str">
        <f>VLOOKUP($A254,'[1]Raw Data'!$A$3:$FB$285,52,FALSE)</f>
        <v/>
      </c>
      <c r="AP254" s="27">
        <f>VLOOKUP($A254,'[1]Raw Data'!$A$3:$FB$285,53,FALSE)</f>
        <v>7</v>
      </c>
      <c r="AQ254" s="27" t="str">
        <f>VLOOKUP($A254,'[1]Raw Data'!$A$3:$FB$285,54,FALSE)</f>
        <v/>
      </c>
      <c r="AR254" s="27" t="str">
        <f>VLOOKUP($A254,'[1]Raw Data'!$A$3:$FB$285,55,FALSE)</f>
        <v/>
      </c>
      <c r="AS254" s="27" t="str">
        <f>VLOOKUP($A254,'[1]Raw Data'!$A$3:$FB$285,56,FALSE)</f>
        <v/>
      </c>
      <c r="AT254" s="27" t="str">
        <f>VLOOKUP($A254,'[1]Raw Data'!$A$3:$FB$285,57,FALSE)</f>
        <v/>
      </c>
      <c r="AU254" s="27" t="str">
        <f>VLOOKUP($A254,'[1]Raw Data'!$A$3:$FB$285,58,FALSE)</f>
        <v/>
      </c>
      <c r="AV254" s="27" t="str">
        <f>VLOOKUP($A254,'[1]Raw Data'!$A$3:$FB$285,59,FALSE)</f>
        <v/>
      </c>
      <c r="AW254" s="27" t="str">
        <f>VLOOKUP($A254,'[1]Raw Data'!$A$3:$FB$285,60,FALSE)</f>
        <v/>
      </c>
      <c r="AX254" s="27" t="str">
        <f>VLOOKUP(A254,'[1]PO''s List'!A252:E534,4,FALSE)</f>
        <v/>
      </c>
      <c r="AZ254" s="27" t="str">
        <f>VLOOKUP(A254,'[1]PO''s List'!$A$3:$E$285,5,FALSE)</f>
        <v/>
      </c>
      <c r="BB254" s="27">
        <f>VLOOKUP($A254,'[1]Raw Data'!$A$3:$FB$285,63,FALSE)</f>
        <v>10970</v>
      </c>
      <c r="BC254" s="27" t="str">
        <f>VLOOKUP($A254,'[1]Raw Data'!$A$3:$FB$285,64,FALSE)</f>
        <v/>
      </c>
      <c r="BD254" s="27" t="str">
        <f t="shared" si="27"/>
        <v/>
      </c>
      <c r="BE254" s="27" t="str">
        <f>VLOOKUP($A254,'[1]Raw Data'!$A$3:$FB$285,65,FALSE)</f>
        <v/>
      </c>
      <c r="BF254" s="27">
        <f>VLOOKUP($A254,'[1]Raw Data'!$A$3:$FB$285,66,FALSE)</f>
        <v>11501</v>
      </c>
      <c r="BG254" s="27" t="str">
        <f>VLOOKUP($A254,'[1]Raw Data'!$A$3:$FB$285,67,FALSE)</f>
        <v/>
      </c>
      <c r="BH254" s="27" t="str">
        <f t="shared" si="28"/>
        <v/>
      </c>
      <c r="BI254" s="27" t="str">
        <f>VLOOKUP($A254,'[1]Raw Data'!$A$3:$FB$285,68,FALSE)</f>
        <v/>
      </c>
      <c r="BJ254" s="27">
        <f>VLOOKUP($A254,'[1]Raw Data'!$A$3:$FB$285,69,FALSE)</f>
        <v>1173</v>
      </c>
      <c r="BK254" s="27" t="str">
        <f>VLOOKUP($A254,'[1]Raw Data'!$A$3:$FB$285,70,FALSE)</f>
        <v/>
      </c>
      <c r="BL254" s="27" t="str">
        <f t="shared" si="29"/>
        <v/>
      </c>
      <c r="BM254" s="27" t="str">
        <f>VLOOKUP($A254,'[1]Raw Data'!$A$3:$FB$285,71,FALSE)</f>
        <v/>
      </c>
      <c r="BN254" s="27">
        <f>VLOOKUP($A254,'[1]Raw Data'!$A$3:$FB$285,72,FALSE)</f>
        <v>1362</v>
      </c>
      <c r="BO254" s="27" t="str">
        <f>VLOOKUP($A254,'[1]Raw Data'!$A$3:$FB$285,73,FALSE)</f>
        <v/>
      </c>
      <c r="BP254" s="27" t="str">
        <f t="shared" si="30"/>
        <v/>
      </c>
      <c r="BQ254" s="27" t="str">
        <f>VLOOKUP($A254,'[1]Raw Data'!$A$3:$FB$285,74,FALSE)</f>
        <v/>
      </c>
      <c r="BR254" s="27" t="str">
        <f>VLOOKUP($A254,'[1]Raw Data'!$A$3:$FB$285,75,FALSE)</f>
        <v/>
      </c>
      <c r="BS254" s="27" t="str">
        <f>VLOOKUP($A254,'[1]Raw Data'!$A$3:$FB$285,76,FALSE)</f>
        <v/>
      </c>
      <c r="BT254" s="27" t="str">
        <f t="shared" si="31"/>
        <v/>
      </c>
      <c r="BU254" s="27" t="str">
        <f>VLOOKUP($A254,'[1]Raw Data'!$A$3:$FB$285,77,FALSE)</f>
        <v/>
      </c>
      <c r="BV254" s="27">
        <f>VLOOKUP($A254,'[1]Raw Data'!$A$3:$FB$285,78,FALSE)</f>
        <v>37953</v>
      </c>
      <c r="BW254" s="27" t="str">
        <f>VLOOKUP($A254,'[1]Raw Data'!$A$3:$FB$285,79,FALSE)</f>
        <v/>
      </c>
      <c r="BX254" s="27" t="str">
        <f t="shared" si="32"/>
        <v/>
      </c>
      <c r="BY254" s="27" t="str">
        <f>VLOOKUP($A254,'[1]Raw Data'!$A$3:$FB$285,80,FALSE)</f>
        <v/>
      </c>
      <c r="BZ254" s="27">
        <f>VLOOKUP($A254,'[1]Raw Data'!$A$3:$FB$285,81,FALSE)</f>
        <v>118386</v>
      </c>
      <c r="CA254" s="27" t="str">
        <f>VLOOKUP($A254,'[1]Raw Data'!$A$3:$FB$285,82,FALSE)</f>
        <v/>
      </c>
      <c r="CB254" s="27" t="str">
        <f t="shared" si="33"/>
        <v/>
      </c>
      <c r="CC254" s="27" t="str">
        <f>VLOOKUP($A254,'[1]Raw Data'!$A$3:$FB$285,83,FALSE)</f>
        <v/>
      </c>
      <c r="CD254" s="27">
        <f>VLOOKUP($A254,'[1]Raw Data'!$A$3:$FB$285,84,FALSE)</f>
        <v>1551</v>
      </c>
      <c r="CE254" s="27" t="str">
        <f>VLOOKUP($A254,'[1]Raw Data'!$A$3:$FB$285,85,FALSE)</f>
        <v/>
      </c>
      <c r="CF254" s="27" t="str">
        <f t="shared" si="34"/>
        <v/>
      </c>
      <c r="CG254" s="27" t="str">
        <f>VLOOKUP($A254,'[1]Raw Data'!$A$3:$FB$285,86,FALSE)</f>
        <v/>
      </c>
      <c r="CH254" s="27">
        <f>VLOOKUP($A254,'[1]Raw Data'!$A$3:$FB$285,87,FALSE)</f>
        <v>72510</v>
      </c>
      <c r="CI254" s="27" t="str">
        <f>VLOOKUP($A254,'[1]Raw Data'!$A$3:$FB$285,88,FALSE)</f>
        <v/>
      </c>
      <c r="CJ254" s="27" t="str">
        <f t="shared" si="35"/>
        <v/>
      </c>
      <c r="CK254" s="27" t="str">
        <f>VLOOKUP($A254,'[1]Raw Data'!$A$3:$FB$285,89,FALSE)</f>
        <v/>
      </c>
      <c r="CL254" s="27" t="str">
        <f>VLOOKUP($A254,'[1]Raw Data'!$A$3:$FB$285,91,FALSE)</f>
        <v/>
      </c>
      <c r="CM254" s="27" t="str">
        <f>VLOOKUP($A254,'[1]Raw Data'!$A$3:$FB$285,93,FALSE)</f>
        <v/>
      </c>
      <c r="CN254" s="27" t="str">
        <f>VLOOKUP($A254,'[1]Raw Data'!$A$3:$FB$285,94,FALSE)</f>
        <v/>
      </c>
      <c r="CO254" s="27" t="str">
        <f>VLOOKUP($A254,'[1]Raw Data'!$A$3:$FB$285,95,FALSE)</f>
        <v/>
      </c>
      <c r="CP254" s="27" t="str">
        <f>VLOOKUP($A254,'[1]Raw Data'!$A$3:$FB$285,96,FALSE)</f>
        <v/>
      </c>
      <c r="CQ254" s="27" t="str">
        <f>VLOOKUP($A254,'[1]Raw Data'!$A$3:$FB$285,97,FALSE)</f>
        <v/>
      </c>
      <c r="CR254" s="27" t="str">
        <f>VLOOKUP($A254,'[1]Raw Data'!$A$3:$FB$285,98,FALSE)</f>
        <v/>
      </c>
      <c r="CS254" s="27" t="str">
        <f>VLOOKUP($A254,'[1]Raw Data'!$A$3:$FB$285,99,FALSE)</f>
        <v/>
      </c>
      <c r="CT254" s="27" t="str">
        <f>VLOOKUP($A254,'[1]Raw Data'!$A$3:$FB$285,101,FALSE)</f>
        <v/>
      </c>
      <c r="CV254" s="27" t="str">
        <f>VLOOKUP($A254,'[1]Raw Data'!$A$3:$FB$285,102,FALSE)</f>
        <v>Chairman</v>
      </c>
      <c r="CW254" s="27" t="s">
        <v>878</v>
      </c>
      <c r="CX254" s="27" t="str">
        <f>VLOOKUP($A254,'[1]Raw Data'!$A$3:$FB$285,103,FALSE)</f>
        <v/>
      </c>
      <c r="CY254" s="27" t="str">
        <f>VLOOKUP($A254,'[1]Raw Data'!$A$3:$FB$285,105,FALSE)</f>
        <v/>
      </c>
      <c r="DA254" s="27" t="str">
        <f>VLOOKUP($A254,'[1]Raw Data'!$A$3:$FB$285,106,FALSE)</f>
        <v>Deputy Chairman</v>
      </c>
      <c r="DB254" s="27" t="s">
        <v>879</v>
      </c>
      <c r="DC254" s="27" t="str">
        <f>VLOOKUP($A254,'[1]Raw Data'!$A$3:$FB$285,107,FALSE)</f>
        <v/>
      </c>
      <c r="DD254" s="27" t="str">
        <f>VLOOKUP($A254,'[1]Raw Data'!$A$3:$FB$285,109,FALSE)</f>
        <v/>
      </c>
      <c r="DF254" s="27" t="str">
        <f>VLOOKUP($A254,'[1]Raw Data'!$A$3:$FB$285,110,FALSE)</f>
        <v>Chief Adminstration Officer</v>
      </c>
      <c r="DG254" s="27" t="s">
        <v>880</v>
      </c>
      <c r="DH254" s="27" t="str">
        <f>VLOOKUP($A254,'[1]Raw Data'!$A$3:$FB$285,111,FALSE)</f>
        <v/>
      </c>
      <c r="DI254" s="27" t="str">
        <f>VLOOKUP($A254,'[1]Raw Data'!$A$3:$FB$285,121,FALSE)</f>
        <v/>
      </c>
      <c r="DK254" s="27" t="str">
        <f>VLOOKUP($A254,'[1]Raw Data'!$A$3:$FB$285,122,FALSE)</f>
        <v>Focal Person</v>
      </c>
      <c r="DL254" s="27" t="s">
        <v>881</v>
      </c>
      <c r="DM254" s="27" t="str">
        <f>VLOOKUP($A254,'[1]Raw Data'!$A$3:$FB$285,123,FALSE)</f>
        <v/>
      </c>
      <c r="DN254" s="27" t="str">
        <f>VLOOKUP($A254,'[1]Raw Data'!$A$3:$FB$285,113,FALSE)</f>
        <v/>
      </c>
      <c r="DP254" s="27" t="str">
        <f>VLOOKUP($A254,'[1]Raw Data'!$A$3:$FB$285,114,FALSE)</f>
        <v>NRA Chief-District</v>
      </c>
      <c r="DQ254" s="27" t="s">
        <v>882</v>
      </c>
      <c r="DR254" s="27" t="str">
        <f>VLOOKUP($A254,'[1]Raw Data'!$A$3:$FB$285,115,FALSE)</f>
        <v/>
      </c>
      <c r="DS254" s="27" t="str">
        <f>VLOOKUP($A254,'[1]Raw Data'!$A$3:$FB$285,117,FALSE)</f>
        <v/>
      </c>
      <c r="DU254" s="27" t="str">
        <f>VLOOKUP($A254,'[1]Raw Data'!$A$3:$FB$285,118,FALSE)</f>
        <v>DUDBC.DLPIU Chief</v>
      </c>
      <c r="DV254" s="27" t="s">
        <v>883</v>
      </c>
      <c r="DW254" s="27" t="str">
        <f>VLOOKUP($A254,'[1]Raw Data'!$A$3:$FB$285,119,FALSE)</f>
        <v/>
      </c>
      <c r="DX254" s="27" t="s">
        <v>339</v>
      </c>
      <c r="DY254" s="27" t="str">
        <f>VLOOKUP($A254,'[1]Raw Data'!$A$3:$FB$285,124,FALSE)</f>
        <v/>
      </c>
      <c r="DZ254" s="27" t="s">
        <v>884</v>
      </c>
      <c r="EA254" s="27" t="str">
        <f>VLOOKUP($A254,'[1]Raw Data'!$A$3:$FB$285,125,FALSE)</f>
        <v/>
      </c>
      <c r="EB254" s="27" t="s">
        <v>341</v>
      </c>
      <c r="EC254" s="27" t="str">
        <f>VLOOKUP($A254,'[1]Raw Data'!$A$3:$FB$285,126,FALSE)</f>
        <v/>
      </c>
      <c r="ED254" t="s">
        <v>478</v>
      </c>
      <c r="EE254" s="27" t="str">
        <f>VLOOKUP($A254,'[1]Raw Data'!$A$3:$FB$285,127,FALSE)</f>
        <v/>
      </c>
      <c r="EF254" s="27" t="s">
        <v>343</v>
      </c>
      <c r="EG254" s="27" t="str">
        <f>VLOOKUP($A254,'[1]Raw Data'!$A$3:$FB$285,128,FALSE)</f>
        <v/>
      </c>
      <c r="EH254" t="s">
        <v>344</v>
      </c>
      <c r="EI254" s="27" t="str">
        <f>VLOOKUP($A254,'[1]Raw Data'!$A$3:$FB$285,129,FALSE)</f>
        <v/>
      </c>
      <c r="EM254" s="27" t="str">
        <f>VLOOKUP($A254,'[1]Raw Data'!$A$3:$FB$285,130,FALSE)</f>
        <v/>
      </c>
      <c r="EN254" s="27" t="str">
        <f>VLOOKUP($A254,'[1]Raw Data'!$A$3:$FB$285,131,FALSE)</f>
        <v/>
      </c>
      <c r="EO254" s="27" t="str">
        <f>VLOOKUP($A254,'[1]Raw Data'!$A$3:$FB$285,132,FALSE)</f>
        <v/>
      </c>
      <c r="EP254" s="27" t="str">
        <f>VLOOKUP($A254,'[1]Raw Data'!$A$3:$FB$285,133,FALSE)</f>
        <v/>
      </c>
      <c r="EQ254" s="27" t="str">
        <f>VLOOKUP($A254,'[1]Raw Data'!$A$3:$FB$285,134,FALSE)</f>
        <v/>
      </c>
      <c r="ER254" s="27" t="str">
        <f>VLOOKUP($A254,'[1]Raw Data'!$A$3:$FB$285,135,FALSE)</f>
        <v/>
      </c>
      <c r="ES254" s="27" t="str">
        <f>VLOOKUP($A254,'[1]Raw Data'!$A$3:$FB$285,136,FALSE)</f>
        <v/>
      </c>
      <c r="ET254" s="27" t="str">
        <f>VLOOKUP($A254,'[1]Raw Data'!$A$3:$FB$285,137,FALSE)</f>
        <v/>
      </c>
      <c r="EU254" s="27" t="str">
        <f>VLOOKUP($A254,'[1]Raw Data'!$A$3:$FB$285,138,FALSE)</f>
        <v/>
      </c>
      <c r="EV254" s="27" t="str">
        <f>VLOOKUP($A254,'[1]Raw Data'!$A$3:$FB$285,139,FALSE)</f>
        <v/>
      </c>
      <c r="EW254" s="38">
        <f>VLOOKUP($A254,[1]Training!$A$2:$I$284,5,FALSE)</f>
        <v>22.23076923076923</v>
      </c>
      <c r="EX254" s="31">
        <f>VLOOKUP($A254,[1]Training!$A$2:$I$284,6,FALSE)</f>
        <v>0</v>
      </c>
      <c r="EY254" s="38">
        <f>VLOOKUP($A254,[1]Training!$A$2:$I$284,8,FALSE)</f>
        <v>26.272727272727273</v>
      </c>
      <c r="EZ254" s="31">
        <f>VLOOKUP($A254,[1]Training!$A$2:$I$284,9,FALSE)</f>
        <v>0</v>
      </c>
      <c r="FA254" s="27">
        <v>1</v>
      </c>
      <c r="FB254" s="27">
        <v>2</v>
      </c>
      <c r="FC254" s="27" t="str">
        <f>VLOOKUP($A254,'[1]Raw Data'!$A$3:$FB$285,148,FALSE)</f>
        <v/>
      </c>
      <c r="FE254" s="27" t="str">
        <f>VLOOKUP($A254,'[1]Raw Data'!$A$3:$FB$285,149,FALSE)</f>
        <v>District Coordinator</v>
      </c>
      <c r="FF254" s="27" t="s">
        <v>885</v>
      </c>
      <c r="FG254" s="27" t="str">
        <f>VLOOKUP($A254,'[1]Raw Data'!$A$3:$FB$285,150,FALSE)</f>
        <v/>
      </c>
      <c r="FH254" s="27" t="str">
        <f>VLOOKUP($A254,'[1]Raw Data'!$A$3:$FB$285,156,FALSE)</f>
        <v/>
      </c>
      <c r="FJ254" s="27" t="str">
        <f>VLOOKUP($A254,'[1]Raw Data'!$A$3:$FB$285,157,FALSE)</f>
        <v>District Technical Officer</v>
      </c>
      <c r="FK254" s="27" t="s">
        <v>886</v>
      </c>
      <c r="FL254" s="27" t="str">
        <f>VLOOKUP($A254,'[1]Raw Data'!$A$3:$FB$285,158,FALSE)</f>
        <v/>
      </c>
      <c r="FM254" s="27" t="str">
        <f>VLOOKUP($A254,'[1]Raw Data'!$A$3:$FB$285,152,FALSE)</f>
        <v/>
      </c>
      <c r="FO254" s="27" t="str">
        <f>VLOOKUP($A254,'[1]Raw Data'!$A$3:$FB$285,153,FALSE)</f>
        <v>DIstrict Information Management Officer</v>
      </c>
      <c r="FP254" s="27" t="s">
        <v>887</v>
      </c>
      <c r="FQ254" s="27" t="str">
        <f>VLOOKUP($A254,'[1]Raw Data'!$A$3:$FB$285,154,FALSE)</f>
        <v/>
      </c>
    </row>
    <row r="255" spans="1:173" ht="24" x14ac:dyDescent="0.45">
      <c r="A255" s="27">
        <v>46012</v>
      </c>
      <c r="B255" s="36" t="str">
        <f ca="1">IFERROR(__xludf.DUMMYFUNCTION("""COMPUTED_VALUE"""),"Satyawati Gaunpalika")</f>
        <v>Satyawati Gaunpalika</v>
      </c>
      <c r="C255" s="37" t="str">
        <f>VLOOKUP(A255,'[1]Palika and District in Nepali '!$D$1:$F$283,3,FALSE)</f>
        <v>सत्यवती गाउँपालिका</v>
      </c>
      <c r="D255" s="36" t="str">
        <f ca="1">IFERROR(__xludf.DUMMYFUNCTION("""COMPUTED_VALUE"""),"Gulmi")</f>
        <v>Gulmi</v>
      </c>
      <c r="E255" s="36"/>
      <c r="F255" s="27">
        <f>VLOOKUP(A255,'[1]Raw Data'!$A$3:$FB$285,4,FALSE)</f>
        <v>361</v>
      </c>
      <c r="G255" s="27">
        <f>VLOOKUP(A255,'[1]Raw Data'!$A$3:$FB$285,5,FALSE)</f>
        <v>481</v>
      </c>
      <c r="H255" s="27">
        <f>VLOOKUP(A255,'[1]Raw Data'!$A$3:$FB$285,6,FALSE)</f>
        <v>842</v>
      </c>
      <c r="I255" s="27">
        <f>VLOOKUP($A255,'[1]Raw Data'!$A$3:$FB$285,8,FALSE)</f>
        <v>0.36</v>
      </c>
      <c r="J255" s="27">
        <f>VLOOKUP($A255,'[1]Raw Data'!$A$3:$FB$285,9,FALSE)</f>
        <v>0.82</v>
      </c>
      <c r="K255" s="27">
        <f>VLOOKUP($A255,'[1]Raw Data'!$A$3:$FB$285,11,FALSE)</f>
        <v>98.57</v>
      </c>
      <c r="L255" s="27">
        <f>VLOOKUP($A255,'[1]Raw Data'!$A$3:$FB$285,12,FALSE)</f>
        <v>94.78</v>
      </c>
      <c r="M255" s="27">
        <f>VLOOKUP($A255,'[1]Raw Data'!$A$3:$FB$285,14,FALSE)</f>
        <v>0</v>
      </c>
      <c r="N255" s="27">
        <f>VLOOKUP($A255,'[1]Raw Data'!$A$3:$FB$285,15,FALSE)</f>
        <v>0.21</v>
      </c>
      <c r="O255" s="27">
        <f>VLOOKUP($A255,'[1]Raw Data'!$A$3:$FB$285,17,FALSE)</f>
        <v>0</v>
      </c>
      <c r="P255" s="27">
        <f>VLOOKUP($A255,'[1]Raw Data'!$A$3:$FB$285,18,FALSE)</f>
        <v>0</v>
      </c>
      <c r="Q255" s="27">
        <f>VLOOKUP($A255,'[1]Raw Data'!$A$3:$FB$285,20,FALSE)</f>
        <v>0.83</v>
      </c>
      <c r="R255" s="27">
        <f>VLOOKUP($A255,'[1]Raw Data'!$A$3:$FB$285,21,FALSE)</f>
        <v>0.5</v>
      </c>
      <c r="S255" s="27">
        <f>VLOOKUP($A255,'[1]Raw Data'!$A$3:$FB$285,23,FALSE)</f>
        <v>0</v>
      </c>
      <c r="T255" s="27">
        <f>VLOOKUP($A255,'[1]Raw Data'!$A$3:$FB$285,24,FALSE)</f>
        <v>0</v>
      </c>
      <c r="U255" s="27">
        <f>VLOOKUP($A255,'[1]Raw Data'!$A$3:$FB$285,26,FALSE)</f>
        <v>0.12</v>
      </c>
      <c r="V255" s="27">
        <f>VLOOKUP($A255,'[1]Raw Data'!$A$3:$FB$285,27,FALSE)</f>
        <v>0.17</v>
      </c>
      <c r="W255" s="27">
        <f>VLOOKUP($A255,'[1]Raw Data'!$A$3:$FB$285,29,FALSE)</f>
        <v>0</v>
      </c>
      <c r="X255" s="27">
        <f>VLOOKUP($A255,'[1]Raw Data'!$A$3:$FB$285,30,FALSE)</f>
        <v>0</v>
      </c>
      <c r="Y255" s="27">
        <f>VLOOKUP($A255,'[1]Raw Data'!$A$3:$FB$285,32,FALSE)</f>
        <v>0</v>
      </c>
      <c r="Z255" s="27">
        <f>VLOOKUP($A255,'[1]Raw Data'!$A$3:$FB$285,33,FALSE)</f>
        <v>0.44</v>
      </c>
      <c r="AA255" s="27">
        <f>VLOOKUP($A255,'[1]Raw Data'!$A$3:$FB$285,35,FALSE)</f>
        <v>0.12</v>
      </c>
      <c r="AB255" s="27">
        <f>VLOOKUP($A255,'[1]Raw Data'!$A$3:$FB$285,36,FALSE)</f>
        <v>3.06</v>
      </c>
      <c r="AC255" s="27">
        <f>VLOOKUP($A255,'[1]Raw Data'!$A$3:$FB$285,38,FALSE)</f>
        <v>0</v>
      </c>
      <c r="AD255" s="27">
        <f>VLOOKUP($A255,'[1]Raw Data'!$A$3:$FB$285,39,FALSE)</f>
        <v>0.01</v>
      </c>
      <c r="AE255" s="27">
        <f>VLOOKUP($A255,'[1]Raw Data'!$A$3:$FB$285,41,FALSE)</f>
        <v>0</v>
      </c>
      <c r="AF255" s="27">
        <f>VLOOKUP($A255,'[1]Raw Data'!$A$3:$FB$285,42,FALSE)</f>
        <v>0</v>
      </c>
      <c r="AG255" s="27">
        <f>VLOOKUP($A255,'[1]Raw Data'!$A$3:$FB$285,44,FALSE)</f>
        <v>0</v>
      </c>
      <c r="AH255" s="27">
        <f>VLOOKUP($A255,'[1]Raw Data'!$A$3:$FB$285,45,FALSE)</f>
        <v>0</v>
      </c>
      <c r="AI255" s="27">
        <f>VLOOKUP($A255,'[1]Raw Data'!$A$3:$FB$285,46,FALSE)</f>
        <v>454</v>
      </c>
      <c r="AJ255" s="27">
        <f>VLOOKUP($A255,'[1]Raw Data'!$A$3:$FB$285,47,FALSE)</f>
        <v>556</v>
      </c>
      <c r="AK255" s="27">
        <f>VLOOKUP($A255,'[1]Raw Data'!$A$3:$FB$285,48,FALSE)</f>
        <v>556</v>
      </c>
      <c r="AL255" s="27">
        <f>VLOOKUP($A255,'[1]Raw Data'!$A$3:$FB$285,49,FALSE)</f>
        <v>135</v>
      </c>
      <c r="AM255" s="27">
        <f>VLOOKUP($A255,'[1]Raw Data'!$A$3:$FB$285,50,FALSE)</f>
        <v>26</v>
      </c>
      <c r="AN255" s="27" t="str">
        <f>VLOOKUP($A255,'[1]Raw Data'!$A$3:$FB$285,51,FALSE)</f>
        <v/>
      </c>
      <c r="AO255" s="27" t="str">
        <f>VLOOKUP($A255,'[1]Raw Data'!$A$3:$FB$285,52,FALSE)</f>
        <v/>
      </c>
      <c r="AP255" s="27">
        <f>VLOOKUP($A255,'[1]Raw Data'!$A$3:$FB$285,53,FALSE)</f>
        <v>23</v>
      </c>
      <c r="AQ255" s="27" t="str">
        <f>VLOOKUP($A255,'[1]Raw Data'!$A$3:$FB$285,54,FALSE)</f>
        <v/>
      </c>
      <c r="AR255" s="27" t="str">
        <f>VLOOKUP($A255,'[1]Raw Data'!$A$3:$FB$285,55,FALSE)</f>
        <v/>
      </c>
      <c r="AS255" s="27" t="str">
        <f>VLOOKUP($A255,'[1]Raw Data'!$A$3:$FB$285,56,FALSE)</f>
        <v/>
      </c>
      <c r="AT255" s="27" t="str">
        <f>VLOOKUP($A255,'[1]Raw Data'!$A$3:$FB$285,57,FALSE)</f>
        <v/>
      </c>
      <c r="AU255" s="27" t="str">
        <f>VLOOKUP($A255,'[1]Raw Data'!$A$3:$FB$285,58,FALSE)</f>
        <v/>
      </c>
      <c r="AV255" s="27" t="str">
        <f>VLOOKUP($A255,'[1]Raw Data'!$A$3:$FB$285,59,FALSE)</f>
        <v/>
      </c>
      <c r="AW255" s="27" t="str">
        <f>VLOOKUP($A255,'[1]Raw Data'!$A$3:$FB$285,60,FALSE)</f>
        <v/>
      </c>
      <c r="AX255" s="27" t="str">
        <f>VLOOKUP(A255,'[1]PO''s List'!A253:E535,4,FALSE)</f>
        <v/>
      </c>
      <c r="AZ255" s="27" t="str">
        <f>VLOOKUP(A255,'[1]PO''s List'!$A$3:$E$285,5,FALSE)</f>
        <v/>
      </c>
      <c r="BB255" s="27">
        <f>VLOOKUP($A255,'[1]Raw Data'!$A$3:$FB$285,63,FALSE)</f>
        <v>15614</v>
      </c>
      <c r="BC255" s="27" t="str">
        <f>VLOOKUP($A255,'[1]Raw Data'!$A$3:$FB$285,64,FALSE)</f>
        <v/>
      </c>
      <c r="BD255" s="27" t="str">
        <f t="shared" si="27"/>
        <v/>
      </c>
      <c r="BE255" s="27" t="str">
        <f>VLOOKUP($A255,'[1]Raw Data'!$A$3:$FB$285,65,FALSE)</f>
        <v/>
      </c>
      <c r="BF255" s="27">
        <f>VLOOKUP($A255,'[1]Raw Data'!$A$3:$FB$285,66,FALSE)</f>
        <v>15639</v>
      </c>
      <c r="BG255" s="27" t="str">
        <f>VLOOKUP($A255,'[1]Raw Data'!$A$3:$FB$285,67,FALSE)</f>
        <v/>
      </c>
      <c r="BH255" s="27" t="str">
        <f t="shared" si="28"/>
        <v/>
      </c>
      <c r="BI255" s="27" t="str">
        <f>VLOOKUP($A255,'[1]Raw Data'!$A$3:$FB$285,68,FALSE)</f>
        <v/>
      </c>
      <c r="BJ255" s="27">
        <f>VLOOKUP($A255,'[1]Raw Data'!$A$3:$FB$285,69,FALSE)</f>
        <v>1663</v>
      </c>
      <c r="BK255" s="27" t="str">
        <f>VLOOKUP($A255,'[1]Raw Data'!$A$3:$FB$285,70,FALSE)</f>
        <v/>
      </c>
      <c r="BL255" s="27" t="str">
        <f t="shared" si="29"/>
        <v/>
      </c>
      <c r="BM255" s="27" t="str">
        <f>VLOOKUP($A255,'[1]Raw Data'!$A$3:$FB$285,71,FALSE)</f>
        <v/>
      </c>
      <c r="BN255" s="27">
        <f>VLOOKUP($A255,'[1]Raw Data'!$A$3:$FB$285,72,FALSE)</f>
        <v>1906</v>
      </c>
      <c r="BO255" s="27" t="str">
        <f>VLOOKUP($A255,'[1]Raw Data'!$A$3:$FB$285,73,FALSE)</f>
        <v/>
      </c>
      <c r="BP255" s="27" t="str">
        <f t="shared" si="30"/>
        <v/>
      </c>
      <c r="BQ255" s="27" t="str">
        <f>VLOOKUP($A255,'[1]Raw Data'!$A$3:$FB$285,74,FALSE)</f>
        <v/>
      </c>
      <c r="BR255" s="27" t="str">
        <f>VLOOKUP($A255,'[1]Raw Data'!$A$3:$FB$285,75,FALSE)</f>
        <v/>
      </c>
      <c r="BS255" s="27" t="str">
        <f>VLOOKUP($A255,'[1]Raw Data'!$A$3:$FB$285,76,FALSE)</f>
        <v/>
      </c>
      <c r="BT255" s="27" t="str">
        <f t="shared" si="31"/>
        <v/>
      </c>
      <c r="BU255" s="27" t="str">
        <f>VLOOKUP($A255,'[1]Raw Data'!$A$3:$FB$285,77,FALSE)</f>
        <v/>
      </c>
      <c r="BV255" s="27">
        <f>VLOOKUP($A255,'[1]Raw Data'!$A$3:$FB$285,78,FALSE)</f>
        <v>51698</v>
      </c>
      <c r="BW255" s="27" t="str">
        <f>VLOOKUP($A255,'[1]Raw Data'!$A$3:$FB$285,79,FALSE)</f>
        <v/>
      </c>
      <c r="BX255" s="27" t="str">
        <f t="shared" si="32"/>
        <v/>
      </c>
      <c r="BY255" s="27" t="str">
        <f>VLOOKUP($A255,'[1]Raw Data'!$A$3:$FB$285,80,FALSE)</f>
        <v/>
      </c>
      <c r="BZ255" s="27">
        <f>VLOOKUP($A255,'[1]Raw Data'!$A$3:$FB$285,81,FALSE)</f>
        <v>169578</v>
      </c>
      <c r="CA255" s="27" t="str">
        <f>VLOOKUP($A255,'[1]Raw Data'!$A$3:$FB$285,82,FALSE)</f>
        <v/>
      </c>
      <c r="CB255" s="27" t="str">
        <f t="shared" si="33"/>
        <v/>
      </c>
      <c r="CC255" s="27" t="str">
        <f>VLOOKUP($A255,'[1]Raw Data'!$A$3:$FB$285,83,FALSE)</f>
        <v/>
      </c>
      <c r="CD255" s="27">
        <f>VLOOKUP($A255,'[1]Raw Data'!$A$3:$FB$285,84,FALSE)</f>
        <v>2111</v>
      </c>
      <c r="CE255" s="27" t="str">
        <f>VLOOKUP($A255,'[1]Raw Data'!$A$3:$FB$285,85,FALSE)</f>
        <v/>
      </c>
      <c r="CF255" s="27" t="str">
        <f t="shared" si="34"/>
        <v/>
      </c>
      <c r="CG255" s="27" t="str">
        <f>VLOOKUP($A255,'[1]Raw Data'!$A$3:$FB$285,86,FALSE)</f>
        <v/>
      </c>
      <c r="CH255" s="27">
        <f>VLOOKUP($A255,'[1]Raw Data'!$A$3:$FB$285,87,FALSE)</f>
        <v>154198</v>
      </c>
      <c r="CI255" s="27" t="str">
        <f>VLOOKUP($A255,'[1]Raw Data'!$A$3:$FB$285,88,FALSE)</f>
        <v/>
      </c>
      <c r="CJ255" s="27" t="str">
        <f t="shared" si="35"/>
        <v/>
      </c>
      <c r="CK255" s="27" t="str">
        <f>VLOOKUP($A255,'[1]Raw Data'!$A$3:$FB$285,89,FALSE)</f>
        <v/>
      </c>
      <c r="CL255" s="27" t="str">
        <f>VLOOKUP($A255,'[1]Raw Data'!$A$3:$FB$285,91,FALSE)</f>
        <v/>
      </c>
      <c r="CM255" s="27" t="str">
        <f>VLOOKUP($A255,'[1]Raw Data'!$A$3:$FB$285,93,FALSE)</f>
        <v/>
      </c>
      <c r="CN255" s="27" t="str">
        <f>VLOOKUP($A255,'[1]Raw Data'!$A$3:$FB$285,94,FALSE)</f>
        <v/>
      </c>
      <c r="CO255" s="27" t="str">
        <f>VLOOKUP($A255,'[1]Raw Data'!$A$3:$FB$285,95,FALSE)</f>
        <v/>
      </c>
      <c r="CP255" s="27" t="str">
        <f>VLOOKUP($A255,'[1]Raw Data'!$A$3:$FB$285,96,FALSE)</f>
        <v/>
      </c>
      <c r="CQ255" s="27" t="str">
        <f>VLOOKUP($A255,'[1]Raw Data'!$A$3:$FB$285,97,FALSE)</f>
        <v/>
      </c>
      <c r="CR255" s="27" t="str">
        <f>VLOOKUP($A255,'[1]Raw Data'!$A$3:$FB$285,98,FALSE)</f>
        <v/>
      </c>
      <c r="CS255" s="27" t="str">
        <f>VLOOKUP($A255,'[1]Raw Data'!$A$3:$FB$285,99,FALSE)</f>
        <v/>
      </c>
      <c r="CT255" s="27" t="str">
        <f>VLOOKUP($A255,'[1]Raw Data'!$A$3:$FB$285,101,FALSE)</f>
        <v/>
      </c>
      <c r="CV255" s="27" t="str">
        <f>VLOOKUP($A255,'[1]Raw Data'!$A$3:$FB$285,102,FALSE)</f>
        <v>Chairman</v>
      </c>
      <c r="CW255" s="27" t="s">
        <v>878</v>
      </c>
      <c r="CX255" s="27" t="str">
        <f>VLOOKUP($A255,'[1]Raw Data'!$A$3:$FB$285,103,FALSE)</f>
        <v/>
      </c>
      <c r="CY255" s="27" t="str">
        <f>VLOOKUP($A255,'[1]Raw Data'!$A$3:$FB$285,105,FALSE)</f>
        <v/>
      </c>
      <c r="DA255" s="27" t="str">
        <f>VLOOKUP($A255,'[1]Raw Data'!$A$3:$FB$285,106,FALSE)</f>
        <v>Deputy Chairman</v>
      </c>
      <c r="DB255" s="27" t="s">
        <v>879</v>
      </c>
      <c r="DC255" s="27" t="str">
        <f>VLOOKUP($A255,'[1]Raw Data'!$A$3:$FB$285,107,FALSE)</f>
        <v/>
      </c>
      <c r="DD255" s="27" t="str">
        <f>VLOOKUP($A255,'[1]Raw Data'!$A$3:$FB$285,109,FALSE)</f>
        <v/>
      </c>
      <c r="DF255" s="27" t="str">
        <f>VLOOKUP($A255,'[1]Raw Data'!$A$3:$FB$285,110,FALSE)</f>
        <v>Chief Adminstration Officer</v>
      </c>
      <c r="DG255" s="27" t="s">
        <v>880</v>
      </c>
      <c r="DH255" s="27" t="str">
        <f>VLOOKUP($A255,'[1]Raw Data'!$A$3:$FB$285,111,FALSE)</f>
        <v/>
      </c>
      <c r="DI255" s="27" t="str">
        <f>VLOOKUP($A255,'[1]Raw Data'!$A$3:$FB$285,121,FALSE)</f>
        <v/>
      </c>
      <c r="DK255" s="27" t="str">
        <f>VLOOKUP($A255,'[1]Raw Data'!$A$3:$FB$285,122,FALSE)</f>
        <v>Focal Person</v>
      </c>
      <c r="DL255" s="27" t="s">
        <v>881</v>
      </c>
      <c r="DM255" s="27" t="str">
        <f>VLOOKUP($A255,'[1]Raw Data'!$A$3:$FB$285,123,FALSE)</f>
        <v/>
      </c>
      <c r="DN255" s="27" t="str">
        <f>VLOOKUP($A255,'[1]Raw Data'!$A$3:$FB$285,113,FALSE)</f>
        <v/>
      </c>
      <c r="DP255" s="27" t="str">
        <f>VLOOKUP($A255,'[1]Raw Data'!$A$3:$FB$285,114,FALSE)</f>
        <v>NRA Chief-District</v>
      </c>
      <c r="DQ255" s="27" t="s">
        <v>882</v>
      </c>
      <c r="DR255" s="27" t="str">
        <f>VLOOKUP($A255,'[1]Raw Data'!$A$3:$FB$285,115,FALSE)</f>
        <v/>
      </c>
      <c r="DS255" s="27" t="str">
        <f>VLOOKUP($A255,'[1]Raw Data'!$A$3:$FB$285,117,FALSE)</f>
        <v/>
      </c>
      <c r="DU255" s="27" t="str">
        <f>VLOOKUP($A255,'[1]Raw Data'!$A$3:$FB$285,118,FALSE)</f>
        <v>DUDBC.DLPIU Chief</v>
      </c>
      <c r="DV255" s="27" t="s">
        <v>883</v>
      </c>
      <c r="DW255" s="27" t="str">
        <f>VLOOKUP($A255,'[1]Raw Data'!$A$3:$FB$285,119,FALSE)</f>
        <v/>
      </c>
      <c r="DX255" s="27" t="s">
        <v>339</v>
      </c>
      <c r="DY255" s="27" t="str">
        <f>VLOOKUP($A255,'[1]Raw Data'!$A$3:$FB$285,124,FALSE)</f>
        <v/>
      </c>
      <c r="DZ255" s="27" t="s">
        <v>884</v>
      </c>
      <c r="EA255" s="27" t="str">
        <f>VLOOKUP($A255,'[1]Raw Data'!$A$3:$FB$285,125,FALSE)</f>
        <v/>
      </c>
      <c r="EB255" s="27" t="s">
        <v>341</v>
      </c>
      <c r="EC255" s="27" t="str">
        <f>VLOOKUP($A255,'[1]Raw Data'!$A$3:$FB$285,126,FALSE)</f>
        <v/>
      </c>
      <c r="ED255" t="s">
        <v>478</v>
      </c>
      <c r="EE255" s="27" t="str">
        <f>VLOOKUP($A255,'[1]Raw Data'!$A$3:$FB$285,127,FALSE)</f>
        <v/>
      </c>
      <c r="EF255" s="27" t="s">
        <v>343</v>
      </c>
      <c r="EG255" s="27" t="str">
        <f>VLOOKUP($A255,'[1]Raw Data'!$A$3:$FB$285,128,FALSE)</f>
        <v/>
      </c>
      <c r="EH255" t="s">
        <v>344</v>
      </c>
      <c r="EI255" s="27" t="str">
        <f>VLOOKUP($A255,'[1]Raw Data'!$A$3:$FB$285,129,FALSE)</f>
        <v/>
      </c>
      <c r="EM255" s="27" t="str">
        <f>VLOOKUP($A255,'[1]Raw Data'!$A$3:$FB$285,130,FALSE)</f>
        <v/>
      </c>
      <c r="EN255" s="27" t="str">
        <f>VLOOKUP($A255,'[1]Raw Data'!$A$3:$FB$285,131,FALSE)</f>
        <v/>
      </c>
      <c r="EO255" s="27" t="str">
        <f>VLOOKUP($A255,'[1]Raw Data'!$A$3:$FB$285,132,FALSE)</f>
        <v/>
      </c>
      <c r="EP255" s="27" t="str">
        <f>VLOOKUP($A255,'[1]Raw Data'!$A$3:$FB$285,133,FALSE)</f>
        <v/>
      </c>
      <c r="EQ255" s="27" t="str">
        <f>VLOOKUP($A255,'[1]Raw Data'!$A$3:$FB$285,134,FALSE)</f>
        <v/>
      </c>
      <c r="ER255" s="27" t="str">
        <f>VLOOKUP($A255,'[1]Raw Data'!$A$3:$FB$285,135,FALSE)</f>
        <v/>
      </c>
      <c r="ES255" s="27" t="str">
        <f>VLOOKUP($A255,'[1]Raw Data'!$A$3:$FB$285,136,FALSE)</f>
        <v/>
      </c>
      <c r="ET255" s="27" t="str">
        <f>VLOOKUP($A255,'[1]Raw Data'!$A$3:$FB$285,137,FALSE)</f>
        <v/>
      </c>
      <c r="EU255" s="27" t="str">
        <f>VLOOKUP($A255,'[1]Raw Data'!$A$3:$FB$285,138,FALSE)</f>
        <v/>
      </c>
      <c r="EV255" s="27" t="str">
        <f>VLOOKUP($A255,'[1]Raw Data'!$A$3:$FB$285,139,FALSE)</f>
        <v/>
      </c>
      <c r="EW255" s="38">
        <f>VLOOKUP($A255,[1]Training!$A$2:$I$284,5,FALSE)</f>
        <v>34.92307692307692</v>
      </c>
      <c r="EX255" s="31">
        <f>VLOOKUP($A255,[1]Training!$A$2:$I$284,6,FALSE)</f>
        <v>0</v>
      </c>
      <c r="EY255" s="38">
        <f>VLOOKUP($A255,[1]Training!$A$2:$I$284,8,FALSE)</f>
        <v>41.272727272727273</v>
      </c>
      <c r="EZ255" s="31">
        <f>VLOOKUP($A255,[1]Training!$A$2:$I$284,9,FALSE)</f>
        <v>0</v>
      </c>
      <c r="FA255" s="27">
        <v>1</v>
      </c>
      <c r="FB255" s="27">
        <v>2</v>
      </c>
      <c r="FC255" s="27" t="str">
        <f>VLOOKUP($A255,'[1]Raw Data'!$A$3:$FB$285,148,FALSE)</f>
        <v/>
      </c>
      <c r="FE255" s="27" t="str">
        <f>VLOOKUP($A255,'[1]Raw Data'!$A$3:$FB$285,149,FALSE)</f>
        <v>District Coordinator</v>
      </c>
      <c r="FF255" s="27" t="s">
        <v>885</v>
      </c>
      <c r="FG255" s="27" t="str">
        <f>VLOOKUP($A255,'[1]Raw Data'!$A$3:$FB$285,150,FALSE)</f>
        <v/>
      </c>
      <c r="FH255" s="27" t="str">
        <f>VLOOKUP($A255,'[1]Raw Data'!$A$3:$FB$285,156,FALSE)</f>
        <v/>
      </c>
      <c r="FJ255" s="27" t="str">
        <f>VLOOKUP($A255,'[1]Raw Data'!$A$3:$FB$285,157,FALSE)</f>
        <v>District Technical Officer</v>
      </c>
      <c r="FK255" s="27" t="s">
        <v>886</v>
      </c>
      <c r="FL255" s="27" t="str">
        <f>VLOOKUP($A255,'[1]Raw Data'!$A$3:$FB$285,158,FALSE)</f>
        <v/>
      </c>
      <c r="FM255" s="27" t="str">
        <f>VLOOKUP($A255,'[1]Raw Data'!$A$3:$FB$285,152,FALSE)</f>
        <v/>
      </c>
      <c r="FO255" s="27" t="str">
        <f>VLOOKUP($A255,'[1]Raw Data'!$A$3:$FB$285,153,FALSE)</f>
        <v>DIstrict Information Management Officer</v>
      </c>
      <c r="FP255" s="27" t="s">
        <v>887</v>
      </c>
      <c r="FQ255" s="27" t="str">
        <f>VLOOKUP($A255,'[1]Raw Data'!$A$3:$FB$285,154,FALSE)</f>
        <v/>
      </c>
    </row>
    <row r="256" spans="1:173" ht="24" x14ac:dyDescent="0.45">
      <c r="A256" s="27">
        <v>47001</v>
      </c>
      <c r="B256" s="36" t="str">
        <f ca="1">IFERROR(__xludf.DUMMYFUNCTION("""COMPUTED_VALUE"""),"Bagnaskali Gaunpalika")</f>
        <v>Bagnaskali Gaunpalika</v>
      </c>
      <c r="C256" s="37" t="str">
        <f>VLOOKUP(A256,'[1]Palika and District in Nepali '!$D$1:$F$283,3,FALSE)</f>
        <v>बेगनासकाली गाउँपालिका</v>
      </c>
      <c r="D256" s="36" t="str">
        <f ca="1">IFERROR(__xludf.DUMMYFUNCTION("""COMPUTED_VALUE"""),"Palpa")</f>
        <v>Palpa</v>
      </c>
      <c r="E256" s="36"/>
      <c r="F256" s="27">
        <f>VLOOKUP(A256,'[1]Raw Data'!$A$3:$FB$285,4,FALSE)</f>
        <v>514</v>
      </c>
      <c r="G256" s="27">
        <f>VLOOKUP(A256,'[1]Raw Data'!$A$3:$FB$285,5,FALSE)</f>
        <v>603</v>
      </c>
      <c r="H256" s="27">
        <f>VLOOKUP(A256,'[1]Raw Data'!$A$3:$FB$285,6,FALSE)</f>
        <v>1117</v>
      </c>
      <c r="I256" s="27">
        <f>VLOOKUP($A256,'[1]Raw Data'!$A$3:$FB$285,8,FALSE)</f>
        <v>2.15</v>
      </c>
      <c r="J256" s="27">
        <f>VLOOKUP($A256,'[1]Raw Data'!$A$3:$FB$285,9,FALSE)</f>
        <v>1.65</v>
      </c>
      <c r="K256" s="27">
        <f>VLOOKUP($A256,'[1]Raw Data'!$A$3:$FB$285,11,FALSE)</f>
        <v>87.65</v>
      </c>
      <c r="L256" s="27">
        <f>VLOOKUP($A256,'[1]Raw Data'!$A$3:$FB$285,12,FALSE)</f>
        <v>84.49</v>
      </c>
      <c r="M256" s="27">
        <f>VLOOKUP($A256,'[1]Raw Data'!$A$3:$FB$285,14,FALSE)</f>
        <v>0.81</v>
      </c>
      <c r="N256" s="27">
        <f>VLOOKUP($A256,'[1]Raw Data'!$A$3:$FB$285,15,FALSE)</f>
        <v>0.98</v>
      </c>
      <c r="O256" s="27">
        <f>VLOOKUP($A256,'[1]Raw Data'!$A$3:$FB$285,17,FALSE)</f>
        <v>1.07</v>
      </c>
      <c r="P256" s="27">
        <f>VLOOKUP($A256,'[1]Raw Data'!$A$3:$FB$285,18,FALSE)</f>
        <v>1.52</v>
      </c>
      <c r="Q256" s="27">
        <f>VLOOKUP($A256,'[1]Raw Data'!$A$3:$FB$285,20,FALSE)</f>
        <v>0.27</v>
      </c>
      <c r="R256" s="27">
        <f>VLOOKUP($A256,'[1]Raw Data'!$A$3:$FB$285,21,FALSE)</f>
        <v>1.1200000000000001</v>
      </c>
      <c r="S256" s="27">
        <f>VLOOKUP($A256,'[1]Raw Data'!$A$3:$FB$285,23,FALSE)</f>
        <v>0</v>
      </c>
      <c r="T256" s="27">
        <f>VLOOKUP($A256,'[1]Raw Data'!$A$3:$FB$285,24,FALSE)</f>
        <v>0</v>
      </c>
      <c r="U256" s="27">
        <f>VLOOKUP($A256,'[1]Raw Data'!$A$3:$FB$285,26,FALSE)</f>
        <v>0</v>
      </c>
      <c r="V256" s="27">
        <f>VLOOKUP($A256,'[1]Raw Data'!$A$3:$FB$285,27,FALSE)</f>
        <v>0.17</v>
      </c>
      <c r="W256" s="27">
        <f>VLOOKUP($A256,'[1]Raw Data'!$A$3:$FB$285,29,FALSE)</f>
        <v>0</v>
      </c>
      <c r="X256" s="27">
        <f>VLOOKUP($A256,'[1]Raw Data'!$A$3:$FB$285,30,FALSE)</f>
        <v>0</v>
      </c>
      <c r="Y256" s="27">
        <f>VLOOKUP($A256,'[1]Raw Data'!$A$3:$FB$285,32,FALSE)</f>
        <v>0.09</v>
      </c>
      <c r="Z256" s="27">
        <f>VLOOKUP($A256,'[1]Raw Data'!$A$3:$FB$285,33,FALSE)</f>
        <v>0.06</v>
      </c>
      <c r="AA256" s="27">
        <f>VLOOKUP($A256,'[1]Raw Data'!$A$3:$FB$285,35,FALSE)</f>
        <v>7.97</v>
      </c>
      <c r="AB256" s="27">
        <f>VLOOKUP($A256,'[1]Raw Data'!$A$3:$FB$285,36,FALSE)</f>
        <v>9.92</v>
      </c>
      <c r="AC256" s="27">
        <f>VLOOKUP($A256,'[1]Raw Data'!$A$3:$FB$285,38,FALSE)</f>
        <v>0</v>
      </c>
      <c r="AD256" s="27">
        <f>VLOOKUP($A256,'[1]Raw Data'!$A$3:$FB$285,39,FALSE)</f>
        <v>0.09</v>
      </c>
      <c r="AE256" s="27">
        <f>VLOOKUP($A256,'[1]Raw Data'!$A$3:$FB$285,41,FALSE)</f>
        <v>0</v>
      </c>
      <c r="AF256" s="27">
        <f>VLOOKUP($A256,'[1]Raw Data'!$A$3:$FB$285,42,FALSE)</f>
        <v>0</v>
      </c>
      <c r="AG256" s="27">
        <f>VLOOKUP($A256,'[1]Raw Data'!$A$3:$FB$285,44,FALSE)</f>
        <v>0</v>
      </c>
      <c r="AH256" s="27">
        <f>VLOOKUP($A256,'[1]Raw Data'!$A$3:$FB$285,45,FALSE)</f>
        <v>0</v>
      </c>
      <c r="AI256" s="27">
        <f>VLOOKUP($A256,'[1]Raw Data'!$A$3:$FB$285,46,FALSE)</f>
        <v>571</v>
      </c>
      <c r="AJ256" s="27">
        <f>VLOOKUP($A256,'[1]Raw Data'!$A$3:$FB$285,47,FALSE)</f>
        <v>524</v>
      </c>
      <c r="AK256" s="27">
        <f>VLOOKUP($A256,'[1]Raw Data'!$A$3:$FB$285,48,FALSE)</f>
        <v>524</v>
      </c>
      <c r="AL256" s="27">
        <f>VLOOKUP($A256,'[1]Raw Data'!$A$3:$FB$285,49,FALSE)</f>
        <v>168</v>
      </c>
      <c r="AM256" s="27">
        <f>VLOOKUP($A256,'[1]Raw Data'!$A$3:$FB$285,50,FALSE)</f>
        <v>53</v>
      </c>
      <c r="AN256" s="27" t="str">
        <f>VLOOKUP($A256,'[1]Raw Data'!$A$3:$FB$285,51,FALSE)</f>
        <v/>
      </c>
      <c r="AO256" s="27" t="str">
        <f>VLOOKUP($A256,'[1]Raw Data'!$A$3:$FB$285,52,FALSE)</f>
        <v/>
      </c>
      <c r="AP256" s="27">
        <f>VLOOKUP($A256,'[1]Raw Data'!$A$3:$FB$285,53,FALSE)</f>
        <v>55</v>
      </c>
      <c r="AQ256" s="27" t="str">
        <f>VLOOKUP($A256,'[1]Raw Data'!$A$3:$FB$285,54,FALSE)</f>
        <v/>
      </c>
      <c r="AR256" s="27" t="str">
        <f>VLOOKUP($A256,'[1]Raw Data'!$A$3:$FB$285,55,FALSE)</f>
        <v/>
      </c>
      <c r="AS256" s="27" t="str">
        <f>VLOOKUP($A256,'[1]Raw Data'!$A$3:$FB$285,56,FALSE)</f>
        <v/>
      </c>
      <c r="AT256" s="27" t="str">
        <f>VLOOKUP($A256,'[1]Raw Data'!$A$3:$FB$285,57,FALSE)</f>
        <v/>
      </c>
      <c r="AU256" s="27" t="str">
        <f>VLOOKUP($A256,'[1]Raw Data'!$A$3:$FB$285,58,FALSE)</f>
        <v/>
      </c>
      <c r="AV256" s="27" t="str">
        <f>VLOOKUP($A256,'[1]Raw Data'!$A$3:$FB$285,59,FALSE)</f>
        <v/>
      </c>
      <c r="AW256" s="27" t="str">
        <f>VLOOKUP($A256,'[1]Raw Data'!$A$3:$FB$285,60,FALSE)</f>
        <v/>
      </c>
      <c r="AX256" s="27" t="str">
        <f>VLOOKUP(A256,'[1]PO''s List'!A254:E536,4,FALSE)</f>
        <v/>
      </c>
      <c r="AZ256" s="27" t="str">
        <f>VLOOKUP(A256,'[1]PO''s List'!$A$3:$E$285,5,FALSE)</f>
        <v/>
      </c>
      <c r="BB256" s="27">
        <f>VLOOKUP($A256,'[1]Raw Data'!$A$3:$FB$285,63,FALSE)</f>
        <v>13737</v>
      </c>
      <c r="BC256" s="27" t="str">
        <f>VLOOKUP($A256,'[1]Raw Data'!$A$3:$FB$285,64,FALSE)</f>
        <v/>
      </c>
      <c r="BD256" s="27" t="str">
        <f t="shared" si="27"/>
        <v/>
      </c>
      <c r="BE256" s="27" t="str">
        <f>VLOOKUP($A256,'[1]Raw Data'!$A$3:$FB$285,65,FALSE)</f>
        <v/>
      </c>
      <c r="BF256" s="27">
        <f>VLOOKUP($A256,'[1]Raw Data'!$A$3:$FB$285,66,FALSE)</f>
        <v>13725</v>
      </c>
      <c r="BG256" s="27" t="str">
        <f>VLOOKUP($A256,'[1]Raw Data'!$A$3:$FB$285,67,FALSE)</f>
        <v/>
      </c>
      <c r="BH256" s="27" t="str">
        <f t="shared" si="28"/>
        <v/>
      </c>
      <c r="BI256" s="27" t="str">
        <f>VLOOKUP($A256,'[1]Raw Data'!$A$3:$FB$285,68,FALSE)</f>
        <v/>
      </c>
      <c r="BJ256" s="27">
        <f>VLOOKUP($A256,'[1]Raw Data'!$A$3:$FB$285,69,FALSE)</f>
        <v>1464</v>
      </c>
      <c r="BK256" s="27" t="str">
        <f>VLOOKUP($A256,'[1]Raw Data'!$A$3:$FB$285,70,FALSE)</f>
        <v/>
      </c>
      <c r="BL256" s="27" t="str">
        <f t="shared" si="29"/>
        <v/>
      </c>
      <c r="BM256" s="27" t="str">
        <f>VLOOKUP($A256,'[1]Raw Data'!$A$3:$FB$285,71,FALSE)</f>
        <v/>
      </c>
      <c r="BN256" s="27">
        <f>VLOOKUP($A256,'[1]Raw Data'!$A$3:$FB$285,72,FALSE)</f>
        <v>1679</v>
      </c>
      <c r="BO256" s="27" t="str">
        <f>VLOOKUP($A256,'[1]Raw Data'!$A$3:$FB$285,73,FALSE)</f>
        <v/>
      </c>
      <c r="BP256" s="27" t="str">
        <f t="shared" si="30"/>
        <v/>
      </c>
      <c r="BQ256" s="27" t="str">
        <f>VLOOKUP($A256,'[1]Raw Data'!$A$3:$FB$285,74,FALSE)</f>
        <v/>
      </c>
      <c r="BR256" s="27" t="str">
        <f>VLOOKUP($A256,'[1]Raw Data'!$A$3:$FB$285,75,FALSE)</f>
        <v/>
      </c>
      <c r="BS256" s="27" t="str">
        <f>VLOOKUP($A256,'[1]Raw Data'!$A$3:$FB$285,76,FALSE)</f>
        <v/>
      </c>
      <c r="BT256" s="27" t="str">
        <f t="shared" si="31"/>
        <v/>
      </c>
      <c r="BU256" s="27" t="str">
        <f>VLOOKUP($A256,'[1]Raw Data'!$A$3:$FB$285,77,FALSE)</f>
        <v/>
      </c>
      <c r="BV256" s="27">
        <f>VLOOKUP($A256,'[1]Raw Data'!$A$3:$FB$285,78,FALSE)</f>
        <v>45972</v>
      </c>
      <c r="BW256" s="27" t="str">
        <f>VLOOKUP($A256,'[1]Raw Data'!$A$3:$FB$285,79,FALSE)</f>
        <v/>
      </c>
      <c r="BX256" s="27" t="str">
        <f t="shared" si="32"/>
        <v/>
      </c>
      <c r="BY256" s="27" t="str">
        <f>VLOOKUP($A256,'[1]Raw Data'!$A$3:$FB$285,80,FALSE)</f>
        <v/>
      </c>
      <c r="BZ256" s="27">
        <f>VLOOKUP($A256,'[1]Raw Data'!$A$3:$FB$285,81,FALSE)</f>
        <v>150048</v>
      </c>
      <c r="CA256" s="27" t="str">
        <f>VLOOKUP($A256,'[1]Raw Data'!$A$3:$FB$285,82,FALSE)</f>
        <v/>
      </c>
      <c r="CB256" s="27" t="str">
        <f t="shared" si="33"/>
        <v/>
      </c>
      <c r="CC256" s="27" t="str">
        <f>VLOOKUP($A256,'[1]Raw Data'!$A$3:$FB$285,83,FALSE)</f>
        <v/>
      </c>
      <c r="CD256" s="27">
        <f>VLOOKUP($A256,'[1]Raw Data'!$A$3:$FB$285,84,FALSE)</f>
        <v>1881</v>
      </c>
      <c r="CE256" s="27" t="str">
        <f>VLOOKUP($A256,'[1]Raw Data'!$A$3:$FB$285,85,FALSE)</f>
        <v/>
      </c>
      <c r="CF256" s="27" t="str">
        <f t="shared" si="34"/>
        <v/>
      </c>
      <c r="CG256" s="27" t="str">
        <f>VLOOKUP($A256,'[1]Raw Data'!$A$3:$FB$285,86,FALSE)</f>
        <v/>
      </c>
      <c r="CH256" s="27">
        <f>VLOOKUP($A256,'[1]Raw Data'!$A$3:$FB$285,87,FALSE)</f>
        <v>229369</v>
      </c>
      <c r="CI256" s="27" t="str">
        <f>VLOOKUP($A256,'[1]Raw Data'!$A$3:$FB$285,88,FALSE)</f>
        <v/>
      </c>
      <c r="CJ256" s="27" t="str">
        <f t="shared" si="35"/>
        <v/>
      </c>
      <c r="CK256" s="27" t="str">
        <f>VLOOKUP($A256,'[1]Raw Data'!$A$3:$FB$285,89,FALSE)</f>
        <v/>
      </c>
      <c r="CL256" s="27" t="str">
        <f>VLOOKUP($A256,'[1]Raw Data'!$A$3:$FB$285,91,FALSE)</f>
        <v/>
      </c>
      <c r="CM256" s="27" t="str">
        <f>VLOOKUP($A256,'[1]Raw Data'!$A$3:$FB$285,93,FALSE)</f>
        <v/>
      </c>
      <c r="CN256" s="27" t="str">
        <f>VLOOKUP($A256,'[1]Raw Data'!$A$3:$FB$285,94,FALSE)</f>
        <v/>
      </c>
      <c r="CO256" s="27" t="str">
        <f>VLOOKUP($A256,'[1]Raw Data'!$A$3:$FB$285,95,FALSE)</f>
        <v/>
      </c>
      <c r="CP256" s="27" t="str">
        <f>VLOOKUP($A256,'[1]Raw Data'!$A$3:$FB$285,96,FALSE)</f>
        <v/>
      </c>
      <c r="CQ256" s="27" t="str">
        <f>VLOOKUP($A256,'[1]Raw Data'!$A$3:$FB$285,97,FALSE)</f>
        <v/>
      </c>
      <c r="CR256" s="27" t="str">
        <f>VLOOKUP($A256,'[1]Raw Data'!$A$3:$FB$285,98,FALSE)</f>
        <v/>
      </c>
      <c r="CS256" s="27" t="str">
        <f>VLOOKUP($A256,'[1]Raw Data'!$A$3:$FB$285,99,FALSE)</f>
        <v/>
      </c>
      <c r="CT256" s="27" t="str">
        <f>VLOOKUP($A256,'[1]Raw Data'!$A$3:$FB$285,101,FALSE)</f>
        <v/>
      </c>
      <c r="CV256" s="27" t="str">
        <f>VLOOKUP($A256,'[1]Raw Data'!$A$3:$FB$285,102,FALSE)</f>
        <v>Chairman</v>
      </c>
      <c r="CW256" s="27" t="s">
        <v>878</v>
      </c>
      <c r="CX256" s="27" t="str">
        <f>VLOOKUP($A256,'[1]Raw Data'!$A$3:$FB$285,103,FALSE)</f>
        <v/>
      </c>
      <c r="CY256" s="27" t="str">
        <f>VLOOKUP($A256,'[1]Raw Data'!$A$3:$FB$285,105,FALSE)</f>
        <v/>
      </c>
      <c r="DA256" s="27" t="str">
        <f>VLOOKUP($A256,'[1]Raw Data'!$A$3:$FB$285,106,FALSE)</f>
        <v>Deputy Chairman</v>
      </c>
      <c r="DB256" s="27" t="s">
        <v>879</v>
      </c>
      <c r="DC256" s="27" t="str">
        <f>VLOOKUP($A256,'[1]Raw Data'!$A$3:$FB$285,107,FALSE)</f>
        <v/>
      </c>
      <c r="DD256" s="27" t="str">
        <f>VLOOKUP($A256,'[1]Raw Data'!$A$3:$FB$285,109,FALSE)</f>
        <v/>
      </c>
      <c r="DF256" s="27" t="str">
        <f>VLOOKUP($A256,'[1]Raw Data'!$A$3:$FB$285,110,FALSE)</f>
        <v>Chief Adminstration Officer</v>
      </c>
      <c r="DG256" s="27" t="s">
        <v>880</v>
      </c>
      <c r="DH256" s="27" t="str">
        <f>VLOOKUP($A256,'[1]Raw Data'!$A$3:$FB$285,111,FALSE)</f>
        <v/>
      </c>
      <c r="DI256" s="27" t="str">
        <f>VLOOKUP($A256,'[1]Raw Data'!$A$3:$FB$285,121,FALSE)</f>
        <v/>
      </c>
      <c r="DK256" s="27" t="str">
        <f>VLOOKUP($A256,'[1]Raw Data'!$A$3:$FB$285,122,FALSE)</f>
        <v>Focal Person</v>
      </c>
      <c r="DL256" s="27" t="s">
        <v>881</v>
      </c>
      <c r="DM256" s="27" t="str">
        <f>VLOOKUP($A256,'[1]Raw Data'!$A$3:$FB$285,123,FALSE)</f>
        <v/>
      </c>
      <c r="DN256" s="27" t="str">
        <f>VLOOKUP($A256,'[1]Raw Data'!$A$3:$FB$285,113,FALSE)</f>
        <v/>
      </c>
      <c r="DP256" s="27" t="str">
        <f>VLOOKUP($A256,'[1]Raw Data'!$A$3:$FB$285,114,FALSE)</f>
        <v>NRA Chief-District</v>
      </c>
      <c r="DQ256" s="27" t="s">
        <v>882</v>
      </c>
      <c r="DR256" s="27" t="str">
        <f>VLOOKUP($A256,'[1]Raw Data'!$A$3:$FB$285,115,FALSE)</f>
        <v/>
      </c>
      <c r="DS256" s="27" t="str">
        <f>VLOOKUP($A256,'[1]Raw Data'!$A$3:$FB$285,117,FALSE)</f>
        <v/>
      </c>
      <c r="DU256" s="27" t="str">
        <f>VLOOKUP($A256,'[1]Raw Data'!$A$3:$FB$285,118,FALSE)</f>
        <v>DUDBC.DLPIU Chief</v>
      </c>
      <c r="DV256" s="27" t="s">
        <v>883</v>
      </c>
      <c r="DW256" s="27" t="str">
        <f>VLOOKUP($A256,'[1]Raw Data'!$A$3:$FB$285,119,FALSE)</f>
        <v/>
      </c>
      <c r="DX256" s="27" t="s">
        <v>339</v>
      </c>
      <c r="DY256" s="27" t="str">
        <f>VLOOKUP($A256,'[1]Raw Data'!$A$3:$FB$285,124,FALSE)</f>
        <v/>
      </c>
      <c r="DZ256" s="27" t="s">
        <v>884</v>
      </c>
      <c r="EA256" s="27" t="str">
        <f>VLOOKUP($A256,'[1]Raw Data'!$A$3:$FB$285,125,FALSE)</f>
        <v/>
      </c>
      <c r="EB256" s="27" t="s">
        <v>341</v>
      </c>
      <c r="EC256" s="27" t="str">
        <f>VLOOKUP($A256,'[1]Raw Data'!$A$3:$FB$285,126,FALSE)</f>
        <v/>
      </c>
      <c r="ED256" t="s">
        <v>478</v>
      </c>
      <c r="EE256" s="27" t="str">
        <f>VLOOKUP($A256,'[1]Raw Data'!$A$3:$FB$285,127,FALSE)</f>
        <v/>
      </c>
      <c r="EF256" s="27" t="s">
        <v>343</v>
      </c>
      <c r="EG256" s="27" t="str">
        <f>VLOOKUP($A256,'[1]Raw Data'!$A$3:$FB$285,128,FALSE)</f>
        <v/>
      </c>
      <c r="EH256" t="s">
        <v>344</v>
      </c>
      <c r="EI256" s="27" t="str">
        <f>VLOOKUP($A256,'[1]Raw Data'!$A$3:$FB$285,129,FALSE)</f>
        <v/>
      </c>
      <c r="EM256" s="27" t="str">
        <f>VLOOKUP($A256,'[1]Raw Data'!$A$3:$FB$285,130,FALSE)</f>
        <v/>
      </c>
      <c r="EN256" s="27" t="str">
        <f>VLOOKUP($A256,'[1]Raw Data'!$A$3:$FB$285,131,FALSE)</f>
        <v/>
      </c>
      <c r="EO256" s="27" t="str">
        <f>VLOOKUP($A256,'[1]Raw Data'!$A$3:$FB$285,132,FALSE)</f>
        <v/>
      </c>
      <c r="EP256" s="27" t="str">
        <f>VLOOKUP($A256,'[1]Raw Data'!$A$3:$FB$285,133,FALSE)</f>
        <v/>
      </c>
      <c r="EQ256" s="27" t="str">
        <f>VLOOKUP($A256,'[1]Raw Data'!$A$3:$FB$285,134,FALSE)</f>
        <v/>
      </c>
      <c r="ER256" s="27" t="str">
        <f>VLOOKUP($A256,'[1]Raw Data'!$A$3:$FB$285,135,FALSE)</f>
        <v/>
      </c>
      <c r="ES256" s="27" t="str">
        <f>VLOOKUP($A256,'[1]Raw Data'!$A$3:$FB$285,136,FALSE)</f>
        <v/>
      </c>
      <c r="ET256" s="27" t="str">
        <f>VLOOKUP($A256,'[1]Raw Data'!$A$3:$FB$285,137,FALSE)</f>
        <v/>
      </c>
      <c r="EU256" s="27" t="str">
        <f>VLOOKUP($A256,'[1]Raw Data'!$A$3:$FB$285,138,FALSE)</f>
        <v/>
      </c>
      <c r="EV256" s="27" t="str">
        <f>VLOOKUP($A256,'[1]Raw Data'!$A$3:$FB$285,139,FALSE)</f>
        <v/>
      </c>
      <c r="EW256" s="38">
        <f>VLOOKUP($A256,[1]Training!$A$2:$I$284,5,FALSE)</f>
        <v>43.92307692307692</v>
      </c>
      <c r="EX256" s="31">
        <f>VLOOKUP($A256,[1]Training!$A$2:$I$284,6,FALSE)</f>
        <v>0</v>
      </c>
      <c r="EY256" s="38">
        <f>VLOOKUP($A256,[1]Training!$A$2:$I$284,8,FALSE)</f>
        <v>51.909090909090907</v>
      </c>
      <c r="EZ256" s="31">
        <f>VLOOKUP($A256,[1]Training!$A$2:$I$284,9,FALSE)</f>
        <v>0</v>
      </c>
      <c r="FA256" s="27">
        <v>1</v>
      </c>
      <c r="FB256" s="27">
        <v>2</v>
      </c>
      <c r="FC256" s="27" t="str">
        <f>VLOOKUP($A256,'[1]Raw Data'!$A$3:$FB$285,148,FALSE)</f>
        <v/>
      </c>
      <c r="FE256" s="27" t="str">
        <f>VLOOKUP($A256,'[1]Raw Data'!$A$3:$FB$285,149,FALSE)</f>
        <v>District Coordinator</v>
      </c>
      <c r="FF256" s="27" t="s">
        <v>885</v>
      </c>
      <c r="FG256" s="27" t="str">
        <f>VLOOKUP($A256,'[1]Raw Data'!$A$3:$FB$285,150,FALSE)</f>
        <v/>
      </c>
      <c r="FH256" s="27" t="str">
        <f>VLOOKUP($A256,'[1]Raw Data'!$A$3:$FB$285,156,FALSE)</f>
        <v/>
      </c>
      <c r="FJ256" s="27" t="str">
        <f>VLOOKUP($A256,'[1]Raw Data'!$A$3:$FB$285,157,FALSE)</f>
        <v>District Technical Officer</v>
      </c>
      <c r="FK256" s="27" t="s">
        <v>886</v>
      </c>
      <c r="FL256" s="27" t="str">
        <f>VLOOKUP($A256,'[1]Raw Data'!$A$3:$FB$285,158,FALSE)</f>
        <v/>
      </c>
      <c r="FM256" s="27" t="str">
        <f>VLOOKUP($A256,'[1]Raw Data'!$A$3:$FB$285,152,FALSE)</f>
        <v/>
      </c>
      <c r="FO256" s="27" t="str">
        <f>VLOOKUP($A256,'[1]Raw Data'!$A$3:$FB$285,153,FALSE)</f>
        <v>DIstrict Information Management Officer</v>
      </c>
      <c r="FP256" s="27" t="s">
        <v>887</v>
      </c>
      <c r="FQ256" s="27" t="str">
        <f>VLOOKUP($A256,'[1]Raw Data'!$A$3:$FB$285,154,FALSE)</f>
        <v/>
      </c>
    </row>
    <row r="257" spans="1:173" ht="24" x14ac:dyDescent="0.45">
      <c r="A257" s="27">
        <v>47002</v>
      </c>
      <c r="B257" s="36" t="str">
        <f ca="1">IFERROR(__xludf.DUMMYFUNCTION("""COMPUTED_VALUE"""),"Mathagadhi Gaunpalika")</f>
        <v>Mathagadhi Gaunpalika</v>
      </c>
      <c r="C257" s="37" t="str">
        <f>VLOOKUP(A257,'[1]Palika and District in Nepali '!$D$1:$F$283,3,FALSE)</f>
        <v>माथागढी गाउँपालिका</v>
      </c>
      <c r="D257" s="36" t="str">
        <f ca="1">IFERROR(__xludf.DUMMYFUNCTION("""COMPUTED_VALUE"""),"Palpa")</f>
        <v>Palpa</v>
      </c>
      <c r="E257" s="36"/>
      <c r="F257" s="27">
        <f>VLOOKUP(A257,'[1]Raw Data'!$A$3:$FB$285,4,FALSE)</f>
        <v>580</v>
      </c>
      <c r="G257" s="27">
        <f>VLOOKUP(A257,'[1]Raw Data'!$A$3:$FB$285,5,FALSE)</f>
        <v>677</v>
      </c>
      <c r="H257" s="27">
        <f>VLOOKUP(A257,'[1]Raw Data'!$A$3:$FB$285,6,FALSE)</f>
        <v>1257</v>
      </c>
      <c r="I257" s="27">
        <f>VLOOKUP($A257,'[1]Raw Data'!$A$3:$FB$285,8,FALSE)</f>
        <v>0.4</v>
      </c>
      <c r="J257" s="27">
        <f>VLOOKUP($A257,'[1]Raw Data'!$A$3:$FB$285,9,FALSE)</f>
        <v>1.65</v>
      </c>
      <c r="K257" s="27">
        <f>VLOOKUP($A257,'[1]Raw Data'!$A$3:$FB$285,11,FALSE)</f>
        <v>97.77</v>
      </c>
      <c r="L257" s="27">
        <f>VLOOKUP($A257,'[1]Raw Data'!$A$3:$FB$285,12,FALSE)</f>
        <v>84.49</v>
      </c>
      <c r="M257" s="27">
        <f>VLOOKUP($A257,'[1]Raw Data'!$A$3:$FB$285,14,FALSE)</f>
        <v>0.56000000000000005</v>
      </c>
      <c r="N257" s="27">
        <f>VLOOKUP($A257,'[1]Raw Data'!$A$3:$FB$285,15,FALSE)</f>
        <v>0.98</v>
      </c>
      <c r="O257" s="27">
        <f>VLOOKUP($A257,'[1]Raw Data'!$A$3:$FB$285,17,FALSE)</f>
        <v>0.08</v>
      </c>
      <c r="P257" s="27">
        <f>VLOOKUP($A257,'[1]Raw Data'!$A$3:$FB$285,18,FALSE)</f>
        <v>1.52</v>
      </c>
      <c r="Q257" s="27">
        <f>VLOOKUP($A257,'[1]Raw Data'!$A$3:$FB$285,20,FALSE)</f>
        <v>0.64</v>
      </c>
      <c r="R257" s="27">
        <f>VLOOKUP($A257,'[1]Raw Data'!$A$3:$FB$285,21,FALSE)</f>
        <v>1.1200000000000001</v>
      </c>
      <c r="S257" s="27">
        <f>VLOOKUP($A257,'[1]Raw Data'!$A$3:$FB$285,23,FALSE)</f>
        <v>0</v>
      </c>
      <c r="T257" s="27">
        <f>VLOOKUP($A257,'[1]Raw Data'!$A$3:$FB$285,24,FALSE)</f>
        <v>0</v>
      </c>
      <c r="U257" s="27">
        <f>VLOOKUP($A257,'[1]Raw Data'!$A$3:$FB$285,26,FALSE)</f>
        <v>0.08</v>
      </c>
      <c r="V257" s="27">
        <f>VLOOKUP($A257,'[1]Raw Data'!$A$3:$FB$285,27,FALSE)</f>
        <v>0.17</v>
      </c>
      <c r="W257" s="27">
        <f>VLOOKUP($A257,'[1]Raw Data'!$A$3:$FB$285,29,FALSE)</f>
        <v>0</v>
      </c>
      <c r="X257" s="27">
        <f>VLOOKUP($A257,'[1]Raw Data'!$A$3:$FB$285,30,FALSE)</f>
        <v>0</v>
      </c>
      <c r="Y257" s="27">
        <f>VLOOKUP($A257,'[1]Raw Data'!$A$3:$FB$285,32,FALSE)</f>
        <v>0.08</v>
      </c>
      <c r="Z257" s="27">
        <f>VLOOKUP($A257,'[1]Raw Data'!$A$3:$FB$285,33,FALSE)</f>
        <v>0.06</v>
      </c>
      <c r="AA257" s="27">
        <f>VLOOKUP($A257,'[1]Raw Data'!$A$3:$FB$285,35,FALSE)</f>
        <v>0.16</v>
      </c>
      <c r="AB257" s="27">
        <f>VLOOKUP($A257,'[1]Raw Data'!$A$3:$FB$285,36,FALSE)</f>
        <v>9.92</v>
      </c>
      <c r="AC257" s="27">
        <f>VLOOKUP($A257,'[1]Raw Data'!$A$3:$FB$285,38,FALSE)</f>
        <v>0.24</v>
      </c>
      <c r="AD257" s="27">
        <f>VLOOKUP($A257,'[1]Raw Data'!$A$3:$FB$285,39,FALSE)</f>
        <v>0.09</v>
      </c>
      <c r="AE257" s="27">
        <f>VLOOKUP($A257,'[1]Raw Data'!$A$3:$FB$285,41,FALSE)</f>
        <v>0</v>
      </c>
      <c r="AF257" s="27">
        <f>VLOOKUP($A257,'[1]Raw Data'!$A$3:$FB$285,42,FALSE)</f>
        <v>0</v>
      </c>
      <c r="AG257" s="27">
        <f>VLOOKUP($A257,'[1]Raw Data'!$A$3:$FB$285,44,FALSE)</f>
        <v>0</v>
      </c>
      <c r="AH257" s="27">
        <f>VLOOKUP($A257,'[1]Raw Data'!$A$3:$FB$285,45,FALSE)</f>
        <v>0</v>
      </c>
      <c r="AI257" s="27">
        <f>VLOOKUP($A257,'[1]Raw Data'!$A$3:$FB$285,46,FALSE)</f>
        <v>604</v>
      </c>
      <c r="AJ257" s="27">
        <f>VLOOKUP($A257,'[1]Raw Data'!$A$3:$FB$285,47,FALSE)</f>
        <v>372</v>
      </c>
      <c r="AK257" s="27">
        <f>VLOOKUP($A257,'[1]Raw Data'!$A$3:$FB$285,48,FALSE)</f>
        <v>372</v>
      </c>
      <c r="AL257" s="27">
        <f>VLOOKUP($A257,'[1]Raw Data'!$A$3:$FB$285,49,FALSE)</f>
        <v>130</v>
      </c>
      <c r="AM257" s="27">
        <f>VLOOKUP($A257,'[1]Raw Data'!$A$3:$FB$285,50,FALSE)</f>
        <v>0</v>
      </c>
      <c r="AN257" s="27" t="str">
        <f>VLOOKUP($A257,'[1]Raw Data'!$A$3:$FB$285,51,FALSE)</f>
        <v/>
      </c>
      <c r="AO257" s="27" t="str">
        <f>VLOOKUP($A257,'[1]Raw Data'!$A$3:$FB$285,52,FALSE)</f>
        <v/>
      </c>
      <c r="AP257" s="27">
        <f>VLOOKUP($A257,'[1]Raw Data'!$A$3:$FB$285,53,FALSE)</f>
        <v>14</v>
      </c>
      <c r="AQ257" s="27" t="str">
        <f>VLOOKUP($A257,'[1]Raw Data'!$A$3:$FB$285,54,FALSE)</f>
        <v/>
      </c>
      <c r="AR257" s="27" t="str">
        <f>VLOOKUP($A257,'[1]Raw Data'!$A$3:$FB$285,55,FALSE)</f>
        <v/>
      </c>
      <c r="AS257" s="27" t="str">
        <f>VLOOKUP($A257,'[1]Raw Data'!$A$3:$FB$285,56,FALSE)</f>
        <v/>
      </c>
      <c r="AT257" s="27" t="str">
        <f>VLOOKUP($A257,'[1]Raw Data'!$A$3:$FB$285,57,FALSE)</f>
        <v/>
      </c>
      <c r="AU257" s="27" t="str">
        <f>VLOOKUP($A257,'[1]Raw Data'!$A$3:$FB$285,58,FALSE)</f>
        <v/>
      </c>
      <c r="AV257" s="27" t="str">
        <f>VLOOKUP($A257,'[1]Raw Data'!$A$3:$FB$285,59,FALSE)</f>
        <v/>
      </c>
      <c r="AW257" s="27" t="str">
        <f>VLOOKUP($A257,'[1]Raw Data'!$A$3:$FB$285,60,FALSE)</f>
        <v/>
      </c>
      <c r="AX257" s="27" t="str">
        <f>VLOOKUP(A257,'[1]PO''s List'!A255:E537,4,FALSE)</f>
        <v/>
      </c>
      <c r="AZ257" s="27" t="str">
        <f>VLOOKUP(A257,'[1]PO''s List'!$A$3:$E$285,5,FALSE)</f>
        <v/>
      </c>
      <c r="BB257" s="27">
        <f>VLOOKUP($A257,'[1]Raw Data'!$A$3:$FB$285,63,FALSE)</f>
        <v>10476</v>
      </c>
      <c r="BC257" s="27" t="str">
        <f>VLOOKUP($A257,'[1]Raw Data'!$A$3:$FB$285,64,FALSE)</f>
        <v/>
      </c>
      <c r="BD257" s="27" t="str">
        <f t="shared" si="27"/>
        <v/>
      </c>
      <c r="BE257" s="27" t="str">
        <f>VLOOKUP($A257,'[1]Raw Data'!$A$3:$FB$285,65,FALSE)</f>
        <v/>
      </c>
      <c r="BF257" s="27">
        <f>VLOOKUP($A257,'[1]Raw Data'!$A$3:$FB$285,66,FALSE)</f>
        <v>11091</v>
      </c>
      <c r="BG257" s="27" t="str">
        <f>VLOOKUP($A257,'[1]Raw Data'!$A$3:$FB$285,67,FALSE)</f>
        <v/>
      </c>
      <c r="BH257" s="27" t="str">
        <f t="shared" si="28"/>
        <v/>
      </c>
      <c r="BI257" s="27" t="str">
        <f>VLOOKUP($A257,'[1]Raw Data'!$A$3:$FB$285,68,FALSE)</f>
        <v/>
      </c>
      <c r="BJ257" s="27">
        <f>VLOOKUP($A257,'[1]Raw Data'!$A$3:$FB$285,69,FALSE)</f>
        <v>1121</v>
      </c>
      <c r="BK257" s="27" t="str">
        <f>VLOOKUP($A257,'[1]Raw Data'!$A$3:$FB$285,70,FALSE)</f>
        <v/>
      </c>
      <c r="BL257" s="27" t="str">
        <f t="shared" si="29"/>
        <v/>
      </c>
      <c r="BM257" s="27" t="str">
        <f>VLOOKUP($A257,'[1]Raw Data'!$A$3:$FB$285,71,FALSE)</f>
        <v/>
      </c>
      <c r="BN257" s="27">
        <f>VLOOKUP($A257,'[1]Raw Data'!$A$3:$FB$285,72,FALSE)</f>
        <v>1305</v>
      </c>
      <c r="BO257" s="27" t="str">
        <f>VLOOKUP($A257,'[1]Raw Data'!$A$3:$FB$285,73,FALSE)</f>
        <v/>
      </c>
      <c r="BP257" s="27" t="str">
        <f t="shared" si="30"/>
        <v/>
      </c>
      <c r="BQ257" s="27" t="str">
        <f>VLOOKUP($A257,'[1]Raw Data'!$A$3:$FB$285,74,FALSE)</f>
        <v/>
      </c>
      <c r="BR257" s="27" t="str">
        <f>VLOOKUP($A257,'[1]Raw Data'!$A$3:$FB$285,75,FALSE)</f>
        <v/>
      </c>
      <c r="BS257" s="27" t="str">
        <f>VLOOKUP($A257,'[1]Raw Data'!$A$3:$FB$285,76,FALSE)</f>
        <v/>
      </c>
      <c r="BT257" s="27" t="str">
        <f t="shared" si="31"/>
        <v/>
      </c>
      <c r="BU257" s="27" t="str">
        <f>VLOOKUP($A257,'[1]Raw Data'!$A$3:$FB$285,77,FALSE)</f>
        <v/>
      </c>
      <c r="BV257" s="27">
        <f>VLOOKUP($A257,'[1]Raw Data'!$A$3:$FB$285,78,FALSE)</f>
        <v>36434</v>
      </c>
      <c r="BW257" s="27" t="str">
        <f>VLOOKUP($A257,'[1]Raw Data'!$A$3:$FB$285,79,FALSE)</f>
        <v/>
      </c>
      <c r="BX257" s="27" t="str">
        <f t="shared" si="32"/>
        <v/>
      </c>
      <c r="BY257" s="27" t="str">
        <f>VLOOKUP($A257,'[1]Raw Data'!$A$3:$FB$285,80,FALSE)</f>
        <v/>
      </c>
      <c r="BZ257" s="27">
        <f>VLOOKUP($A257,'[1]Raw Data'!$A$3:$FB$285,81,FALSE)</f>
        <v>112699</v>
      </c>
      <c r="CA257" s="27" t="str">
        <f>VLOOKUP($A257,'[1]Raw Data'!$A$3:$FB$285,82,FALSE)</f>
        <v/>
      </c>
      <c r="CB257" s="27" t="str">
        <f t="shared" si="33"/>
        <v/>
      </c>
      <c r="CC257" s="27" t="str">
        <f>VLOOKUP($A257,'[1]Raw Data'!$A$3:$FB$285,83,FALSE)</f>
        <v/>
      </c>
      <c r="CD257" s="27">
        <f>VLOOKUP($A257,'[1]Raw Data'!$A$3:$FB$285,84,FALSE)</f>
        <v>1488</v>
      </c>
      <c r="CE257" s="27" t="str">
        <f>VLOOKUP($A257,'[1]Raw Data'!$A$3:$FB$285,85,FALSE)</f>
        <v/>
      </c>
      <c r="CF257" s="27" t="str">
        <f t="shared" si="34"/>
        <v/>
      </c>
      <c r="CG257" s="27" t="str">
        <f>VLOOKUP($A257,'[1]Raw Data'!$A$3:$FB$285,86,FALSE)</f>
        <v/>
      </c>
      <c r="CH257" s="27">
        <f>VLOOKUP($A257,'[1]Raw Data'!$A$3:$FB$285,87,FALSE)</f>
        <v>38409</v>
      </c>
      <c r="CI257" s="27" t="str">
        <f>VLOOKUP($A257,'[1]Raw Data'!$A$3:$FB$285,88,FALSE)</f>
        <v/>
      </c>
      <c r="CJ257" s="27" t="str">
        <f t="shared" si="35"/>
        <v/>
      </c>
      <c r="CK257" s="27" t="str">
        <f>VLOOKUP($A257,'[1]Raw Data'!$A$3:$FB$285,89,FALSE)</f>
        <v/>
      </c>
      <c r="CL257" s="27" t="str">
        <f>VLOOKUP($A257,'[1]Raw Data'!$A$3:$FB$285,91,FALSE)</f>
        <v/>
      </c>
      <c r="CM257" s="27" t="str">
        <f>VLOOKUP($A257,'[1]Raw Data'!$A$3:$FB$285,93,FALSE)</f>
        <v/>
      </c>
      <c r="CN257" s="27" t="str">
        <f>VLOOKUP($A257,'[1]Raw Data'!$A$3:$FB$285,94,FALSE)</f>
        <v/>
      </c>
      <c r="CO257" s="27" t="str">
        <f>VLOOKUP($A257,'[1]Raw Data'!$A$3:$FB$285,95,FALSE)</f>
        <v/>
      </c>
      <c r="CP257" s="27" t="str">
        <f>VLOOKUP($A257,'[1]Raw Data'!$A$3:$FB$285,96,FALSE)</f>
        <v/>
      </c>
      <c r="CQ257" s="27" t="str">
        <f>VLOOKUP($A257,'[1]Raw Data'!$A$3:$FB$285,97,FALSE)</f>
        <v/>
      </c>
      <c r="CR257" s="27" t="str">
        <f>VLOOKUP($A257,'[1]Raw Data'!$A$3:$FB$285,98,FALSE)</f>
        <v/>
      </c>
      <c r="CS257" s="27" t="str">
        <f>VLOOKUP($A257,'[1]Raw Data'!$A$3:$FB$285,99,FALSE)</f>
        <v/>
      </c>
      <c r="CT257" s="27" t="str">
        <f>VLOOKUP($A257,'[1]Raw Data'!$A$3:$FB$285,101,FALSE)</f>
        <v/>
      </c>
      <c r="CV257" s="27" t="str">
        <f>VLOOKUP($A257,'[1]Raw Data'!$A$3:$FB$285,102,FALSE)</f>
        <v>Chairman</v>
      </c>
      <c r="CW257" s="27" t="s">
        <v>878</v>
      </c>
      <c r="CX257" s="27" t="str">
        <f>VLOOKUP($A257,'[1]Raw Data'!$A$3:$FB$285,103,FALSE)</f>
        <v/>
      </c>
      <c r="CY257" s="27" t="str">
        <f>VLOOKUP($A257,'[1]Raw Data'!$A$3:$FB$285,105,FALSE)</f>
        <v/>
      </c>
      <c r="DA257" s="27" t="str">
        <f>VLOOKUP($A257,'[1]Raw Data'!$A$3:$FB$285,106,FALSE)</f>
        <v>Deputy Chairman</v>
      </c>
      <c r="DB257" s="27" t="s">
        <v>879</v>
      </c>
      <c r="DC257" s="27" t="str">
        <f>VLOOKUP($A257,'[1]Raw Data'!$A$3:$FB$285,107,FALSE)</f>
        <v/>
      </c>
      <c r="DD257" s="27" t="str">
        <f>VLOOKUP($A257,'[1]Raw Data'!$A$3:$FB$285,109,FALSE)</f>
        <v/>
      </c>
      <c r="DF257" s="27" t="str">
        <f>VLOOKUP($A257,'[1]Raw Data'!$A$3:$FB$285,110,FALSE)</f>
        <v>Chief Adminstration Officer</v>
      </c>
      <c r="DG257" s="27" t="s">
        <v>880</v>
      </c>
      <c r="DH257" s="27" t="str">
        <f>VLOOKUP($A257,'[1]Raw Data'!$A$3:$FB$285,111,FALSE)</f>
        <v/>
      </c>
      <c r="DI257" s="27" t="str">
        <f>VLOOKUP($A257,'[1]Raw Data'!$A$3:$FB$285,121,FALSE)</f>
        <v/>
      </c>
      <c r="DK257" s="27" t="str">
        <f>VLOOKUP($A257,'[1]Raw Data'!$A$3:$FB$285,122,FALSE)</f>
        <v>Focal Person</v>
      </c>
      <c r="DL257" s="27" t="s">
        <v>881</v>
      </c>
      <c r="DM257" s="27" t="str">
        <f>VLOOKUP($A257,'[1]Raw Data'!$A$3:$FB$285,123,FALSE)</f>
        <v/>
      </c>
      <c r="DN257" s="27" t="str">
        <f>VLOOKUP($A257,'[1]Raw Data'!$A$3:$FB$285,113,FALSE)</f>
        <v/>
      </c>
      <c r="DP257" s="27" t="str">
        <f>VLOOKUP($A257,'[1]Raw Data'!$A$3:$FB$285,114,FALSE)</f>
        <v>NRA Chief-District</v>
      </c>
      <c r="DQ257" s="27" t="s">
        <v>882</v>
      </c>
      <c r="DR257" s="27" t="str">
        <f>VLOOKUP($A257,'[1]Raw Data'!$A$3:$FB$285,115,FALSE)</f>
        <v/>
      </c>
      <c r="DS257" s="27" t="str">
        <f>VLOOKUP($A257,'[1]Raw Data'!$A$3:$FB$285,117,FALSE)</f>
        <v/>
      </c>
      <c r="DU257" s="27" t="str">
        <f>VLOOKUP($A257,'[1]Raw Data'!$A$3:$FB$285,118,FALSE)</f>
        <v>DUDBC.DLPIU Chief</v>
      </c>
      <c r="DV257" s="27" t="s">
        <v>883</v>
      </c>
      <c r="DW257" s="27" t="str">
        <f>VLOOKUP($A257,'[1]Raw Data'!$A$3:$FB$285,119,FALSE)</f>
        <v/>
      </c>
      <c r="DX257" s="27" t="s">
        <v>339</v>
      </c>
      <c r="DY257" s="27" t="str">
        <f>VLOOKUP($A257,'[1]Raw Data'!$A$3:$FB$285,124,FALSE)</f>
        <v/>
      </c>
      <c r="DZ257" s="27" t="s">
        <v>884</v>
      </c>
      <c r="EA257" s="27" t="str">
        <f>VLOOKUP($A257,'[1]Raw Data'!$A$3:$FB$285,125,FALSE)</f>
        <v/>
      </c>
      <c r="EB257" s="27" t="s">
        <v>341</v>
      </c>
      <c r="EC257" s="27" t="str">
        <f>VLOOKUP($A257,'[1]Raw Data'!$A$3:$FB$285,126,FALSE)</f>
        <v/>
      </c>
      <c r="ED257" t="s">
        <v>478</v>
      </c>
      <c r="EE257" s="27" t="str">
        <f>VLOOKUP($A257,'[1]Raw Data'!$A$3:$FB$285,127,FALSE)</f>
        <v/>
      </c>
      <c r="EF257" s="27" t="s">
        <v>343</v>
      </c>
      <c r="EG257" s="27" t="str">
        <f>VLOOKUP($A257,'[1]Raw Data'!$A$3:$FB$285,128,FALSE)</f>
        <v/>
      </c>
      <c r="EH257" t="s">
        <v>344</v>
      </c>
      <c r="EI257" s="27" t="str">
        <f>VLOOKUP($A257,'[1]Raw Data'!$A$3:$FB$285,129,FALSE)</f>
        <v/>
      </c>
      <c r="EM257" s="27" t="str">
        <f>VLOOKUP($A257,'[1]Raw Data'!$A$3:$FB$285,130,FALSE)</f>
        <v/>
      </c>
      <c r="EN257" s="27" t="str">
        <f>VLOOKUP($A257,'[1]Raw Data'!$A$3:$FB$285,131,FALSE)</f>
        <v/>
      </c>
      <c r="EO257" s="27" t="str">
        <f>VLOOKUP($A257,'[1]Raw Data'!$A$3:$FB$285,132,FALSE)</f>
        <v/>
      </c>
      <c r="EP257" s="27" t="str">
        <f>VLOOKUP($A257,'[1]Raw Data'!$A$3:$FB$285,133,FALSE)</f>
        <v/>
      </c>
      <c r="EQ257" s="27" t="str">
        <f>VLOOKUP($A257,'[1]Raw Data'!$A$3:$FB$285,134,FALSE)</f>
        <v/>
      </c>
      <c r="ER257" s="27" t="str">
        <f>VLOOKUP($A257,'[1]Raw Data'!$A$3:$FB$285,135,FALSE)</f>
        <v/>
      </c>
      <c r="ES257" s="27" t="str">
        <f>VLOOKUP($A257,'[1]Raw Data'!$A$3:$FB$285,136,FALSE)</f>
        <v/>
      </c>
      <c r="ET257" s="27" t="str">
        <f>VLOOKUP($A257,'[1]Raw Data'!$A$3:$FB$285,137,FALSE)</f>
        <v/>
      </c>
      <c r="EU257" s="27" t="str">
        <f>VLOOKUP($A257,'[1]Raw Data'!$A$3:$FB$285,138,FALSE)</f>
        <v/>
      </c>
      <c r="EV257" s="27" t="str">
        <f>VLOOKUP($A257,'[1]Raw Data'!$A$3:$FB$285,139,FALSE)</f>
        <v/>
      </c>
      <c r="EW257" s="38">
        <f>VLOOKUP($A257,[1]Training!$A$2:$I$284,5,FALSE)</f>
        <v>46.46153846153846</v>
      </c>
      <c r="EX257" s="31">
        <f>VLOOKUP($A257,[1]Training!$A$2:$I$284,6,FALSE)</f>
        <v>91</v>
      </c>
      <c r="EY257" s="38">
        <f>VLOOKUP($A257,[1]Training!$A$2:$I$284,8,FALSE)</f>
        <v>54.909090909090907</v>
      </c>
      <c r="EZ257" s="31">
        <f>VLOOKUP($A257,[1]Training!$A$2:$I$284,9,FALSE)</f>
        <v>0</v>
      </c>
      <c r="FA257" s="27">
        <v>1</v>
      </c>
      <c r="FB257" s="27">
        <v>2</v>
      </c>
      <c r="FC257" s="27" t="str">
        <f>VLOOKUP($A257,'[1]Raw Data'!$A$3:$FB$285,148,FALSE)</f>
        <v/>
      </c>
      <c r="FE257" s="27" t="str">
        <f>VLOOKUP($A257,'[1]Raw Data'!$A$3:$FB$285,149,FALSE)</f>
        <v>District Coordinator</v>
      </c>
      <c r="FF257" s="27" t="s">
        <v>885</v>
      </c>
      <c r="FG257" s="27" t="str">
        <f>VLOOKUP($A257,'[1]Raw Data'!$A$3:$FB$285,150,FALSE)</f>
        <v/>
      </c>
      <c r="FH257" s="27" t="str">
        <f>VLOOKUP($A257,'[1]Raw Data'!$A$3:$FB$285,156,FALSE)</f>
        <v/>
      </c>
      <c r="FJ257" s="27" t="str">
        <f>VLOOKUP($A257,'[1]Raw Data'!$A$3:$FB$285,157,FALSE)</f>
        <v>District Technical Officer</v>
      </c>
      <c r="FK257" s="27" t="s">
        <v>886</v>
      </c>
      <c r="FL257" s="27" t="str">
        <f>VLOOKUP($A257,'[1]Raw Data'!$A$3:$FB$285,158,FALSE)</f>
        <v/>
      </c>
      <c r="FM257" s="27" t="str">
        <f>VLOOKUP($A257,'[1]Raw Data'!$A$3:$FB$285,152,FALSE)</f>
        <v/>
      </c>
      <c r="FO257" s="27" t="str">
        <f>VLOOKUP($A257,'[1]Raw Data'!$A$3:$FB$285,153,FALSE)</f>
        <v>DIstrict Information Management Officer</v>
      </c>
      <c r="FP257" s="27" t="s">
        <v>887</v>
      </c>
      <c r="FQ257" s="27" t="str">
        <f>VLOOKUP($A257,'[1]Raw Data'!$A$3:$FB$285,154,FALSE)</f>
        <v/>
      </c>
    </row>
    <row r="258" spans="1:173" ht="24" x14ac:dyDescent="0.45">
      <c r="A258" s="27">
        <v>47003</v>
      </c>
      <c r="B258" s="36" t="str">
        <f ca="1">IFERROR(__xludf.DUMMYFUNCTION("""COMPUTED_VALUE"""),"Nisdi Gaunpalika")</f>
        <v>Nisdi Gaunpalika</v>
      </c>
      <c r="C258" s="37" t="str">
        <f>VLOOKUP(A258,'[1]Palika and District in Nepali '!$D$1:$F$283,3,FALSE)</f>
        <v>निस्दि गाउँपालिका</v>
      </c>
      <c r="D258" s="36" t="str">
        <f ca="1">IFERROR(__xludf.DUMMYFUNCTION("""COMPUTED_VALUE"""),"Palpa")</f>
        <v>Palpa</v>
      </c>
      <c r="E258" s="36"/>
      <c r="F258" s="27">
        <f>VLOOKUP(A258,'[1]Raw Data'!$A$3:$FB$285,4,FALSE)</f>
        <v>288</v>
      </c>
      <c r="G258" s="27">
        <f>VLOOKUP(A258,'[1]Raw Data'!$A$3:$FB$285,5,FALSE)</f>
        <v>794</v>
      </c>
      <c r="H258" s="27">
        <f>VLOOKUP(A258,'[1]Raw Data'!$A$3:$FB$285,6,FALSE)</f>
        <v>1082</v>
      </c>
      <c r="I258" s="27">
        <f>VLOOKUP($A258,'[1]Raw Data'!$A$3:$FB$285,8,FALSE)</f>
        <v>0.46</v>
      </c>
      <c r="J258" s="27">
        <f>VLOOKUP($A258,'[1]Raw Data'!$A$3:$FB$285,9,FALSE)</f>
        <v>1.65</v>
      </c>
      <c r="K258" s="27">
        <f>VLOOKUP($A258,'[1]Raw Data'!$A$3:$FB$285,11,FALSE)</f>
        <v>98.7</v>
      </c>
      <c r="L258" s="27">
        <f>VLOOKUP($A258,'[1]Raw Data'!$A$3:$FB$285,12,FALSE)</f>
        <v>84.49</v>
      </c>
      <c r="M258" s="27">
        <f>VLOOKUP($A258,'[1]Raw Data'!$A$3:$FB$285,14,FALSE)</f>
        <v>0.28000000000000003</v>
      </c>
      <c r="N258" s="27">
        <f>VLOOKUP($A258,'[1]Raw Data'!$A$3:$FB$285,15,FALSE)</f>
        <v>0.98</v>
      </c>
      <c r="O258" s="27">
        <f>VLOOKUP($A258,'[1]Raw Data'!$A$3:$FB$285,17,FALSE)</f>
        <v>0.09</v>
      </c>
      <c r="P258" s="27">
        <f>VLOOKUP($A258,'[1]Raw Data'!$A$3:$FB$285,18,FALSE)</f>
        <v>1.52</v>
      </c>
      <c r="Q258" s="27">
        <f>VLOOKUP($A258,'[1]Raw Data'!$A$3:$FB$285,20,FALSE)</f>
        <v>0</v>
      </c>
      <c r="R258" s="27">
        <f>VLOOKUP($A258,'[1]Raw Data'!$A$3:$FB$285,21,FALSE)</f>
        <v>1.1200000000000001</v>
      </c>
      <c r="S258" s="27">
        <f>VLOOKUP($A258,'[1]Raw Data'!$A$3:$FB$285,23,FALSE)</f>
        <v>0</v>
      </c>
      <c r="T258" s="27">
        <f>VLOOKUP($A258,'[1]Raw Data'!$A$3:$FB$285,24,FALSE)</f>
        <v>0</v>
      </c>
      <c r="U258" s="27">
        <f>VLOOKUP($A258,'[1]Raw Data'!$A$3:$FB$285,26,FALSE)</f>
        <v>0</v>
      </c>
      <c r="V258" s="27">
        <f>VLOOKUP($A258,'[1]Raw Data'!$A$3:$FB$285,27,FALSE)</f>
        <v>0.17</v>
      </c>
      <c r="W258" s="27">
        <f>VLOOKUP($A258,'[1]Raw Data'!$A$3:$FB$285,29,FALSE)</f>
        <v>0</v>
      </c>
      <c r="X258" s="27">
        <f>VLOOKUP($A258,'[1]Raw Data'!$A$3:$FB$285,30,FALSE)</f>
        <v>0</v>
      </c>
      <c r="Y258" s="27">
        <f>VLOOKUP($A258,'[1]Raw Data'!$A$3:$FB$285,32,FALSE)</f>
        <v>0</v>
      </c>
      <c r="Z258" s="27">
        <f>VLOOKUP($A258,'[1]Raw Data'!$A$3:$FB$285,33,FALSE)</f>
        <v>0.06</v>
      </c>
      <c r="AA258" s="27">
        <f>VLOOKUP($A258,'[1]Raw Data'!$A$3:$FB$285,35,FALSE)</f>
        <v>0.37</v>
      </c>
      <c r="AB258" s="27">
        <f>VLOOKUP($A258,'[1]Raw Data'!$A$3:$FB$285,36,FALSE)</f>
        <v>9.92</v>
      </c>
      <c r="AC258" s="27">
        <f>VLOOKUP($A258,'[1]Raw Data'!$A$3:$FB$285,38,FALSE)</f>
        <v>0.09</v>
      </c>
      <c r="AD258" s="27">
        <f>VLOOKUP($A258,'[1]Raw Data'!$A$3:$FB$285,39,FALSE)</f>
        <v>0.09</v>
      </c>
      <c r="AE258" s="27">
        <f>VLOOKUP($A258,'[1]Raw Data'!$A$3:$FB$285,41,FALSE)</f>
        <v>0</v>
      </c>
      <c r="AF258" s="27">
        <f>VLOOKUP($A258,'[1]Raw Data'!$A$3:$FB$285,42,FALSE)</f>
        <v>0</v>
      </c>
      <c r="AG258" s="27">
        <f>VLOOKUP($A258,'[1]Raw Data'!$A$3:$FB$285,44,FALSE)</f>
        <v>0</v>
      </c>
      <c r="AH258" s="27">
        <f>VLOOKUP($A258,'[1]Raw Data'!$A$3:$FB$285,45,FALSE)</f>
        <v>0</v>
      </c>
      <c r="AI258" s="27">
        <f>VLOOKUP($A258,'[1]Raw Data'!$A$3:$FB$285,46,FALSE)</f>
        <v>739</v>
      </c>
      <c r="AJ258" s="27">
        <f>VLOOKUP($A258,'[1]Raw Data'!$A$3:$FB$285,47,FALSE)</f>
        <v>372</v>
      </c>
      <c r="AK258" s="27">
        <f>VLOOKUP($A258,'[1]Raw Data'!$A$3:$FB$285,48,FALSE)</f>
        <v>372</v>
      </c>
      <c r="AL258" s="27">
        <f>VLOOKUP($A258,'[1]Raw Data'!$A$3:$FB$285,49,FALSE)</f>
        <v>130</v>
      </c>
      <c r="AM258" s="27">
        <f>VLOOKUP($A258,'[1]Raw Data'!$A$3:$FB$285,50,FALSE)</f>
        <v>15</v>
      </c>
      <c r="AN258" s="27" t="str">
        <f>VLOOKUP($A258,'[1]Raw Data'!$A$3:$FB$285,51,FALSE)</f>
        <v/>
      </c>
      <c r="AO258" s="27" t="str">
        <f>VLOOKUP($A258,'[1]Raw Data'!$A$3:$FB$285,52,FALSE)</f>
        <v/>
      </c>
      <c r="AP258" s="27">
        <f>VLOOKUP($A258,'[1]Raw Data'!$A$3:$FB$285,53,FALSE)</f>
        <v>22</v>
      </c>
      <c r="AQ258" s="27" t="str">
        <f>VLOOKUP($A258,'[1]Raw Data'!$A$3:$FB$285,54,FALSE)</f>
        <v/>
      </c>
      <c r="AR258" s="27" t="str">
        <f>VLOOKUP($A258,'[1]Raw Data'!$A$3:$FB$285,55,FALSE)</f>
        <v/>
      </c>
      <c r="AS258" s="27" t="str">
        <f>VLOOKUP($A258,'[1]Raw Data'!$A$3:$FB$285,56,FALSE)</f>
        <v/>
      </c>
      <c r="AT258" s="27" t="str">
        <f>VLOOKUP($A258,'[1]Raw Data'!$A$3:$FB$285,57,FALSE)</f>
        <v/>
      </c>
      <c r="AU258" s="27" t="str">
        <f>VLOOKUP($A258,'[1]Raw Data'!$A$3:$FB$285,58,FALSE)</f>
        <v/>
      </c>
      <c r="AV258" s="27" t="str">
        <f>VLOOKUP($A258,'[1]Raw Data'!$A$3:$FB$285,59,FALSE)</f>
        <v/>
      </c>
      <c r="AW258" s="27" t="str">
        <f>VLOOKUP($A258,'[1]Raw Data'!$A$3:$FB$285,60,FALSE)</f>
        <v/>
      </c>
      <c r="AX258" s="27" t="str">
        <f>VLOOKUP(A258,'[1]PO''s List'!A256:E538,4,FALSE)</f>
        <v/>
      </c>
      <c r="AZ258" s="27" t="str">
        <f>VLOOKUP(A258,'[1]PO''s List'!$A$3:$E$285,5,FALSE)</f>
        <v/>
      </c>
      <c r="BB258" s="27">
        <f>VLOOKUP($A258,'[1]Raw Data'!$A$3:$FB$285,63,FALSE)</f>
        <v>10134</v>
      </c>
      <c r="BC258" s="27" t="str">
        <f>VLOOKUP($A258,'[1]Raw Data'!$A$3:$FB$285,64,FALSE)</f>
        <v/>
      </c>
      <c r="BD258" s="27" t="str">
        <f t="shared" si="27"/>
        <v/>
      </c>
      <c r="BE258" s="27" t="str">
        <f>VLOOKUP($A258,'[1]Raw Data'!$A$3:$FB$285,65,FALSE)</f>
        <v/>
      </c>
      <c r="BF258" s="27">
        <f>VLOOKUP($A258,'[1]Raw Data'!$A$3:$FB$285,66,FALSE)</f>
        <v>10679</v>
      </c>
      <c r="BG258" s="27" t="str">
        <f>VLOOKUP($A258,'[1]Raw Data'!$A$3:$FB$285,67,FALSE)</f>
        <v/>
      </c>
      <c r="BH258" s="27" t="str">
        <f t="shared" si="28"/>
        <v/>
      </c>
      <c r="BI258" s="27" t="str">
        <f>VLOOKUP($A258,'[1]Raw Data'!$A$3:$FB$285,68,FALSE)</f>
        <v/>
      </c>
      <c r="BJ258" s="27">
        <f>VLOOKUP($A258,'[1]Raw Data'!$A$3:$FB$285,69,FALSE)</f>
        <v>1084</v>
      </c>
      <c r="BK258" s="27" t="str">
        <f>VLOOKUP($A258,'[1]Raw Data'!$A$3:$FB$285,70,FALSE)</f>
        <v/>
      </c>
      <c r="BL258" s="27" t="str">
        <f t="shared" si="29"/>
        <v/>
      </c>
      <c r="BM258" s="27" t="str">
        <f>VLOOKUP($A258,'[1]Raw Data'!$A$3:$FB$285,71,FALSE)</f>
        <v/>
      </c>
      <c r="BN258" s="27">
        <f>VLOOKUP($A258,'[1]Raw Data'!$A$3:$FB$285,72,FALSE)</f>
        <v>1259</v>
      </c>
      <c r="BO258" s="27" t="str">
        <f>VLOOKUP($A258,'[1]Raw Data'!$A$3:$FB$285,73,FALSE)</f>
        <v/>
      </c>
      <c r="BP258" s="27" t="str">
        <f t="shared" si="30"/>
        <v/>
      </c>
      <c r="BQ258" s="27" t="str">
        <f>VLOOKUP($A258,'[1]Raw Data'!$A$3:$FB$285,74,FALSE)</f>
        <v/>
      </c>
      <c r="BR258" s="27" t="str">
        <f>VLOOKUP($A258,'[1]Raw Data'!$A$3:$FB$285,75,FALSE)</f>
        <v/>
      </c>
      <c r="BS258" s="27" t="str">
        <f>VLOOKUP($A258,'[1]Raw Data'!$A$3:$FB$285,76,FALSE)</f>
        <v/>
      </c>
      <c r="BT258" s="27" t="str">
        <f t="shared" si="31"/>
        <v/>
      </c>
      <c r="BU258" s="27" t="str">
        <f>VLOOKUP($A258,'[1]Raw Data'!$A$3:$FB$285,77,FALSE)</f>
        <v/>
      </c>
      <c r="BV258" s="27">
        <f>VLOOKUP($A258,'[1]Raw Data'!$A$3:$FB$285,78,FALSE)</f>
        <v>34944</v>
      </c>
      <c r="BW258" s="27" t="str">
        <f>VLOOKUP($A258,'[1]Raw Data'!$A$3:$FB$285,79,FALSE)</f>
        <v/>
      </c>
      <c r="BX258" s="27" t="str">
        <f t="shared" si="32"/>
        <v/>
      </c>
      <c r="BY258" s="27" t="str">
        <f>VLOOKUP($A258,'[1]Raw Data'!$A$3:$FB$285,80,FALSE)</f>
        <v/>
      </c>
      <c r="BZ258" s="27">
        <f>VLOOKUP($A258,'[1]Raw Data'!$A$3:$FB$285,81,FALSE)</f>
        <v>108898</v>
      </c>
      <c r="CA258" s="27" t="str">
        <f>VLOOKUP($A258,'[1]Raw Data'!$A$3:$FB$285,82,FALSE)</f>
        <v/>
      </c>
      <c r="CB258" s="27" t="str">
        <f t="shared" si="33"/>
        <v/>
      </c>
      <c r="CC258" s="27" t="str">
        <f>VLOOKUP($A258,'[1]Raw Data'!$A$3:$FB$285,83,FALSE)</f>
        <v/>
      </c>
      <c r="CD258" s="27">
        <f>VLOOKUP($A258,'[1]Raw Data'!$A$3:$FB$285,84,FALSE)</f>
        <v>1426</v>
      </c>
      <c r="CE258" s="27" t="str">
        <f>VLOOKUP($A258,'[1]Raw Data'!$A$3:$FB$285,85,FALSE)</f>
        <v/>
      </c>
      <c r="CF258" s="27" t="str">
        <f t="shared" si="34"/>
        <v/>
      </c>
      <c r="CG258" s="27" t="str">
        <f>VLOOKUP($A258,'[1]Raw Data'!$A$3:$FB$285,86,FALSE)</f>
        <v/>
      </c>
      <c r="CH258" s="27">
        <f>VLOOKUP($A258,'[1]Raw Data'!$A$3:$FB$285,87,FALSE)</f>
        <v>18889</v>
      </c>
      <c r="CI258" s="27" t="str">
        <f>VLOOKUP($A258,'[1]Raw Data'!$A$3:$FB$285,88,FALSE)</f>
        <v/>
      </c>
      <c r="CJ258" s="27" t="str">
        <f t="shared" si="35"/>
        <v/>
      </c>
      <c r="CK258" s="27" t="str">
        <f>VLOOKUP($A258,'[1]Raw Data'!$A$3:$FB$285,89,FALSE)</f>
        <v/>
      </c>
      <c r="CL258" s="27" t="str">
        <f>VLOOKUP($A258,'[1]Raw Data'!$A$3:$FB$285,91,FALSE)</f>
        <v/>
      </c>
      <c r="CM258" s="27" t="str">
        <f>VLOOKUP($A258,'[1]Raw Data'!$A$3:$FB$285,93,FALSE)</f>
        <v/>
      </c>
      <c r="CN258" s="27" t="str">
        <f>VLOOKUP($A258,'[1]Raw Data'!$A$3:$FB$285,94,FALSE)</f>
        <v/>
      </c>
      <c r="CO258" s="27" t="str">
        <f>VLOOKUP($A258,'[1]Raw Data'!$A$3:$FB$285,95,FALSE)</f>
        <v/>
      </c>
      <c r="CP258" s="27" t="str">
        <f>VLOOKUP($A258,'[1]Raw Data'!$A$3:$FB$285,96,FALSE)</f>
        <v/>
      </c>
      <c r="CQ258" s="27" t="str">
        <f>VLOOKUP($A258,'[1]Raw Data'!$A$3:$FB$285,97,FALSE)</f>
        <v/>
      </c>
      <c r="CR258" s="27" t="str">
        <f>VLOOKUP($A258,'[1]Raw Data'!$A$3:$FB$285,98,FALSE)</f>
        <v/>
      </c>
      <c r="CS258" s="27" t="str">
        <f>VLOOKUP($A258,'[1]Raw Data'!$A$3:$FB$285,99,FALSE)</f>
        <v/>
      </c>
      <c r="CT258" s="27" t="str">
        <f>VLOOKUP($A258,'[1]Raw Data'!$A$3:$FB$285,101,FALSE)</f>
        <v/>
      </c>
      <c r="CV258" s="27" t="str">
        <f>VLOOKUP($A258,'[1]Raw Data'!$A$3:$FB$285,102,FALSE)</f>
        <v>Chairman</v>
      </c>
      <c r="CW258" s="27" t="s">
        <v>878</v>
      </c>
      <c r="CX258" s="27" t="str">
        <f>VLOOKUP($A258,'[1]Raw Data'!$A$3:$FB$285,103,FALSE)</f>
        <v/>
      </c>
      <c r="CY258" s="27" t="str">
        <f>VLOOKUP($A258,'[1]Raw Data'!$A$3:$FB$285,105,FALSE)</f>
        <v/>
      </c>
      <c r="DA258" s="27" t="str">
        <f>VLOOKUP($A258,'[1]Raw Data'!$A$3:$FB$285,106,FALSE)</f>
        <v>Deputy Chairman</v>
      </c>
      <c r="DB258" s="27" t="s">
        <v>879</v>
      </c>
      <c r="DC258" s="27" t="str">
        <f>VLOOKUP($A258,'[1]Raw Data'!$A$3:$FB$285,107,FALSE)</f>
        <v/>
      </c>
      <c r="DD258" s="27" t="str">
        <f>VLOOKUP($A258,'[1]Raw Data'!$A$3:$FB$285,109,FALSE)</f>
        <v/>
      </c>
      <c r="DF258" s="27" t="str">
        <f>VLOOKUP($A258,'[1]Raw Data'!$A$3:$FB$285,110,FALSE)</f>
        <v>Chief Adminstration Officer</v>
      </c>
      <c r="DG258" s="27" t="s">
        <v>880</v>
      </c>
      <c r="DH258" s="27" t="str">
        <f>VLOOKUP($A258,'[1]Raw Data'!$A$3:$FB$285,111,FALSE)</f>
        <v/>
      </c>
      <c r="DI258" s="27" t="str">
        <f>VLOOKUP($A258,'[1]Raw Data'!$A$3:$FB$285,121,FALSE)</f>
        <v/>
      </c>
      <c r="DK258" s="27" t="str">
        <f>VLOOKUP($A258,'[1]Raw Data'!$A$3:$FB$285,122,FALSE)</f>
        <v>Focal Person</v>
      </c>
      <c r="DL258" s="27" t="s">
        <v>881</v>
      </c>
      <c r="DM258" s="27" t="str">
        <f>VLOOKUP($A258,'[1]Raw Data'!$A$3:$FB$285,123,FALSE)</f>
        <v/>
      </c>
      <c r="DN258" s="27" t="str">
        <f>VLOOKUP($A258,'[1]Raw Data'!$A$3:$FB$285,113,FALSE)</f>
        <v/>
      </c>
      <c r="DP258" s="27" t="str">
        <f>VLOOKUP($A258,'[1]Raw Data'!$A$3:$FB$285,114,FALSE)</f>
        <v>NRA Chief-District</v>
      </c>
      <c r="DQ258" s="27" t="s">
        <v>882</v>
      </c>
      <c r="DR258" s="27" t="str">
        <f>VLOOKUP($A258,'[1]Raw Data'!$A$3:$FB$285,115,FALSE)</f>
        <v/>
      </c>
      <c r="DS258" s="27" t="str">
        <f>VLOOKUP($A258,'[1]Raw Data'!$A$3:$FB$285,117,FALSE)</f>
        <v/>
      </c>
      <c r="DU258" s="27" t="str">
        <f>VLOOKUP($A258,'[1]Raw Data'!$A$3:$FB$285,118,FALSE)</f>
        <v>DUDBC.DLPIU Chief</v>
      </c>
      <c r="DV258" s="27" t="s">
        <v>883</v>
      </c>
      <c r="DW258" s="27" t="str">
        <f>VLOOKUP($A258,'[1]Raw Data'!$A$3:$FB$285,119,FALSE)</f>
        <v/>
      </c>
      <c r="DX258" s="27" t="s">
        <v>339</v>
      </c>
      <c r="DY258" s="27" t="str">
        <f>VLOOKUP($A258,'[1]Raw Data'!$A$3:$FB$285,124,FALSE)</f>
        <v/>
      </c>
      <c r="DZ258" s="27" t="s">
        <v>884</v>
      </c>
      <c r="EA258" s="27" t="str">
        <f>VLOOKUP($A258,'[1]Raw Data'!$A$3:$FB$285,125,FALSE)</f>
        <v/>
      </c>
      <c r="EB258" s="27" t="s">
        <v>341</v>
      </c>
      <c r="EC258" s="27" t="str">
        <f>VLOOKUP($A258,'[1]Raw Data'!$A$3:$FB$285,126,FALSE)</f>
        <v/>
      </c>
      <c r="ED258" t="s">
        <v>478</v>
      </c>
      <c r="EE258" s="27" t="str">
        <f>VLOOKUP($A258,'[1]Raw Data'!$A$3:$FB$285,127,FALSE)</f>
        <v/>
      </c>
      <c r="EF258" s="27" t="s">
        <v>343</v>
      </c>
      <c r="EG258" s="27" t="str">
        <f>VLOOKUP($A258,'[1]Raw Data'!$A$3:$FB$285,128,FALSE)</f>
        <v/>
      </c>
      <c r="EH258" t="s">
        <v>344</v>
      </c>
      <c r="EI258" s="27" t="str">
        <f>VLOOKUP($A258,'[1]Raw Data'!$A$3:$FB$285,129,FALSE)</f>
        <v/>
      </c>
      <c r="EM258" s="27" t="str">
        <f>VLOOKUP($A258,'[1]Raw Data'!$A$3:$FB$285,130,FALSE)</f>
        <v/>
      </c>
      <c r="EN258" s="27" t="str">
        <f>VLOOKUP($A258,'[1]Raw Data'!$A$3:$FB$285,131,FALSE)</f>
        <v/>
      </c>
      <c r="EO258" s="27" t="str">
        <f>VLOOKUP($A258,'[1]Raw Data'!$A$3:$FB$285,132,FALSE)</f>
        <v/>
      </c>
      <c r="EP258" s="27" t="str">
        <f>VLOOKUP($A258,'[1]Raw Data'!$A$3:$FB$285,133,FALSE)</f>
        <v/>
      </c>
      <c r="EQ258" s="27" t="str">
        <f>VLOOKUP($A258,'[1]Raw Data'!$A$3:$FB$285,134,FALSE)</f>
        <v/>
      </c>
      <c r="ER258" s="27" t="str">
        <f>VLOOKUP($A258,'[1]Raw Data'!$A$3:$FB$285,135,FALSE)</f>
        <v/>
      </c>
      <c r="ES258" s="27" t="str">
        <f>VLOOKUP($A258,'[1]Raw Data'!$A$3:$FB$285,136,FALSE)</f>
        <v/>
      </c>
      <c r="ET258" s="27" t="str">
        <f>VLOOKUP($A258,'[1]Raw Data'!$A$3:$FB$285,137,FALSE)</f>
        <v/>
      </c>
      <c r="EU258" s="27" t="str">
        <f>VLOOKUP($A258,'[1]Raw Data'!$A$3:$FB$285,138,FALSE)</f>
        <v/>
      </c>
      <c r="EV258" s="27" t="str">
        <f>VLOOKUP($A258,'[1]Raw Data'!$A$3:$FB$285,139,FALSE)</f>
        <v/>
      </c>
      <c r="EW258" s="38">
        <f>VLOOKUP($A258,[1]Training!$A$2:$I$284,5,FALSE)</f>
        <v>56.846153846153847</v>
      </c>
      <c r="EX258" s="31">
        <f>VLOOKUP($A258,[1]Training!$A$2:$I$284,6,FALSE)</f>
        <v>0</v>
      </c>
      <c r="EY258" s="38">
        <f>VLOOKUP($A258,[1]Training!$A$2:$I$284,8,FALSE)</f>
        <v>67.181818181818187</v>
      </c>
      <c r="EZ258" s="31">
        <f>VLOOKUP($A258,[1]Training!$A$2:$I$284,9,FALSE)</f>
        <v>0</v>
      </c>
      <c r="FA258" s="27">
        <v>1</v>
      </c>
      <c r="FB258" s="27">
        <v>2</v>
      </c>
      <c r="FC258" s="27" t="str">
        <f>VLOOKUP($A258,'[1]Raw Data'!$A$3:$FB$285,148,FALSE)</f>
        <v/>
      </c>
      <c r="FE258" s="27" t="str">
        <f>VLOOKUP($A258,'[1]Raw Data'!$A$3:$FB$285,149,FALSE)</f>
        <v>District Coordinator</v>
      </c>
      <c r="FF258" s="27" t="s">
        <v>885</v>
      </c>
      <c r="FG258" s="27" t="str">
        <f>VLOOKUP($A258,'[1]Raw Data'!$A$3:$FB$285,150,FALSE)</f>
        <v/>
      </c>
      <c r="FH258" s="27" t="str">
        <f>VLOOKUP($A258,'[1]Raw Data'!$A$3:$FB$285,156,FALSE)</f>
        <v/>
      </c>
      <c r="FJ258" s="27" t="str">
        <f>VLOOKUP($A258,'[1]Raw Data'!$A$3:$FB$285,157,FALSE)</f>
        <v>District Technical Officer</v>
      </c>
      <c r="FK258" s="27" t="s">
        <v>886</v>
      </c>
      <c r="FL258" s="27" t="str">
        <f>VLOOKUP($A258,'[1]Raw Data'!$A$3:$FB$285,158,FALSE)</f>
        <v/>
      </c>
      <c r="FM258" s="27" t="str">
        <f>VLOOKUP($A258,'[1]Raw Data'!$A$3:$FB$285,152,FALSE)</f>
        <v/>
      </c>
      <c r="FO258" s="27" t="str">
        <f>VLOOKUP($A258,'[1]Raw Data'!$A$3:$FB$285,153,FALSE)</f>
        <v>DIstrict Information Management Officer</v>
      </c>
      <c r="FP258" s="27" t="s">
        <v>887</v>
      </c>
      <c r="FQ258" s="27" t="str">
        <f>VLOOKUP($A258,'[1]Raw Data'!$A$3:$FB$285,154,FALSE)</f>
        <v/>
      </c>
    </row>
    <row r="259" spans="1:173" ht="24" x14ac:dyDescent="0.45">
      <c r="A259" s="27">
        <v>47004</v>
      </c>
      <c r="B259" s="36" t="str">
        <f ca="1">IFERROR(__xludf.DUMMYFUNCTION("""COMPUTED_VALUE"""),"Purbakhola Gaunpalika")</f>
        <v>Purbakhola Gaunpalika</v>
      </c>
      <c r="C259" s="37" t="str">
        <f>VLOOKUP(A259,'[1]Palika and District in Nepali '!$D$1:$F$283,3,FALSE)</f>
        <v>पुर्वाखोला गाउँपालिका</v>
      </c>
      <c r="D259" s="36" t="str">
        <f ca="1">IFERROR(__xludf.DUMMYFUNCTION("""COMPUTED_VALUE"""),"Palpa")</f>
        <v>Palpa</v>
      </c>
      <c r="E259" s="36"/>
      <c r="F259" s="27">
        <f>VLOOKUP(A259,'[1]Raw Data'!$A$3:$FB$285,4,FALSE)</f>
        <v>481</v>
      </c>
      <c r="G259" s="27">
        <f>VLOOKUP(A259,'[1]Raw Data'!$A$3:$FB$285,5,FALSE)</f>
        <v>311</v>
      </c>
      <c r="H259" s="27">
        <f>VLOOKUP(A259,'[1]Raw Data'!$A$3:$FB$285,6,FALSE)</f>
        <v>792</v>
      </c>
      <c r="I259" s="27">
        <f>VLOOKUP($A259,'[1]Raw Data'!$A$3:$FB$285,8,FALSE)</f>
        <v>0.25</v>
      </c>
      <c r="J259" s="27">
        <f>VLOOKUP($A259,'[1]Raw Data'!$A$3:$FB$285,9,FALSE)</f>
        <v>1.65</v>
      </c>
      <c r="K259" s="27">
        <f>VLOOKUP($A259,'[1]Raw Data'!$A$3:$FB$285,11,FALSE)</f>
        <v>97.6</v>
      </c>
      <c r="L259" s="27">
        <f>VLOOKUP($A259,'[1]Raw Data'!$A$3:$FB$285,12,FALSE)</f>
        <v>84.49</v>
      </c>
      <c r="M259" s="27">
        <f>VLOOKUP($A259,'[1]Raw Data'!$A$3:$FB$285,14,FALSE)</f>
        <v>0.51</v>
      </c>
      <c r="N259" s="27">
        <f>VLOOKUP($A259,'[1]Raw Data'!$A$3:$FB$285,15,FALSE)</f>
        <v>0.98</v>
      </c>
      <c r="O259" s="27">
        <f>VLOOKUP($A259,'[1]Raw Data'!$A$3:$FB$285,17,FALSE)</f>
        <v>0.25</v>
      </c>
      <c r="P259" s="27">
        <f>VLOOKUP($A259,'[1]Raw Data'!$A$3:$FB$285,18,FALSE)</f>
        <v>1.52</v>
      </c>
      <c r="Q259" s="27">
        <f>VLOOKUP($A259,'[1]Raw Data'!$A$3:$FB$285,20,FALSE)</f>
        <v>0.76</v>
      </c>
      <c r="R259" s="27">
        <f>VLOOKUP($A259,'[1]Raw Data'!$A$3:$FB$285,21,FALSE)</f>
        <v>1.1200000000000001</v>
      </c>
      <c r="S259" s="27">
        <f>VLOOKUP($A259,'[1]Raw Data'!$A$3:$FB$285,23,FALSE)</f>
        <v>0</v>
      </c>
      <c r="T259" s="27">
        <f>VLOOKUP($A259,'[1]Raw Data'!$A$3:$FB$285,24,FALSE)</f>
        <v>0</v>
      </c>
      <c r="U259" s="27">
        <f>VLOOKUP($A259,'[1]Raw Data'!$A$3:$FB$285,26,FALSE)</f>
        <v>0.13</v>
      </c>
      <c r="V259" s="27">
        <f>VLOOKUP($A259,'[1]Raw Data'!$A$3:$FB$285,27,FALSE)</f>
        <v>0.17</v>
      </c>
      <c r="W259" s="27">
        <f>VLOOKUP($A259,'[1]Raw Data'!$A$3:$FB$285,29,FALSE)</f>
        <v>0</v>
      </c>
      <c r="X259" s="27">
        <f>VLOOKUP($A259,'[1]Raw Data'!$A$3:$FB$285,30,FALSE)</f>
        <v>0</v>
      </c>
      <c r="Y259" s="27">
        <f>VLOOKUP($A259,'[1]Raw Data'!$A$3:$FB$285,32,FALSE)</f>
        <v>0</v>
      </c>
      <c r="Z259" s="27">
        <f>VLOOKUP($A259,'[1]Raw Data'!$A$3:$FB$285,33,FALSE)</f>
        <v>0.06</v>
      </c>
      <c r="AA259" s="27">
        <f>VLOOKUP($A259,'[1]Raw Data'!$A$3:$FB$285,35,FALSE)</f>
        <v>0.38</v>
      </c>
      <c r="AB259" s="27">
        <f>VLOOKUP($A259,'[1]Raw Data'!$A$3:$FB$285,36,FALSE)</f>
        <v>9.92</v>
      </c>
      <c r="AC259" s="27">
        <f>VLOOKUP($A259,'[1]Raw Data'!$A$3:$FB$285,38,FALSE)</f>
        <v>0.13</v>
      </c>
      <c r="AD259" s="27">
        <f>VLOOKUP($A259,'[1]Raw Data'!$A$3:$FB$285,39,FALSE)</f>
        <v>0.09</v>
      </c>
      <c r="AE259" s="27">
        <f>VLOOKUP($A259,'[1]Raw Data'!$A$3:$FB$285,41,FALSE)</f>
        <v>0</v>
      </c>
      <c r="AF259" s="27">
        <f>VLOOKUP($A259,'[1]Raw Data'!$A$3:$FB$285,42,FALSE)</f>
        <v>0</v>
      </c>
      <c r="AG259" s="27">
        <f>VLOOKUP($A259,'[1]Raw Data'!$A$3:$FB$285,44,FALSE)</f>
        <v>0</v>
      </c>
      <c r="AH259" s="27">
        <f>VLOOKUP($A259,'[1]Raw Data'!$A$3:$FB$285,45,FALSE)</f>
        <v>0</v>
      </c>
      <c r="AI259" s="27">
        <f>VLOOKUP($A259,'[1]Raw Data'!$A$3:$FB$285,46,FALSE)</f>
        <v>247</v>
      </c>
      <c r="AJ259" s="27">
        <f>VLOOKUP($A259,'[1]Raw Data'!$A$3:$FB$285,47,FALSE)</f>
        <v>258</v>
      </c>
      <c r="AK259" s="27">
        <f>VLOOKUP($A259,'[1]Raw Data'!$A$3:$FB$285,48,FALSE)</f>
        <v>258</v>
      </c>
      <c r="AL259" s="27">
        <f>VLOOKUP($A259,'[1]Raw Data'!$A$3:$FB$285,49,FALSE)</f>
        <v>96</v>
      </c>
      <c r="AM259" s="27">
        <f>VLOOKUP($A259,'[1]Raw Data'!$A$3:$FB$285,50,FALSE)</f>
        <v>25</v>
      </c>
      <c r="AN259" s="27" t="str">
        <f>VLOOKUP($A259,'[1]Raw Data'!$A$3:$FB$285,51,FALSE)</f>
        <v/>
      </c>
      <c r="AO259" s="27" t="str">
        <f>VLOOKUP($A259,'[1]Raw Data'!$A$3:$FB$285,52,FALSE)</f>
        <v/>
      </c>
      <c r="AP259" s="27">
        <f>VLOOKUP($A259,'[1]Raw Data'!$A$3:$FB$285,53,FALSE)</f>
        <v>73</v>
      </c>
      <c r="AQ259" s="27" t="str">
        <f>VLOOKUP($A259,'[1]Raw Data'!$A$3:$FB$285,54,FALSE)</f>
        <v/>
      </c>
      <c r="AR259" s="27" t="str">
        <f>VLOOKUP($A259,'[1]Raw Data'!$A$3:$FB$285,55,FALSE)</f>
        <v/>
      </c>
      <c r="AS259" s="27" t="str">
        <f>VLOOKUP($A259,'[1]Raw Data'!$A$3:$FB$285,56,FALSE)</f>
        <v/>
      </c>
      <c r="AT259" s="27" t="str">
        <f>VLOOKUP($A259,'[1]Raw Data'!$A$3:$FB$285,57,FALSE)</f>
        <v/>
      </c>
      <c r="AU259" s="27" t="str">
        <f>VLOOKUP($A259,'[1]Raw Data'!$A$3:$FB$285,58,FALSE)</f>
        <v/>
      </c>
      <c r="AV259" s="27" t="str">
        <f>VLOOKUP($A259,'[1]Raw Data'!$A$3:$FB$285,59,FALSE)</f>
        <v/>
      </c>
      <c r="AW259" s="27" t="str">
        <f>VLOOKUP($A259,'[1]Raw Data'!$A$3:$FB$285,60,FALSE)</f>
        <v/>
      </c>
      <c r="AX259" s="27" t="str">
        <f>VLOOKUP(A259,'[1]PO''s List'!A257:E539,4,FALSE)</f>
        <v/>
      </c>
      <c r="AZ259" s="27" t="str">
        <f>VLOOKUP(A259,'[1]PO''s List'!$A$3:$E$285,5,FALSE)</f>
        <v/>
      </c>
      <c r="BB259" s="27">
        <f>VLOOKUP($A259,'[1]Raw Data'!$A$3:$FB$285,63,FALSE)</f>
        <v>7395</v>
      </c>
      <c r="BC259" s="27" t="str">
        <f>VLOOKUP($A259,'[1]Raw Data'!$A$3:$FB$285,64,FALSE)</f>
        <v/>
      </c>
      <c r="BD259" s="27" t="str">
        <f t="shared" si="27"/>
        <v/>
      </c>
      <c r="BE259" s="27" t="str">
        <f>VLOOKUP($A259,'[1]Raw Data'!$A$3:$FB$285,65,FALSE)</f>
        <v/>
      </c>
      <c r="BF259" s="27">
        <f>VLOOKUP($A259,'[1]Raw Data'!$A$3:$FB$285,66,FALSE)</f>
        <v>6841</v>
      </c>
      <c r="BG259" s="27" t="str">
        <f>VLOOKUP($A259,'[1]Raw Data'!$A$3:$FB$285,67,FALSE)</f>
        <v/>
      </c>
      <c r="BH259" s="27" t="str">
        <f t="shared" si="28"/>
        <v/>
      </c>
      <c r="BI259" s="27" t="str">
        <f>VLOOKUP($A259,'[1]Raw Data'!$A$3:$FB$285,68,FALSE)</f>
        <v/>
      </c>
      <c r="BJ259" s="27">
        <f>VLOOKUP($A259,'[1]Raw Data'!$A$3:$FB$285,69,FALSE)</f>
        <v>782</v>
      </c>
      <c r="BK259" s="27" t="str">
        <f>VLOOKUP($A259,'[1]Raw Data'!$A$3:$FB$285,70,FALSE)</f>
        <v/>
      </c>
      <c r="BL259" s="27" t="str">
        <f t="shared" si="29"/>
        <v/>
      </c>
      <c r="BM259" s="27" t="str">
        <f>VLOOKUP($A259,'[1]Raw Data'!$A$3:$FB$285,71,FALSE)</f>
        <v/>
      </c>
      <c r="BN259" s="27">
        <f>VLOOKUP($A259,'[1]Raw Data'!$A$3:$FB$285,72,FALSE)</f>
        <v>876</v>
      </c>
      <c r="BO259" s="27" t="str">
        <f>VLOOKUP($A259,'[1]Raw Data'!$A$3:$FB$285,73,FALSE)</f>
        <v/>
      </c>
      <c r="BP259" s="27" t="str">
        <f t="shared" si="30"/>
        <v/>
      </c>
      <c r="BQ259" s="27" t="str">
        <f>VLOOKUP($A259,'[1]Raw Data'!$A$3:$FB$285,74,FALSE)</f>
        <v/>
      </c>
      <c r="BR259" s="27" t="str">
        <f>VLOOKUP($A259,'[1]Raw Data'!$A$3:$FB$285,75,FALSE)</f>
        <v/>
      </c>
      <c r="BS259" s="27" t="str">
        <f>VLOOKUP($A259,'[1]Raw Data'!$A$3:$FB$285,76,FALSE)</f>
        <v/>
      </c>
      <c r="BT259" s="27" t="str">
        <f t="shared" si="31"/>
        <v/>
      </c>
      <c r="BU259" s="27" t="str">
        <f>VLOOKUP($A259,'[1]Raw Data'!$A$3:$FB$285,77,FALSE)</f>
        <v/>
      </c>
      <c r="BV259" s="27">
        <f>VLOOKUP($A259,'[1]Raw Data'!$A$3:$FB$285,78,FALSE)</f>
        <v>22570</v>
      </c>
      <c r="BW259" s="27" t="str">
        <f>VLOOKUP($A259,'[1]Raw Data'!$A$3:$FB$285,79,FALSE)</f>
        <v/>
      </c>
      <c r="BX259" s="27" t="str">
        <f t="shared" si="32"/>
        <v/>
      </c>
      <c r="BY259" s="27" t="str">
        <f>VLOOKUP($A259,'[1]Raw Data'!$A$3:$FB$285,80,FALSE)</f>
        <v/>
      </c>
      <c r="BZ259" s="27">
        <f>VLOOKUP($A259,'[1]Raw Data'!$A$3:$FB$285,81,FALSE)</f>
        <v>80988</v>
      </c>
      <c r="CA259" s="27" t="str">
        <f>VLOOKUP($A259,'[1]Raw Data'!$A$3:$FB$285,82,FALSE)</f>
        <v/>
      </c>
      <c r="CB259" s="27" t="str">
        <f t="shared" si="33"/>
        <v/>
      </c>
      <c r="CC259" s="27" t="str">
        <f>VLOOKUP($A259,'[1]Raw Data'!$A$3:$FB$285,83,FALSE)</f>
        <v/>
      </c>
      <c r="CD259" s="27">
        <f>VLOOKUP($A259,'[1]Raw Data'!$A$3:$FB$285,84,FALSE)</f>
        <v>920</v>
      </c>
      <c r="CE259" s="27" t="str">
        <f>VLOOKUP($A259,'[1]Raw Data'!$A$3:$FB$285,85,FALSE)</f>
        <v/>
      </c>
      <c r="CF259" s="27" t="str">
        <f t="shared" si="34"/>
        <v/>
      </c>
      <c r="CG259" s="27" t="str">
        <f>VLOOKUP($A259,'[1]Raw Data'!$A$3:$FB$285,86,FALSE)</f>
        <v/>
      </c>
      <c r="CH259" s="27">
        <f>VLOOKUP($A259,'[1]Raw Data'!$A$3:$FB$285,87,FALSE)</f>
        <v>94477</v>
      </c>
      <c r="CI259" s="27" t="str">
        <f>VLOOKUP($A259,'[1]Raw Data'!$A$3:$FB$285,88,FALSE)</f>
        <v/>
      </c>
      <c r="CJ259" s="27" t="str">
        <f t="shared" si="35"/>
        <v/>
      </c>
      <c r="CK259" s="27" t="str">
        <f>VLOOKUP($A259,'[1]Raw Data'!$A$3:$FB$285,89,FALSE)</f>
        <v/>
      </c>
      <c r="CL259" s="27" t="str">
        <f>VLOOKUP($A259,'[1]Raw Data'!$A$3:$FB$285,91,FALSE)</f>
        <v/>
      </c>
      <c r="CM259" s="27" t="str">
        <f>VLOOKUP($A259,'[1]Raw Data'!$A$3:$FB$285,93,FALSE)</f>
        <v/>
      </c>
      <c r="CN259" s="27" t="str">
        <f>VLOOKUP($A259,'[1]Raw Data'!$A$3:$FB$285,94,FALSE)</f>
        <v/>
      </c>
      <c r="CO259" s="27" t="str">
        <f>VLOOKUP($A259,'[1]Raw Data'!$A$3:$FB$285,95,FALSE)</f>
        <v/>
      </c>
      <c r="CP259" s="27" t="str">
        <f>VLOOKUP($A259,'[1]Raw Data'!$A$3:$FB$285,96,FALSE)</f>
        <v/>
      </c>
      <c r="CQ259" s="27" t="str">
        <f>VLOOKUP($A259,'[1]Raw Data'!$A$3:$FB$285,97,FALSE)</f>
        <v/>
      </c>
      <c r="CR259" s="27" t="str">
        <f>VLOOKUP($A259,'[1]Raw Data'!$A$3:$FB$285,98,FALSE)</f>
        <v/>
      </c>
      <c r="CS259" s="27" t="str">
        <f>VLOOKUP($A259,'[1]Raw Data'!$A$3:$FB$285,99,FALSE)</f>
        <v/>
      </c>
      <c r="CT259" s="27" t="str">
        <f>VLOOKUP($A259,'[1]Raw Data'!$A$3:$FB$285,101,FALSE)</f>
        <v/>
      </c>
      <c r="CV259" s="27" t="str">
        <f>VLOOKUP($A259,'[1]Raw Data'!$A$3:$FB$285,102,FALSE)</f>
        <v>Chairman</v>
      </c>
      <c r="CW259" s="27" t="s">
        <v>878</v>
      </c>
      <c r="CX259" s="27" t="str">
        <f>VLOOKUP($A259,'[1]Raw Data'!$A$3:$FB$285,103,FALSE)</f>
        <v/>
      </c>
      <c r="CY259" s="27" t="str">
        <f>VLOOKUP($A259,'[1]Raw Data'!$A$3:$FB$285,105,FALSE)</f>
        <v/>
      </c>
      <c r="DA259" s="27" t="str">
        <f>VLOOKUP($A259,'[1]Raw Data'!$A$3:$FB$285,106,FALSE)</f>
        <v>Deputy Chairman</v>
      </c>
      <c r="DB259" s="27" t="s">
        <v>879</v>
      </c>
      <c r="DC259" s="27" t="str">
        <f>VLOOKUP($A259,'[1]Raw Data'!$A$3:$FB$285,107,FALSE)</f>
        <v/>
      </c>
      <c r="DD259" s="27" t="str">
        <f>VLOOKUP($A259,'[1]Raw Data'!$A$3:$FB$285,109,FALSE)</f>
        <v/>
      </c>
      <c r="DF259" s="27" t="str">
        <f>VLOOKUP($A259,'[1]Raw Data'!$A$3:$FB$285,110,FALSE)</f>
        <v>Chief Adminstration Officer</v>
      </c>
      <c r="DG259" s="27" t="s">
        <v>880</v>
      </c>
      <c r="DH259" s="27" t="str">
        <f>VLOOKUP($A259,'[1]Raw Data'!$A$3:$FB$285,111,FALSE)</f>
        <v/>
      </c>
      <c r="DI259" s="27" t="str">
        <f>VLOOKUP($A259,'[1]Raw Data'!$A$3:$FB$285,121,FALSE)</f>
        <v/>
      </c>
      <c r="DK259" s="27" t="str">
        <f>VLOOKUP($A259,'[1]Raw Data'!$A$3:$FB$285,122,FALSE)</f>
        <v>Focal Person</v>
      </c>
      <c r="DL259" s="27" t="s">
        <v>881</v>
      </c>
      <c r="DM259" s="27" t="str">
        <f>VLOOKUP($A259,'[1]Raw Data'!$A$3:$FB$285,123,FALSE)</f>
        <v/>
      </c>
      <c r="DN259" s="27" t="str">
        <f>VLOOKUP($A259,'[1]Raw Data'!$A$3:$FB$285,113,FALSE)</f>
        <v/>
      </c>
      <c r="DP259" s="27" t="str">
        <f>VLOOKUP($A259,'[1]Raw Data'!$A$3:$FB$285,114,FALSE)</f>
        <v>NRA Chief-District</v>
      </c>
      <c r="DQ259" s="27" t="s">
        <v>882</v>
      </c>
      <c r="DR259" s="27" t="str">
        <f>VLOOKUP($A259,'[1]Raw Data'!$A$3:$FB$285,115,FALSE)</f>
        <v/>
      </c>
      <c r="DS259" s="27" t="str">
        <f>VLOOKUP($A259,'[1]Raw Data'!$A$3:$FB$285,117,FALSE)</f>
        <v/>
      </c>
      <c r="DU259" s="27" t="str">
        <f>VLOOKUP($A259,'[1]Raw Data'!$A$3:$FB$285,118,FALSE)</f>
        <v>DUDBC.DLPIU Chief</v>
      </c>
      <c r="DV259" s="27" t="s">
        <v>883</v>
      </c>
      <c r="DW259" s="27" t="str">
        <f>VLOOKUP($A259,'[1]Raw Data'!$A$3:$FB$285,119,FALSE)</f>
        <v/>
      </c>
      <c r="DX259" s="27" t="s">
        <v>339</v>
      </c>
      <c r="DY259" s="27" t="str">
        <f>VLOOKUP($A259,'[1]Raw Data'!$A$3:$FB$285,124,FALSE)</f>
        <v/>
      </c>
      <c r="DZ259" s="27" t="s">
        <v>884</v>
      </c>
      <c r="EA259" s="27" t="str">
        <f>VLOOKUP($A259,'[1]Raw Data'!$A$3:$FB$285,125,FALSE)</f>
        <v/>
      </c>
      <c r="EB259" s="27" t="s">
        <v>341</v>
      </c>
      <c r="EC259" s="27" t="str">
        <f>VLOOKUP($A259,'[1]Raw Data'!$A$3:$FB$285,126,FALSE)</f>
        <v/>
      </c>
      <c r="ED259" t="s">
        <v>478</v>
      </c>
      <c r="EE259" s="27" t="str">
        <f>VLOOKUP($A259,'[1]Raw Data'!$A$3:$FB$285,127,FALSE)</f>
        <v/>
      </c>
      <c r="EF259" s="27" t="s">
        <v>343</v>
      </c>
      <c r="EG259" s="27" t="str">
        <f>VLOOKUP($A259,'[1]Raw Data'!$A$3:$FB$285,128,FALSE)</f>
        <v/>
      </c>
      <c r="EH259" t="s">
        <v>344</v>
      </c>
      <c r="EI259" s="27" t="str">
        <f>VLOOKUP($A259,'[1]Raw Data'!$A$3:$FB$285,129,FALSE)</f>
        <v/>
      </c>
      <c r="EM259" s="27" t="str">
        <f>VLOOKUP($A259,'[1]Raw Data'!$A$3:$FB$285,130,FALSE)</f>
        <v/>
      </c>
      <c r="EN259" s="27" t="str">
        <f>VLOOKUP($A259,'[1]Raw Data'!$A$3:$FB$285,131,FALSE)</f>
        <v/>
      </c>
      <c r="EO259" s="27" t="str">
        <f>VLOOKUP($A259,'[1]Raw Data'!$A$3:$FB$285,132,FALSE)</f>
        <v/>
      </c>
      <c r="EP259" s="27" t="str">
        <f>VLOOKUP($A259,'[1]Raw Data'!$A$3:$FB$285,133,FALSE)</f>
        <v/>
      </c>
      <c r="EQ259" s="27" t="str">
        <f>VLOOKUP($A259,'[1]Raw Data'!$A$3:$FB$285,134,FALSE)</f>
        <v/>
      </c>
      <c r="ER259" s="27" t="str">
        <f>VLOOKUP($A259,'[1]Raw Data'!$A$3:$FB$285,135,FALSE)</f>
        <v/>
      </c>
      <c r="ES259" s="27" t="str">
        <f>VLOOKUP($A259,'[1]Raw Data'!$A$3:$FB$285,136,FALSE)</f>
        <v/>
      </c>
      <c r="ET259" s="27" t="str">
        <f>VLOOKUP($A259,'[1]Raw Data'!$A$3:$FB$285,137,FALSE)</f>
        <v/>
      </c>
      <c r="EU259" s="27" t="str">
        <f>VLOOKUP($A259,'[1]Raw Data'!$A$3:$FB$285,138,FALSE)</f>
        <v/>
      </c>
      <c r="EV259" s="27" t="str">
        <f>VLOOKUP($A259,'[1]Raw Data'!$A$3:$FB$285,139,FALSE)</f>
        <v/>
      </c>
      <c r="EW259" s="38">
        <f>VLOOKUP($A259,[1]Training!$A$2:$I$284,5,FALSE)</f>
        <v>19</v>
      </c>
      <c r="EX259" s="31">
        <f>VLOOKUP($A259,[1]Training!$A$2:$I$284,6,FALSE)</f>
        <v>0</v>
      </c>
      <c r="EY259" s="38">
        <f>VLOOKUP($A259,[1]Training!$A$2:$I$284,8,FALSE)</f>
        <v>22.454545454545453</v>
      </c>
      <c r="EZ259" s="31">
        <f>VLOOKUP($A259,[1]Training!$A$2:$I$284,9,FALSE)</f>
        <v>0</v>
      </c>
      <c r="FA259" s="27">
        <v>1</v>
      </c>
      <c r="FB259" s="27">
        <v>2</v>
      </c>
      <c r="FC259" s="27" t="str">
        <f>VLOOKUP($A259,'[1]Raw Data'!$A$3:$FB$285,148,FALSE)</f>
        <v/>
      </c>
      <c r="FE259" s="27" t="str">
        <f>VLOOKUP($A259,'[1]Raw Data'!$A$3:$FB$285,149,FALSE)</f>
        <v>District Coordinator</v>
      </c>
      <c r="FF259" s="27" t="s">
        <v>885</v>
      </c>
      <c r="FG259" s="27" t="str">
        <f>VLOOKUP($A259,'[1]Raw Data'!$A$3:$FB$285,150,FALSE)</f>
        <v/>
      </c>
      <c r="FH259" s="27" t="str">
        <f>VLOOKUP($A259,'[1]Raw Data'!$A$3:$FB$285,156,FALSE)</f>
        <v/>
      </c>
      <c r="FJ259" s="27" t="str">
        <f>VLOOKUP($A259,'[1]Raw Data'!$A$3:$FB$285,157,FALSE)</f>
        <v>District Technical Officer</v>
      </c>
      <c r="FK259" s="27" t="s">
        <v>886</v>
      </c>
      <c r="FL259" s="27" t="str">
        <f>VLOOKUP($A259,'[1]Raw Data'!$A$3:$FB$285,158,FALSE)</f>
        <v/>
      </c>
      <c r="FM259" s="27" t="str">
        <f>VLOOKUP($A259,'[1]Raw Data'!$A$3:$FB$285,152,FALSE)</f>
        <v/>
      </c>
      <c r="FO259" s="27" t="str">
        <f>VLOOKUP($A259,'[1]Raw Data'!$A$3:$FB$285,153,FALSE)</f>
        <v>DIstrict Information Management Officer</v>
      </c>
      <c r="FP259" s="27" t="s">
        <v>887</v>
      </c>
      <c r="FQ259" s="27" t="str">
        <f>VLOOKUP($A259,'[1]Raw Data'!$A$3:$FB$285,154,FALSE)</f>
        <v/>
      </c>
    </row>
    <row r="260" spans="1:173" ht="24" x14ac:dyDescent="0.45">
      <c r="A260" s="27">
        <v>47005</v>
      </c>
      <c r="B260" s="36" t="str">
        <f ca="1">IFERROR(__xludf.DUMMYFUNCTION("""COMPUTED_VALUE"""),"Rainadevi Chhahara Gaunpalika")</f>
        <v>Rainadevi Chhahara Gaunpalika</v>
      </c>
      <c r="C260" s="37" t="str">
        <f>VLOOKUP(A260,'[1]Palika and District in Nepali '!$D$1:$F$283,3,FALSE)</f>
        <v>रैनादेवी चहरा गाउँपालिका</v>
      </c>
      <c r="D260" s="36" t="str">
        <f ca="1">IFERROR(__xludf.DUMMYFUNCTION("""COMPUTED_VALUE"""),"Palpa")</f>
        <v>Palpa</v>
      </c>
      <c r="E260" s="36"/>
      <c r="F260" s="27">
        <f>VLOOKUP(A260,'[1]Raw Data'!$A$3:$FB$285,4,FALSE)</f>
        <v>264</v>
      </c>
      <c r="G260" s="27">
        <f>VLOOKUP(A260,'[1]Raw Data'!$A$3:$FB$285,5,FALSE)</f>
        <v>372</v>
      </c>
      <c r="H260" s="27">
        <f>VLOOKUP(A260,'[1]Raw Data'!$A$3:$FB$285,6,FALSE)</f>
        <v>636</v>
      </c>
      <c r="I260" s="27">
        <f>VLOOKUP($A260,'[1]Raw Data'!$A$3:$FB$285,8,FALSE)</f>
        <v>0</v>
      </c>
      <c r="J260" s="27">
        <f>VLOOKUP($A260,'[1]Raw Data'!$A$3:$FB$285,9,FALSE)</f>
        <v>1.65</v>
      </c>
      <c r="K260" s="27">
        <f>VLOOKUP($A260,'[1]Raw Data'!$A$3:$FB$285,11,FALSE)</f>
        <v>97.8</v>
      </c>
      <c r="L260" s="27">
        <f>VLOOKUP($A260,'[1]Raw Data'!$A$3:$FB$285,12,FALSE)</f>
        <v>84.49</v>
      </c>
      <c r="M260" s="27">
        <f>VLOOKUP($A260,'[1]Raw Data'!$A$3:$FB$285,14,FALSE)</f>
        <v>0.31</v>
      </c>
      <c r="N260" s="27">
        <f>VLOOKUP($A260,'[1]Raw Data'!$A$3:$FB$285,15,FALSE)</f>
        <v>0.98</v>
      </c>
      <c r="O260" s="27">
        <f>VLOOKUP($A260,'[1]Raw Data'!$A$3:$FB$285,17,FALSE)</f>
        <v>0</v>
      </c>
      <c r="P260" s="27">
        <f>VLOOKUP($A260,'[1]Raw Data'!$A$3:$FB$285,18,FALSE)</f>
        <v>1.52</v>
      </c>
      <c r="Q260" s="27">
        <f>VLOOKUP($A260,'[1]Raw Data'!$A$3:$FB$285,20,FALSE)</f>
        <v>1.42</v>
      </c>
      <c r="R260" s="27">
        <f>VLOOKUP($A260,'[1]Raw Data'!$A$3:$FB$285,21,FALSE)</f>
        <v>1.1200000000000001</v>
      </c>
      <c r="S260" s="27">
        <f>VLOOKUP($A260,'[1]Raw Data'!$A$3:$FB$285,23,FALSE)</f>
        <v>0</v>
      </c>
      <c r="T260" s="27">
        <f>VLOOKUP($A260,'[1]Raw Data'!$A$3:$FB$285,24,FALSE)</f>
        <v>0</v>
      </c>
      <c r="U260" s="27">
        <f>VLOOKUP($A260,'[1]Raw Data'!$A$3:$FB$285,26,FALSE)</f>
        <v>0.16</v>
      </c>
      <c r="V260" s="27">
        <f>VLOOKUP($A260,'[1]Raw Data'!$A$3:$FB$285,27,FALSE)</f>
        <v>0.17</v>
      </c>
      <c r="W260" s="27">
        <f>VLOOKUP($A260,'[1]Raw Data'!$A$3:$FB$285,29,FALSE)</f>
        <v>0</v>
      </c>
      <c r="X260" s="27">
        <f>VLOOKUP($A260,'[1]Raw Data'!$A$3:$FB$285,30,FALSE)</f>
        <v>0</v>
      </c>
      <c r="Y260" s="27">
        <f>VLOOKUP($A260,'[1]Raw Data'!$A$3:$FB$285,32,FALSE)</f>
        <v>0</v>
      </c>
      <c r="Z260" s="27">
        <f>VLOOKUP($A260,'[1]Raw Data'!$A$3:$FB$285,33,FALSE)</f>
        <v>0.06</v>
      </c>
      <c r="AA260" s="27">
        <f>VLOOKUP($A260,'[1]Raw Data'!$A$3:$FB$285,35,FALSE)</f>
        <v>0.16</v>
      </c>
      <c r="AB260" s="27">
        <f>VLOOKUP($A260,'[1]Raw Data'!$A$3:$FB$285,36,FALSE)</f>
        <v>9.92</v>
      </c>
      <c r="AC260" s="27">
        <f>VLOOKUP($A260,'[1]Raw Data'!$A$3:$FB$285,38,FALSE)</f>
        <v>0.16</v>
      </c>
      <c r="AD260" s="27">
        <f>VLOOKUP($A260,'[1]Raw Data'!$A$3:$FB$285,39,FALSE)</f>
        <v>0.09</v>
      </c>
      <c r="AE260" s="27">
        <f>VLOOKUP($A260,'[1]Raw Data'!$A$3:$FB$285,41,FALSE)</f>
        <v>0</v>
      </c>
      <c r="AF260" s="27">
        <f>VLOOKUP($A260,'[1]Raw Data'!$A$3:$FB$285,42,FALSE)</f>
        <v>0</v>
      </c>
      <c r="AG260" s="27">
        <f>VLOOKUP($A260,'[1]Raw Data'!$A$3:$FB$285,44,FALSE)</f>
        <v>0</v>
      </c>
      <c r="AH260" s="27">
        <f>VLOOKUP($A260,'[1]Raw Data'!$A$3:$FB$285,45,FALSE)</f>
        <v>0</v>
      </c>
      <c r="AI260" s="27">
        <f>VLOOKUP($A260,'[1]Raw Data'!$A$3:$FB$285,46,FALSE)</f>
        <v>351</v>
      </c>
      <c r="AJ260" s="27">
        <f>VLOOKUP($A260,'[1]Raw Data'!$A$3:$FB$285,47,FALSE)</f>
        <v>284</v>
      </c>
      <c r="AK260" s="27">
        <f>VLOOKUP($A260,'[1]Raw Data'!$A$3:$FB$285,48,FALSE)</f>
        <v>284</v>
      </c>
      <c r="AL260" s="27">
        <f>VLOOKUP($A260,'[1]Raw Data'!$A$3:$FB$285,49,FALSE)</f>
        <v>60</v>
      </c>
      <c r="AM260" s="27">
        <f>VLOOKUP($A260,'[1]Raw Data'!$A$3:$FB$285,50,FALSE)</f>
        <v>14</v>
      </c>
      <c r="AN260" s="27" t="str">
        <f>VLOOKUP($A260,'[1]Raw Data'!$A$3:$FB$285,51,FALSE)</f>
        <v/>
      </c>
      <c r="AO260" s="27" t="str">
        <f>VLOOKUP($A260,'[1]Raw Data'!$A$3:$FB$285,52,FALSE)</f>
        <v/>
      </c>
      <c r="AP260" s="27">
        <f>VLOOKUP($A260,'[1]Raw Data'!$A$3:$FB$285,53,FALSE)</f>
        <v>24</v>
      </c>
      <c r="AQ260" s="27" t="str">
        <f>VLOOKUP($A260,'[1]Raw Data'!$A$3:$FB$285,54,FALSE)</f>
        <v/>
      </c>
      <c r="AR260" s="27" t="str">
        <f>VLOOKUP($A260,'[1]Raw Data'!$A$3:$FB$285,55,FALSE)</f>
        <v/>
      </c>
      <c r="AS260" s="27" t="str">
        <f>VLOOKUP($A260,'[1]Raw Data'!$A$3:$FB$285,56,FALSE)</f>
        <v/>
      </c>
      <c r="AT260" s="27" t="str">
        <f>VLOOKUP($A260,'[1]Raw Data'!$A$3:$FB$285,57,FALSE)</f>
        <v/>
      </c>
      <c r="AU260" s="27" t="str">
        <f>VLOOKUP($A260,'[1]Raw Data'!$A$3:$FB$285,58,FALSE)</f>
        <v/>
      </c>
      <c r="AV260" s="27" t="str">
        <f>VLOOKUP($A260,'[1]Raw Data'!$A$3:$FB$285,59,FALSE)</f>
        <v/>
      </c>
      <c r="AW260" s="27" t="str">
        <f>VLOOKUP($A260,'[1]Raw Data'!$A$3:$FB$285,60,FALSE)</f>
        <v/>
      </c>
      <c r="AX260" s="27" t="str">
        <f>VLOOKUP(A260,'[1]PO''s List'!A258:E540,4,FALSE)</f>
        <v/>
      </c>
      <c r="AZ260" s="27" t="str">
        <f>VLOOKUP(A260,'[1]PO''s List'!$A$3:$E$285,5,FALSE)</f>
        <v/>
      </c>
      <c r="BB260" s="27">
        <f>VLOOKUP($A260,'[1]Raw Data'!$A$3:$FB$285,63,FALSE)</f>
        <v>8156</v>
      </c>
      <c r="BC260" s="27" t="str">
        <f>VLOOKUP($A260,'[1]Raw Data'!$A$3:$FB$285,64,FALSE)</f>
        <v/>
      </c>
      <c r="BD260" s="27" t="str">
        <f t="shared" si="27"/>
        <v/>
      </c>
      <c r="BE260" s="27" t="str">
        <f>VLOOKUP($A260,'[1]Raw Data'!$A$3:$FB$285,65,FALSE)</f>
        <v/>
      </c>
      <c r="BF260" s="27">
        <f>VLOOKUP($A260,'[1]Raw Data'!$A$3:$FB$285,66,FALSE)</f>
        <v>7943</v>
      </c>
      <c r="BG260" s="27" t="str">
        <f>VLOOKUP($A260,'[1]Raw Data'!$A$3:$FB$285,67,FALSE)</f>
        <v/>
      </c>
      <c r="BH260" s="27" t="str">
        <f t="shared" si="28"/>
        <v/>
      </c>
      <c r="BI260" s="27" t="str">
        <f>VLOOKUP($A260,'[1]Raw Data'!$A$3:$FB$285,68,FALSE)</f>
        <v/>
      </c>
      <c r="BJ260" s="27">
        <f>VLOOKUP($A260,'[1]Raw Data'!$A$3:$FB$285,69,FALSE)</f>
        <v>867</v>
      </c>
      <c r="BK260" s="27" t="str">
        <f>VLOOKUP($A260,'[1]Raw Data'!$A$3:$FB$285,70,FALSE)</f>
        <v/>
      </c>
      <c r="BL260" s="27" t="str">
        <f t="shared" si="29"/>
        <v/>
      </c>
      <c r="BM260" s="27" t="str">
        <f>VLOOKUP($A260,'[1]Raw Data'!$A$3:$FB$285,71,FALSE)</f>
        <v/>
      </c>
      <c r="BN260" s="27">
        <f>VLOOKUP($A260,'[1]Raw Data'!$A$3:$FB$285,72,FALSE)</f>
        <v>984</v>
      </c>
      <c r="BO260" s="27" t="str">
        <f>VLOOKUP($A260,'[1]Raw Data'!$A$3:$FB$285,73,FALSE)</f>
        <v/>
      </c>
      <c r="BP260" s="27" t="str">
        <f t="shared" si="30"/>
        <v/>
      </c>
      <c r="BQ260" s="27" t="str">
        <f>VLOOKUP($A260,'[1]Raw Data'!$A$3:$FB$285,74,FALSE)</f>
        <v/>
      </c>
      <c r="BR260" s="27" t="str">
        <f>VLOOKUP($A260,'[1]Raw Data'!$A$3:$FB$285,75,FALSE)</f>
        <v/>
      </c>
      <c r="BS260" s="27" t="str">
        <f>VLOOKUP($A260,'[1]Raw Data'!$A$3:$FB$285,76,FALSE)</f>
        <v/>
      </c>
      <c r="BT260" s="27" t="str">
        <f t="shared" si="31"/>
        <v/>
      </c>
      <c r="BU260" s="27" t="str">
        <f>VLOOKUP($A260,'[1]Raw Data'!$A$3:$FB$285,77,FALSE)</f>
        <v/>
      </c>
      <c r="BV260" s="27">
        <f>VLOOKUP($A260,'[1]Raw Data'!$A$3:$FB$285,78,FALSE)</f>
        <v>26125</v>
      </c>
      <c r="BW260" s="27" t="str">
        <f>VLOOKUP($A260,'[1]Raw Data'!$A$3:$FB$285,79,FALSE)</f>
        <v/>
      </c>
      <c r="BX260" s="27" t="str">
        <f t="shared" si="32"/>
        <v/>
      </c>
      <c r="BY260" s="27" t="str">
        <f>VLOOKUP($A260,'[1]Raw Data'!$A$3:$FB$285,80,FALSE)</f>
        <v/>
      </c>
      <c r="BZ260" s="27">
        <f>VLOOKUP($A260,'[1]Raw Data'!$A$3:$FB$285,81,FALSE)</f>
        <v>88694</v>
      </c>
      <c r="CA260" s="27" t="str">
        <f>VLOOKUP($A260,'[1]Raw Data'!$A$3:$FB$285,82,FALSE)</f>
        <v/>
      </c>
      <c r="CB260" s="27" t="str">
        <f t="shared" si="33"/>
        <v/>
      </c>
      <c r="CC260" s="27" t="str">
        <f>VLOOKUP($A260,'[1]Raw Data'!$A$3:$FB$285,83,FALSE)</f>
        <v/>
      </c>
      <c r="CD260" s="27">
        <f>VLOOKUP($A260,'[1]Raw Data'!$A$3:$FB$285,84,FALSE)</f>
        <v>1065</v>
      </c>
      <c r="CE260" s="27" t="str">
        <f>VLOOKUP($A260,'[1]Raw Data'!$A$3:$FB$285,85,FALSE)</f>
        <v/>
      </c>
      <c r="CF260" s="27" t="str">
        <f t="shared" si="34"/>
        <v/>
      </c>
      <c r="CG260" s="27" t="str">
        <f>VLOOKUP($A260,'[1]Raw Data'!$A$3:$FB$285,86,FALSE)</f>
        <v/>
      </c>
      <c r="CH260" s="27">
        <f>VLOOKUP($A260,'[1]Raw Data'!$A$3:$FB$285,87,FALSE)</f>
        <v>71182</v>
      </c>
      <c r="CI260" s="27" t="str">
        <f>VLOOKUP($A260,'[1]Raw Data'!$A$3:$FB$285,88,FALSE)</f>
        <v/>
      </c>
      <c r="CJ260" s="27" t="str">
        <f t="shared" si="35"/>
        <v/>
      </c>
      <c r="CK260" s="27" t="str">
        <f>VLOOKUP($A260,'[1]Raw Data'!$A$3:$FB$285,89,FALSE)</f>
        <v/>
      </c>
      <c r="CL260" s="27" t="str">
        <f>VLOOKUP($A260,'[1]Raw Data'!$A$3:$FB$285,91,FALSE)</f>
        <v/>
      </c>
      <c r="CM260" s="27" t="str">
        <f>VLOOKUP($A260,'[1]Raw Data'!$A$3:$FB$285,93,FALSE)</f>
        <v/>
      </c>
      <c r="CN260" s="27" t="str">
        <f>VLOOKUP($A260,'[1]Raw Data'!$A$3:$FB$285,94,FALSE)</f>
        <v/>
      </c>
      <c r="CO260" s="27" t="str">
        <f>VLOOKUP($A260,'[1]Raw Data'!$A$3:$FB$285,95,FALSE)</f>
        <v/>
      </c>
      <c r="CP260" s="27" t="str">
        <f>VLOOKUP($A260,'[1]Raw Data'!$A$3:$FB$285,96,FALSE)</f>
        <v/>
      </c>
      <c r="CQ260" s="27" t="str">
        <f>VLOOKUP($A260,'[1]Raw Data'!$A$3:$FB$285,97,FALSE)</f>
        <v/>
      </c>
      <c r="CR260" s="27" t="str">
        <f>VLOOKUP($A260,'[1]Raw Data'!$A$3:$FB$285,98,FALSE)</f>
        <v/>
      </c>
      <c r="CS260" s="27" t="str">
        <f>VLOOKUP($A260,'[1]Raw Data'!$A$3:$FB$285,99,FALSE)</f>
        <v/>
      </c>
      <c r="CT260" s="27" t="str">
        <f>VLOOKUP($A260,'[1]Raw Data'!$A$3:$FB$285,101,FALSE)</f>
        <v/>
      </c>
      <c r="CV260" s="27" t="str">
        <f>VLOOKUP($A260,'[1]Raw Data'!$A$3:$FB$285,102,FALSE)</f>
        <v>Chairman</v>
      </c>
      <c r="CW260" s="27" t="s">
        <v>878</v>
      </c>
      <c r="CX260" s="27" t="str">
        <f>VLOOKUP($A260,'[1]Raw Data'!$A$3:$FB$285,103,FALSE)</f>
        <v/>
      </c>
      <c r="CY260" s="27" t="str">
        <f>VLOOKUP($A260,'[1]Raw Data'!$A$3:$FB$285,105,FALSE)</f>
        <v/>
      </c>
      <c r="DA260" s="27" t="str">
        <f>VLOOKUP($A260,'[1]Raw Data'!$A$3:$FB$285,106,FALSE)</f>
        <v>Deputy Chairman</v>
      </c>
      <c r="DB260" s="27" t="s">
        <v>879</v>
      </c>
      <c r="DC260" s="27" t="str">
        <f>VLOOKUP($A260,'[1]Raw Data'!$A$3:$FB$285,107,FALSE)</f>
        <v/>
      </c>
      <c r="DD260" s="27" t="str">
        <f>VLOOKUP($A260,'[1]Raw Data'!$A$3:$FB$285,109,FALSE)</f>
        <v/>
      </c>
      <c r="DF260" s="27" t="str">
        <f>VLOOKUP($A260,'[1]Raw Data'!$A$3:$FB$285,110,FALSE)</f>
        <v>Chief Adminstration Officer</v>
      </c>
      <c r="DG260" s="27" t="s">
        <v>880</v>
      </c>
      <c r="DH260" s="27" t="str">
        <f>VLOOKUP($A260,'[1]Raw Data'!$A$3:$FB$285,111,FALSE)</f>
        <v/>
      </c>
      <c r="DI260" s="27" t="str">
        <f>VLOOKUP($A260,'[1]Raw Data'!$A$3:$FB$285,121,FALSE)</f>
        <v/>
      </c>
      <c r="DK260" s="27" t="str">
        <f>VLOOKUP($A260,'[1]Raw Data'!$A$3:$FB$285,122,FALSE)</f>
        <v>Focal Person</v>
      </c>
      <c r="DL260" s="27" t="s">
        <v>881</v>
      </c>
      <c r="DM260" s="27" t="str">
        <f>VLOOKUP($A260,'[1]Raw Data'!$A$3:$FB$285,123,FALSE)</f>
        <v/>
      </c>
      <c r="DN260" s="27" t="str">
        <f>VLOOKUP($A260,'[1]Raw Data'!$A$3:$FB$285,113,FALSE)</f>
        <v/>
      </c>
      <c r="DP260" s="27" t="str">
        <f>VLOOKUP($A260,'[1]Raw Data'!$A$3:$FB$285,114,FALSE)</f>
        <v>NRA Chief-District</v>
      </c>
      <c r="DQ260" s="27" t="s">
        <v>882</v>
      </c>
      <c r="DR260" s="27" t="str">
        <f>VLOOKUP($A260,'[1]Raw Data'!$A$3:$FB$285,115,FALSE)</f>
        <v/>
      </c>
      <c r="DS260" s="27" t="str">
        <f>VLOOKUP($A260,'[1]Raw Data'!$A$3:$FB$285,117,FALSE)</f>
        <v/>
      </c>
      <c r="DU260" s="27" t="str">
        <f>VLOOKUP($A260,'[1]Raw Data'!$A$3:$FB$285,118,FALSE)</f>
        <v>DUDBC.DLPIU Chief</v>
      </c>
      <c r="DV260" s="27" t="s">
        <v>883</v>
      </c>
      <c r="DW260" s="27" t="str">
        <f>VLOOKUP($A260,'[1]Raw Data'!$A$3:$FB$285,119,FALSE)</f>
        <v/>
      </c>
      <c r="DX260" s="27" t="s">
        <v>339</v>
      </c>
      <c r="DY260" s="27" t="str">
        <f>VLOOKUP($A260,'[1]Raw Data'!$A$3:$FB$285,124,FALSE)</f>
        <v/>
      </c>
      <c r="DZ260" s="27" t="s">
        <v>884</v>
      </c>
      <c r="EA260" s="27" t="str">
        <f>VLOOKUP($A260,'[1]Raw Data'!$A$3:$FB$285,125,FALSE)</f>
        <v/>
      </c>
      <c r="EB260" s="27" t="s">
        <v>341</v>
      </c>
      <c r="EC260" s="27" t="str">
        <f>VLOOKUP($A260,'[1]Raw Data'!$A$3:$FB$285,126,FALSE)</f>
        <v/>
      </c>
      <c r="ED260" t="s">
        <v>478</v>
      </c>
      <c r="EE260" s="27" t="str">
        <f>VLOOKUP($A260,'[1]Raw Data'!$A$3:$FB$285,127,FALSE)</f>
        <v/>
      </c>
      <c r="EF260" s="27" t="s">
        <v>343</v>
      </c>
      <c r="EG260" s="27" t="str">
        <f>VLOOKUP($A260,'[1]Raw Data'!$A$3:$FB$285,128,FALSE)</f>
        <v/>
      </c>
      <c r="EH260" t="s">
        <v>344</v>
      </c>
      <c r="EI260" s="27" t="str">
        <f>VLOOKUP($A260,'[1]Raw Data'!$A$3:$FB$285,129,FALSE)</f>
        <v/>
      </c>
      <c r="EM260" s="27" t="str">
        <f>VLOOKUP($A260,'[1]Raw Data'!$A$3:$FB$285,130,FALSE)</f>
        <v/>
      </c>
      <c r="EN260" s="27" t="str">
        <f>VLOOKUP($A260,'[1]Raw Data'!$A$3:$FB$285,131,FALSE)</f>
        <v/>
      </c>
      <c r="EO260" s="27" t="str">
        <f>VLOOKUP($A260,'[1]Raw Data'!$A$3:$FB$285,132,FALSE)</f>
        <v/>
      </c>
      <c r="EP260" s="27" t="str">
        <f>VLOOKUP($A260,'[1]Raw Data'!$A$3:$FB$285,133,FALSE)</f>
        <v/>
      </c>
      <c r="EQ260" s="27" t="str">
        <f>VLOOKUP($A260,'[1]Raw Data'!$A$3:$FB$285,134,FALSE)</f>
        <v/>
      </c>
      <c r="ER260" s="27" t="str">
        <f>VLOOKUP($A260,'[1]Raw Data'!$A$3:$FB$285,135,FALSE)</f>
        <v/>
      </c>
      <c r="ES260" s="27" t="str">
        <f>VLOOKUP($A260,'[1]Raw Data'!$A$3:$FB$285,136,FALSE)</f>
        <v/>
      </c>
      <c r="ET260" s="27" t="str">
        <f>VLOOKUP($A260,'[1]Raw Data'!$A$3:$FB$285,137,FALSE)</f>
        <v/>
      </c>
      <c r="EU260" s="27" t="str">
        <f>VLOOKUP($A260,'[1]Raw Data'!$A$3:$FB$285,138,FALSE)</f>
        <v/>
      </c>
      <c r="EV260" s="27" t="str">
        <f>VLOOKUP($A260,'[1]Raw Data'!$A$3:$FB$285,139,FALSE)</f>
        <v/>
      </c>
      <c r="EW260" s="38">
        <f>VLOOKUP($A260,[1]Training!$A$2:$I$284,5,FALSE)</f>
        <v>27</v>
      </c>
      <c r="EX260" s="31">
        <f>VLOOKUP($A260,[1]Training!$A$2:$I$284,6,FALSE)</f>
        <v>0</v>
      </c>
      <c r="EY260" s="38">
        <f>VLOOKUP($A260,[1]Training!$A$2:$I$284,8,FALSE)</f>
        <v>31.90909090909091</v>
      </c>
      <c r="EZ260" s="31">
        <f>VLOOKUP($A260,[1]Training!$A$2:$I$284,9,FALSE)</f>
        <v>0</v>
      </c>
      <c r="FA260" s="27">
        <v>1</v>
      </c>
      <c r="FB260" s="27">
        <v>2</v>
      </c>
      <c r="FC260" s="27" t="str">
        <f>VLOOKUP($A260,'[1]Raw Data'!$A$3:$FB$285,148,FALSE)</f>
        <v/>
      </c>
      <c r="FE260" s="27" t="str">
        <f>VLOOKUP($A260,'[1]Raw Data'!$A$3:$FB$285,149,FALSE)</f>
        <v>District Coordinator</v>
      </c>
      <c r="FF260" s="27" t="s">
        <v>885</v>
      </c>
      <c r="FG260" s="27" t="str">
        <f>VLOOKUP($A260,'[1]Raw Data'!$A$3:$FB$285,150,FALSE)</f>
        <v/>
      </c>
      <c r="FH260" s="27" t="str">
        <f>VLOOKUP($A260,'[1]Raw Data'!$A$3:$FB$285,156,FALSE)</f>
        <v/>
      </c>
      <c r="FJ260" s="27" t="str">
        <f>VLOOKUP($A260,'[1]Raw Data'!$A$3:$FB$285,157,FALSE)</f>
        <v>District Technical Officer</v>
      </c>
      <c r="FK260" s="27" t="s">
        <v>886</v>
      </c>
      <c r="FL260" s="27" t="str">
        <f>VLOOKUP($A260,'[1]Raw Data'!$A$3:$FB$285,158,FALSE)</f>
        <v/>
      </c>
      <c r="FM260" s="27" t="str">
        <f>VLOOKUP($A260,'[1]Raw Data'!$A$3:$FB$285,152,FALSE)</f>
        <v/>
      </c>
      <c r="FO260" s="27" t="str">
        <f>VLOOKUP($A260,'[1]Raw Data'!$A$3:$FB$285,153,FALSE)</f>
        <v>DIstrict Information Management Officer</v>
      </c>
      <c r="FP260" s="27" t="s">
        <v>887</v>
      </c>
      <c r="FQ260" s="27" t="str">
        <f>VLOOKUP($A260,'[1]Raw Data'!$A$3:$FB$285,154,FALSE)</f>
        <v/>
      </c>
    </row>
    <row r="261" spans="1:173" ht="24" x14ac:dyDescent="0.45">
      <c r="A261" s="27">
        <v>47006</v>
      </c>
      <c r="B261" s="36" t="str">
        <f ca="1">IFERROR(__xludf.DUMMYFUNCTION("""COMPUTED_VALUE"""),"Rambha Gaunpalika")</f>
        <v>Rambha Gaunpalika</v>
      </c>
      <c r="C261" s="37" t="str">
        <f>VLOOKUP(A261,'[1]Palika and District in Nepali '!$D$1:$F$283,3,FALSE)</f>
        <v>रम्भा गाउँपालिका</v>
      </c>
      <c r="D261" s="36" t="str">
        <f ca="1">IFERROR(__xludf.DUMMYFUNCTION("""COMPUTED_VALUE"""),"Palpa")</f>
        <v>Palpa</v>
      </c>
      <c r="E261" s="36"/>
      <c r="F261" s="27">
        <f>VLOOKUP(A261,'[1]Raw Data'!$A$3:$FB$285,4,FALSE)</f>
        <v>537</v>
      </c>
      <c r="G261" s="27">
        <f>VLOOKUP(A261,'[1]Raw Data'!$A$3:$FB$285,5,FALSE)</f>
        <v>436</v>
      </c>
      <c r="H261" s="27">
        <f>VLOOKUP(A261,'[1]Raw Data'!$A$3:$FB$285,6,FALSE)</f>
        <v>973</v>
      </c>
      <c r="I261" s="27">
        <f>VLOOKUP($A261,'[1]Raw Data'!$A$3:$FB$285,8,FALSE)</f>
        <v>0</v>
      </c>
      <c r="J261" s="27">
        <f>VLOOKUP($A261,'[1]Raw Data'!$A$3:$FB$285,9,FALSE)</f>
        <v>1.65</v>
      </c>
      <c r="K261" s="27">
        <f>VLOOKUP($A261,'[1]Raw Data'!$A$3:$FB$285,11,FALSE)</f>
        <v>98.05</v>
      </c>
      <c r="L261" s="27">
        <f>VLOOKUP($A261,'[1]Raw Data'!$A$3:$FB$285,12,FALSE)</f>
        <v>84.49</v>
      </c>
      <c r="M261" s="27">
        <f>VLOOKUP($A261,'[1]Raw Data'!$A$3:$FB$285,14,FALSE)</f>
        <v>0.21</v>
      </c>
      <c r="N261" s="27">
        <f>VLOOKUP($A261,'[1]Raw Data'!$A$3:$FB$285,15,FALSE)</f>
        <v>0.98</v>
      </c>
      <c r="O261" s="27">
        <f>VLOOKUP($A261,'[1]Raw Data'!$A$3:$FB$285,17,FALSE)</f>
        <v>0.21</v>
      </c>
      <c r="P261" s="27">
        <f>VLOOKUP($A261,'[1]Raw Data'!$A$3:$FB$285,18,FALSE)</f>
        <v>1.52</v>
      </c>
      <c r="Q261" s="27">
        <f>VLOOKUP($A261,'[1]Raw Data'!$A$3:$FB$285,20,FALSE)</f>
        <v>1.34</v>
      </c>
      <c r="R261" s="27">
        <f>VLOOKUP($A261,'[1]Raw Data'!$A$3:$FB$285,21,FALSE)</f>
        <v>1.1200000000000001</v>
      </c>
      <c r="S261" s="27">
        <f>VLOOKUP($A261,'[1]Raw Data'!$A$3:$FB$285,23,FALSE)</f>
        <v>0</v>
      </c>
      <c r="T261" s="27">
        <f>VLOOKUP($A261,'[1]Raw Data'!$A$3:$FB$285,24,FALSE)</f>
        <v>0</v>
      </c>
      <c r="U261" s="27">
        <f>VLOOKUP($A261,'[1]Raw Data'!$A$3:$FB$285,26,FALSE)</f>
        <v>0</v>
      </c>
      <c r="V261" s="27">
        <f>VLOOKUP($A261,'[1]Raw Data'!$A$3:$FB$285,27,FALSE)</f>
        <v>0.17</v>
      </c>
      <c r="W261" s="27">
        <f>VLOOKUP($A261,'[1]Raw Data'!$A$3:$FB$285,29,FALSE)</f>
        <v>0</v>
      </c>
      <c r="X261" s="27">
        <f>VLOOKUP($A261,'[1]Raw Data'!$A$3:$FB$285,30,FALSE)</f>
        <v>0</v>
      </c>
      <c r="Y261" s="27">
        <f>VLOOKUP($A261,'[1]Raw Data'!$A$3:$FB$285,32,FALSE)</f>
        <v>0</v>
      </c>
      <c r="Z261" s="27">
        <f>VLOOKUP($A261,'[1]Raw Data'!$A$3:$FB$285,33,FALSE)</f>
        <v>0.06</v>
      </c>
      <c r="AA261" s="27">
        <f>VLOOKUP($A261,'[1]Raw Data'!$A$3:$FB$285,35,FALSE)</f>
        <v>0.21</v>
      </c>
      <c r="AB261" s="27">
        <f>VLOOKUP($A261,'[1]Raw Data'!$A$3:$FB$285,36,FALSE)</f>
        <v>9.92</v>
      </c>
      <c r="AC261" s="27">
        <f>VLOOKUP($A261,'[1]Raw Data'!$A$3:$FB$285,38,FALSE)</f>
        <v>0</v>
      </c>
      <c r="AD261" s="27">
        <f>VLOOKUP($A261,'[1]Raw Data'!$A$3:$FB$285,39,FALSE)</f>
        <v>0.09</v>
      </c>
      <c r="AE261" s="27">
        <f>VLOOKUP($A261,'[1]Raw Data'!$A$3:$FB$285,41,FALSE)</f>
        <v>0</v>
      </c>
      <c r="AF261" s="27">
        <f>VLOOKUP($A261,'[1]Raw Data'!$A$3:$FB$285,42,FALSE)</f>
        <v>0</v>
      </c>
      <c r="AG261" s="27">
        <f>VLOOKUP($A261,'[1]Raw Data'!$A$3:$FB$285,44,FALSE)</f>
        <v>0</v>
      </c>
      <c r="AH261" s="27">
        <f>VLOOKUP($A261,'[1]Raw Data'!$A$3:$FB$285,45,FALSE)</f>
        <v>0</v>
      </c>
      <c r="AI261" s="27">
        <f>VLOOKUP($A261,'[1]Raw Data'!$A$3:$FB$285,46,FALSE)</f>
        <v>293</v>
      </c>
      <c r="AJ261" s="27">
        <f>VLOOKUP($A261,'[1]Raw Data'!$A$3:$FB$285,47,FALSE)</f>
        <v>352</v>
      </c>
      <c r="AK261" s="27">
        <f>VLOOKUP($A261,'[1]Raw Data'!$A$3:$FB$285,48,FALSE)</f>
        <v>352</v>
      </c>
      <c r="AL261" s="27">
        <f>VLOOKUP($A261,'[1]Raw Data'!$A$3:$FB$285,49,FALSE)</f>
        <v>127</v>
      </c>
      <c r="AM261" s="27">
        <f>VLOOKUP($A261,'[1]Raw Data'!$A$3:$FB$285,50,FALSE)</f>
        <v>34</v>
      </c>
      <c r="AN261" s="27" t="str">
        <f>VLOOKUP($A261,'[1]Raw Data'!$A$3:$FB$285,51,FALSE)</f>
        <v/>
      </c>
      <c r="AO261" s="27" t="str">
        <f>VLOOKUP($A261,'[1]Raw Data'!$A$3:$FB$285,52,FALSE)</f>
        <v/>
      </c>
      <c r="AP261" s="27">
        <f>VLOOKUP($A261,'[1]Raw Data'!$A$3:$FB$285,53,FALSE)</f>
        <v>123</v>
      </c>
      <c r="AQ261" s="27" t="str">
        <f>VLOOKUP($A261,'[1]Raw Data'!$A$3:$FB$285,54,FALSE)</f>
        <v/>
      </c>
      <c r="AR261" s="27" t="str">
        <f>VLOOKUP($A261,'[1]Raw Data'!$A$3:$FB$285,55,FALSE)</f>
        <v/>
      </c>
      <c r="AS261" s="27" t="str">
        <f>VLOOKUP($A261,'[1]Raw Data'!$A$3:$FB$285,56,FALSE)</f>
        <v/>
      </c>
      <c r="AT261" s="27" t="str">
        <f>VLOOKUP($A261,'[1]Raw Data'!$A$3:$FB$285,57,FALSE)</f>
        <v/>
      </c>
      <c r="AU261" s="27" t="str">
        <f>VLOOKUP($A261,'[1]Raw Data'!$A$3:$FB$285,58,FALSE)</f>
        <v/>
      </c>
      <c r="AV261" s="27" t="str">
        <f>VLOOKUP($A261,'[1]Raw Data'!$A$3:$FB$285,59,FALSE)</f>
        <v/>
      </c>
      <c r="AW261" s="27" t="str">
        <f>VLOOKUP($A261,'[1]Raw Data'!$A$3:$FB$285,60,FALSE)</f>
        <v/>
      </c>
      <c r="AX261" s="27" t="str">
        <f>VLOOKUP(A261,'[1]PO''s List'!A259:E541,4,FALSE)</f>
        <v/>
      </c>
      <c r="AZ261" s="27" t="str">
        <f>VLOOKUP(A261,'[1]PO''s List'!$A$3:$E$285,5,FALSE)</f>
        <v/>
      </c>
      <c r="BB261" s="27">
        <f>VLOOKUP($A261,'[1]Raw Data'!$A$3:$FB$285,63,FALSE)</f>
        <v>8959</v>
      </c>
      <c r="BC261" s="27" t="str">
        <f>VLOOKUP($A261,'[1]Raw Data'!$A$3:$FB$285,64,FALSE)</f>
        <v/>
      </c>
      <c r="BD261" s="27" t="str">
        <f t="shared" si="27"/>
        <v/>
      </c>
      <c r="BE261" s="27" t="str">
        <f>VLOOKUP($A261,'[1]Raw Data'!$A$3:$FB$285,65,FALSE)</f>
        <v/>
      </c>
      <c r="BF261" s="27">
        <f>VLOOKUP($A261,'[1]Raw Data'!$A$3:$FB$285,66,FALSE)</f>
        <v>9387</v>
      </c>
      <c r="BG261" s="27" t="str">
        <f>VLOOKUP($A261,'[1]Raw Data'!$A$3:$FB$285,67,FALSE)</f>
        <v/>
      </c>
      <c r="BH261" s="27" t="str">
        <f t="shared" si="28"/>
        <v/>
      </c>
      <c r="BI261" s="27" t="str">
        <f>VLOOKUP($A261,'[1]Raw Data'!$A$3:$FB$285,68,FALSE)</f>
        <v/>
      </c>
      <c r="BJ261" s="27">
        <f>VLOOKUP($A261,'[1]Raw Data'!$A$3:$FB$285,69,FALSE)</f>
        <v>958</v>
      </c>
      <c r="BK261" s="27" t="str">
        <f>VLOOKUP($A261,'[1]Raw Data'!$A$3:$FB$285,70,FALSE)</f>
        <v/>
      </c>
      <c r="BL261" s="27" t="str">
        <f t="shared" si="29"/>
        <v/>
      </c>
      <c r="BM261" s="27" t="str">
        <f>VLOOKUP($A261,'[1]Raw Data'!$A$3:$FB$285,71,FALSE)</f>
        <v/>
      </c>
      <c r="BN261" s="27">
        <f>VLOOKUP($A261,'[1]Raw Data'!$A$3:$FB$285,72,FALSE)</f>
        <v>1112</v>
      </c>
      <c r="BO261" s="27" t="str">
        <f>VLOOKUP($A261,'[1]Raw Data'!$A$3:$FB$285,73,FALSE)</f>
        <v/>
      </c>
      <c r="BP261" s="27" t="str">
        <f t="shared" si="30"/>
        <v/>
      </c>
      <c r="BQ261" s="27" t="str">
        <f>VLOOKUP($A261,'[1]Raw Data'!$A$3:$FB$285,74,FALSE)</f>
        <v/>
      </c>
      <c r="BR261" s="27" t="str">
        <f>VLOOKUP($A261,'[1]Raw Data'!$A$3:$FB$285,75,FALSE)</f>
        <v/>
      </c>
      <c r="BS261" s="27" t="str">
        <f>VLOOKUP($A261,'[1]Raw Data'!$A$3:$FB$285,76,FALSE)</f>
        <v/>
      </c>
      <c r="BT261" s="27" t="str">
        <f t="shared" si="31"/>
        <v/>
      </c>
      <c r="BU261" s="27" t="str">
        <f>VLOOKUP($A261,'[1]Raw Data'!$A$3:$FB$285,77,FALSE)</f>
        <v/>
      </c>
      <c r="BV261" s="27">
        <f>VLOOKUP($A261,'[1]Raw Data'!$A$3:$FB$285,78,FALSE)</f>
        <v>30986</v>
      </c>
      <c r="BW261" s="27" t="str">
        <f>VLOOKUP($A261,'[1]Raw Data'!$A$3:$FB$285,79,FALSE)</f>
        <v/>
      </c>
      <c r="BX261" s="27" t="str">
        <f t="shared" si="32"/>
        <v/>
      </c>
      <c r="BY261" s="27" t="str">
        <f>VLOOKUP($A261,'[1]Raw Data'!$A$3:$FB$285,80,FALSE)</f>
        <v/>
      </c>
      <c r="BZ261" s="27">
        <f>VLOOKUP($A261,'[1]Raw Data'!$A$3:$FB$285,81,FALSE)</f>
        <v>96713</v>
      </c>
      <c r="CA261" s="27" t="str">
        <f>VLOOKUP($A261,'[1]Raw Data'!$A$3:$FB$285,82,FALSE)</f>
        <v/>
      </c>
      <c r="CB261" s="27" t="str">
        <f t="shared" si="33"/>
        <v/>
      </c>
      <c r="CC261" s="27" t="str">
        <f>VLOOKUP($A261,'[1]Raw Data'!$A$3:$FB$285,83,FALSE)</f>
        <v/>
      </c>
      <c r="CD261" s="27">
        <f>VLOOKUP($A261,'[1]Raw Data'!$A$3:$FB$285,84,FALSE)</f>
        <v>1266</v>
      </c>
      <c r="CE261" s="27" t="str">
        <f>VLOOKUP($A261,'[1]Raw Data'!$A$3:$FB$285,85,FALSE)</f>
        <v/>
      </c>
      <c r="CF261" s="27" t="str">
        <f t="shared" si="34"/>
        <v/>
      </c>
      <c r="CG261" s="27" t="str">
        <f>VLOOKUP($A261,'[1]Raw Data'!$A$3:$FB$285,86,FALSE)</f>
        <v/>
      </c>
      <c r="CH261" s="27">
        <f>VLOOKUP($A261,'[1]Raw Data'!$A$3:$FB$285,87,FALSE)</f>
        <v>61179</v>
      </c>
      <c r="CI261" s="27" t="str">
        <f>VLOOKUP($A261,'[1]Raw Data'!$A$3:$FB$285,88,FALSE)</f>
        <v/>
      </c>
      <c r="CJ261" s="27" t="str">
        <f t="shared" si="35"/>
        <v/>
      </c>
      <c r="CK261" s="27" t="str">
        <f>VLOOKUP($A261,'[1]Raw Data'!$A$3:$FB$285,89,FALSE)</f>
        <v/>
      </c>
      <c r="CL261" s="27" t="str">
        <f>VLOOKUP($A261,'[1]Raw Data'!$A$3:$FB$285,91,FALSE)</f>
        <v/>
      </c>
      <c r="CM261" s="27" t="str">
        <f>VLOOKUP($A261,'[1]Raw Data'!$A$3:$FB$285,93,FALSE)</f>
        <v/>
      </c>
      <c r="CN261" s="27" t="str">
        <f>VLOOKUP($A261,'[1]Raw Data'!$A$3:$FB$285,94,FALSE)</f>
        <v/>
      </c>
      <c r="CO261" s="27" t="str">
        <f>VLOOKUP($A261,'[1]Raw Data'!$A$3:$FB$285,95,FALSE)</f>
        <v/>
      </c>
      <c r="CP261" s="27" t="str">
        <f>VLOOKUP($A261,'[1]Raw Data'!$A$3:$FB$285,96,FALSE)</f>
        <v/>
      </c>
      <c r="CQ261" s="27" t="str">
        <f>VLOOKUP($A261,'[1]Raw Data'!$A$3:$FB$285,97,FALSE)</f>
        <v/>
      </c>
      <c r="CR261" s="27" t="str">
        <f>VLOOKUP($A261,'[1]Raw Data'!$A$3:$FB$285,98,FALSE)</f>
        <v/>
      </c>
      <c r="CS261" s="27" t="str">
        <f>VLOOKUP($A261,'[1]Raw Data'!$A$3:$FB$285,99,FALSE)</f>
        <v/>
      </c>
      <c r="CT261" s="27" t="str">
        <f>VLOOKUP($A261,'[1]Raw Data'!$A$3:$FB$285,101,FALSE)</f>
        <v/>
      </c>
      <c r="CV261" s="27" t="str">
        <f>VLOOKUP($A261,'[1]Raw Data'!$A$3:$FB$285,102,FALSE)</f>
        <v>Chairman</v>
      </c>
      <c r="CW261" s="27" t="s">
        <v>878</v>
      </c>
      <c r="CX261" s="27" t="str">
        <f>VLOOKUP($A261,'[1]Raw Data'!$A$3:$FB$285,103,FALSE)</f>
        <v/>
      </c>
      <c r="CY261" s="27" t="str">
        <f>VLOOKUP($A261,'[1]Raw Data'!$A$3:$FB$285,105,FALSE)</f>
        <v/>
      </c>
      <c r="DA261" s="27" t="str">
        <f>VLOOKUP($A261,'[1]Raw Data'!$A$3:$FB$285,106,FALSE)</f>
        <v>Deputy Chairman</v>
      </c>
      <c r="DB261" s="27" t="s">
        <v>879</v>
      </c>
      <c r="DC261" s="27" t="str">
        <f>VLOOKUP($A261,'[1]Raw Data'!$A$3:$FB$285,107,FALSE)</f>
        <v/>
      </c>
      <c r="DD261" s="27" t="str">
        <f>VLOOKUP($A261,'[1]Raw Data'!$A$3:$FB$285,109,FALSE)</f>
        <v/>
      </c>
      <c r="DF261" s="27" t="str">
        <f>VLOOKUP($A261,'[1]Raw Data'!$A$3:$FB$285,110,FALSE)</f>
        <v>Chief Adminstration Officer</v>
      </c>
      <c r="DG261" s="27" t="s">
        <v>880</v>
      </c>
      <c r="DH261" s="27" t="str">
        <f>VLOOKUP($A261,'[1]Raw Data'!$A$3:$FB$285,111,FALSE)</f>
        <v/>
      </c>
      <c r="DI261" s="27" t="str">
        <f>VLOOKUP($A261,'[1]Raw Data'!$A$3:$FB$285,121,FALSE)</f>
        <v/>
      </c>
      <c r="DK261" s="27" t="str">
        <f>VLOOKUP($A261,'[1]Raw Data'!$A$3:$FB$285,122,FALSE)</f>
        <v>Focal Person</v>
      </c>
      <c r="DL261" s="27" t="s">
        <v>881</v>
      </c>
      <c r="DM261" s="27" t="str">
        <f>VLOOKUP($A261,'[1]Raw Data'!$A$3:$FB$285,123,FALSE)</f>
        <v/>
      </c>
      <c r="DN261" s="27" t="str">
        <f>VLOOKUP($A261,'[1]Raw Data'!$A$3:$FB$285,113,FALSE)</f>
        <v/>
      </c>
      <c r="DP261" s="27" t="str">
        <f>VLOOKUP($A261,'[1]Raw Data'!$A$3:$FB$285,114,FALSE)</f>
        <v>NRA Chief-District</v>
      </c>
      <c r="DQ261" s="27" t="s">
        <v>882</v>
      </c>
      <c r="DR261" s="27" t="str">
        <f>VLOOKUP($A261,'[1]Raw Data'!$A$3:$FB$285,115,FALSE)</f>
        <v/>
      </c>
      <c r="DS261" s="27" t="str">
        <f>VLOOKUP($A261,'[1]Raw Data'!$A$3:$FB$285,117,FALSE)</f>
        <v/>
      </c>
      <c r="DU261" s="27" t="str">
        <f>VLOOKUP($A261,'[1]Raw Data'!$A$3:$FB$285,118,FALSE)</f>
        <v>DUDBC.DLPIU Chief</v>
      </c>
      <c r="DV261" s="27" t="s">
        <v>883</v>
      </c>
      <c r="DW261" s="27" t="str">
        <f>VLOOKUP($A261,'[1]Raw Data'!$A$3:$FB$285,119,FALSE)</f>
        <v/>
      </c>
      <c r="DX261" s="27" t="s">
        <v>339</v>
      </c>
      <c r="DY261" s="27" t="str">
        <f>VLOOKUP($A261,'[1]Raw Data'!$A$3:$FB$285,124,FALSE)</f>
        <v/>
      </c>
      <c r="DZ261" s="27" t="s">
        <v>884</v>
      </c>
      <c r="EA261" s="27" t="str">
        <f>VLOOKUP($A261,'[1]Raw Data'!$A$3:$FB$285,125,FALSE)</f>
        <v/>
      </c>
      <c r="EB261" s="27" t="s">
        <v>341</v>
      </c>
      <c r="EC261" s="27" t="str">
        <f>VLOOKUP($A261,'[1]Raw Data'!$A$3:$FB$285,126,FALSE)</f>
        <v/>
      </c>
      <c r="ED261" t="s">
        <v>478</v>
      </c>
      <c r="EE261" s="27" t="str">
        <f>VLOOKUP($A261,'[1]Raw Data'!$A$3:$FB$285,127,FALSE)</f>
        <v/>
      </c>
      <c r="EF261" s="27" t="s">
        <v>343</v>
      </c>
      <c r="EG261" s="27" t="str">
        <f>VLOOKUP($A261,'[1]Raw Data'!$A$3:$FB$285,128,FALSE)</f>
        <v/>
      </c>
      <c r="EH261" t="s">
        <v>344</v>
      </c>
      <c r="EI261" s="27" t="str">
        <f>VLOOKUP($A261,'[1]Raw Data'!$A$3:$FB$285,129,FALSE)</f>
        <v/>
      </c>
      <c r="EM261" s="27" t="str">
        <f>VLOOKUP($A261,'[1]Raw Data'!$A$3:$FB$285,130,FALSE)</f>
        <v/>
      </c>
      <c r="EN261" s="27" t="str">
        <f>VLOOKUP($A261,'[1]Raw Data'!$A$3:$FB$285,131,FALSE)</f>
        <v/>
      </c>
      <c r="EO261" s="27" t="str">
        <f>VLOOKUP($A261,'[1]Raw Data'!$A$3:$FB$285,132,FALSE)</f>
        <v/>
      </c>
      <c r="EP261" s="27" t="str">
        <f>VLOOKUP($A261,'[1]Raw Data'!$A$3:$FB$285,133,FALSE)</f>
        <v/>
      </c>
      <c r="EQ261" s="27" t="str">
        <f>VLOOKUP($A261,'[1]Raw Data'!$A$3:$FB$285,134,FALSE)</f>
        <v/>
      </c>
      <c r="ER261" s="27" t="str">
        <f>VLOOKUP($A261,'[1]Raw Data'!$A$3:$FB$285,135,FALSE)</f>
        <v/>
      </c>
      <c r="ES261" s="27" t="str">
        <f>VLOOKUP($A261,'[1]Raw Data'!$A$3:$FB$285,136,FALSE)</f>
        <v/>
      </c>
      <c r="ET261" s="27" t="str">
        <f>VLOOKUP($A261,'[1]Raw Data'!$A$3:$FB$285,137,FALSE)</f>
        <v/>
      </c>
      <c r="EU261" s="27" t="str">
        <f>VLOOKUP($A261,'[1]Raw Data'!$A$3:$FB$285,138,FALSE)</f>
        <v/>
      </c>
      <c r="EV261" s="27" t="str">
        <f>VLOOKUP($A261,'[1]Raw Data'!$A$3:$FB$285,139,FALSE)</f>
        <v/>
      </c>
      <c r="EW261" s="38">
        <f>VLOOKUP($A261,[1]Training!$A$2:$I$284,5,FALSE)</f>
        <v>22.53846153846154</v>
      </c>
      <c r="EX261" s="31">
        <f>VLOOKUP($A261,[1]Training!$A$2:$I$284,6,FALSE)</f>
        <v>0</v>
      </c>
      <c r="EY261" s="38">
        <f>VLOOKUP($A261,[1]Training!$A$2:$I$284,8,FALSE)</f>
        <v>26.636363636363637</v>
      </c>
      <c r="EZ261" s="31">
        <f>VLOOKUP($A261,[1]Training!$A$2:$I$284,9,FALSE)</f>
        <v>0</v>
      </c>
      <c r="FA261" s="27">
        <v>1</v>
      </c>
      <c r="FB261" s="27">
        <v>2</v>
      </c>
      <c r="FC261" s="27" t="str">
        <f>VLOOKUP($A261,'[1]Raw Data'!$A$3:$FB$285,148,FALSE)</f>
        <v/>
      </c>
      <c r="FE261" s="27" t="str">
        <f>VLOOKUP($A261,'[1]Raw Data'!$A$3:$FB$285,149,FALSE)</f>
        <v>District Coordinator</v>
      </c>
      <c r="FF261" s="27" t="s">
        <v>885</v>
      </c>
      <c r="FG261" s="27" t="str">
        <f>VLOOKUP($A261,'[1]Raw Data'!$A$3:$FB$285,150,FALSE)</f>
        <v/>
      </c>
      <c r="FH261" s="27" t="str">
        <f>VLOOKUP($A261,'[1]Raw Data'!$A$3:$FB$285,156,FALSE)</f>
        <v/>
      </c>
      <c r="FJ261" s="27" t="str">
        <f>VLOOKUP($A261,'[1]Raw Data'!$A$3:$FB$285,157,FALSE)</f>
        <v>District Technical Officer</v>
      </c>
      <c r="FK261" s="27" t="s">
        <v>886</v>
      </c>
      <c r="FL261" s="27" t="str">
        <f>VLOOKUP($A261,'[1]Raw Data'!$A$3:$FB$285,158,FALSE)</f>
        <v/>
      </c>
      <c r="FM261" s="27" t="str">
        <f>VLOOKUP($A261,'[1]Raw Data'!$A$3:$FB$285,152,FALSE)</f>
        <v/>
      </c>
      <c r="FO261" s="27" t="str">
        <f>VLOOKUP($A261,'[1]Raw Data'!$A$3:$FB$285,153,FALSE)</f>
        <v>DIstrict Information Management Officer</v>
      </c>
      <c r="FP261" s="27" t="s">
        <v>887</v>
      </c>
      <c r="FQ261" s="27" t="str">
        <f>VLOOKUP($A261,'[1]Raw Data'!$A$3:$FB$285,154,FALSE)</f>
        <v/>
      </c>
    </row>
    <row r="262" spans="1:173" ht="24" x14ac:dyDescent="0.45">
      <c r="A262" s="27">
        <v>47007</v>
      </c>
      <c r="B262" s="36" t="str">
        <f ca="1">IFERROR(__xludf.DUMMYFUNCTION("""COMPUTED_VALUE"""),"Rampur Nagarpalika")</f>
        <v>Rampur Nagarpalika</v>
      </c>
      <c r="C262" s="37" t="str">
        <f>VLOOKUP(A262,'[1]Palika and District in Nepali '!$D$1:$F$283,3,FALSE)</f>
        <v>रामपुर नगरपालिका</v>
      </c>
      <c r="D262" s="36" t="str">
        <f ca="1">IFERROR(__xludf.DUMMYFUNCTION("""COMPUTED_VALUE"""),"Palpa")</f>
        <v>Palpa</v>
      </c>
      <c r="E262" s="36"/>
      <c r="F262" s="27">
        <f>VLOOKUP(A262,'[1]Raw Data'!$A$3:$FB$285,4,FALSE)</f>
        <v>150</v>
      </c>
      <c r="G262" s="27">
        <f>VLOOKUP(A262,'[1]Raw Data'!$A$3:$FB$285,5,FALSE)</f>
        <v>376</v>
      </c>
      <c r="H262" s="27">
        <f>VLOOKUP(A262,'[1]Raw Data'!$A$3:$FB$285,6,FALSE)</f>
        <v>526</v>
      </c>
      <c r="I262" s="27">
        <f>VLOOKUP($A262,'[1]Raw Data'!$A$3:$FB$285,8,FALSE)</f>
        <v>0</v>
      </c>
      <c r="J262" s="27">
        <f>VLOOKUP($A262,'[1]Raw Data'!$A$3:$FB$285,9,FALSE)</f>
        <v>1.65</v>
      </c>
      <c r="K262" s="27">
        <f>VLOOKUP($A262,'[1]Raw Data'!$A$3:$FB$285,11,FALSE)</f>
        <v>77.95</v>
      </c>
      <c r="L262" s="27">
        <f>VLOOKUP($A262,'[1]Raw Data'!$A$3:$FB$285,12,FALSE)</f>
        <v>84.49</v>
      </c>
      <c r="M262" s="27">
        <f>VLOOKUP($A262,'[1]Raw Data'!$A$3:$FB$285,14,FALSE)</f>
        <v>1.33</v>
      </c>
      <c r="N262" s="27">
        <f>VLOOKUP($A262,'[1]Raw Data'!$A$3:$FB$285,15,FALSE)</f>
        <v>0.98</v>
      </c>
      <c r="O262" s="27">
        <f>VLOOKUP($A262,'[1]Raw Data'!$A$3:$FB$285,17,FALSE)</f>
        <v>19.39</v>
      </c>
      <c r="P262" s="27">
        <f>VLOOKUP($A262,'[1]Raw Data'!$A$3:$FB$285,18,FALSE)</f>
        <v>1.52</v>
      </c>
      <c r="Q262" s="27">
        <f>VLOOKUP($A262,'[1]Raw Data'!$A$3:$FB$285,20,FALSE)</f>
        <v>1.1399999999999999</v>
      </c>
      <c r="R262" s="27">
        <f>VLOOKUP($A262,'[1]Raw Data'!$A$3:$FB$285,21,FALSE)</f>
        <v>1.1200000000000001</v>
      </c>
      <c r="S262" s="27">
        <f>VLOOKUP($A262,'[1]Raw Data'!$A$3:$FB$285,23,FALSE)</f>
        <v>0</v>
      </c>
      <c r="T262" s="27">
        <f>VLOOKUP($A262,'[1]Raw Data'!$A$3:$FB$285,24,FALSE)</f>
        <v>0</v>
      </c>
      <c r="U262" s="27">
        <f>VLOOKUP($A262,'[1]Raw Data'!$A$3:$FB$285,26,FALSE)</f>
        <v>0</v>
      </c>
      <c r="V262" s="27">
        <f>VLOOKUP($A262,'[1]Raw Data'!$A$3:$FB$285,27,FALSE)</f>
        <v>0.17</v>
      </c>
      <c r="W262" s="27">
        <f>VLOOKUP($A262,'[1]Raw Data'!$A$3:$FB$285,29,FALSE)</f>
        <v>0</v>
      </c>
      <c r="X262" s="27">
        <f>VLOOKUP($A262,'[1]Raw Data'!$A$3:$FB$285,30,FALSE)</f>
        <v>0</v>
      </c>
      <c r="Y262" s="27">
        <f>VLOOKUP($A262,'[1]Raw Data'!$A$3:$FB$285,32,FALSE)</f>
        <v>0</v>
      </c>
      <c r="Z262" s="27">
        <f>VLOOKUP($A262,'[1]Raw Data'!$A$3:$FB$285,33,FALSE)</f>
        <v>0.06</v>
      </c>
      <c r="AA262" s="27">
        <f>VLOOKUP($A262,'[1]Raw Data'!$A$3:$FB$285,35,FALSE)</f>
        <v>0.19</v>
      </c>
      <c r="AB262" s="27">
        <f>VLOOKUP($A262,'[1]Raw Data'!$A$3:$FB$285,36,FALSE)</f>
        <v>9.92</v>
      </c>
      <c r="AC262" s="27">
        <f>VLOOKUP($A262,'[1]Raw Data'!$A$3:$FB$285,38,FALSE)</f>
        <v>0</v>
      </c>
      <c r="AD262" s="27">
        <f>VLOOKUP($A262,'[1]Raw Data'!$A$3:$FB$285,39,FALSE)</f>
        <v>0.09</v>
      </c>
      <c r="AE262" s="27">
        <f>VLOOKUP($A262,'[1]Raw Data'!$A$3:$FB$285,41,FALSE)</f>
        <v>0</v>
      </c>
      <c r="AF262" s="27">
        <f>VLOOKUP($A262,'[1]Raw Data'!$A$3:$FB$285,42,FALSE)</f>
        <v>0</v>
      </c>
      <c r="AG262" s="27">
        <f>VLOOKUP($A262,'[1]Raw Data'!$A$3:$FB$285,44,FALSE)</f>
        <v>0</v>
      </c>
      <c r="AH262" s="27">
        <f>VLOOKUP($A262,'[1]Raw Data'!$A$3:$FB$285,45,FALSE)</f>
        <v>0</v>
      </c>
      <c r="AI262" s="27">
        <f>VLOOKUP($A262,'[1]Raw Data'!$A$3:$FB$285,46,FALSE)</f>
        <v>345</v>
      </c>
      <c r="AJ262" s="27">
        <f>VLOOKUP($A262,'[1]Raw Data'!$A$3:$FB$285,47,FALSE)</f>
        <v>299</v>
      </c>
      <c r="AK262" s="27">
        <f>VLOOKUP($A262,'[1]Raw Data'!$A$3:$FB$285,48,FALSE)</f>
        <v>299</v>
      </c>
      <c r="AL262" s="27">
        <f>VLOOKUP($A262,'[1]Raw Data'!$A$3:$FB$285,49,FALSE)</f>
        <v>52</v>
      </c>
      <c r="AM262" s="27">
        <f>VLOOKUP($A262,'[1]Raw Data'!$A$3:$FB$285,50,FALSE)</f>
        <v>2</v>
      </c>
      <c r="AN262" s="27" t="str">
        <f>VLOOKUP($A262,'[1]Raw Data'!$A$3:$FB$285,51,FALSE)</f>
        <v/>
      </c>
      <c r="AO262" s="27" t="str">
        <f>VLOOKUP($A262,'[1]Raw Data'!$A$3:$FB$285,52,FALSE)</f>
        <v/>
      </c>
      <c r="AP262" s="27">
        <f>VLOOKUP($A262,'[1]Raw Data'!$A$3:$FB$285,53,FALSE)</f>
        <v>5</v>
      </c>
      <c r="AQ262" s="27" t="str">
        <f>VLOOKUP($A262,'[1]Raw Data'!$A$3:$FB$285,54,FALSE)</f>
        <v/>
      </c>
      <c r="AR262" s="27" t="str">
        <f>VLOOKUP($A262,'[1]Raw Data'!$A$3:$FB$285,55,FALSE)</f>
        <v/>
      </c>
      <c r="AS262" s="27" t="str">
        <f>VLOOKUP($A262,'[1]Raw Data'!$A$3:$FB$285,56,FALSE)</f>
        <v/>
      </c>
      <c r="AT262" s="27" t="str">
        <f>VLOOKUP($A262,'[1]Raw Data'!$A$3:$FB$285,57,FALSE)</f>
        <v/>
      </c>
      <c r="AU262" s="27" t="str">
        <f>VLOOKUP($A262,'[1]Raw Data'!$A$3:$FB$285,58,FALSE)</f>
        <v/>
      </c>
      <c r="AV262" s="27" t="str">
        <f>VLOOKUP($A262,'[1]Raw Data'!$A$3:$FB$285,59,FALSE)</f>
        <v/>
      </c>
      <c r="AW262" s="27" t="str">
        <f>VLOOKUP($A262,'[1]Raw Data'!$A$3:$FB$285,60,FALSE)</f>
        <v/>
      </c>
      <c r="AX262" s="27" t="str">
        <f>VLOOKUP(A262,'[1]PO''s List'!A260:E542,4,FALSE)</f>
        <v/>
      </c>
      <c r="AZ262" s="27" t="str">
        <f>VLOOKUP(A262,'[1]PO''s List'!$A$3:$E$285,5,FALSE)</f>
        <v/>
      </c>
      <c r="BB262" s="27">
        <f>VLOOKUP($A262,'[1]Raw Data'!$A$3:$FB$285,63,FALSE)</f>
        <v>8420</v>
      </c>
      <c r="BC262" s="27" t="str">
        <f>VLOOKUP($A262,'[1]Raw Data'!$A$3:$FB$285,64,FALSE)</f>
        <v/>
      </c>
      <c r="BD262" s="27" t="str">
        <f t="shared" ref="BD262:BD286" si="36">IF(BC262="Y","छ", IF(BC262="N","छैन",""))</f>
        <v/>
      </c>
      <c r="BE262" s="27" t="str">
        <f>VLOOKUP($A262,'[1]Raw Data'!$A$3:$FB$285,65,FALSE)</f>
        <v/>
      </c>
      <c r="BF262" s="27">
        <f>VLOOKUP($A262,'[1]Raw Data'!$A$3:$FB$285,66,FALSE)</f>
        <v>8792</v>
      </c>
      <c r="BG262" s="27" t="str">
        <f>VLOOKUP($A262,'[1]Raw Data'!$A$3:$FB$285,67,FALSE)</f>
        <v/>
      </c>
      <c r="BH262" s="27" t="str">
        <f t="shared" ref="BH262:BH286" si="37">IF(BG262="Y","छ", IF(BG262="N","छैन",""))</f>
        <v/>
      </c>
      <c r="BI262" s="27" t="str">
        <f>VLOOKUP($A262,'[1]Raw Data'!$A$3:$FB$285,68,FALSE)</f>
        <v/>
      </c>
      <c r="BJ262" s="27">
        <f>VLOOKUP($A262,'[1]Raw Data'!$A$3:$FB$285,69,FALSE)</f>
        <v>900</v>
      </c>
      <c r="BK262" s="27" t="str">
        <f>VLOOKUP($A262,'[1]Raw Data'!$A$3:$FB$285,70,FALSE)</f>
        <v/>
      </c>
      <c r="BL262" s="27" t="str">
        <f t="shared" ref="BL262:BL286" si="38">IF(BK262="Y","छ", IF(BK262="N","छैन",""))</f>
        <v/>
      </c>
      <c r="BM262" s="27" t="str">
        <f>VLOOKUP($A262,'[1]Raw Data'!$A$3:$FB$285,71,FALSE)</f>
        <v/>
      </c>
      <c r="BN262" s="27">
        <f>VLOOKUP($A262,'[1]Raw Data'!$A$3:$FB$285,72,FALSE)</f>
        <v>1044</v>
      </c>
      <c r="BO262" s="27" t="str">
        <f>VLOOKUP($A262,'[1]Raw Data'!$A$3:$FB$285,73,FALSE)</f>
        <v/>
      </c>
      <c r="BP262" s="27" t="str">
        <f t="shared" ref="BP262:BP286" si="39">IF(BO262="Y","छ", IF(BO262="N","छैन",""))</f>
        <v/>
      </c>
      <c r="BQ262" s="27" t="str">
        <f>VLOOKUP($A262,'[1]Raw Data'!$A$3:$FB$285,74,FALSE)</f>
        <v/>
      </c>
      <c r="BR262" s="27" t="str">
        <f>VLOOKUP($A262,'[1]Raw Data'!$A$3:$FB$285,75,FALSE)</f>
        <v/>
      </c>
      <c r="BS262" s="27" t="str">
        <f>VLOOKUP($A262,'[1]Raw Data'!$A$3:$FB$285,76,FALSE)</f>
        <v/>
      </c>
      <c r="BT262" s="27" t="str">
        <f t="shared" ref="BT262:BT286" si="40">IF(BS262="Y","छ", IF(BS262="N","छैन",""))</f>
        <v/>
      </c>
      <c r="BU262" s="27" t="str">
        <f>VLOOKUP($A262,'[1]Raw Data'!$A$3:$FB$285,77,FALSE)</f>
        <v/>
      </c>
      <c r="BV262" s="27">
        <f>VLOOKUP($A262,'[1]Raw Data'!$A$3:$FB$285,78,FALSE)</f>
        <v>29068</v>
      </c>
      <c r="BW262" s="27" t="str">
        <f>VLOOKUP($A262,'[1]Raw Data'!$A$3:$FB$285,79,FALSE)</f>
        <v/>
      </c>
      <c r="BX262" s="27" t="str">
        <f t="shared" ref="BX262:BX286" si="41">IF(BW262="Y","छ", IF(BW262="N","छैन",""))</f>
        <v/>
      </c>
      <c r="BY262" s="27" t="str">
        <f>VLOOKUP($A262,'[1]Raw Data'!$A$3:$FB$285,80,FALSE)</f>
        <v/>
      </c>
      <c r="BZ262" s="27">
        <f>VLOOKUP($A262,'[1]Raw Data'!$A$3:$FB$285,81,FALSE)</f>
        <v>90996</v>
      </c>
      <c r="CA262" s="27" t="str">
        <f>VLOOKUP($A262,'[1]Raw Data'!$A$3:$FB$285,82,FALSE)</f>
        <v/>
      </c>
      <c r="CB262" s="27" t="str">
        <f t="shared" ref="CB262:CB286" si="42">IF(CA262="Y","छ", IF(CA262="N","छैन",""))</f>
        <v/>
      </c>
      <c r="CC262" s="27" t="str">
        <f>VLOOKUP($A262,'[1]Raw Data'!$A$3:$FB$285,83,FALSE)</f>
        <v/>
      </c>
      <c r="CD262" s="27">
        <f>VLOOKUP($A262,'[1]Raw Data'!$A$3:$FB$285,84,FALSE)</f>
        <v>1188</v>
      </c>
      <c r="CE262" s="27" t="str">
        <f>VLOOKUP($A262,'[1]Raw Data'!$A$3:$FB$285,85,FALSE)</f>
        <v/>
      </c>
      <c r="CF262" s="27" t="str">
        <f t="shared" ref="CF262:CF286" si="43">IF(CE262="Y","छ", IF(CE262="N","छैन",""))</f>
        <v/>
      </c>
      <c r="CG262" s="27" t="str">
        <f>VLOOKUP($A262,'[1]Raw Data'!$A$3:$FB$285,86,FALSE)</f>
        <v/>
      </c>
      <c r="CH262" s="27">
        <f>VLOOKUP($A262,'[1]Raw Data'!$A$3:$FB$285,87,FALSE)</f>
        <v>66256</v>
      </c>
      <c r="CI262" s="27" t="str">
        <f>VLOOKUP($A262,'[1]Raw Data'!$A$3:$FB$285,88,FALSE)</f>
        <v/>
      </c>
      <c r="CJ262" s="27" t="str">
        <f t="shared" ref="CJ262:CJ286" si="44">IF(CI262="Y","छ", IF(CI262="N","छैन",""))</f>
        <v/>
      </c>
      <c r="CK262" s="27" t="str">
        <f>VLOOKUP($A262,'[1]Raw Data'!$A$3:$FB$285,89,FALSE)</f>
        <v/>
      </c>
      <c r="CL262" s="27" t="str">
        <f>VLOOKUP($A262,'[1]Raw Data'!$A$3:$FB$285,91,FALSE)</f>
        <v/>
      </c>
      <c r="CM262" s="27" t="str">
        <f>VLOOKUP($A262,'[1]Raw Data'!$A$3:$FB$285,93,FALSE)</f>
        <v/>
      </c>
      <c r="CN262" s="27" t="str">
        <f>VLOOKUP($A262,'[1]Raw Data'!$A$3:$FB$285,94,FALSE)</f>
        <v/>
      </c>
      <c r="CO262" s="27" t="str">
        <f>VLOOKUP($A262,'[1]Raw Data'!$A$3:$FB$285,95,FALSE)</f>
        <v/>
      </c>
      <c r="CP262" s="27" t="str">
        <f>VLOOKUP($A262,'[1]Raw Data'!$A$3:$FB$285,96,FALSE)</f>
        <v/>
      </c>
      <c r="CQ262" s="27" t="str">
        <f>VLOOKUP($A262,'[1]Raw Data'!$A$3:$FB$285,97,FALSE)</f>
        <v/>
      </c>
      <c r="CR262" s="27" t="str">
        <f>VLOOKUP($A262,'[1]Raw Data'!$A$3:$FB$285,98,FALSE)</f>
        <v/>
      </c>
      <c r="CS262" s="27" t="str">
        <f>VLOOKUP($A262,'[1]Raw Data'!$A$3:$FB$285,99,FALSE)</f>
        <v/>
      </c>
      <c r="CT262" s="27" t="str">
        <f>VLOOKUP($A262,'[1]Raw Data'!$A$3:$FB$285,101,FALSE)</f>
        <v/>
      </c>
      <c r="CV262" s="27" t="str">
        <f>VLOOKUP($A262,'[1]Raw Data'!$A$3:$FB$285,102,FALSE)</f>
        <v>Mayor</v>
      </c>
      <c r="CW262" s="27" t="s">
        <v>834</v>
      </c>
      <c r="CX262" s="27" t="str">
        <f>VLOOKUP($A262,'[1]Raw Data'!$A$3:$FB$285,103,FALSE)</f>
        <v/>
      </c>
      <c r="CY262" s="27" t="str">
        <f>VLOOKUP($A262,'[1]Raw Data'!$A$3:$FB$285,105,FALSE)</f>
        <v/>
      </c>
      <c r="DA262" s="27" t="str">
        <f>VLOOKUP($A262,'[1]Raw Data'!$A$3:$FB$285,106,FALSE)</f>
        <v>Deputy Mayor</v>
      </c>
      <c r="DB262" s="27" t="s">
        <v>888</v>
      </c>
      <c r="DC262" s="27" t="str">
        <f>VLOOKUP($A262,'[1]Raw Data'!$A$3:$FB$285,107,FALSE)</f>
        <v/>
      </c>
      <c r="DD262" s="27" t="str">
        <f>VLOOKUP($A262,'[1]Raw Data'!$A$3:$FB$285,109,FALSE)</f>
        <v/>
      </c>
      <c r="DF262" s="27" t="str">
        <f>VLOOKUP($A262,'[1]Raw Data'!$A$3:$FB$285,110,FALSE)</f>
        <v>Chief Adminstration Officer</v>
      </c>
      <c r="DG262" s="27" t="s">
        <v>880</v>
      </c>
      <c r="DH262" s="27" t="str">
        <f>VLOOKUP($A262,'[1]Raw Data'!$A$3:$FB$285,111,FALSE)</f>
        <v/>
      </c>
      <c r="DI262" s="27" t="str">
        <f>VLOOKUP($A262,'[1]Raw Data'!$A$3:$FB$285,121,FALSE)</f>
        <v/>
      </c>
      <c r="DK262" s="27" t="str">
        <f>VLOOKUP($A262,'[1]Raw Data'!$A$3:$FB$285,122,FALSE)</f>
        <v>Focal Person</v>
      </c>
      <c r="DL262" s="27" t="s">
        <v>881</v>
      </c>
      <c r="DM262" s="27" t="str">
        <f>VLOOKUP($A262,'[1]Raw Data'!$A$3:$FB$285,123,FALSE)</f>
        <v/>
      </c>
      <c r="DN262" s="27" t="str">
        <f>VLOOKUP($A262,'[1]Raw Data'!$A$3:$FB$285,113,FALSE)</f>
        <v/>
      </c>
      <c r="DP262" s="27" t="str">
        <f>VLOOKUP($A262,'[1]Raw Data'!$A$3:$FB$285,114,FALSE)</f>
        <v>NRA Chief-District</v>
      </c>
      <c r="DQ262" s="27" t="s">
        <v>882</v>
      </c>
      <c r="DR262" s="27" t="str">
        <f>VLOOKUP($A262,'[1]Raw Data'!$A$3:$FB$285,115,FALSE)</f>
        <v/>
      </c>
      <c r="DS262" s="27" t="str">
        <f>VLOOKUP($A262,'[1]Raw Data'!$A$3:$FB$285,117,FALSE)</f>
        <v/>
      </c>
      <c r="DU262" s="27" t="str">
        <f>VLOOKUP($A262,'[1]Raw Data'!$A$3:$FB$285,118,FALSE)</f>
        <v>DUDBC.DLPIU Chief</v>
      </c>
      <c r="DV262" s="27" t="s">
        <v>883</v>
      </c>
      <c r="DW262" s="27" t="str">
        <f>VLOOKUP($A262,'[1]Raw Data'!$A$3:$FB$285,119,FALSE)</f>
        <v/>
      </c>
      <c r="DX262" s="27" t="s">
        <v>339</v>
      </c>
      <c r="DY262" s="27" t="str">
        <f>VLOOKUP($A262,'[1]Raw Data'!$A$3:$FB$285,124,FALSE)</f>
        <v/>
      </c>
      <c r="DZ262" s="27" t="s">
        <v>884</v>
      </c>
      <c r="EA262" s="27" t="str">
        <f>VLOOKUP($A262,'[1]Raw Data'!$A$3:$FB$285,125,FALSE)</f>
        <v/>
      </c>
      <c r="EB262" s="27" t="s">
        <v>341</v>
      </c>
      <c r="EC262" s="27" t="str">
        <f>VLOOKUP($A262,'[1]Raw Data'!$A$3:$FB$285,126,FALSE)</f>
        <v/>
      </c>
      <c r="ED262" t="s">
        <v>478</v>
      </c>
      <c r="EE262" s="27" t="str">
        <f>VLOOKUP($A262,'[1]Raw Data'!$A$3:$FB$285,127,FALSE)</f>
        <v/>
      </c>
      <c r="EF262" s="27" t="s">
        <v>343</v>
      </c>
      <c r="EG262" s="27" t="str">
        <f>VLOOKUP($A262,'[1]Raw Data'!$A$3:$FB$285,128,FALSE)</f>
        <v/>
      </c>
      <c r="EH262" t="s">
        <v>344</v>
      </c>
      <c r="EI262" s="27" t="str">
        <f>VLOOKUP($A262,'[1]Raw Data'!$A$3:$FB$285,129,FALSE)</f>
        <v/>
      </c>
      <c r="EM262" s="27" t="str">
        <f>VLOOKUP($A262,'[1]Raw Data'!$A$3:$FB$285,130,FALSE)</f>
        <v/>
      </c>
      <c r="EN262" s="27" t="str">
        <f>VLOOKUP($A262,'[1]Raw Data'!$A$3:$FB$285,131,FALSE)</f>
        <v/>
      </c>
      <c r="EO262" s="27" t="str">
        <f>VLOOKUP($A262,'[1]Raw Data'!$A$3:$FB$285,132,FALSE)</f>
        <v/>
      </c>
      <c r="EP262" s="27" t="str">
        <f>VLOOKUP($A262,'[1]Raw Data'!$A$3:$FB$285,133,FALSE)</f>
        <v/>
      </c>
      <c r="EQ262" s="27" t="str">
        <f>VLOOKUP($A262,'[1]Raw Data'!$A$3:$FB$285,134,FALSE)</f>
        <v/>
      </c>
      <c r="ER262" s="27" t="str">
        <f>VLOOKUP($A262,'[1]Raw Data'!$A$3:$FB$285,135,FALSE)</f>
        <v/>
      </c>
      <c r="ES262" s="27" t="str">
        <f>VLOOKUP($A262,'[1]Raw Data'!$A$3:$FB$285,136,FALSE)</f>
        <v/>
      </c>
      <c r="ET262" s="27" t="str">
        <f>VLOOKUP($A262,'[1]Raw Data'!$A$3:$FB$285,137,FALSE)</f>
        <v/>
      </c>
      <c r="EU262" s="27" t="str">
        <f>VLOOKUP($A262,'[1]Raw Data'!$A$3:$FB$285,138,FALSE)</f>
        <v/>
      </c>
      <c r="EV262" s="27" t="str">
        <f>VLOOKUP($A262,'[1]Raw Data'!$A$3:$FB$285,139,FALSE)</f>
        <v/>
      </c>
      <c r="EW262" s="38">
        <f>VLOOKUP($A262,[1]Training!$A$2:$I$284,5,FALSE)</f>
        <v>26.53846153846154</v>
      </c>
      <c r="EX262" s="31">
        <f>VLOOKUP($A262,[1]Training!$A$2:$I$284,6,FALSE)</f>
        <v>0</v>
      </c>
      <c r="EY262" s="38">
        <f>VLOOKUP($A262,[1]Training!$A$2:$I$284,8,FALSE)</f>
        <v>31.363636363636363</v>
      </c>
      <c r="EZ262" s="31">
        <f>VLOOKUP($A262,[1]Training!$A$2:$I$284,9,FALSE)</f>
        <v>0</v>
      </c>
      <c r="FA262" s="27">
        <v>1</v>
      </c>
      <c r="FB262" s="27">
        <v>2</v>
      </c>
      <c r="FC262" s="27" t="str">
        <f>VLOOKUP($A262,'[1]Raw Data'!$A$3:$FB$285,148,FALSE)</f>
        <v/>
      </c>
      <c r="FE262" s="27" t="str">
        <f>VLOOKUP($A262,'[1]Raw Data'!$A$3:$FB$285,149,FALSE)</f>
        <v>District Coordinator</v>
      </c>
      <c r="FF262" s="27" t="s">
        <v>885</v>
      </c>
      <c r="FG262" s="27" t="str">
        <f>VLOOKUP($A262,'[1]Raw Data'!$A$3:$FB$285,150,FALSE)</f>
        <v/>
      </c>
      <c r="FH262" s="27" t="str">
        <f>VLOOKUP($A262,'[1]Raw Data'!$A$3:$FB$285,156,FALSE)</f>
        <v/>
      </c>
      <c r="FJ262" s="27" t="str">
        <f>VLOOKUP($A262,'[1]Raw Data'!$A$3:$FB$285,157,FALSE)</f>
        <v>District Technical Officer</v>
      </c>
      <c r="FK262" s="27" t="s">
        <v>886</v>
      </c>
      <c r="FL262" s="27" t="str">
        <f>VLOOKUP($A262,'[1]Raw Data'!$A$3:$FB$285,158,FALSE)</f>
        <v/>
      </c>
      <c r="FM262" s="27" t="str">
        <f>VLOOKUP($A262,'[1]Raw Data'!$A$3:$FB$285,152,FALSE)</f>
        <v/>
      </c>
      <c r="FO262" s="27" t="str">
        <f>VLOOKUP($A262,'[1]Raw Data'!$A$3:$FB$285,153,FALSE)</f>
        <v>DIstrict Information Management Officer</v>
      </c>
      <c r="FP262" s="27" t="s">
        <v>887</v>
      </c>
      <c r="FQ262" s="27" t="str">
        <f>VLOOKUP($A262,'[1]Raw Data'!$A$3:$FB$285,154,FALSE)</f>
        <v/>
      </c>
    </row>
    <row r="263" spans="1:173" ht="24" x14ac:dyDescent="0.45">
      <c r="A263" s="27">
        <v>47008</v>
      </c>
      <c r="B263" s="36" t="str">
        <f ca="1">IFERROR(__xludf.DUMMYFUNCTION("""COMPUTED_VALUE"""),"Ribdikot Gaunpalika")</f>
        <v>Ribdikot Gaunpalika</v>
      </c>
      <c r="C263" s="37" t="str">
        <f>VLOOKUP(A263,'[1]Palika and District in Nepali '!$D$1:$F$283,3,FALSE)</f>
        <v>रिब्दिकोट गाउँपालिका</v>
      </c>
      <c r="D263" s="36" t="str">
        <f ca="1">IFERROR(__xludf.DUMMYFUNCTION("""COMPUTED_VALUE"""),"Palpa")</f>
        <v>Palpa</v>
      </c>
      <c r="E263" s="36"/>
      <c r="F263" s="27">
        <f>VLOOKUP(A263,'[1]Raw Data'!$A$3:$FB$285,4,FALSE)</f>
        <v>884</v>
      </c>
      <c r="G263" s="27">
        <f>VLOOKUP(A263,'[1]Raw Data'!$A$3:$FB$285,5,FALSE)</f>
        <v>857</v>
      </c>
      <c r="H263" s="27">
        <f>VLOOKUP(A263,'[1]Raw Data'!$A$3:$FB$285,6,FALSE)</f>
        <v>1741</v>
      </c>
      <c r="I263" s="27">
        <f>VLOOKUP($A263,'[1]Raw Data'!$A$3:$FB$285,8,FALSE)</f>
        <v>7.06</v>
      </c>
      <c r="J263" s="27">
        <f>VLOOKUP($A263,'[1]Raw Data'!$A$3:$FB$285,9,FALSE)</f>
        <v>1.65</v>
      </c>
      <c r="K263" s="27">
        <f>VLOOKUP($A263,'[1]Raw Data'!$A$3:$FB$285,11,FALSE)</f>
        <v>65.709999999999994</v>
      </c>
      <c r="L263" s="27">
        <f>VLOOKUP($A263,'[1]Raw Data'!$A$3:$FB$285,12,FALSE)</f>
        <v>84.49</v>
      </c>
      <c r="M263" s="27">
        <f>VLOOKUP($A263,'[1]Raw Data'!$A$3:$FB$285,14,FALSE)</f>
        <v>0.52</v>
      </c>
      <c r="N263" s="27">
        <f>VLOOKUP($A263,'[1]Raw Data'!$A$3:$FB$285,15,FALSE)</f>
        <v>0.98</v>
      </c>
      <c r="O263" s="27">
        <f>VLOOKUP($A263,'[1]Raw Data'!$A$3:$FB$285,17,FALSE)</f>
        <v>0.46</v>
      </c>
      <c r="P263" s="27">
        <f>VLOOKUP($A263,'[1]Raw Data'!$A$3:$FB$285,18,FALSE)</f>
        <v>1.52</v>
      </c>
      <c r="Q263" s="27">
        <f>VLOOKUP($A263,'[1]Raw Data'!$A$3:$FB$285,20,FALSE)</f>
        <v>0.28999999999999998</v>
      </c>
      <c r="R263" s="27">
        <f>VLOOKUP($A263,'[1]Raw Data'!$A$3:$FB$285,21,FALSE)</f>
        <v>1.1200000000000001</v>
      </c>
      <c r="S263" s="27">
        <f>VLOOKUP($A263,'[1]Raw Data'!$A$3:$FB$285,23,FALSE)</f>
        <v>0</v>
      </c>
      <c r="T263" s="27">
        <f>VLOOKUP($A263,'[1]Raw Data'!$A$3:$FB$285,24,FALSE)</f>
        <v>0</v>
      </c>
      <c r="U263" s="27">
        <f>VLOOKUP($A263,'[1]Raw Data'!$A$3:$FB$285,26,FALSE)</f>
        <v>0.69</v>
      </c>
      <c r="V263" s="27">
        <f>VLOOKUP($A263,'[1]Raw Data'!$A$3:$FB$285,27,FALSE)</f>
        <v>0.17</v>
      </c>
      <c r="W263" s="27">
        <f>VLOOKUP($A263,'[1]Raw Data'!$A$3:$FB$285,29,FALSE)</f>
        <v>0</v>
      </c>
      <c r="X263" s="27">
        <f>VLOOKUP($A263,'[1]Raw Data'!$A$3:$FB$285,30,FALSE)</f>
        <v>0</v>
      </c>
      <c r="Y263" s="27">
        <f>VLOOKUP($A263,'[1]Raw Data'!$A$3:$FB$285,32,FALSE)</f>
        <v>0.23</v>
      </c>
      <c r="Z263" s="27">
        <f>VLOOKUP($A263,'[1]Raw Data'!$A$3:$FB$285,33,FALSE)</f>
        <v>0.06</v>
      </c>
      <c r="AA263" s="27">
        <f>VLOOKUP($A263,'[1]Raw Data'!$A$3:$FB$285,35,FALSE)</f>
        <v>24.93</v>
      </c>
      <c r="AB263" s="27">
        <f>VLOOKUP($A263,'[1]Raw Data'!$A$3:$FB$285,36,FALSE)</f>
        <v>9.92</v>
      </c>
      <c r="AC263" s="27">
        <f>VLOOKUP($A263,'[1]Raw Data'!$A$3:$FB$285,38,FALSE)</f>
        <v>0.11</v>
      </c>
      <c r="AD263" s="27">
        <f>VLOOKUP($A263,'[1]Raw Data'!$A$3:$FB$285,39,FALSE)</f>
        <v>0.09</v>
      </c>
      <c r="AE263" s="27">
        <f>VLOOKUP($A263,'[1]Raw Data'!$A$3:$FB$285,41,FALSE)</f>
        <v>0</v>
      </c>
      <c r="AF263" s="27">
        <f>VLOOKUP($A263,'[1]Raw Data'!$A$3:$FB$285,42,FALSE)</f>
        <v>0</v>
      </c>
      <c r="AG263" s="27">
        <f>VLOOKUP($A263,'[1]Raw Data'!$A$3:$FB$285,44,FALSE)</f>
        <v>0</v>
      </c>
      <c r="AH263" s="27">
        <f>VLOOKUP($A263,'[1]Raw Data'!$A$3:$FB$285,45,FALSE)</f>
        <v>0</v>
      </c>
      <c r="AI263" s="27">
        <f>VLOOKUP($A263,'[1]Raw Data'!$A$3:$FB$285,46,FALSE)</f>
        <v>691</v>
      </c>
      <c r="AJ263" s="27">
        <f>VLOOKUP($A263,'[1]Raw Data'!$A$3:$FB$285,47,FALSE)</f>
        <v>377</v>
      </c>
      <c r="AK263" s="27">
        <f>VLOOKUP($A263,'[1]Raw Data'!$A$3:$FB$285,48,FALSE)</f>
        <v>377</v>
      </c>
      <c r="AL263" s="27">
        <f>VLOOKUP($A263,'[1]Raw Data'!$A$3:$FB$285,49,FALSE)</f>
        <v>110</v>
      </c>
      <c r="AM263" s="27">
        <f>VLOOKUP($A263,'[1]Raw Data'!$A$3:$FB$285,50,FALSE)</f>
        <v>41</v>
      </c>
      <c r="AN263" s="27" t="str">
        <f>VLOOKUP($A263,'[1]Raw Data'!$A$3:$FB$285,51,FALSE)</f>
        <v/>
      </c>
      <c r="AO263" s="27" t="str">
        <f>VLOOKUP($A263,'[1]Raw Data'!$A$3:$FB$285,52,FALSE)</f>
        <v/>
      </c>
      <c r="AP263" s="27">
        <f>VLOOKUP($A263,'[1]Raw Data'!$A$3:$FB$285,53,FALSE)</f>
        <v>187</v>
      </c>
      <c r="AQ263" s="27" t="str">
        <f>VLOOKUP($A263,'[1]Raw Data'!$A$3:$FB$285,54,FALSE)</f>
        <v/>
      </c>
      <c r="AR263" s="27" t="str">
        <f>VLOOKUP($A263,'[1]Raw Data'!$A$3:$FB$285,55,FALSE)</f>
        <v/>
      </c>
      <c r="AS263" s="27" t="str">
        <f>VLOOKUP($A263,'[1]Raw Data'!$A$3:$FB$285,56,FALSE)</f>
        <v/>
      </c>
      <c r="AT263" s="27" t="str">
        <f>VLOOKUP($A263,'[1]Raw Data'!$A$3:$FB$285,57,FALSE)</f>
        <v/>
      </c>
      <c r="AU263" s="27" t="str">
        <f>VLOOKUP($A263,'[1]Raw Data'!$A$3:$FB$285,58,FALSE)</f>
        <v/>
      </c>
      <c r="AV263" s="27" t="str">
        <f>VLOOKUP($A263,'[1]Raw Data'!$A$3:$FB$285,59,FALSE)</f>
        <v/>
      </c>
      <c r="AW263" s="27" t="str">
        <f>VLOOKUP($A263,'[1]Raw Data'!$A$3:$FB$285,60,FALSE)</f>
        <v/>
      </c>
      <c r="AX263" s="27" t="str">
        <f>VLOOKUP(A263,'[1]PO''s List'!A261:E543,4,FALSE)</f>
        <v/>
      </c>
      <c r="AZ263" s="27" t="str">
        <f>VLOOKUP(A263,'[1]PO''s List'!$A$3:$E$285,5,FALSE)</f>
        <v/>
      </c>
      <c r="BB263" s="27">
        <f>VLOOKUP($A263,'[1]Raw Data'!$A$3:$FB$285,63,FALSE)</f>
        <v>10672</v>
      </c>
      <c r="BC263" s="27" t="str">
        <f>VLOOKUP($A263,'[1]Raw Data'!$A$3:$FB$285,64,FALSE)</f>
        <v/>
      </c>
      <c r="BD263" s="27" t="str">
        <f t="shared" si="36"/>
        <v/>
      </c>
      <c r="BE263" s="27" t="str">
        <f>VLOOKUP($A263,'[1]Raw Data'!$A$3:$FB$285,65,FALSE)</f>
        <v/>
      </c>
      <c r="BF263" s="27">
        <f>VLOOKUP($A263,'[1]Raw Data'!$A$3:$FB$285,66,FALSE)</f>
        <v>9426</v>
      </c>
      <c r="BG263" s="27" t="str">
        <f>VLOOKUP($A263,'[1]Raw Data'!$A$3:$FB$285,67,FALSE)</f>
        <v/>
      </c>
      <c r="BH263" s="27" t="str">
        <f t="shared" si="37"/>
        <v/>
      </c>
      <c r="BI263" s="27" t="str">
        <f>VLOOKUP($A263,'[1]Raw Data'!$A$3:$FB$285,68,FALSE)</f>
        <v/>
      </c>
      <c r="BJ263" s="27">
        <f>VLOOKUP($A263,'[1]Raw Data'!$A$3:$FB$285,69,FALSE)</f>
        <v>1127</v>
      </c>
      <c r="BK263" s="27" t="str">
        <f>VLOOKUP($A263,'[1]Raw Data'!$A$3:$FB$285,70,FALSE)</f>
        <v/>
      </c>
      <c r="BL263" s="27" t="str">
        <f t="shared" si="38"/>
        <v/>
      </c>
      <c r="BM263" s="27" t="str">
        <f>VLOOKUP($A263,'[1]Raw Data'!$A$3:$FB$285,71,FALSE)</f>
        <v/>
      </c>
      <c r="BN263" s="27">
        <f>VLOOKUP($A263,'[1]Raw Data'!$A$3:$FB$285,72,FALSE)</f>
        <v>1252</v>
      </c>
      <c r="BO263" s="27" t="str">
        <f>VLOOKUP($A263,'[1]Raw Data'!$A$3:$FB$285,73,FALSE)</f>
        <v/>
      </c>
      <c r="BP263" s="27" t="str">
        <f t="shared" si="39"/>
        <v/>
      </c>
      <c r="BQ263" s="27" t="str">
        <f>VLOOKUP($A263,'[1]Raw Data'!$A$3:$FB$285,74,FALSE)</f>
        <v/>
      </c>
      <c r="BR263" s="27" t="str">
        <f>VLOOKUP($A263,'[1]Raw Data'!$A$3:$FB$285,75,FALSE)</f>
        <v/>
      </c>
      <c r="BS263" s="27" t="str">
        <f>VLOOKUP($A263,'[1]Raw Data'!$A$3:$FB$285,76,FALSE)</f>
        <v/>
      </c>
      <c r="BT263" s="27" t="str">
        <f t="shared" si="40"/>
        <v/>
      </c>
      <c r="BU263" s="27" t="str">
        <f>VLOOKUP($A263,'[1]Raw Data'!$A$3:$FB$285,77,FALSE)</f>
        <v/>
      </c>
      <c r="BV263" s="27">
        <f>VLOOKUP($A263,'[1]Raw Data'!$A$3:$FB$285,78,FALSE)</f>
        <v>32354</v>
      </c>
      <c r="BW263" s="27" t="str">
        <f>VLOOKUP($A263,'[1]Raw Data'!$A$3:$FB$285,79,FALSE)</f>
        <v/>
      </c>
      <c r="BX263" s="27" t="str">
        <f t="shared" si="41"/>
        <v/>
      </c>
      <c r="BY263" s="27" t="str">
        <f>VLOOKUP($A263,'[1]Raw Data'!$A$3:$FB$285,80,FALSE)</f>
        <v/>
      </c>
      <c r="BZ263" s="27">
        <f>VLOOKUP($A263,'[1]Raw Data'!$A$3:$FB$285,81,FALSE)</f>
        <v>119149</v>
      </c>
      <c r="CA263" s="27" t="str">
        <f>VLOOKUP($A263,'[1]Raw Data'!$A$3:$FB$285,82,FALSE)</f>
        <v/>
      </c>
      <c r="CB263" s="27" t="str">
        <f t="shared" si="42"/>
        <v/>
      </c>
      <c r="CC263" s="27" t="str">
        <f>VLOOKUP($A263,'[1]Raw Data'!$A$3:$FB$285,83,FALSE)</f>
        <v/>
      </c>
      <c r="CD263" s="27">
        <f>VLOOKUP($A263,'[1]Raw Data'!$A$3:$FB$285,84,FALSE)</f>
        <v>1325</v>
      </c>
      <c r="CE263" s="27" t="str">
        <f>VLOOKUP($A263,'[1]Raw Data'!$A$3:$FB$285,85,FALSE)</f>
        <v/>
      </c>
      <c r="CF263" s="27" t="str">
        <f t="shared" si="43"/>
        <v/>
      </c>
      <c r="CG263" s="27" t="str">
        <f>VLOOKUP($A263,'[1]Raw Data'!$A$3:$FB$285,86,FALSE)</f>
        <v/>
      </c>
      <c r="CH263" s="27">
        <f>VLOOKUP($A263,'[1]Raw Data'!$A$3:$FB$285,87,FALSE)</f>
        <v>351011</v>
      </c>
      <c r="CI263" s="27" t="str">
        <f>VLOOKUP($A263,'[1]Raw Data'!$A$3:$FB$285,88,FALSE)</f>
        <v/>
      </c>
      <c r="CJ263" s="27" t="str">
        <f t="shared" si="44"/>
        <v/>
      </c>
      <c r="CK263" s="27" t="str">
        <f>VLOOKUP($A263,'[1]Raw Data'!$A$3:$FB$285,89,FALSE)</f>
        <v/>
      </c>
      <c r="CL263" s="27" t="str">
        <f>VLOOKUP($A263,'[1]Raw Data'!$A$3:$FB$285,91,FALSE)</f>
        <v/>
      </c>
      <c r="CM263" s="27" t="str">
        <f>VLOOKUP($A263,'[1]Raw Data'!$A$3:$FB$285,93,FALSE)</f>
        <v/>
      </c>
      <c r="CN263" s="27" t="str">
        <f>VLOOKUP($A263,'[1]Raw Data'!$A$3:$FB$285,94,FALSE)</f>
        <v/>
      </c>
      <c r="CO263" s="27" t="str">
        <f>VLOOKUP($A263,'[1]Raw Data'!$A$3:$FB$285,95,FALSE)</f>
        <v/>
      </c>
      <c r="CP263" s="27" t="str">
        <f>VLOOKUP($A263,'[1]Raw Data'!$A$3:$FB$285,96,FALSE)</f>
        <v/>
      </c>
      <c r="CQ263" s="27" t="str">
        <f>VLOOKUP($A263,'[1]Raw Data'!$A$3:$FB$285,97,FALSE)</f>
        <v/>
      </c>
      <c r="CR263" s="27" t="str">
        <f>VLOOKUP($A263,'[1]Raw Data'!$A$3:$FB$285,98,FALSE)</f>
        <v/>
      </c>
      <c r="CS263" s="27" t="str">
        <f>VLOOKUP($A263,'[1]Raw Data'!$A$3:$FB$285,99,FALSE)</f>
        <v/>
      </c>
      <c r="CT263" s="27" t="str">
        <f>VLOOKUP($A263,'[1]Raw Data'!$A$3:$FB$285,101,FALSE)</f>
        <v/>
      </c>
      <c r="CV263" s="27" t="str">
        <f>VLOOKUP($A263,'[1]Raw Data'!$A$3:$FB$285,102,FALSE)</f>
        <v>Chairman</v>
      </c>
      <c r="CW263" s="27" t="s">
        <v>878</v>
      </c>
      <c r="CX263" s="27" t="str">
        <f>VLOOKUP($A263,'[1]Raw Data'!$A$3:$FB$285,103,FALSE)</f>
        <v/>
      </c>
      <c r="CY263" s="27" t="str">
        <f>VLOOKUP($A263,'[1]Raw Data'!$A$3:$FB$285,105,FALSE)</f>
        <v/>
      </c>
      <c r="DA263" s="27" t="str">
        <f>VLOOKUP($A263,'[1]Raw Data'!$A$3:$FB$285,106,FALSE)</f>
        <v>Deputy Chairman</v>
      </c>
      <c r="DB263" s="27" t="s">
        <v>879</v>
      </c>
      <c r="DC263" s="27" t="str">
        <f>VLOOKUP($A263,'[1]Raw Data'!$A$3:$FB$285,107,FALSE)</f>
        <v/>
      </c>
      <c r="DD263" s="27" t="str">
        <f>VLOOKUP($A263,'[1]Raw Data'!$A$3:$FB$285,109,FALSE)</f>
        <v/>
      </c>
      <c r="DF263" s="27" t="str">
        <f>VLOOKUP($A263,'[1]Raw Data'!$A$3:$FB$285,110,FALSE)</f>
        <v>Chief Adminstration Officer</v>
      </c>
      <c r="DG263" s="27" t="s">
        <v>880</v>
      </c>
      <c r="DH263" s="27" t="str">
        <f>VLOOKUP($A263,'[1]Raw Data'!$A$3:$FB$285,111,FALSE)</f>
        <v/>
      </c>
      <c r="DI263" s="27" t="str">
        <f>VLOOKUP($A263,'[1]Raw Data'!$A$3:$FB$285,121,FALSE)</f>
        <v/>
      </c>
      <c r="DK263" s="27" t="str">
        <f>VLOOKUP($A263,'[1]Raw Data'!$A$3:$FB$285,122,FALSE)</f>
        <v>Focal Person</v>
      </c>
      <c r="DL263" s="27" t="s">
        <v>881</v>
      </c>
      <c r="DM263" s="27" t="str">
        <f>VLOOKUP($A263,'[1]Raw Data'!$A$3:$FB$285,123,FALSE)</f>
        <v/>
      </c>
      <c r="DN263" s="27" t="str">
        <f>VLOOKUP($A263,'[1]Raw Data'!$A$3:$FB$285,113,FALSE)</f>
        <v/>
      </c>
      <c r="DP263" s="27" t="str">
        <f>VLOOKUP($A263,'[1]Raw Data'!$A$3:$FB$285,114,FALSE)</f>
        <v>NRA Chief-District</v>
      </c>
      <c r="DQ263" s="27" t="s">
        <v>882</v>
      </c>
      <c r="DR263" s="27" t="str">
        <f>VLOOKUP($A263,'[1]Raw Data'!$A$3:$FB$285,115,FALSE)</f>
        <v/>
      </c>
      <c r="DS263" s="27" t="str">
        <f>VLOOKUP($A263,'[1]Raw Data'!$A$3:$FB$285,117,FALSE)</f>
        <v/>
      </c>
      <c r="DU263" s="27" t="str">
        <f>VLOOKUP($A263,'[1]Raw Data'!$A$3:$FB$285,118,FALSE)</f>
        <v>DUDBC.DLPIU Chief</v>
      </c>
      <c r="DV263" s="27" t="s">
        <v>883</v>
      </c>
      <c r="DW263" s="27" t="str">
        <f>VLOOKUP($A263,'[1]Raw Data'!$A$3:$FB$285,119,FALSE)</f>
        <v/>
      </c>
      <c r="DX263" s="27" t="s">
        <v>339</v>
      </c>
      <c r="DY263" s="27" t="str">
        <f>VLOOKUP($A263,'[1]Raw Data'!$A$3:$FB$285,124,FALSE)</f>
        <v/>
      </c>
      <c r="DZ263" s="27" t="s">
        <v>884</v>
      </c>
      <c r="EA263" s="27" t="str">
        <f>VLOOKUP($A263,'[1]Raw Data'!$A$3:$FB$285,125,FALSE)</f>
        <v/>
      </c>
      <c r="EB263" s="27" t="s">
        <v>341</v>
      </c>
      <c r="EC263" s="27" t="str">
        <f>VLOOKUP($A263,'[1]Raw Data'!$A$3:$FB$285,126,FALSE)</f>
        <v/>
      </c>
      <c r="ED263" t="s">
        <v>478</v>
      </c>
      <c r="EE263" s="27" t="str">
        <f>VLOOKUP($A263,'[1]Raw Data'!$A$3:$FB$285,127,FALSE)</f>
        <v/>
      </c>
      <c r="EF263" s="27" t="s">
        <v>343</v>
      </c>
      <c r="EG263" s="27" t="str">
        <f>VLOOKUP($A263,'[1]Raw Data'!$A$3:$FB$285,128,FALSE)</f>
        <v/>
      </c>
      <c r="EH263" t="s">
        <v>344</v>
      </c>
      <c r="EI263" s="27" t="str">
        <f>VLOOKUP($A263,'[1]Raw Data'!$A$3:$FB$285,129,FALSE)</f>
        <v/>
      </c>
      <c r="EM263" s="27" t="str">
        <f>VLOOKUP($A263,'[1]Raw Data'!$A$3:$FB$285,130,FALSE)</f>
        <v/>
      </c>
      <c r="EN263" s="27" t="str">
        <f>VLOOKUP($A263,'[1]Raw Data'!$A$3:$FB$285,131,FALSE)</f>
        <v/>
      </c>
      <c r="EO263" s="27" t="str">
        <f>VLOOKUP($A263,'[1]Raw Data'!$A$3:$FB$285,132,FALSE)</f>
        <v/>
      </c>
      <c r="EP263" s="27" t="str">
        <f>VLOOKUP($A263,'[1]Raw Data'!$A$3:$FB$285,133,FALSE)</f>
        <v/>
      </c>
      <c r="EQ263" s="27" t="str">
        <f>VLOOKUP($A263,'[1]Raw Data'!$A$3:$FB$285,134,FALSE)</f>
        <v/>
      </c>
      <c r="ER263" s="27" t="str">
        <f>VLOOKUP($A263,'[1]Raw Data'!$A$3:$FB$285,135,FALSE)</f>
        <v/>
      </c>
      <c r="ES263" s="27" t="str">
        <f>VLOOKUP($A263,'[1]Raw Data'!$A$3:$FB$285,136,FALSE)</f>
        <v/>
      </c>
      <c r="ET263" s="27" t="str">
        <f>VLOOKUP($A263,'[1]Raw Data'!$A$3:$FB$285,137,FALSE)</f>
        <v/>
      </c>
      <c r="EU263" s="27" t="str">
        <f>VLOOKUP($A263,'[1]Raw Data'!$A$3:$FB$285,138,FALSE)</f>
        <v/>
      </c>
      <c r="EV263" s="27" t="str">
        <f>VLOOKUP($A263,'[1]Raw Data'!$A$3:$FB$285,139,FALSE)</f>
        <v/>
      </c>
      <c r="EW263" s="38">
        <f>VLOOKUP($A263,[1]Training!$A$2:$I$284,5,FALSE)</f>
        <v>53.153846153846153</v>
      </c>
      <c r="EX263" s="31">
        <f>VLOOKUP($A263,[1]Training!$A$2:$I$284,6,FALSE)</f>
        <v>0</v>
      </c>
      <c r="EY263" s="38">
        <f>VLOOKUP($A263,[1]Training!$A$2:$I$284,8,FALSE)</f>
        <v>62.81818181818182</v>
      </c>
      <c r="EZ263" s="31">
        <f>VLOOKUP($A263,[1]Training!$A$2:$I$284,9,FALSE)</f>
        <v>0</v>
      </c>
      <c r="FA263" s="27">
        <v>1</v>
      </c>
      <c r="FB263" s="27">
        <v>2</v>
      </c>
      <c r="FC263" s="27" t="str">
        <f>VLOOKUP($A263,'[1]Raw Data'!$A$3:$FB$285,148,FALSE)</f>
        <v/>
      </c>
      <c r="FE263" s="27" t="str">
        <f>VLOOKUP($A263,'[1]Raw Data'!$A$3:$FB$285,149,FALSE)</f>
        <v>District Coordinator</v>
      </c>
      <c r="FF263" s="27" t="s">
        <v>885</v>
      </c>
      <c r="FG263" s="27" t="str">
        <f>VLOOKUP($A263,'[1]Raw Data'!$A$3:$FB$285,150,FALSE)</f>
        <v/>
      </c>
      <c r="FH263" s="27" t="str">
        <f>VLOOKUP($A263,'[1]Raw Data'!$A$3:$FB$285,156,FALSE)</f>
        <v/>
      </c>
      <c r="FJ263" s="27" t="str">
        <f>VLOOKUP($A263,'[1]Raw Data'!$A$3:$FB$285,157,FALSE)</f>
        <v>District Technical Officer</v>
      </c>
      <c r="FK263" s="27" t="s">
        <v>886</v>
      </c>
      <c r="FL263" s="27" t="str">
        <f>VLOOKUP($A263,'[1]Raw Data'!$A$3:$FB$285,158,FALSE)</f>
        <v/>
      </c>
      <c r="FM263" s="27" t="str">
        <f>VLOOKUP($A263,'[1]Raw Data'!$A$3:$FB$285,152,FALSE)</f>
        <v/>
      </c>
      <c r="FO263" s="27" t="str">
        <f>VLOOKUP($A263,'[1]Raw Data'!$A$3:$FB$285,153,FALSE)</f>
        <v>DIstrict Information Management Officer</v>
      </c>
      <c r="FP263" s="27" t="s">
        <v>887</v>
      </c>
      <c r="FQ263" s="27" t="str">
        <f>VLOOKUP($A263,'[1]Raw Data'!$A$3:$FB$285,154,FALSE)</f>
        <v/>
      </c>
    </row>
    <row r="264" spans="1:173" ht="24" x14ac:dyDescent="0.45">
      <c r="A264" s="27">
        <v>47009</v>
      </c>
      <c r="B264" s="36" t="str">
        <f ca="1">IFERROR(__xludf.DUMMYFUNCTION("""COMPUTED_VALUE"""),"Tansen Nagarpalika")</f>
        <v>Tansen Nagarpalika</v>
      </c>
      <c r="C264" s="37" t="str">
        <f>VLOOKUP(A264,'[1]Palika and District in Nepali '!$D$1:$F$283,3,FALSE)</f>
        <v>तन्सेन गाउँपालिका</v>
      </c>
      <c r="D264" s="36" t="str">
        <f ca="1">IFERROR(__xludf.DUMMYFUNCTION("""COMPUTED_VALUE"""),"Palpa")</f>
        <v>Palpa</v>
      </c>
      <c r="E264" s="36"/>
      <c r="F264" s="27">
        <f>VLOOKUP(A264,'[1]Raw Data'!$A$3:$FB$285,4,FALSE)</f>
        <v>1372</v>
      </c>
      <c r="G264" s="27">
        <f>VLOOKUP(A264,'[1]Raw Data'!$A$3:$FB$285,5,FALSE)</f>
        <v>602</v>
      </c>
      <c r="H264" s="27">
        <f>VLOOKUP(A264,'[1]Raw Data'!$A$3:$FB$285,6,FALSE)</f>
        <v>1974</v>
      </c>
      <c r="I264" s="27">
        <f>VLOOKUP($A264,'[1]Raw Data'!$A$3:$FB$285,8,FALSE)</f>
        <v>0.61</v>
      </c>
      <c r="J264" s="27">
        <f>VLOOKUP($A264,'[1]Raw Data'!$A$3:$FB$285,9,FALSE)</f>
        <v>1.65</v>
      </c>
      <c r="K264" s="27">
        <f>VLOOKUP($A264,'[1]Raw Data'!$A$3:$FB$285,11,FALSE)</f>
        <v>64.290000000000006</v>
      </c>
      <c r="L264" s="27">
        <f>VLOOKUP($A264,'[1]Raw Data'!$A$3:$FB$285,12,FALSE)</f>
        <v>84.49</v>
      </c>
      <c r="M264" s="27">
        <f>VLOOKUP($A264,'[1]Raw Data'!$A$3:$FB$285,14,FALSE)</f>
        <v>2.99</v>
      </c>
      <c r="N264" s="27">
        <f>VLOOKUP($A264,'[1]Raw Data'!$A$3:$FB$285,15,FALSE)</f>
        <v>0.98</v>
      </c>
      <c r="O264" s="27">
        <f>VLOOKUP($A264,'[1]Raw Data'!$A$3:$FB$285,17,FALSE)</f>
        <v>1.77</v>
      </c>
      <c r="P264" s="27">
        <f>VLOOKUP($A264,'[1]Raw Data'!$A$3:$FB$285,18,FALSE)</f>
        <v>1.52</v>
      </c>
      <c r="Q264" s="27">
        <f>VLOOKUP($A264,'[1]Raw Data'!$A$3:$FB$285,20,FALSE)</f>
        <v>3.55</v>
      </c>
      <c r="R264" s="27">
        <f>VLOOKUP($A264,'[1]Raw Data'!$A$3:$FB$285,21,FALSE)</f>
        <v>1.1200000000000001</v>
      </c>
      <c r="S264" s="27">
        <f>VLOOKUP($A264,'[1]Raw Data'!$A$3:$FB$285,23,FALSE)</f>
        <v>0</v>
      </c>
      <c r="T264" s="27">
        <f>VLOOKUP($A264,'[1]Raw Data'!$A$3:$FB$285,24,FALSE)</f>
        <v>0</v>
      </c>
      <c r="U264" s="27">
        <f>VLOOKUP($A264,'[1]Raw Data'!$A$3:$FB$285,26,FALSE)</f>
        <v>0.1</v>
      </c>
      <c r="V264" s="27">
        <f>VLOOKUP($A264,'[1]Raw Data'!$A$3:$FB$285,27,FALSE)</f>
        <v>0.17</v>
      </c>
      <c r="W264" s="27">
        <f>VLOOKUP($A264,'[1]Raw Data'!$A$3:$FB$285,29,FALSE)</f>
        <v>0</v>
      </c>
      <c r="X264" s="27">
        <f>VLOOKUP($A264,'[1]Raw Data'!$A$3:$FB$285,30,FALSE)</f>
        <v>0</v>
      </c>
      <c r="Y264" s="27">
        <f>VLOOKUP($A264,'[1]Raw Data'!$A$3:$FB$285,32,FALSE)</f>
        <v>0</v>
      </c>
      <c r="Z264" s="27">
        <f>VLOOKUP($A264,'[1]Raw Data'!$A$3:$FB$285,33,FALSE)</f>
        <v>0.06</v>
      </c>
      <c r="AA264" s="27">
        <f>VLOOKUP($A264,'[1]Raw Data'!$A$3:$FB$285,35,FALSE)</f>
        <v>26.6</v>
      </c>
      <c r="AB264" s="27">
        <f>VLOOKUP($A264,'[1]Raw Data'!$A$3:$FB$285,36,FALSE)</f>
        <v>9.92</v>
      </c>
      <c r="AC264" s="27">
        <f>VLOOKUP($A264,'[1]Raw Data'!$A$3:$FB$285,38,FALSE)</f>
        <v>0.1</v>
      </c>
      <c r="AD264" s="27">
        <f>VLOOKUP($A264,'[1]Raw Data'!$A$3:$FB$285,39,FALSE)</f>
        <v>0.09</v>
      </c>
      <c r="AE264" s="27">
        <f>VLOOKUP($A264,'[1]Raw Data'!$A$3:$FB$285,41,FALSE)</f>
        <v>0</v>
      </c>
      <c r="AF264" s="27">
        <f>VLOOKUP($A264,'[1]Raw Data'!$A$3:$FB$285,42,FALSE)</f>
        <v>0</v>
      </c>
      <c r="AG264" s="27">
        <f>VLOOKUP($A264,'[1]Raw Data'!$A$3:$FB$285,44,FALSE)</f>
        <v>0</v>
      </c>
      <c r="AH264" s="27">
        <f>VLOOKUP($A264,'[1]Raw Data'!$A$3:$FB$285,45,FALSE)</f>
        <v>0</v>
      </c>
      <c r="AI264" s="27">
        <f>VLOOKUP($A264,'[1]Raw Data'!$A$3:$FB$285,46,FALSE)</f>
        <v>520</v>
      </c>
      <c r="AJ264" s="27">
        <f>VLOOKUP($A264,'[1]Raw Data'!$A$3:$FB$285,47,FALSE)</f>
        <v>386</v>
      </c>
      <c r="AK264" s="27">
        <f>VLOOKUP($A264,'[1]Raw Data'!$A$3:$FB$285,48,FALSE)</f>
        <v>386</v>
      </c>
      <c r="AL264" s="27">
        <f>VLOOKUP($A264,'[1]Raw Data'!$A$3:$FB$285,49,FALSE)</f>
        <v>86</v>
      </c>
      <c r="AM264" s="27">
        <f>VLOOKUP($A264,'[1]Raw Data'!$A$3:$FB$285,50,FALSE)</f>
        <v>0</v>
      </c>
      <c r="AN264" s="27" t="str">
        <f>VLOOKUP($A264,'[1]Raw Data'!$A$3:$FB$285,51,FALSE)</f>
        <v/>
      </c>
      <c r="AO264" s="27" t="str">
        <f>VLOOKUP($A264,'[1]Raw Data'!$A$3:$FB$285,52,FALSE)</f>
        <v/>
      </c>
      <c r="AP264" s="27">
        <f>VLOOKUP($A264,'[1]Raw Data'!$A$3:$FB$285,53,FALSE)</f>
        <v>36</v>
      </c>
      <c r="AQ264" s="27" t="str">
        <f>VLOOKUP($A264,'[1]Raw Data'!$A$3:$FB$285,54,FALSE)</f>
        <v/>
      </c>
      <c r="AR264" s="27" t="str">
        <f>VLOOKUP($A264,'[1]Raw Data'!$A$3:$FB$285,55,FALSE)</f>
        <v/>
      </c>
      <c r="AS264" s="27" t="str">
        <f>VLOOKUP($A264,'[1]Raw Data'!$A$3:$FB$285,56,FALSE)</f>
        <v/>
      </c>
      <c r="AT264" s="27" t="str">
        <f>VLOOKUP($A264,'[1]Raw Data'!$A$3:$FB$285,57,FALSE)</f>
        <v/>
      </c>
      <c r="AU264" s="27" t="str">
        <f>VLOOKUP($A264,'[1]Raw Data'!$A$3:$FB$285,58,FALSE)</f>
        <v/>
      </c>
      <c r="AV264" s="27" t="str">
        <f>VLOOKUP($A264,'[1]Raw Data'!$A$3:$FB$285,59,FALSE)</f>
        <v/>
      </c>
      <c r="AW264" s="27" t="str">
        <f>VLOOKUP($A264,'[1]Raw Data'!$A$3:$FB$285,60,FALSE)</f>
        <v/>
      </c>
      <c r="AX264" s="27" t="str">
        <f>VLOOKUP(A264,'[1]PO''s List'!A262:E544,4,FALSE)</f>
        <v/>
      </c>
      <c r="AZ264" s="27" t="str">
        <f>VLOOKUP(A264,'[1]PO''s List'!$A$3:$E$285,5,FALSE)</f>
        <v/>
      </c>
      <c r="BB264" s="27">
        <f>VLOOKUP($A264,'[1]Raw Data'!$A$3:$FB$285,63,FALSE)</f>
        <v>12013</v>
      </c>
      <c r="BC264" s="27" t="str">
        <f>VLOOKUP($A264,'[1]Raw Data'!$A$3:$FB$285,64,FALSE)</f>
        <v/>
      </c>
      <c r="BD264" s="27" t="str">
        <f t="shared" si="36"/>
        <v/>
      </c>
      <c r="BE264" s="27" t="str">
        <f>VLOOKUP($A264,'[1]Raw Data'!$A$3:$FB$285,65,FALSE)</f>
        <v/>
      </c>
      <c r="BF264" s="27">
        <f>VLOOKUP($A264,'[1]Raw Data'!$A$3:$FB$285,66,FALSE)</f>
        <v>11249</v>
      </c>
      <c r="BG264" s="27" t="str">
        <f>VLOOKUP($A264,'[1]Raw Data'!$A$3:$FB$285,67,FALSE)</f>
        <v/>
      </c>
      <c r="BH264" s="27" t="str">
        <f t="shared" si="37"/>
        <v/>
      </c>
      <c r="BI264" s="27" t="str">
        <f>VLOOKUP($A264,'[1]Raw Data'!$A$3:$FB$285,68,FALSE)</f>
        <v/>
      </c>
      <c r="BJ264" s="27">
        <f>VLOOKUP($A264,'[1]Raw Data'!$A$3:$FB$285,69,FALSE)</f>
        <v>1273</v>
      </c>
      <c r="BK264" s="27" t="str">
        <f>VLOOKUP($A264,'[1]Raw Data'!$A$3:$FB$285,70,FALSE)</f>
        <v/>
      </c>
      <c r="BL264" s="27" t="str">
        <f t="shared" si="38"/>
        <v/>
      </c>
      <c r="BM264" s="27" t="str">
        <f>VLOOKUP($A264,'[1]Raw Data'!$A$3:$FB$285,71,FALSE)</f>
        <v/>
      </c>
      <c r="BN264" s="27">
        <f>VLOOKUP($A264,'[1]Raw Data'!$A$3:$FB$285,72,FALSE)</f>
        <v>1432</v>
      </c>
      <c r="BO264" s="27" t="str">
        <f>VLOOKUP($A264,'[1]Raw Data'!$A$3:$FB$285,73,FALSE)</f>
        <v/>
      </c>
      <c r="BP264" s="27" t="str">
        <f t="shared" si="39"/>
        <v/>
      </c>
      <c r="BQ264" s="27" t="str">
        <f>VLOOKUP($A264,'[1]Raw Data'!$A$3:$FB$285,74,FALSE)</f>
        <v/>
      </c>
      <c r="BR264" s="27" t="str">
        <f>VLOOKUP($A264,'[1]Raw Data'!$A$3:$FB$285,75,FALSE)</f>
        <v/>
      </c>
      <c r="BS264" s="27" t="str">
        <f>VLOOKUP($A264,'[1]Raw Data'!$A$3:$FB$285,76,FALSE)</f>
        <v/>
      </c>
      <c r="BT264" s="27" t="str">
        <f t="shared" si="40"/>
        <v/>
      </c>
      <c r="BU264" s="27" t="str">
        <f>VLOOKUP($A264,'[1]Raw Data'!$A$3:$FB$285,77,FALSE)</f>
        <v/>
      </c>
      <c r="BV264" s="27">
        <f>VLOOKUP($A264,'[1]Raw Data'!$A$3:$FB$285,78,FALSE)</f>
        <v>37388</v>
      </c>
      <c r="BW264" s="27" t="str">
        <f>VLOOKUP($A264,'[1]Raw Data'!$A$3:$FB$285,79,FALSE)</f>
        <v/>
      </c>
      <c r="BX264" s="27" t="str">
        <f t="shared" si="41"/>
        <v/>
      </c>
      <c r="BY264" s="27" t="str">
        <f>VLOOKUP($A264,'[1]Raw Data'!$A$3:$FB$285,80,FALSE)</f>
        <v/>
      </c>
      <c r="BZ264" s="27">
        <f>VLOOKUP($A264,'[1]Raw Data'!$A$3:$FB$285,81,FALSE)</f>
        <v>131766</v>
      </c>
      <c r="CA264" s="27" t="str">
        <f>VLOOKUP($A264,'[1]Raw Data'!$A$3:$FB$285,82,FALSE)</f>
        <v/>
      </c>
      <c r="CB264" s="27" t="str">
        <f t="shared" si="42"/>
        <v/>
      </c>
      <c r="CC264" s="27" t="str">
        <f>VLOOKUP($A264,'[1]Raw Data'!$A$3:$FB$285,83,FALSE)</f>
        <v/>
      </c>
      <c r="CD264" s="27">
        <f>VLOOKUP($A264,'[1]Raw Data'!$A$3:$FB$285,84,FALSE)</f>
        <v>1526</v>
      </c>
      <c r="CE264" s="27" t="str">
        <f>VLOOKUP($A264,'[1]Raw Data'!$A$3:$FB$285,85,FALSE)</f>
        <v/>
      </c>
      <c r="CF264" s="27" t="str">
        <f t="shared" si="43"/>
        <v/>
      </c>
      <c r="CG264" s="27" t="str">
        <f>VLOOKUP($A264,'[1]Raw Data'!$A$3:$FB$285,86,FALSE)</f>
        <v/>
      </c>
      <c r="CH264" s="27">
        <f>VLOOKUP($A264,'[1]Raw Data'!$A$3:$FB$285,87,FALSE)</f>
        <v>188515</v>
      </c>
      <c r="CI264" s="27" t="str">
        <f>VLOOKUP($A264,'[1]Raw Data'!$A$3:$FB$285,88,FALSE)</f>
        <v/>
      </c>
      <c r="CJ264" s="27" t="str">
        <f t="shared" si="44"/>
        <v/>
      </c>
      <c r="CK264" s="27" t="str">
        <f>VLOOKUP($A264,'[1]Raw Data'!$A$3:$FB$285,89,FALSE)</f>
        <v/>
      </c>
      <c r="CL264" s="27" t="str">
        <f>VLOOKUP($A264,'[1]Raw Data'!$A$3:$FB$285,91,FALSE)</f>
        <v/>
      </c>
      <c r="CM264" s="27" t="str">
        <f>VLOOKUP($A264,'[1]Raw Data'!$A$3:$FB$285,93,FALSE)</f>
        <v/>
      </c>
      <c r="CN264" s="27" t="str">
        <f>VLOOKUP($A264,'[1]Raw Data'!$A$3:$FB$285,94,FALSE)</f>
        <v/>
      </c>
      <c r="CO264" s="27" t="str">
        <f>VLOOKUP($A264,'[1]Raw Data'!$A$3:$FB$285,95,FALSE)</f>
        <v/>
      </c>
      <c r="CP264" s="27" t="str">
        <f>VLOOKUP($A264,'[1]Raw Data'!$A$3:$FB$285,96,FALSE)</f>
        <v/>
      </c>
      <c r="CQ264" s="27" t="str">
        <f>VLOOKUP($A264,'[1]Raw Data'!$A$3:$FB$285,97,FALSE)</f>
        <v/>
      </c>
      <c r="CR264" s="27" t="str">
        <f>VLOOKUP($A264,'[1]Raw Data'!$A$3:$FB$285,98,FALSE)</f>
        <v/>
      </c>
      <c r="CS264" s="27" t="str">
        <f>VLOOKUP($A264,'[1]Raw Data'!$A$3:$FB$285,99,FALSE)</f>
        <v/>
      </c>
      <c r="CT264" s="27" t="str">
        <f>VLOOKUP($A264,'[1]Raw Data'!$A$3:$FB$285,101,FALSE)</f>
        <v/>
      </c>
      <c r="CV264" s="27" t="str">
        <f>VLOOKUP($A264,'[1]Raw Data'!$A$3:$FB$285,102,FALSE)</f>
        <v>Mayor</v>
      </c>
      <c r="CW264" s="27" t="s">
        <v>834</v>
      </c>
      <c r="CX264" s="27" t="str">
        <f>VLOOKUP($A264,'[1]Raw Data'!$A$3:$FB$285,103,FALSE)</f>
        <v/>
      </c>
      <c r="CY264" s="27" t="str">
        <f>VLOOKUP($A264,'[1]Raw Data'!$A$3:$FB$285,105,FALSE)</f>
        <v/>
      </c>
      <c r="DA264" s="27" t="str">
        <f>VLOOKUP($A264,'[1]Raw Data'!$A$3:$FB$285,106,FALSE)</f>
        <v>Deputy Mayor</v>
      </c>
      <c r="DB264" s="27" t="s">
        <v>888</v>
      </c>
      <c r="DC264" s="27" t="str">
        <f>VLOOKUP($A264,'[1]Raw Data'!$A$3:$FB$285,107,FALSE)</f>
        <v/>
      </c>
      <c r="DD264" s="27" t="str">
        <f>VLOOKUP($A264,'[1]Raw Data'!$A$3:$FB$285,109,FALSE)</f>
        <v/>
      </c>
      <c r="DF264" s="27" t="str">
        <f>VLOOKUP($A264,'[1]Raw Data'!$A$3:$FB$285,110,FALSE)</f>
        <v>Chief Adminstration Officer</v>
      </c>
      <c r="DG264" s="27" t="s">
        <v>880</v>
      </c>
      <c r="DH264" s="27" t="str">
        <f>VLOOKUP($A264,'[1]Raw Data'!$A$3:$FB$285,111,FALSE)</f>
        <v/>
      </c>
      <c r="DI264" s="27" t="str">
        <f>VLOOKUP($A264,'[1]Raw Data'!$A$3:$FB$285,121,FALSE)</f>
        <v/>
      </c>
      <c r="DK264" s="27" t="str">
        <f>VLOOKUP($A264,'[1]Raw Data'!$A$3:$FB$285,122,FALSE)</f>
        <v>Focal Person</v>
      </c>
      <c r="DL264" s="27" t="s">
        <v>881</v>
      </c>
      <c r="DM264" s="27" t="str">
        <f>VLOOKUP($A264,'[1]Raw Data'!$A$3:$FB$285,123,FALSE)</f>
        <v/>
      </c>
      <c r="DN264" s="27" t="str">
        <f>VLOOKUP($A264,'[1]Raw Data'!$A$3:$FB$285,113,FALSE)</f>
        <v/>
      </c>
      <c r="DP264" s="27" t="str">
        <f>VLOOKUP($A264,'[1]Raw Data'!$A$3:$FB$285,114,FALSE)</f>
        <v>NRA Chief-District</v>
      </c>
      <c r="DQ264" s="27" t="s">
        <v>882</v>
      </c>
      <c r="DR264" s="27" t="str">
        <f>VLOOKUP($A264,'[1]Raw Data'!$A$3:$FB$285,115,FALSE)</f>
        <v/>
      </c>
      <c r="DS264" s="27" t="str">
        <f>VLOOKUP($A264,'[1]Raw Data'!$A$3:$FB$285,117,FALSE)</f>
        <v/>
      </c>
      <c r="DU264" s="27" t="str">
        <f>VLOOKUP($A264,'[1]Raw Data'!$A$3:$FB$285,118,FALSE)</f>
        <v>DUDBC.DLPIU Chief</v>
      </c>
      <c r="DV264" s="27" t="s">
        <v>883</v>
      </c>
      <c r="DW264" s="27" t="str">
        <f>VLOOKUP($A264,'[1]Raw Data'!$A$3:$FB$285,119,FALSE)</f>
        <v/>
      </c>
      <c r="DX264" s="27" t="s">
        <v>339</v>
      </c>
      <c r="DY264" s="27" t="str">
        <f>VLOOKUP($A264,'[1]Raw Data'!$A$3:$FB$285,124,FALSE)</f>
        <v/>
      </c>
      <c r="DZ264" s="27" t="s">
        <v>884</v>
      </c>
      <c r="EA264" s="27" t="str">
        <f>VLOOKUP($A264,'[1]Raw Data'!$A$3:$FB$285,125,FALSE)</f>
        <v/>
      </c>
      <c r="EB264" s="27" t="s">
        <v>341</v>
      </c>
      <c r="EC264" s="27" t="str">
        <f>VLOOKUP($A264,'[1]Raw Data'!$A$3:$FB$285,126,FALSE)</f>
        <v/>
      </c>
      <c r="ED264" t="s">
        <v>478</v>
      </c>
      <c r="EE264" s="27" t="str">
        <f>VLOOKUP($A264,'[1]Raw Data'!$A$3:$FB$285,127,FALSE)</f>
        <v/>
      </c>
      <c r="EF264" s="27" t="s">
        <v>343</v>
      </c>
      <c r="EG264" s="27" t="str">
        <f>VLOOKUP($A264,'[1]Raw Data'!$A$3:$FB$285,128,FALSE)</f>
        <v/>
      </c>
      <c r="EH264" t="s">
        <v>344</v>
      </c>
      <c r="EI264" s="27" t="str">
        <f>VLOOKUP($A264,'[1]Raw Data'!$A$3:$FB$285,129,FALSE)</f>
        <v/>
      </c>
      <c r="EM264" s="27" t="str">
        <f>VLOOKUP($A264,'[1]Raw Data'!$A$3:$FB$285,130,FALSE)</f>
        <v/>
      </c>
      <c r="EN264" s="27" t="str">
        <f>VLOOKUP($A264,'[1]Raw Data'!$A$3:$FB$285,131,FALSE)</f>
        <v/>
      </c>
      <c r="EO264" s="27" t="str">
        <f>VLOOKUP($A264,'[1]Raw Data'!$A$3:$FB$285,132,FALSE)</f>
        <v/>
      </c>
      <c r="EP264" s="27" t="str">
        <f>VLOOKUP($A264,'[1]Raw Data'!$A$3:$FB$285,133,FALSE)</f>
        <v/>
      </c>
      <c r="EQ264" s="27" t="str">
        <f>VLOOKUP($A264,'[1]Raw Data'!$A$3:$FB$285,134,FALSE)</f>
        <v/>
      </c>
      <c r="ER264" s="27" t="str">
        <f>VLOOKUP($A264,'[1]Raw Data'!$A$3:$FB$285,135,FALSE)</f>
        <v/>
      </c>
      <c r="ES264" s="27" t="str">
        <f>VLOOKUP($A264,'[1]Raw Data'!$A$3:$FB$285,136,FALSE)</f>
        <v/>
      </c>
      <c r="ET264" s="27" t="str">
        <f>VLOOKUP($A264,'[1]Raw Data'!$A$3:$FB$285,137,FALSE)</f>
        <v/>
      </c>
      <c r="EU264" s="27" t="str">
        <f>VLOOKUP($A264,'[1]Raw Data'!$A$3:$FB$285,138,FALSE)</f>
        <v/>
      </c>
      <c r="EV264" s="27" t="str">
        <f>VLOOKUP($A264,'[1]Raw Data'!$A$3:$FB$285,139,FALSE)</f>
        <v/>
      </c>
      <c r="EW264" s="38">
        <f>VLOOKUP($A264,[1]Training!$A$2:$I$284,5,FALSE)</f>
        <v>40</v>
      </c>
      <c r="EX264" s="31">
        <f>VLOOKUP($A264,[1]Training!$A$2:$I$284,6,FALSE)</f>
        <v>0</v>
      </c>
      <c r="EY264" s="38">
        <f>VLOOKUP($A264,[1]Training!$A$2:$I$284,8,FALSE)</f>
        <v>47.272727272727273</v>
      </c>
      <c r="EZ264" s="31">
        <f>VLOOKUP($A264,[1]Training!$A$2:$I$284,9,FALSE)</f>
        <v>0</v>
      </c>
      <c r="FA264" s="27">
        <v>1</v>
      </c>
      <c r="FB264" s="27">
        <v>2</v>
      </c>
      <c r="FC264" s="27" t="str">
        <f>VLOOKUP($A264,'[1]Raw Data'!$A$3:$FB$285,148,FALSE)</f>
        <v/>
      </c>
      <c r="FE264" s="27" t="str">
        <f>VLOOKUP($A264,'[1]Raw Data'!$A$3:$FB$285,149,FALSE)</f>
        <v>District Coordinator</v>
      </c>
      <c r="FF264" s="27" t="s">
        <v>885</v>
      </c>
      <c r="FG264" s="27" t="str">
        <f>VLOOKUP($A264,'[1]Raw Data'!$A$3:$FB$285,150,FALSE)</f>
        <v/>
      </c>
      <c r="FH264" s="27" t="str">
        <f>VLOOKUP($A264,'[1]Raw Data'!$A$3:$FB$285,156,FALSE)</f>
        <v/>
      </c>
      <c r="FJ264" s="27" t="str">
        <f>VLOOKUP($A264,'[1]Raw Data'!$A$3:$FB$285,157,FALSE)</f>
        <v>District Technical Officer</v>
      </c>
      <c r="FK264" s="27" t="s">
        <v>886</v>
      </c>
      <c r="FL264" s="27" t="str">
        <f>VLOOKUP($A264,'[1]Raw Data'!$A$3:$FB$285,158,FALSE)</f>
        <v/>
      </c>
      <c r="FM264" s="27" t="str">
        <f>VLOOKUP($A264,'[1]Raw Data'!$A$3:$FB$285,152,FALSE)</f>
        <v/>
      </c>
      <c r="FO264" s="27" t="str">
        <f>VLOOKUP($A264,'[1]Raw Data'!$A$3:$FB$285,153,FALSE)</f>
        <v>DIstrict Information Management Officer</v>
      </c>
      <c r="FP264" s="27" t="s">
        <v>887</v>
      </c>
      <c r="FQ264" s="27" t="str">
        <f>VLOOKUP($A264,'[1]Raw Data'!$A$3:$FB$285,154,FALSE)</f>
        <v/>
      </c>
    </row>
    <row r="265" spans="1:173" ht="24" x14ac:dyDescent="0.45">
      <c r="A265" s="27">
        <v>47010</v>
      </c>
      <c r="B265" s="36" t="str">
        <f ca="1">IFERROR(__xludf.DUMMYFUNCTION("""COMPUTED_VALUE"""),"Tinau Gaunpalika")</f>
        <v>Tinau Gaunpalika</v>
      </c>
      <c r="C265" s="37" t="str">
        <f>VLOOKUP(A265,'[1]Palika and District in Nepali '!$D$1:$F$283,3,FALSE)</f>
        <v>तिनऊ गाउँपालिका</v>
      </c>
      <c r="D265" s="36" t="str">
        <f ca="1">IFERROR(__xludf.DUMMYFUNCTION("""COMPUTED_VALUE"""),"Palpa")</f>
        <v>Palpa</v>
      </c>
      <c r="E265" s="36"/>
      <c r="F265" s="27">
        <f>VLOOKUP(A265,'[1]Raw Data'!$A$3:$FB$285,4,FALSE)</f>
        <v>277</v>
      </c>
      <c r="G265" s="27">
        <f>VLOOKUP(A265,'[1]Raw Data'!$A$3:$FB$285,5,FALSE)</f>
        <v>352</v>
      </c>
      <c r="H265" s="27">
        <f>VLOOKUP(A265,'[1]Raw Data'!$A$3:$FB$285,6,FALSE)</f>
        <v>629</v>
      </c>
      <c r="I265" s="27">
        <f>VLOOKUP($A265,'[1]Raw Data'!$A$3:$FB$285,8,FALSE)</f>
        <v>0.95</v>
      </c>
      <c r="J265" s="27">
        <f>VLOOKUP($A265,'[1]Raw Data'!$A$3:$FB$285,9,FALSE)</f>
        <v>1.65</v>
      </c>
      <c r="K265" s="27">
        <f>VLOOKUP($A265,'[1]Raw Data'!$A$3:$FB$285,11,FALSE)</f>
        <v>97.93</v>
      </c>
      <c r="L265" s="27">
        <f>VLOOKUP($A265,'[1]Raw Data'!$A$3:$FB$285,12,FALSE)</f>
        <v>84.49</v>
      </c>
      <c r="M265" s="27">
        <f>VLOOKUP($A265,'[1]Raw Data'!$A$3:$FB$285,14,FALSE)</f>
        <v>0.48</v>
      </c>
      <c r="N265" s="27">
        <f>VLOOKUP($A265,'[1]Raw Data'!$A$3:$FB$285,15,FALSE)</f>
        <v>0.98</v>
      </c>
      <c r="O265" s="27">
        <f>VLOOKUP($A265,'[1]Raw Data'!$A$3:$FB$285,17,FALSE)</f>
        <v>0</v>
      </c>
      <c r="P265" s="27">
        <f>VLOOKUP($A265,'[1]Raw Data'!$A$3:$FB$285,18,FALSE)</f>
        <v>1.52</v>
      </c>
      <c r="Q265" s="27">
        <f>VLOOKUP($A265,'[1]Raw Data'!$A$3:$FB$285,20,FALSE)</f>
        <v>0</v>
      </c>
      <c r="R265" s="27">
        <f>VLOOKUP($A265,'[1]Raw Data'!$A$3:$FB$285,21,FALSE)</f>
        <v>1.1200000000000001</v>
      </c>
      <c r="S265" s="27">
        <f>VLOOKUP($A265,'[1]Raw Data'!$A$3:$FB$285,23,FALSE)</f>
        <v>0</v>
      </c>
      <c r="T265" s="27">
        <f>VLOOKUP($A265,'[1]Raw Data'!$A$3:$FB$285,24,FALSE)</f>
        <v>0</v>
      </c>
      <c r="U265" s="27">
        <f>VLOOKUP($A265,'[1]Raw Data'!$A$3:$FB$285,26,FALSE)</f>
        <v>0.16</v>
      </c>
      <c r="V265" s="27">
        <f>VLOOKUP($A265,'[1]Raw Data'!$A$3:$FB$285,27,FALSE)</f>
        <v>0.17</v>
      </c>
      <c r="W265" s="27">
        <f>VLOOKUP($A265,'[1]Raw Data'!$A$3:$FB$285,29,FALSE)</f>
        <v>0</v>
      </c>
      <c r="X265" s="27">
        <f>VLOOKUP($A265,'[1]Raw Data'!$A$3:$FB$285,30,FALSE)</f>
        <v>0</v>
      </c>
      <c r="Y265" s="27">
        <f>VLOOKUP($A265,'[1]Raw Data'!$A$3:$FB$285,32,FALSE)</f>
        <v>0</v>
      </c>
      <c r="Z265" s="27">
        <f>VLOOKUP($A265,'[1]Raw Data'!$A$3:$FB$285,33,FALSE)</f>
        <v>0.06</v>
      </c>
      <c r="AA265" s="27">
        <f>VLOOKUP($A265,'[1]Raw Data'!$A$3:$FB$285,35,FALSE)</f>
        <v>0.48</v>
      </c>
      <c r="AB265" s="27">
        <f>VLOOKUP($A265,'[1]Raw Data'!$A$3:$FB$285,36,FALSE)</f>
        <v>9.92</v>
      </c>
      <c r="AC265" s="27">
        <f>VLOOKUP($A265,'[1]Raw Data'!$A$3:$FB$285,38,FALSE)</f>
        <v>0</v>
      </c>
      <c r="AD265" s="27">
        <f>VLOOKUP($A265,'[1]Raw Data'!$A$3:$FB$285,39,FALSE)</f>
        <v>0.09</v>
      </c>
      <c r="AE265" s="27">
        <f>VLOOKUP($A265,'[1]Raw Data'!$A$3:$FB$285,41,FALSE)</f>
        <v>0</v>
      </c>
      <c r="AF265" s="27">
        <f>VLOOKUP($A265,'[1]Raw Data'!$A$3:$FB$285,42,FALSE)</f>
        <v>0</v>
      </c>
      <c r="AG265" s="27">
        <f>VLOOKUP($A265,'[1]Raw Data'!$A$3:$FB$285,44,FALSE)</f>
        <v>0</v>
      </c>
      <c r="AH265" s="27">
        <f>VLOOKUP($A265,'[1]Raw Data'!$A$3:$FB$285,45,FALSE)</f>
        <v>0</v>
      </c>
      <c r="AI265" s="27">
        <f>VLOOKUP($A265,'[1]Raw Data'!$A$3:$FB$285,46,FALSE)</f>
        <v>326</v>
      </c>
      <c r="AJ265" s="27">
        <f>VLOOKUP($A265,'[1]Raw Data'!$A$3:$FB$285,47,FALSE)</f>
        <v>88</v>
      </c>
      <c r="AK265" s="27">
        <f>VLOOKUP($A265,'[1]Raw Data'!$A$3:$FB$285,48,FALSE)</f>
        <v>88</v>
      </c>
      <c r="AL265" s="27">
        <f>VLOOKUP($A265,'[1]Raw Data'!$A$3:$FB$285,49,FALSE)</f>
        <v>48</v>
      </c>
      <c r="AM265" s="27">
        <f>VLOOKUP($A265,'[1]Raw Data'!$A$3:$FB$285,50,FALSE)</f>
        <v>12</v>
      </c>
      <c r="AN265" s="27" t="str">
        <f>VLOOKUP($A265,'[1]Raw Data'!$A$3:$FB$285,51,FALSE)</f>
        <v/>
      </c>
      <c r="AO265" s="27" t="str">
        <f>VLOOKUP($A265,'[1]Raw Data'!$A$3:$FB$285,52,FALSE)</f>
        <v/>
      </c>
      <c r="AP265" s="27">
        <f>VLOOKUP($A265,'[1]Raw Data'!$A$3:$FB$285,53,FALSE)</f>
        <v>51</v>
      </c>
      <c r="AQ265" s="27" t="str">
        <f>VLOOKUP($A265,'[1]Raw Data'!$A$3:$FB$285,54,FALSE)</f>
        <v/>
      </c>
      <c r="AR265" s="27" t="str">
        <f>VLOOKUP($A265,'[1]Raw Data'!$A$3:$FB$285,55,FALSE)</f>
        <v/>
      </c>
      <c r="AS265" s="27" t="str">
        <f>VLOOKUP($A265,'[1]Raw Data'!$A$3:$FB$285,56,FALSE)</f>
        <v/>
      </c>
      <c r="AT265" s="27" t="str">
        <f>VLOOKUP($A265,'[1]Raw Data'!$A$3:$FB$285,57,FALSE)</f>
        <v/>
      </c>
      <c r="AU265" s="27" t="str">
        <f>VLOOKUP($A265,'[1]Raw Data'!$A$3:$FB$285,58,FALSE)</f>
        <v/>
      </c>
      <c r="AV265" s="27" t="str">
        <f>VLOOKUP($A265,'[1]Raw Data'!$A$3:$FB$285,59,FALSE)</f>
        <v/>
      </c>
      <c r="AW265" s="27" t="str">
        <f>VLOOKUP($A265,'[1]Raw Data'!$A$3:$FB$285,60,FALSE)</f>
        <v/>
      </c>
      <c r="AX265" s="27" t="str">
        <f>VLOOKUP(A265,'[1]PO''s List'!A263:E545,4,FALSE)</f>
        <v/>
      </c>
      <c r="AZ265" s="27" t="str">
        <f>VLOOKUP(A265,'[1]PO''s List'!$A$3:$E$285,5,FALSE)</f>
        <v/>
      </c>
      <c r="BB265" s="27">
        <f>VLOOKUP($A265,'[1]Raw Data'!$A$3:$FB$285,63,FALSE)</f>
        <v>2237</v>
      </c>
      <c r="BC265" s="27" t="str">
        <f>VLOOKUP($A265,'[1]Raw Data'!$A$3:$FB$285,64,FALSE)</f>
        <v/>
      </c>
      <c r="BD265" s="27" t="str">
        <f t="shared" si="36"/>
        <v/>
      </c>
      <c r="BE265" s="27" t="str">
        <f>VLOOKUP($A265,'[1]Raw Data'!$A$3:$FB$285,65,FALSE)</f>
        <v/>
      </c>
      <c r="BF265" s="27">
        <f>VLOOKUP($A265,'[1]Raw Data'!$A$3:$FB$285,66,FALSE)</f>
        <v>2217</v>
      </c>
      <c r="BG265" s="27" t="str">
        <f>VLOOKUP($A265,'[1]Raw Data'!$A$3:$FB$285,67,FALSE)</f>
        <v/>
      </c>
      <c r="BH265" s="27" t="str">
        <f t="shared" si="37"/>
        <v/>
      </c>
      <c r="BI265" s="27" t="str">
        <f>VLOOKUP($A265,'[1]Raw Data'!$A$3:$FB$285,68,FALSE)</f>
        <v/>
      </c>
      <c r="BJ265" s="27">
        <f>VLOOKUP($A265,'[1]Raw Data'!$A$3:$FB$285,69,FALSE)</f>
        <v>238</v>
      </c>
      <c r="BK265" s="27" t="str">
        <f>VLOOKUP($A265,'[1]Raw Data'!$A$3:$FB$285,70,FALSE)</f>
        <v/>
      </c>
      <c r="BL265" s="27" t="str">
        <f t="shared" si="38"/>
        <v/>
      </c>
      <c r="BM265" s="27" t="str">
        <f>VLOOKUP($A265,'[1]Raw Data'!$A$3:$FB$285,71,FALSE)</f>
        <v/>
      </c>
      <c r="BN265" s="27">
        <f>VLOOKUP($A265,'[1]Raw Data'!$A$3:$FB$285,72,FALSE)</f>
        <v>272</v>
      </c>
      <c r="BO265" s="27" t="str">
        <f>VLOOKUP($A265,'[1]Raw Data'!$A$3:$FB$285,73,FALSE)</f>
        <v/>
      </c>
      <c r="BP265" s="27" t="str">
        <f t="shared" si="39"/>
        <v/>
      </c>
      <c r="BQ265" s="27" t="str">
        <f>VLOOKUP($A265,'[1]Raw Data'!$A$3:$FB$285,74,FALSE)</f>
        <v/>
      </c>
      <c r="BR265" s="27" t="str">
        <f>VLOOKUP($A265,'[1]Raw Data'!$A$3:$FB$285,75,FALSE)</f>
        <v/>
      </c>
      <c r="BS265" s="27" t="str">
        <f>VLOOKUP($A265,'[1]Raw Data'!$A$3:$FB$285,76,FALSE)</f>
        <v/>
      </c>
      <c r="BT265" s="27" t="str">
        <f t="shared" si="40"/>
        <v/>
      </c>
      <c r="BU265" s="27" t="str">
        <f>VLOOKUP($A265,'[1]Raw Data'!$A$3:$FB$285,77,FALSE)</f>
        <v/>
      </c>
      <c r="BV265" s="27">
        <f>VLOOKUP($A265,'[1]Raw Data'!$A$3:$FB$285,78,FALSE)</f>
        <v>7412</v>
      </c>
      <c r="BW265" s="27" t="str">
        <f>VLOOKUP($A265,'[1]Raw Data'!$A$3:$FB$285,79,FALSE)</f>
        <v/>
      </c>
      <c r="BX265" s="27" t="str">
        <f t="shared" si="41"/>
        <v/>
      </c>
      <c r="BY265" s="27" t="str">
        <f>VLOOKUP($A265,'[1]Raw Data'!$A$3:$FB$285,80,FALSE)</f>
        <v/>
      </c>
      <c r="BZ265" s="27">
        <f>VLOOKUP($A265,'[1]Raw Data'!$A$3:$FB$285,81,FALSE)</f>
        <v>24441</v>
      </c>
      <c r="CA265" s="27" t="str">
        <f>VLOOKUP($A265,'[1]Raw Data'!$A$3:$FB$285,82,FALSE)</f>
        <v/>
      </c>
      <c r="CB265" s="27" t="str">
        <f t="shared" si="42"/>
        <v/>
      </c>
      <c r="CC265" s="27" t="str">
        <f>VLOOKUP($A265,'[1]Raw Data'!$A$3:$FB$285,83,FALSE)</f>
        <v/>
      </c>
      <c r="CD265" s="27">
        <f>VLOOKUP($A265,'[1]Raw Data'!$A$3:$FB$285,84,FALSE)</f>
        <v>303</v>
      </c>
      <c r="CE265" s="27" t="str">
        <f>VLOOKUP($A265,'[1]Raw Data'!$A$3:$FB$285,85,FALSE)</f>
        <v/>
      </c>
      <c r="CF265" s="27" t="str">
        <f t="shared" si="43"/>
        <v/>
      </c>
      <c r="CG265" s="27" t="str">
        <f>VLOOKUP($A265,'[1]Raw Data'!$A$3:$FB$285,86,FALSE)</f>
        <v/>
      </c>
      <c r="CH265" s="27">
        <f>VLOOKUP($A265,'[1]Raw Data'!$A$3:$FB$285,87,FALSE)</f>
        <v>36236</v>
      </c>
      <c r="CI265" s="27" t="str">
        <f>VLOOKUP($A265,'[1]Raw Data'!$A$3:$FB$285,88,FALSE)</f>
        <v/>
      </c>
      <c r="CJ265" s="27" t="str">
        <f t="shared" si="44"/>
        <v/>
      </c>
      <c r="CK265" s="27" t="str">
        <f>VLOOKUP($A265,'[1]Raw Data'!$A$3:$FB$285,89,FALSE)</f>
        <v/>
      </c>
      <c r="CL265" s="27" t="str">
        <f>VLOOKUP($A265,'[1]Raw Data'!$A$3:$FB$285,91,FALSE)</f>
        <v/>
      </c>
      <c r="CM265" s="27" t="str">
        <f>VLOOKUP($A265,'[1]Raw Data'!$A$3:$FB$285,93,FALSE)</f>
        <v/>
      </c>
      <c r="CN265" s="27" t="str">
        <f>VLOOKUP($A265,'[1]Raw Data'!$A$3:$FB$285,94,FALSE)</f>
        <v/>
      </c>
      <c r="CO265" s="27" t="str">
        <f>VLOOKUP($A265,'[1]Raw Data'!$A$3:$FB$285,95,FALSE)</f>
        <v/>
      </c>
      <c r="CP265" s="27" t="str">
        <f>VLOOKUP($A265,'[1]Raw Data'!$A$3:$FB$285,96,FALSE)</f>
        <v/>
      </c>
      <c r="CQ265" s="27" t="str">
        <f>VLOOKUP($A265,'[1]Raw Data'!$A$3:$FB$285,97,FALSE)</f>
        <v/>
      </c>
      <c r="CR265" s="27" t="str">
        <f>VLOOKUP($A265,'[1]Raw Data'!$A$3:$FB$285,98,FALSE)</f>
        <v/>
      </c>
      <c r="CS265" s="27" t="str">
        <f>VLOOKUP($A265,'[1]Raw Data'!$A$3:$FB$285,99,FALSE)</f>
        <v/>
      </c>
      <c r="CT265" s="27" t="str">
        <f>VLOOKUP($A265,'[1]Raw Data'!$A$3:$FB$285,101,FALSE)</f>
        <v/>
      </c>
      <c r="CV265" s="27" t="str">
        <f>VLOOKUP($A265,'[1]Raw Data'!$A$3:$FB$285,102,FALSE)</f>
        <v>Chairman</v>
      </c>
      <c r="CW265" s="27" t="s">
        <v>878</v>
      </c>
      <c r="CX265" s="27" t="str">
        <f>VLOOKUP($A265,'[1]Raw Data'!$A$3:$FB$285,103,FALSE)</f>
        <v/>
      </c>
      <c r="CY265" s="27" t="str">
        <f>VLOOKUP($A265,'[1]Raw Data'!$A$3:$FB$285,105,FALSE)</f>
        <v/>
      </c>
      <c r="DA265" s="27" t="str">
        <f>VLOOKUP($A265,'[1]Raw Data'!$A$3:$FB$285,106,FALSE)</f>
        <v>Deputy Chairman</v>
      </c>
      <c r="DB265" s="27" t="s">
        <v>879</v>
      </c>
      <c r="DC265" s="27" t="str">
        <f>VLOOKUP($A265,'[1]Raw Data'!$A$3:$FB$285,107,FALSE)</f>
        <v/>
      </c>
      <c r="DD265" s="27" t="str">
        <f>VLOOKUP($A265,'[1]Raw Data'!$A$3:$FB$285,109,FALSE)</f>
        <v/>
      </c>
      <c r="DF265" s="27" t="str">
        <f>VLOOKUP($A265,'[1]Raw Data'!$A$3:$FB$285,110,FALSE)</f>
        <v>Chief Adminstration Officer</v>
      </c>
      <c r="DG265" s="27" t="s">
        <v>880</v>
      </c>
      <c r="DH265" s="27" t="str">
        <f>VLOOKUP($A265,'[1]Raw Data'!$A$3:$FB$285,111,FALSE)</f>
        <v/>
      </c>
      <c r="DI265" s="27" t="str">
        <f>VLOOKUP($A265,'[1]Raw Data'!$A$3:$FB$285,121,FALSE)</f>
        <v/>
      </c>
      <c r="DK265" s="27" t="str">
        <f>VLOOKUP($A265,'[1]Raw Data'!$A$3:$FB$285,122,FALSE)</f>
        <v>Focal Person</v>
      </c>
      <c r="DL265" s="27" t="s">
        <v>881</v>
      </c>
      <c r="DM265" s="27" t="str">
        <f>VLOOKUP($A265,'[1]Raw Data'!$A$3:$FB$285,123,FALSE)</f>
        <v/>
      </c>
      <c r="DN265" s="27" t="str">
        <f>VLOOKUP($A265,'[1]Raw Data'!$A$3:$FB$285,113,FALSE)</f>
        <v/>
      </c>
      <c r="DP265" s="27" t="str">
        <f>VLOOKUP($A265,'[1]Raw Data'!$A$3:$FB$285,114,FALSE)</f>
        <v>NRA Chief-District</v>
      </c>
      <c r="DQ265" s="27" t="s">
        <v>882</v>
      </c>
      <c r="DR265" s="27" t="str">
        <f>VLOOKUP($A265,'[1]Raw Data'!$A$3:$FB$285,115,FALSE)</f>
        <v/>
      </c>
      <c r="DS265" s="27" t="str">
        <f>VLOOKUP($A265,'[1]Raw Data'!$A$3:$FB$285,117,FALSE)</f>
        <v/>
      </c>
      <c r="DU265" s="27" t="str">
        <f>VLOOKUP($A265,'[1]Raw Data'!$A$3:$FB$285,118,FALSE)</f>
        <v>DUDBC.DLPIU Chief</v>
      </c>
      <c r="DV265" s="27" t="s">
        <v>883</v>
      </c>
      <c r="DW265" s="27" t="str">
        <f>VLOOKUP($A265,'[1]Raw Data'!$A$3:$FB$285,119,FALSE)</f>
        <v/>
      </c>
      <c r="DX265" s="27" t="s">
        <v>339</v>
      </c>
      <c r="DY265" s="27" t="str">
        <f>VLOOKUP($A265,'[1]Raw Data'!$A$3:$FB$285,124,FALSE)</f>
        <v/>
      </c>
      <c r="DZ265" s="27" t="s">
        <v>884</v>
      </c>
      <c r="EA265" s="27" t="str">
        <f>VLOOKUP($A265,'[1]Raw Data'!$A$3:$FB$285,125,FALSE)</f>
        <v/>
      </c>
      <c r="EB265" s="27" t="s">
        <v>341</v>
      </c>
      <c r="EC265" s="27" t="str">
        <f>VLOOKUP($A265,'[1]Raw Data'!$A$3:$FB$285,126,FALSE)</f>
        <v/>
      </c>
      <c r="ED265" t="s">
        <v>478</v>
      </c>
      <c r="EE265" s="27" t="str">
        <f>VLOOKUP($A265,'[1]Raw Data'!$A$3:$FB$285,127,FALSE)</f>
        <v/>
      </c>
      <c r="EF265" s="27" t="s">
        <v>343</v>
      </c>
      <c r="EG265" s="27" t="str">
        <f>VLOOKUP($A265,'[1]Raw Data'!$A$3:$FB$285,128,FALSE)</f>
        <v/>
      </c>
      <c r="EH265" t="s">
        <v>344</v>
      </c>
      <c r="EI265" s="27" t="str">
        <f>VLOOKUP($A265,'[1]Raw Data'!$A$3:$FB$285,129,FALSE)</f>
        <v/>
      </c>
      <c r="EM265" s="27" t="str">
        <f>VLOOKUP($A265,'[1]Raw Data'!$A$3:$FB$285,130,FALSE)</f>
        <v/>
      </c>
      <c r="EN265" s="27" t="str">
        <f>VLOOKUP($A265,'[1]Raw Data'!$A$3:$FB$285,131,FALSE)</f>
        <v/>
      </c>
      <c r="EO265" s="27" t="str">
        <f>VLOOKUP($A265,'[1]Raw Data'!$A$3:$FB$285,132,FALSE)</f>
        <v/>
      </c>
      <c r="EP265" s="27" t="str">
        <f>VLOOKUP($A265,'[1]Raw Data'!$A$3:$FB$285,133,FALSE)</f>
        <v/>
      </c>
      <c r="EQ265" s="27" t="str">
        <f>VLOOKUP($A265,'[1]Raw Data'!$A$3:$FB$285,134,FALSE)</f>
        <v/>
      </c>
      <c r="ER265" s="27" t="str">
        <f>VLOOKUP($A265,'[1]Raw Data'!$A$3:$FB$285,135,FALSE)</f>
        <v/>
      </c>
      <c r="ES265" s="27" t="str">
        <f>VLOOKUP($A265,'[1]Raw Data'!$A$3:$FB$285,136,FALSE)</f>
        <v/>
      </c>
      <c r="ET265" s="27" t="str">
        <f>VLOOKUP($A265,'[1]Raw Data'!$A$3:$FB$285,137,FALSE)</f>
        <v/>
      </c>
      <c r="EU265" s="27" t="str">
        <f>VLOOKUP($A265,'[1]Raw Data'!$A$3:$FB$285,138,FALSE)</f>
        <v/>
      </c>
      <c r="EV265" s="27" t="str">
        <f>VLOOKUP($A265,'[1]Raw Data'!$A$3:$FB$285,139,FALSE)</f>
        <v/>
      </c>
      <c r="EW265" s="38">
        <f>VLOOKUP($A265,[1]Training!$A$2:$I$284,5,FALSE)</f>
        <v>25.076923076923077</v>
      </c>
      <c r="EX265" s="31">
        <f>VLOOKUP($A265,[1]Training!$A$2:$I$284,6,FALSE)</f>
        <v>0</v>
      </c>
      <c r="EY265" s="38">
        <f>VLOOKUP($A265,[1]Training!$A$2:$I$284,8,FALSE)</f>
        <v>29.636363636363637</v>
      </c>
      <c r="EZ265" s="31">
        <f>VLOOKUP($A265,[1]Training!$A$2:$I$284,9,FALSE)</f>
        <v>0</v>
      </c>
      <c r="FA265" s="27">
        <v>1</v>
      </c>
      <c r="FB265" s="27">
        <v>2</v>
      </c>
      <c r="FC265" s="27" t="str">
        <f>VLOOKUP($A265,'[1]Raw Data'!$A$3:$FB$285,148,FALSE)</f>
        <v/>
      </c>
      <c r="FE265" s="27" t="str">
        <f>VLOOKUP($A265,'[1]Raw Data'!$A$3:$FB$285,149,FALSE)</f>
        <v>District Coordinator</v>
      </c>
      <c r="FF265" s="27" t="s">
        <v>885</v>
      </c>
      <c r="FG265" s="27" t="str">
        <f>VLOOKUP($A265,'[1]Raw Data'!$A$3:$FB$285,150,FALSE)</f>
        <v/>
      </c>
      <c r="FH265" s="27" t="str">
        <f>VLOOKUP($A265,'[1]Raw Data'!$A$3:$FB$285,156,FALSE)</f>
        <v/>
      </c>
      <c r="FJ265" s="27" t="str">
        <f>VLOOKUP($A265,'[1]Raw Data'!$A$3:$FB$285,157,FALSE)</f>
        <v>District Technical Officer</v>
      </c>
      <c r="FK265" s="27" t="s">
        <v>886</v>
      </c>
      <c r="FL265" s="27" t="str">
        <f>VLOOKUP($A265,'[1]Raw Data'!$A$3:$FB$285,158,FALSE)</f>
        <v/>
      </c>
      <c r="FM265" s="27" t="str">
        <f>VLOOKUP($A265,'[1]Raw Data'!$A$3:$FB$285,152,FALSE)</f>
        <v/>
      </c>
      <c r="FO265" s="27" t="str">
        <f>VLOOKUP($A265,'[1]Raw Data'!$A$3:$FB$285,153,FALSE)</f>
        <v>DIstrict Information Management Officer</v>
      </c>
      <c r="FP265" s="27" t="s">
        <v>887</v>
      </c>
      <c r="FQ265" s="27" t="str">
        <f>VLOOKUP($A265,'[1]Raw Data'!$A$3:$FB$285,154,FALSE)</f>
        <v/>
      </c>
    </row>
    <row r="266" spans="1:173" ht="24" x14ac:dyDescent="0.45">
      <c r="A266" s="27">
        <v>48001</v>
      </c>
      <c r="B266" s="36" t="str">
        <f ca="1">IFERROR(__xludf.DUMMYFUNCTION("""COMPUTED_VALUE"""),"Bardaghat Nagarpalika")</f>
        <v>Bardaghat Nagarpalika</v>
      </c>
      <c r="C266" s="37" t="str">
        <f>VLOOKUP(A266,'[1]Palika and District in Nepali '!$D$1:$F$283,3,FALSE)</f>
        <v>बर्दघाट नगरपालिका</v>
      </c>
      <c r="D266" s="36" t="str">
        <f ca="1">IFERROR(__xludf.DUMMYFUNCTION("""COMPUTED_VALUE"""),"Nawalparasi")</f>
        <v>Nawalparasi</v>
      </c>
      <c r="E266" s="36"/>
      <c r="F266" s="27">
        <f>VLOOKUP(A266,'[1]Raw Data'!$A$3:$FB$285,4,FALSE)</f>
        <v>0</v>
      </c>
      <c r="G266" s="27">
        <f>VLOOKUP(A266,'[1]Raw Data'!$A$3:$FB$285,5,FALSE)</f>
        <v>4</v>
      </c>
      <c r="H266" s="27">
        <f>VLOOKUP(A266,'[1]Raw Data'!$A$3:$FB$285,6,FALSE)</f>
        <v>4</v>
      </c>
      <c r="I266" s="27">
        <f>VLOOKUP($A266,'[1]Raw Data'!$A$3:$FB$285,8,FALSE)</f>
        <v>0</v>
      </c>
      <c r="J266" s="27">
        <f>VLOOKUP($A266,'[1]Raw Data'!$A$3:$FB$285,9,FALSE)</f>
        <v>0.81</v>
      </c>
      <c r="K266" s="27">
        <f>VLOOKUP($A266,'[1]Raw Data'!$A$3:$FB$285,11,FALSE)</f>
        <v>50</v>
      </c>
      <c r="L266" s="27">
        <f>VLOOKUP($A266,'[1]Raw Data'!$A$3:$FB$285,12,FALSE)</f>
        <v>95.12</v>
      </c>
      <c r="M266" s="27">
        <f>VLOOKUP($A266,'[1]Raw Data'!$A$3:$FB$285,14,FALSE)</f>
        <v>25</v>
      </c>
      <c r="N266" s="27">
        <f>VLOOKUP($A266,'[1]Raw Data'!$A$3:$FB$285,15,FALSE)</f>
        <v>1.83</v>
      </c>
      <c r="O266" s="27">
        <f>VLOOKUP($A266,'[1]Raw Data'!$A$3:$FB$285,17,FALSE)</f>
        <v>25</v>
      </c>
      <c r="P266" s="27">
        <f>VLOOKUP($A266,'[1]Raw Data'!$A$3:$FB$285,18,FALSE)</f>
        <v>0.92</v>
      </c>
      <c r="Q266" s="27">
        <f>VLOOKUP($A266,'[1]Raw Data'!$A$3:$FB$285,20,FALSE)</f>
        <v>0</v>
      </c>
      <c r="R266" s="27">
        <f>VLOOKUP($A266,'[1]Raw Data'!$A$3:$FB$285,21,FALSE)</f>
        <v>0</v>
      </c>
      <c r="S266" s="27">
        <f>VLOOKUP($A266,'[1]Raw Data'!$A$3:$FB$285,23,FALSE)</f>
        <v>0</v>
      </c>
      <c r="T266" s="27">
        <f>VLOOKUP($A266,'[1]Raw Data'!$A$3:$FB$285,24,FALSE)</f>
        <v>0</v>
      </c>
      <c r="U266" s="27">
        <f>VLOOKUP($A266,'[1]Raw Data'!$A$3:$FB$285,26,FALSE)</f>
        <v>0</v>
      </c>
      <c r="V266" s="27">
        <f>VLOOKUP($A266,'[1]Raw Data'!$A$3:$FB$285,27,FALSE)</f>
        <v>0.92</v>
      </c>
      <c r="W266" s="27">
        <f>VLOOKUP($A266,'[1]Raw Data'!$A$3:$FB$285,29,FALSE)</f>
        <v>0</v>
      </c>
      <c r="X266" s="27">
        <f>VLOOKUP($A266,'[1]Raw Data'!$A$3:$FB$285,30,FALSE)</f>
        <v>0</v>
      </c>
      <c r="Y266" s="27">
        <f>VLOOKUP($A266,'[1]Raw Data'!$A$3:$FB$285,32,FALSE)</f>
        <v>0</v>
      </c>
      <c r="Z266" s="27">
        <f>VLOOKUP($A266,'[1]Raw Data'!$A$3:$FB$285,33,FALSE)</f>
        <v>0.31</v>
      </c>
      <c r="AA266" s="27">
        <f>VLOOKUP($A266,'[1]Raw Data'!$A$3:$FB$285,35,FALSE)</f>
        <v>0</v>
      </c>
      <c r="AB266" s="27">
        <f>VLOOKUP($A266,'[1]Raw Data'!$A$3:$FB$285,36,FALSE)</f>
        <v>0.1</v>
      </c>
      <c r="AC266" s="27">
        <f>VLOOKUP($A266,'[1]Raw Data'!$A$3:$FB$285,38,FALSE)</f>
        <v>0</v>
      </c>
      <c r="AD266" s="27">
        <f>VLOOKUP($A266,'[1]Raw Data'!$A$3:$FB$285,39,FALSE)</f>
        <v>0</v>
      </c>
      <c r="AE266" s="27">
        <f>VLOOKUP($A266,'[1]Raw Data'!$A$3:$FB$285,41,FALSE)</f>
        <v>0</v>
      </c>
      <c r="AF266" s="27">
        <f>VLOOKUP($A266,'[1]Raw Data'!$A$3:$FB$285,42,FALSE)</f>
        <v>0</v>
      </c>
      <c r="AG266" s="27">
        <f>VLOOKUP($A266,'[1]Raw Data'!$A$3:$FB$285,44,FALSE)</f>
        <v>0</v>
      </c>
      <c r="AH266" s="27">
        <f>VLOOKUP($A266,'[1]Raw Data'!$A$3:$FB$285,45,FALSE)</f>
        <v>0</v>
      </c>
      <c r="AI266" s="27">
        <f>VLOOKUP($A266,'[1]Raw Data'!$A$3:$FB$285,46,FALSE)</f>
        <v>4</v>
      </c>
      <c r="AJ266" s="27">
        <f>VLOOKUP($A266,'[1]Raw Data'!$A$3:$FB$285,47,FALSE)</f>
        <v>4</v>
      </c>
      <c r="AK266" s="27">
        <f>VLOOKUP($A266,'[1]Raw Data'!$A$3:$FB$285,48,FALSE)</f>
        <v>4</v>
      </c>
      <c r="AL266" s="27">
        <f>VLOOKUP($A266,'[1]Raw Data'!$A$3:$FB$285,49,FALSE)</f>
        <v>3</v>
      </c>
      <c r="AM266" s="27">
        <f>VLOOKUP($A266,'[1]Raw Data'!$A$3:$FB$285,50,FALSE)</f>
        <v>2</v>
      </c>
      <c r="AN266" s="27">
        <f>VLOOKUP($A266,'[1]Raw Data'!$A$3:$FB$285,51,FALSE)</f>
        <v>3</v>
      </c>
      <c r="AO266" s="27">
        <f>VLOOKUP($A266,'[1]Raw Data'!$A$3:$FB$285,52,FALSE)</f>
        <v>0</v>
      </c>
      <c r="AP266" s="27">
        <f>VLOOKUP($A266,'[1]Raw Data'!$A$3:$FB$285,53,FALSE)</f>
        <v>0</v>
      </c>
      <c r="AQ266" s="27" t="str">
        <f>VLOOKUP($A266,'[1]Raw Data'!$A$3:$FB$285,54,FALSE)</f>
        <v/>
      </c>
      <c r="AR266" s="27" t="str">
        <f>VLOOKUP($A266,'[1]Raw Data'!$A$3:$FB$285,55,FALSE)</f>
        <v/>
      </c>
      <c r="AS266" s="27" t="str">
        <f>VLOOKUP($A266,'[1]Raw Data'!$A$3:$FB$285,56,FALSE)</f>
        <v/>
      </c>
      <c r="AT266" s="27">
        <f>VLOOKUP($A266,'[1]Raw Data'!$A$3:$FB$285,57,FALSE)</f>
        <v>0</v>
      </c>
      <c r="AU266" s="27" t="str">
        <f>VLOOKUP($A266,'[1]Raw Data'!$A$3:$FB$285,58,FALSE)</f>
        <v/>
      </c>
      <c r="AV266" s="27" t="str">
        <f>VLOOKUP($A266,'[1]Raw Data'!$A$3:$FB$285,59,FALSE)</f>
        <v/>
      </c>
      <c r="AW266" s="27" t="str">
        <f>VLOOKUP($A266,'[1]Raw Data'!$A$3:$FB$285,60,FALSE)</f>
        <v/>
      </c>
      <c r="AX266" s="27" t="str">
        <f>VLOOKUP(A266,'[1]PO''s List'!A264:E546,4,FALSE)</f>
        <v/>
      </c>
      <c r="AZ266" s="27" t="str">
        <f>VLOOKUP(A266,'[1]PO''s List'!$A$3:$E$285,5,FALSE)</f>
        <v/>
      </c>
      <c r="BB266" s="27">
        <f>VLOOKUP($A266,'[1]Raw Data'!$A$3:$FB$285,63,FALSE)</f>
        <v>570</v>
      </c>
      <c r="BC266" s="27" t="str">
        <f>VLOOKUP($A266,'[1]Raw Data'!$A$3:$FB$285,64,FALSE)</f>
        <v/>
      </c>
      <c r="BD266" s="27" t="str">
        <f t="shared" si="36"/>
        <v/>
      </c>
      <c r="BE266" s="27" t="str">
        <f>VLOOKUP($A266,'[1]Raw Data'!$A$3:$FB$285,65,FALSE)</f>
        <v/>
      </c>
      <c r="BF266" s="27">
        <f>VLOOKUP($A266,'[1]Raw Data'!$A$3:$FB$285,66,FALSE)</f>
        <v>404</v>
      </c>
      <c r="BG266" s="27" t="str">
        <f>VLOOKUP($A266,'[1]Raw Data'!$A$3:$FB$285,67,FALSE)</f>
        <v/>
      </c>
      <c r="BH266" s="27" t="str">
        <f t="shared" si="37"/>
        <v/>
      </c>
      <c r="BI266" s="27" t="str">
        <f>VLOOKUP($A266,'[1]Raw Data'!$A$3:$FB$285,68,FALSE)</f>
        <v/>
      </c>
      <c r="BJ266" s="27">
        <f>VLOOKUP($A266,'[1]Raw Data'!$A$3:$FB$285,69,FALSE)</f>
        <v>60</v>
      </c>
      <c r="BK266" s="27" t="str">
        <f>VLOOKUP($A266,'[1]Raw Data'!$A$3:$FB$285,70,FALSE)</f>
        <v/>
      </c>
      <c r="BL266" s="27" t="str">
        <f t="shared" si="38"/>
        <v/>
      </c>
      <c r="BM266" s="27" t="str">
        <f>VLOOKUP($A266,'[1]Raw Data'!$A$3:$FB$285,71,FALSE)</f>
        <v/>
      </c>
      <c r="BN266" s="27">
        <f>VLOOKUP($A266,'[1]Raw Data'!$A$3:$FB$285,72,FALSE)</f>
        <v>64</v>
      </c>
      <c r="BO266" s="27" t="str">
        <f>VLOOKUP($A266,'[1]Raw Data'!$A$3:$FB$285,73,FALSE)</f>
        <v/>
      </c>
      <c r="BP266" s="27" t="str">
        <f t="shared" si="39"/>
        <v/>
      </c>
      <c r="BQ266" s="27" t="str">
        <f>VLOOKUP($A266,'[1]Raw Data'!$A$3:$FB$285,74,FALSE)</f>
        <v/>
      </c>
      <c r="BR266" s="27" t="str">
        <f>VLOOKUP($A266,'[1]Raw Data'!$A$3:$FB$285,75,FALSE)</f>
        <v/>
      </c>
      <c r="BS266" s="27" t="str">
        <f>VLOOKUP($A266,'[1]Raw Data'!$A$3:$FB$285,76,FALSE)</f>
        <v/>
      </c>
      <c r="BT266" s="27" t="str">
        <f t="shared" si="40"/>
        <v/>
      </c>
      <c r="BU266" s="27" t="str">
        <f>VLOOKUP($A266,'[1]Raw Data'!$A$3:$FB$285,77,FALSE)</f>
        <v/>
      </c>
      <c r="BV266" s="27">
        <f>VLOOKUP($A266,'[1]Raw Data'!$A$3:$FB$285,78,FALSE)</f>
        <v>1632</v>
      </c>
      <c r="BW266" s="27" t="str">
        <f>VLOOKUP($A266,'[1]Raw Data'!$A$3:$FB$285,79,FALSE)</f>
        <v/>
      </c>
      <c r="BX266" s="27" t="str">
        <f t="shared" si="41"/>
        <v/>
      </c>
      <c r="BY266" s="27" t="str">
        <f>VLOOKUP($A266,'[1]Raw Data'!$A$3:$FB$285,80,FALSE)</f>
        <v/>
      </c>
      <c r="BZ266" s="27">
        <f>VLOOKUP($A266,'[1]Raw Data'!$A$3:$FB$285,81,FALSE)</f>
        <v>6800</v>
      </c>
      <c r="CA266" s="27" t="str">
        <f>VLOOKUP($A266,'[1]Raw Data'!$A$3:$FB$285,82,FALSE)</f>
        <v/>
      </c>
      <c r="CB266" s="27" t="str">
        <f t="shared" si="42"/>
        <v/>
      </c>
      <c r="CC266" s="27" t="str">
        <f>VLOOKUP($A266,'[1]Raw Data'!$A$3:$FB$285,83,FALSE)</f>
        <v/>
      </c>
      <c r="CD266" s="27">
        <f>VLOOKUP($A266,'[1]Raw Data'!$A$3:$FB$285,84,FALSE)</f>
        <v>68</v>
      </c>
      <c r="CE266" s="27" t="str">
        <f>VLOOKUP($A266,'[1]Raw Data'!$A$3:$FB$285,85,FALSE)</f>
        <v/>
      </c>
      <c r="CF266" s="27" t="str">
        <f t="shared" si="43"/>
        <v/>
      </c>
      <c r="CG266" s="27" t="str">
        <f>VLOOKUP($A266,'[1]Raw Data'!$A$3:$FB$285,86,FALSE)</f>
        <v/>
      </c>
      <c r="CH266" s="27">
        <f>VLOOKUP($A266,'[1]Raw Data'!$A$3:$FB$285,87,FALSE)</f>
        <v>59415</v>
      </c>
      <c r="CI266" s="27" t="str">
        <f>VLOOKUP($A266,'[1]Raw Data'!$A$3:$FB$285,88,FALSE)</f>
        <v/>
      </c>
      <c r="CJ266" s="27" t="str">
        <f t="shared" si="44"/>
        <v/>
      </c>
      <c r="CK266" s="27" t="str">
        <f>VLOOKUP($A266,'[1]Raw Data'!$A$3:$FB$285,89,FALSE)</f>
        <v/>
      </c>
      <c r="CL266" s="27" t="str">
        <f>VLOOKUP($A266,'[1]Raw Data'!$A$3:$FB$285,91,FALSE)</f>
        <v/>
      </c>
      <c r="CM266" s="27" t="str">
        <f>VLOOKUP($A266,'[1]Raw Data'!$A$3:$FB$285,93,FALSE)</f>
        <v/>
      </c>
      <c r="CN266" s="27" t="str">
        <f>VLOOKUP($A266,'[1]Raw Data'!$A$3:$FB$285,94,FALSE)</f>
        <v/>
      </c>
      <c r="CO266" s="27" t="str">
        <f>VLOOKUP($A266,'[1]Raw Data'!$A$3:$FB$285,95,FALSE)</f>
        <v/>
      </c>
      <c r="CP266" s="27" t="str">
        <f>VLOOKUP($A266,'[1]Raw Data'!$A$3:$FB$285,96,FALSE)</f>
        <v/>
      </c>
      <c r="CQ266" s="27" t="str">
        <f>VLOOKUP($A266,'[1]Raw Data'!$A$3:$FB$285,97,FALSE)</f>
        <v/>
      </c>
      <c r="CR266" s="27" t="str">
        <f>VLOOKUP($A266,'[1]Raw Data'!$A$3:$FB$285,98,FALSE)</f>
        <v/>
      </c>
      <c r="CS266" s="27" t="str">
        <f>VLOOKUP($A266,'[1]Raw Data'!$A$3:$FB$285,99,FALSE)</f>
        <v/>
      </c>
      <c r="CT266" s="27" t="str">
        <f>VLOOKUP($A266,'[1]Raw Data'!$A$3:$FB$285,101,FALSE)</f>
        <v>Dhiraj Shrma Basyal</v>
      </c>
      <c r="CU266" s="27" t="s">
        <v>1458</v>
      </c>
      <c r="CV266" s="27" t="str">
        <f>VLOOKUP($A266,'[1]Raw Data'!$A$3:$FB$285,102,FALSE)</f>
        <v>Mayor</v>
      </c>
      <c r="CW266" s="27" t="s">
        <v>834</v>
      </c>
      <c r="CX266" s="27">
        <f>VLOOKUP($A266,'[1]Raw Data'!$A$3:$FB$285,103,FALSE)</f>
        <v>9857027036</v>
      </c>
      <c r="CY266" s="27" t="str">
        <f>VLOOKUP($A266,'[1]Raw Data'!$A$3:$FB$285,105,FALSE)</f>
        <v>Maya devi paudel</v>
      </c>
      <c r="CZ266" s="27" t="s">
        <v>1459</v>
      </c>
      <c r="DA266" s="27" t="str">
        <f>VLOOKUP($A266,'[1]Raw Data'!$A$3:$FB$285,106,FALSE)</f>
        <v>Deputy Mayor</v>
      </c>
      <c r="DB266" s="27" t="s">
        <v>888</v>
      </c>
      <c r="DC266" s="27">
        <f>VLOOKUP($A266,'[1]Raw Data'!$A$3:$FB$285,107,FALSE)</f>
        <v>9847032541</v>
      </c>
      <c r="DD266" s="27" t="str">
        <f>VLOOKUP($A266,'[1]Raw Data'!$A$3:$FB$285,109,FALSE)</f>
        <v>Balram Aryal</v>
      </c>
      <c r="DE266" s="27" t="s">
        <v>1460</v>
      </c>
      <c r="DF266" s="27" t="str">
        <f>VLOOKUP($A266,'[1]Raw Data'!$A$3:$FB$285,110,FALSE)</f>
        <v>Chief Adminstration Officer</v>
      </c>
      <c r="DG266" s="27" t="s">
        <v>880</v>
      </c>
      <c r="DH266" s="27">
        <f>VLOOKUP($A266,'[1]Raw Data'!$A$3:$FB$285,111,FALSE)</f>
        <v>9857643111</v>
      </c>
      <c r="DI266" s="27" t="str">
        <f>VLOOKUP($A266,'[1]Raw Data'!$A$3:$FB$285,121,FALSE)</f>
        <v>Sita Paudel</v>
      </c>
      <c r="DJ266" s="27" t="s">
        <v>1461</v>
      </c>
      <c r="DK266" s="27" t="str">
        <f>VLOOKUP($A266,'[1]Raw Data'!$A$3:$FB$285,122,FALSE)</f>
        <v>Focal Person</v>
      </c>
      <c r="DL266" s="27" t="s">
        <v>881</v>
      </c>
      <c r="DM266" s="27">
        <f>VLOOKUP($A266,'[1]Raw Data'!$A$3:$FB$285,123,FALSE)</f>
        <v>9847958120</v>
      </c>
      <c r="DN266" s="27" t="str">
        <f>VLOOKUP($A266,'[1]Raw Data'!$A$3:$FB$285,113,FALSE)</f>
        <v xml:space="preserve">Rajendra  Karki </v>
      </c>
      <c r="DO266" s="27" t="s">
        <v>1211</v>
      </c>
      <c r="DP266" s="27" t="str">
        <f>VLOOKUP($A266,'[1]Raw Data'!$A$3:$FB$285,114,FALSE)</f>
        <v>NRA Chief-District</v>
      </c>
      <c r="DQ266" s="27" t="s">
        <v>882</v>
      </c>
      <c r="DR266" s="27">
        <f>VLOOKUP($A266,'[1]Raw Data'!$A$3:$FB$285,115,FALSE)</f>
        <v>9857087637</v>
      </c>
      <c r="DS266" s="27" t="str">
        <f>VLOOKUP($A266,'[1]Raw Data'!$A$3:$FB$285,117,FALSE)</f>
        <v/>
      </c>
      <c r="DU266" s="27" t="str">
        <f>VLOOKUP($A266,'[1]Raw Data'!$A$3:$FB$285,118,FALSE)</f>
        <v>DUDBC.DLPIU Chief</v>
      </c>
      <c r="DV266" s="27" t="s">
        <v>883</v>
      </c>
      <c r="DW266" s="27" t="str">
        <f>VLOOKUP($A266,'[1]Raw Data'!$A$3:$FB$285,119,FALSE)</f>
        <v/>
      </c>
      <c r="DX266" s="27" t="s">
        <v>339</v>
      </c>
      <c r="DY266" s="27" t="str">
        <f>VLOOKUP($A266,'[1]Raw Data'!$A$3:$FB$285,124,FALSE)</f>
        <v/>
      </c>
      <c r="DZ266" s="27" t="s">
        <v>884</v>
      </c>
      <c r="EA266" s="27" t="str">
        <f>VLOOKUP($A266,'[1]Raw Data'!$A$3:$FB$285,125,FALSE)</f>
        <v/>
      </c>
      <c r="EB266" s="27" t="s">
        <v>341</v>
      </c>
      <c r="EC266" s="27" t="str">
        <f>VLOOKUP($A266,'[1]Raw Data'!$A$3:$FB$285,126,FALSE)</f>
        <v/>
      </c>
      <c r="ED266" t="s">
        <v>478</v>
      </c>
      <c r="EE266" s="27" t="str">
        <f>VLOOKUP($A266,'[1]Raw Data'!$A$3:$FB$285,127,FALSE)</f>
        <v/>
      </c>
      <c r="EF266" s="27" t="s">
        <v>343</v>
      </c>
      <c r="EG266" s="27" t="str">
        <f>VLOOKUP($A266,'[1]Raw Data'!$A$3:$FB$285,128,FALSE)</f>
        <v/>
      </c>
      <c r="EH266" t="s">
        <v>344</v>
      </c>
      <c r="EI266" s="27" t="str">
        <f>VLOOKUP($A266,'[1]Raw Data'!$A$3:$FB$285,129,FALSE)</f>
        <v/>
      </c>
      <c r="EM266" s="27" t="str">
        <f>VLOOKUP($A266,'[1]Raw Data'!$A$3:$FB$285,130,FALSE)</f>
        <v/>
      </c>
      <c r="EN266" s="27" t="str">
        <f>VLOOKUP($A266,'[1]Raw Data'!$A$3:$FB$285,131,FALSE)</f>
        <v/>
      </c>
      <c r="EO266" s="27" t="str">
        <f>VLOOKUP($A266,'[1]Raw Data'!$A$3:$FB$285,132,FALSE)</f>
        <v/>
      </c>
      <c r="EP266" s="27" t="str">
        <f>VLOOKUP($A266,'[1]Raw Data'!$A$3:$FB$285,133,FALSE)</f>
        <v/>
      </c>
      <c r="EQ266" s="27" t="str">
        <f>VLOOKUP($A266,'[1]Raw Data'!$A$3:$FB$285,134,FALSE)</f>
        <v/>
      </c>
      <c r="ER266" s="27" t="str">
        <f>VLOOKUP($A266,'[1]Raw Data'!$A$3:$FB$285,135,FALSE)</f>
        <v/>
      </c>
      <c r="ES266" s="27" t="str">
        <f>VLOOKUP($A266,'[1]Raw Data'!$A$3:$FB$285,136,FALSE)</f>
        <v/>
      </c>
      <c r="ET266" s="27" t="str">
        <f>VLOOKUP($A266,'[1]Raw Data'!$A$3:$FB$285,137,FALSE)</f>
        <v/>
      </c>
      <c r="EU266" s="27" t="str">
        <f>VLOOKUP($A266,'[1]Raw Data'!$A$3:$FB$285,138,FALSE)</f>
        <v/>
      </c>
      <c r="EV266" s="27" t="str">
        <f>VLOOKUP($A266,'[1]Raw Data'!$A$3:$FB$285,139,FALSE)</f>
        <v/>
      </c>
      <c r="EW266" s="38">
        <f>VLOOKUP($A266,[1]Training!$A$2:$I$284,5,FALSE)</f>
        <v>1</v>
      </c>
      <c r="EX266" s="31">
        <f>VLOOKUP($A266,[1]Training!$A$2:$I$284,6,FALSE)</f>
        <v>0</v>
      </c>
      <c r="EY266" s="38">
        <f>VLOOKUP($A266,[1]Training!$A$2:$I$284,8,FALSE)</f>
        <v>1</v>
      </c>
      <c r="EZ266" s="31">
        <f>VLOOKUP($A266,[1]Training!$A$2:$I$284,9,FALSE)</f>
        <v>0</v>
      </c>
      <c r="FA266" s="27">
        <v>1</v>
      </c>
      <c r="FB266" s="27">
        <v>2</v>
      </c>
      <c r="FC266" s="27" t="str">
        <f>VLOOKUP($A266,'[1]Raw Data'!$A$3:$FB$285,148,FALSE)</f>
        <v>Hari Prasad Thalang</v>
      </c>
      <c r="FE266" s="27" t="str">
        <f>VLOOKUP($A266,'[1]Raw Data'!$A$3:$FB$285,149,FALSE)</f>
        <v>District Coordinator</v>
      </c>
      <c r="FF266" s="27" t="s">
        <v>885</v>
      </c>
      <c r="FG266" s="27">
        <f>VLOOKUP($A266,'[1]Raw Data'!$A$3:$FB$285,150,FALSE)</f>
        <v>9851224505</v>
      </c>
      <c r="FH266" s="27" t="str">
        <f>VLOOKUP($A266,'[1]Raw Data'!$A$3:$FB$285,156,FALSE)</f>
        <v xml:space="preserve">Kausal Bist </v>
      </c>
      <c r="FJ266" s="27" t="str">
        <f>VLOOKUP($A266,'[1]Raw Data'!$A$3:$FB$285,157,FALSE)</f>
        <v>District Technical Officer</v>
      </c>
      <c r="FK266" s="27" t="s">
        <v>886</v>
      </c>
      <c r="FL266" s="27">
        <f>VLOOKUP($A266,'[1]Raw Data'!$A$3:$FB$285,158,FALSE)</f>
        <v>9849787273</v>
      </c>
      <c r="FM266" s="27" t="str">
        <f>VLOOKUP($A266,'[1]Raw Data'!$A$3:$FB$285,152,FALSE)</f>
        <v>Nirmal Nepali</v>
      </c>
      <c r="FO266" s="27" t="str">
        <f>VLOOKUP($A266,'[1]Raw Data'!$A$3:$FB$285,153,FALSE)</f>
        <v>DIstrict Information Management Officer</v>
      </c>
      <c r="FP266" s="27" t="s">
        <v>887</v>
      </c>
      <c r="FQ266" s="27">
        <f>VLOOKUP($A266,'[1]Raw Data'!$A$3:$FB$285,154,FALSE)</f>
        <v>9848500348</v>
      </c>
    </row>
    <row r="267" spans="1:173" ht="24" x14ac:dyDescent="0.45">
      <c r="A267" s="27">
        <v>48002</v>
      </c>
      <c r="B267" s="36" t="str">
        <f ca="1">IFERROR(__xludf.DUMMYFUNCTION("""COMPUTED_VALUE"""),"Binayee Tribeni Gaunpalika")</f>
        <v>Binayee Tribeni Gaunpalika</v>
      </c>
      <c r="C267" s="37" t="str">
        <f>VLOOKUP(A267,'[1]Palika and District in Nepali '!$D$1:$F$283,3,FALSE)</f>
        <v>बिनायी त्रिवेणी गाऊँपालिका</v>
      </c>
      <c r="D267" s="36" t="str">
        <f ca="1">IFERROR(__xludf.DUMMYFUNCTION("""COMPUTED_VALUE"""),"Nawalparasi")</f>
        <v>Nawalparasi</v>
      </c>
      <c r="E267" s="36"/>
      <c r="F267" s="27">
        <f>VLOOKUP(A267,'[1]Raw Data'!$A$3:$FB$285,4,FALSE)</f>
        <v>2</v>
      </c>
      <c r="G267" s="27">
        <f>VLOOKUP(A267,'[1]Raw Data'!$A$3:$FB$285,5,FALSE)</f>
        <v>68</v>
      </c>
      <c r="H267" s="27">
        <f>VLOOKUP(A267,'[1]Raw Data'!$A$3:$FB$285,6,FALSE)</f>
        <v>70</v>
      </c>
      <c r="I267" s="27">
        <f>VLOOKUP($A267,'[1]Raw Data'!$A$3:$FB$285,8,FALSE)</f>
        <v>0</v>
      </c>
      <c r="J267" s="27">
        <f>VLOOKUP($A267,'[1]Raw Data'!$A$3:$FB$285,9,FALSE)</f>
        <v>0.81</v>
      </c>
      <c r="K267" s="27">
        <f>VLOOKUP($A267,'[1]Raw Data'!$A$3:$FB$285,11,FALSE)</f>
        <v>98.57</v>
      </c>
      <c r="L267" s="27">
        <f>VLOOKUP($A267,'[1]Raw Data'!$A$3:$FB$285,12,FALSE)</f>
        <v>95.12</v>
      </c>
      <c r="M267" s="27">
        <f>VLOOKUP($A267,'[1]Raw Data'!$A$3:$FB$285,14,FALSE)</f>
        <v>0</v>
      </c>
      <c r="N267" s="27">
        <f>VLOOKUP($A267,'[1]Raw Data'!$A$3:$FB$285,15,FALSE)</f>
        <v>1.83</v>
      </c>
      <c r="O267" s="27">
        <f>VLOOKUP($A267,'[1]Raw Data'!$A$3:$FB$285,17,FALSE)</f>
        <v>0</v>
      </c>
      <c r="P267" s="27">
        <f>VLOOKUP($A267,'[1]Raw Data'!$A$3:$FB$285,18,FALSE)</f>
        <v>0.92</v>
      </c>
      <c r="Q267" s="27">
        <f>VLOOKUP($A267,'[1]Raw Data'!$A$3:$FB$285,20,FALSE)</f>
        <v>0</v>
      </c>
      <c r="R267" s="27">
        <f>VLOOKUP($A267,'[1]Raw Data'!$A$3:$FB$285,21,FALSE)</f>
        <v>0</v>
      </c>
      <c r="S267" s="27">
        <f>VLOOKUP($A267,'[1]Raw Data'!$A$3:$FB$285,23,FALSE)</f>
        <v>0</v>
      </c>
      <c r="T267" s="27">
        <f>VLOOKUP($A267,'[1]Raw Data'!$A$3:$FB$285,24,FALSE)</f>
        <v>0</v>
      </c>
      <c r="U267" s="27">
        <f>VLOOKUP($A267,'[1]Raw Data'!$A$3:$FB$285,26,FALSE)</f>
        <v>1.43</v>
      </c>
      <c r="V267" s="27">
        <f>VLOOKUP($A267,'[1]Raw Data'!$A$3:$FB$285,27,FALSE)</f>
        <v>0.92</v>
      </c>
      <c r="W267" s="27">
        <f>VLOOKUP($A267,'[1]Raw Data'!$A$3:$FB$285,29,FALSE)</f>
        <v>0</v>
      </c>
      <c r="X267" s="27">
        <f>VLOOKUP($A267,'[1]Raw Data'!$A$3:$FB$285,30,FALSE)</f>
        <v>0</v>
      </c>
      <c r="Y267" s="27">
        <f>VLOOKUP($A267,'[1]Raw Data'!$A$3:$FB$285,32,FALSE)</f>
        <v>0</v>
      </c>
      <c r="Z267" s="27">
        <f>VLOOKUP($A267,'[1]Raw Data'!$A$3:$FB$285,33,FALSE)</f>
        <v>0.31</v>
      </c>
      <c r="AA267" s="27">
        <f>VLOOKUP($A267,'[1]Raw Data'!$A$3:$FB$285,35,FALSE)</f>
        <v>0</v>
      </c>
      <c r="AB267" s="27">
        <f>VLOOKUP($A267,'[1]Raw Data'!$A$3:$FB$285,36,FALSE)</f>
        <v>0.1</v>
      </c>
      <c r="AC267" s="27">
        <f>VLOOKUP($A267,'[1]Raw Data'!$A$3:$FB$285,38,FALSE)</f>
        <v>0</v>
      </c>
      <c r="AD267" s="27">
        <f>VLOOKUP($A267,'[1]Raw Data'!$A$3:$FB$285,39,FALSE)</f>
        <v>0</v>
      </c>
      <c r="AE267" s="27">
        <f>VLOOKUP($A267,'[1]Raw Data'!$A$3:$FB$285,41,FALSE)</f>
        <v>0</v>
      </c>
      <c r="AF267" s="27">
        <f>VLOOKUP($A267,'[1]Raw Data'!$A$3:$FB$285,42,FALSE)</f>
        <v>0</v>
      </c>
      <c r="AG267" s="27">
        <f>VLOOKUP($A267,'[1]Raw Data'!$A$3:$FB$285,44,FALSE)</f>
        <v>0</v>
      </c>
      <c r="AH267" s="27">
        <f>VLOOKUP($A267,'[1]Raw Data'!$A$3:$FB$285,45,FALSE)</f>
        <v>0</v>
      </c>
      <c r="AI267" s="27">
        <f>VLOOKUP($A267,'[1]Raw Data'!$A$3:$FB$285,46,FALSE)</f>
        <v>70</v>
      </c>
      <c r="AJ267" s="27">
        <f>VLOOKUP($A267,'[1]Raw Data'!$A$3:$FB$285,47,FALSE)</f>
        <v>69</v>
      </c>
      <c r="AK267" s="27">
        <f>VLOOKUP($A267,'[1]Raw Data'!$A$3:$FB$285,48,FALSE)</f>
        <v>69</v>
      </c>
      <c r="AL267" s="27">
        <f>VLOOKUP($A267,'[1]Raw Data'!$A$3:$FB$285,49,FALSE)</f>
        <v>56</v>
      </c>
      <c r="AM267" s="27">
        <f>VLOOKUP($A267,'[1]Raw Data'!$A$3:$FB$285,50,FALSE)</f>
        <v>40</v>
      </c>
      <c r="AN267" s="27">
        <f>VLOOKUP($A267,'[1]Raw Data'!$A$3:$FB$285,51,FALSE)</f>
        <v>69</v>
      </c>
      <c r="AO267" s="27">
        <f>VLOOKUP($A267,'[1]Raw Data'!$A$3:$FB$285,52,FALSE)</f>
        <v>0</v>
      </c>
      <c r="AP267" s="27">
        <f>VLOOKUP($A267,'[1]Raw Data'!$A$3:$FB$285,53,FALSE)</f>
        <v>2</v>
      </c>
      <c r="AQ267" s="27" t="str">
        <f>VLOOKUP($A267,'[1]Raw Data'!$A$3:$FB$285,54,FALSE)</f>
        <v/>
      </c>
      <c r="AR267" s="27" t="str">
        <f>VLOOKUP($A267,'[1]Raw Data'!$A$3:$FB$285,55,FALSE)</f>
        <v/>
      </c>
      <c r="AS267" s="27" t="str">
        <f>VLOOKUP($A267,'[1]Raw Data'!$A$3:$FB$285,56,FALSE)</f>
        <v/>
      </c>
      <c r="AT267" s="27">
        <f>VLOOKUP($A267,'[1]Raw Data'!$A$3:$FB$285,57,FALSE)</f>
        <v>28</v>
      </c>
      <c r="AU267" s="27" t="str">
        <f>VLOOKUP($A267,'[1]Raw Data'!$A$3:$FB$285,58,FALSE)</f>
        <v/>
      </c>
      <c r="AV267" s="27" t="str">
        <f>VLOOKUP($A267,'[1]Raw Data'!$A$3:$FB$285,59,FALSE)</f>
        <v/>
      </c>
      <c r="AW267" s="27" t="str">
        <f>VLOOKUP($A267,'[1]Raw Data'!$A$3:$FB$285,60,FALSE)</f>
        <v/>
      </c>
      <c r="AX267" s="27" t="str">
        <f>VLOOKUP(A267,'[1]PO''s List'!A265:E547,4,FALSE)</f>
        <v/>
      </c>
      <c r="AZ267" s="27" t="str">
        <f>VLOOKUP(A267,'[1]PO''s List'!$A$3:$E$285,5,FALSE)</f>
        <v/>
      </c>
      <c r="BB267" s="27">
        <f>VLOOKUP($A267,'[1]Raw Data'!$A$3:$FB$285,63,FALSE)</f>
        <v>7145</v>
      </c>
      <c r="BC267" s="27" t="str">
        <f>VLOOKUP($A267,'[1]Raw Data'!$A$3:$FB$285,64,FALSE)</f>
        <v/>
      </c>
      <c r="BD267" s="27" t="str">
        <f t="shared" si="36"/>
        <v/>
      </c>
      <c r="BE267" s="27" t="str">
        <f>VLOOKUP($A267,'[1]Raw Data'!$A$3:$FB$285,65,FALSE)</f>
        <v/>
      </c>
      <c r="BF267" s="27">
        <f>VLOOKUP($A267,'[1]Raw Data'!$A$3:$FB$285,66,FALSE)</f>
        <v>7656</v>
      </c>
      <c r="BG267" s="27" t="str">
        <f>VLOOKUP($A267,'[1]Raw Data'!$A$3:$FB$285,67,FALSE)</f>
        <v/>
      </c>
      <c r="BH267" s="27" t="str">
        <f t="shared" si="37"/>
        <v/>
      </c>
      <c r="BI267" s="27" t="str">
        <f>VLOOKUP($A267,'[1]Raw Data'!$A$3:$FB$285,68,FALSE)</f>
        <v/>
      </c>
      <c r="BJ267" s="27">
        <f>VLOOKUP($A267,'[1]Raw Data'!$A$3:$FB$285,69,FALSE)</f>
        <v>766</v>
      </c>
      <c r="BK267" s="27" t="str">
        <f>VLOOKUP($A267,'[1]Raw Data'!$A$3:$FB$285,70,FALSE)</f>
        <v/>
      </c>
      <c r="BL267" s="27" t="str">
        <f t="shared" si="38"/>
        <v/>
      </c>
      <c r="BM267" s="27" t="str">
        <f>VLOOKUP($A267,'[1]Raw Data'!$A$3:$FB$285,71,FALSE)</f>
        <v/>
      </c>
      <c r="BN267" s="27">
        <f>VLOOKUP($A267,'[1]Raw Data'!$A$3:$FB$285,72,FALSE)</f>
        <v>893</v>
      </c>
      <c r="BO267" s="27" t="str">
        <f>VLOOKUP($A267,'[1]Raw Data'!$A$3:$FB$285,73,FALSE)</f>
        <v/>
      </c>
      <c r="BP267" s="27" t="str">
        <f t="shared" si="39"/>
        <v/>
      </c>
      <c r="BQ267" s="27" t="str">
        <f>VLOOKUP($A267,'[1]Raw Data'!$A$3:$FB$285,74,FALSE)</f>
        <v/>
      </c>
      <c r="BR267" s="27" t="str">
        <f>VLOOKUP($A267,'[1]Raw Data'!$A$3:$FB$285,75,FALSE)</f>
        <v/>
      </c>
      <c r="BS267" s="27" t="str">
        <f>VLOOKUP($A267,'[1]Raw Data'!$A$3:$FB$285,76,FALSE)</f>
        <v/>
      </c>
      <c r="BT267" s="27" t="str">
        <f t="shared" si="40"/>
        <v/>
      </c>
      <c r="BU267" s="27" t="str">
        <f>VLOOKUP($A267,'[1]Raw Data'!$A$3:$FB$285,77,FALSE)</f>
        <v/>
      </c>
      <c r="BV267" s="27">
        <f>VLOOKUP($A267,'[1]Raw Data'!$A$3:$FB$285,78,FALSE)</f>
        <v>25009</v>
      </c>
      <c r="BW267" s="27" t="str">
        <f>VLOOKUP($A267,'[1]Raw Data'!$A$3:$FB$285,79,FALSE)</f>
        <v/>
      </c>
      <c r="BX267" s="27" t="str">
        <f t="shared" si="41"/>
        <v/>
      </c>
      <c r="BY267" s="27" t="str">
        <f>VLOOKUP($A267,'[1]Raw Data'!$A$3:$FB$285,80,FALSE)</f>
        <v/>
      </c>
      <c r="BZ267" s="27">
        <f>VLOOKUP($A267,'[1]Raw Data'!$A$3:$FB$285,81,FALSE)</f>
        <v>76557</v>
      </c>
      <c r="CA267" s="27" t="str">
        <f>VLOOKUP($A267,'[1]Raw Data'!$A$3:$FB$285,82,FALSE)</f>
        <v/>
      </c>
      <c r="CB267" s="27" t="str">
        <f t="shared" si="42"/>
        <v/>
      </c>
      <c r="CC267" s="27" t="str">
        <f>VLOOKUP($A267,'[1]Raw Data'!$A$3:$FB$285,83,FALSE)</f>
        <v/>
      </c>
      <c r="CD267" s="27">
        <f>VLOOKUP($A267,'[1]Raw Data'!$A$3:$FB$285,84,FALSE)</f>
        <v>1021</v>
      </c>
      <c r="CE267" s="27" t="str">
        <f>VLOOKUP($A267,'[1]Raw Data'!$A$3:$FB$285,85,FALSE)</f>
        <v/>
      </c>
      <c r="CF267" s="27" t="str">
        <f t="shared" si="43"/>
        <v/>
      </c>
      <c r="CG267" s="27" t="str">
        <f>VLOOKUP($A267,'[1]Raw Data'!$A$3:$FB$285,86,FALSE)</f>
        <v/>
      </c>
      <c r="CH267" s="27">
        <f>VLOOKUP($A267,'[1]Raw Data'!$A$3:$FB$285,87,FALSE)</f>
        <v>0</v>
      </c>
      <c r="CI267" s="27" t="str">
        <f>VLOOKUP($A267,'[1]Raw Data'!$A$3:$FB$285,88,FALSE)</f>
        <v/>
      </c>
      <c r="CJ267" s="27" t="str">
        <f t="shared" si="44"/>
        <v/>
      </c>
      <c r="CK267" s="27" t="str">
        <f>VLOOKUP($A267,'[1]Raw Data'!$A$3:$FB$285,89,FALSE)</f>
        <v/>
      </c>
      <c r="CL267" s="27" t="str">
        <f>VLOOKUP($A267,'[1]Raw Data'!$A$3:$FB$285,91,FALSE)</f>
        <v/>
      </c>
      <c r="CM267" s="27" t="str">
        <f>VLOOKUP($A267,'[1]Raw Data'!$A$3:$FB$285,93,FALSE)</f>
        <v/>
      </c>
      <c r="CN267" s="27" t="str">
        <f>VLOOKUP($A267,'[1]Raw Data'!$A$3:$FB$285,94,FALSE)</f>
        <v/>
      </c>
      <c r="CO267" s="27" t="str">
        <f>VLOOKUP($A267,'[1]Raw Data'!$A$3:$FB$285,95,FALSE)</f>
        <v/>
      </c>
      <c r="CP267" s="27" t="str">
        <f>VLOOKUP($A267,'[1]Raw Data'!$A$3:$FB$285,96,FALSE)</f>
        <v/>
      </c>
      <c r="CQ267" s="27" t="str">
        <f>VLOOKUP($A267,'[1]Raw Data'!$A$3:$FB$285,97,FALSE)</f>
        <v/>
      </c>
      <c r="CR267" s="27" t="str">
        <f>VLOOKUP($A267,'[1]Raw Data'!$A$3:$FB$285,98,FALSE)</f>
        <v/>
      </c>
      <c r="CS267" s="27" t="str">
        <f>VLOOKUP($A267,'[1]Raw Data'!$A$3:$FB$285,99,FALSE)</f>
        <v/>
      </c>
      <c r="CT267" s="27" t="str">
        <f>VLOOKUP($A267,'[1]Raw Data'!$A$3:$FB$285,101,FALSE)</f>
        <v>Dambar Bdr. G.C.</v>
      </c>
      <c r="CU267" s="27" t="s">
        <v>1462</v>
      </c>
      <c r="CV267" s="27" t="str">
        <f>VLOOKUP($A267,'[1]Raw Data'!$A$3:$FB$285,102,FALSE)</f>
        <v xml:space="preserve">Chairman </v>
      </c>
      <c r="CW267" s="27" t="s">
        <v>878</v>
      </c>
      <c r="CX267" s="27">
        <f>VLOOKUP($A267,'[1]Raw Data'!$A$3:$FB$285,103,FALSE)</f>
        <v>9847006802</v>
      </c>
      <c r="CY267" s="27" t="str">
        <f>VLOOKUP($A267,'[1]Raw Data'!$A$3:$FB$285,105,FALSE)</f>
        <v>Mina Kumari Gupata</v>
      </c>
      <c r="CZ267" s="27" t="s">
        <v>1463</v>
      </c>
      <c r="DA267" s="27" t="str">
        <f>VLOOKUP($A267,'[1]Raw Data'!$A$3:$FB$285,106,FALSE)</f>
        <v>Deputy Chairman</v>
      </c>
      <c r="DB267" s="27" t="s">
        <v>879</v>
      </c>
      <c r="DC267" s="27">
        <f>VLOOKUP($A267,'[1]Raw Data'!$A$3:$FB$285,107,FALSE)</f>
        <v>9847083541</v>
      </c>
      <c r="DD267" s="27" t="str">
        <f>VLOOKUP($A267,'[1]Raw Data'!$A$3:$FB$285,109,FALSE)</f>
        <v>Surendra Basyal</v>
      </c>
      <c r="DE267" s="27" t="s">
        <v>1464</v>
      </c>
      <c r="DF267" s="27" t="str">
        <f>VLOOKUP($A267,'[1]Raw Data'!$A$3:$FB$285,110,FALSE)</f>
        <v>Chief Adminstration Officer</v>
      </c>
      <c r="DG267" s="27" t="s">
        <v>880</v>
      </c>
      <c r="DH267" s="27">
        <f>VLOOKUP($A267,'[1]Raw Data'!$A$3:$FB$285,111,FALSE)</f>
        <v>9851178364</v>
      </c>
      <c r="DI267" s="27" t="str">
        <f>VLOOKUP($A267,'[1]Raw Data'!$A$3:$FB$285,121,FALSE)</f>
        <v>Sita Paudel</v>
      </c>
      <c r="DJ267" s="27" t="s">
        <v>1461</v>
      </c>
      <c r="DK267" s="27" t="str">
        <f>VLOOKUP($A267,'[1]Raw Data'!$A$3:$FB$285,122,FALSE)</f>
        <v>Focal Person</v>
      </c>
      <c r="DL267" s="27" t="s">
        <v>881</v>
      </c>
      <c r="DM267" s="27">
        <f>VLOOKUP($A267,'[1]Raw Data'!$A$3:$FB$285,123,FALSE)</f>
        <v>9847958120</v>
      </c>
      <c r="DN267" s="27" t="str">
        <f>VLOOKUP($A267,'[1]Raw Data'!$A$3:$FB$285,113,FALSE)</f>
        <v xml:space="preserve">Rajendra  Karki </v>
      </c>
      <c r="DO267" s="27" t="s">
        <v>1211</v>
      </c>
      <c r="DP267" s="27" t="str">
        <f>VLOOKUP($A267,'[1]Raw Data'!$A$3:$FB$285,114,FALSE)</f>
        <v>NRA Chief-District</v>
      </c>
      <c r="DQ267" s="27" t="s">
        <v>882</v>
      </c>
      <c r="DR267" s="27">
        <f>VLOOKUP($A267,'[1]Raw Data'!$A$3:$FB$285,115,FALSE)</f>
        <v>9857087637</v>
      </c>
      <c r="DS267" s="27" t="str">
        <f>VLOOKUP($A267,'[1]Raw Data'!$A$3:$FB$285,117,FALSE)</f>
        <v/>
      </c>
      <c r="DU267" s="27" t="str">
        <f>VLOOKUP($A267,'[1]Raw Data'!$A$3:$FB$285,118,FALSE)</f>
        <v>DUDBC.DLPIU Chief</v>
      </c>
      <c r="DV267" s="27" t="s">
        <v>883</v>
      </c>
      <c r="DW267" s="27" t="str">
        <f>VLOOKUP($A267,'[1]Raw Data'!$A$3:$FB$285,119,FALSE)</f>
        <v/>
      </c>
      <c r="DX267" s="27" t="s">
        <v>339</v>
      </c>
      <c r="DY267" s="27" t="str">
        <f>VLOOKUP($A267,'[1]Raw Data'!$A$3:$FB$285,124,FALSE)</f>
        <v/>
      </c>
      <c r="DZ267" s="27" t="s">
        <v>884</v>
      </c>
      <c r="EA267" s="27" t="str">
        <f>VLOOKUP($A267,'[1]Raw Data'!$A$3:$FB$285,125,FALSE)</f>
        <v/>
      </c>
      <c r="EB267" s="27" t="s">
        <v>341</v>
      </c>
      <c r="EC267" s="27" t="str">
        <f>VLOOKUP($A267,'[1]Raw Data'!$A$3:$FB$285,126,FALSE)</f>
        <v/>
      </c>
      <c r="ED267" t="s">
        <v>478</v>
      </c>
      <c r="EE267" s="27" t="str">
        <f>VLOOKUP($A267,'[1]Raw Data'!$A$3:$FB$285,127,FALSE)</f>
        <v/>
      </c>
      <c r="EF267" s="27" t="s">
        <v>343</v>
      </c>
      <c r="EG267" s="27" t="str">
        <f>VLOOKUP($A267,'[1]Raw Data'!$A$3:$FB$285,128,FALSE)</f>
        <v/>
      </c>
      <c r="EH267" t="s">
        <v>344</v>
      </c>
      <c r="EI267" s="27" t="str">
        <f>VLOOKUP($A267,'[1]Raw Data'!$A$3:$FB$285,129,FALSE)</f>
        <v/>
      </c>
      <c r="EM267" s="27" t="str">
        <f>VLOOKUP($A267,'[1]Raw Data'!$A$3:$FB$285,130,FALSE)</f>
        <v/>
      </c>
      <c r="EN267" s="27" t="str">
        <f>VLOOKUP($A267,'[1]Raw Data'!$A$3:$FB$285,131,FALSE)</f>
        <v/>
      </c>
      <c r="EO267" s="27" t="str">
        <f>VLOOKUP($A267,'[1]Raw Data'!$A$3:$FB$285,132,FALSE)</f>
        <v/>
      </c>
      <c r="EP267" s="27" t="str">
        <f>VLOOKUP($A267,'[1]Raw Data'!$A$3:$FB$285,133,FALSE)</f>
        <v/>
      </c>
      <c r="EQ267" s="27" t="str">
        <f>VLOOKUP($A267,'[1]Raw Data'!$A$3:$FB$285,134,FALSE)</f>
        <v/>
      </c>
      <c r="ER267" s="27" t="str">
        <f>VLOOKUP($A267,'[1]Raw Data'!$A$3:$FB$285,135,FALSE)</f>
        <v/>
      </c>
      <c r="ES267" s="27" t="str">
        <f>VLOOKUP($A267,'[1]Raw Data'!$A$3:$FB$285,136,FALSE)</f>
        <v/>
      </c>
      <c r="ET267" s="27" t="str">
        <f>VLOOKUP($A267,'[1]Raw Data'!$A$3:$FB$285,137,FALSE)</f>
        <v/>
      </c>
      <c r="EU267" s="27" t="str">
        <f>VLOOKUP($A267,'[1]Raw Data'!$A$3:$FB$285,138,FALSE)</f>
        <v/>
      </c>
      <c r="EV267" s="27" t="str">
        <f>VLOOKUP($A267,'[1]Raw Data'!$A$3:$FB$285,139,FALSE)</f>
        <v/>
      </c>
      <c r="EW267" s="38">
        <f>VLOOKUP($A267,[1]Training!$A$2:$I$284,5,FALSE)</f>
        <v>5.0769230769230766</v>
      </c>
      <c r="EX267" s="31">
        <f>VLOOKUP($A267,[1]Training!$A$2:$I$284,6,FALSE)</f>
        <v>0</v>
      </c>
      <c r="EY267" s="38">
        <f>VLOOKUP($A267,[1]Training!$A$2:$I$284,8,FALSE)</f>
        <v>6</v>
      </c>
      <c r="EZ267" s="31">
        <f>VLOOKUP($A267,[1]Training!$A$2:$I$284,9,FALSE)</f>
        <v>0</v>
      </c>
      <c r="FA267" s="27">
        <v>1</v>
      </c>
      <c r="FB267" s="27">
        <v>2</v>
      </c>
      <c r="FC267" s="27" t="str">
        <f>VLOOKUP($A267,'[1]Raw Data'!$A$3:$FB$285,148,FALSE)</f>
        <v>Hari Prasad Thalang</v>
      </c>
      <c r="FE267" s="27" t="str">
        <f>VLOOKUP($A267,'[1]Raw Data'!$A$3:$FB$285,149,FALSE)</f>
        <v>District Coordinator</v>
      </c>
      <c r="FF267" s="27" t="s">
        <v>885</v>
      </c>
      <c r="FG267" s="27">
        <f>VLOOKUP($A267,'[1]Raw Data'!$A$3:$FB$285,150,FALSE)</f>
        <v>9851224505</v>
      </c>
      <c r="FH267" s="27" t="str">
        <f>VLOOKUP($A267,'[1]Raw Data'!$A$3:$FB$285,156,FALSE)</f>
        <v xml:space="preserve">Kausal Bist </v>
      </c>
      <c r="FJ267" s="27" t="str">
        <f>VLOOKUP($A267,'[1]Raw Data'!$A$3:$FB$285,157,FALSE)</f>
        <v>District Technical Officer</v>
      </c>
      <c r="FK267" s="27" t="s">
        <v>886</v>
      </c>
      <c r="FL267" s="27">
        <f>VLOOKUP($A267,'[1]Raw Data'!$A$3:$FB$285,158,FALSE)</f>
        <v>9849787273</v>
      </c>
      <c r="FM267" s="27" t="str">
        <f>VLOOKUP($A267,'[1]Raw Data'!$A$3:$FB$285,152,FALSE)</f>
        <v>Nirmal Nepali</v>
      </c>
      <c r="FO267" s="27" t="str">
        <f>VLOOKUP($A267,'[1]Raw Data'!$A$3:$FB$285,153,FALSE)</f>
        <v>DIstrict Information Management Officer</v>
      </c>
      <c r="FP267" s="27" t="s">
        <v>887</v>
      </c>
      <c r="FQ267" s="27">
        <f>VLOOKUP($A267,'[1]Raw Data'!$A$3:$FB$285,154,FALSE)</f>
        <v>9848500348</v>
      </c>
    </row>
    <row r="268" spans="1:173" ht="24" x14ac:dyDescent="0.45">
      <c r="A268" s="27">
        <v>48003</v>
      </c>
      <c r="B268" s="36" t="str">
        <f ca="1">IFERROR(__xludf.DUMMYFUNCTION("""COMPUTED_VALUE"""),"Bulingtar Gaunpalika")</f>
        <v>Bulingtar Gaunpalika</v>
      </c>
      <c r="C268" s="37" t="str">
        <f>VLOOKUP(A268,'[1]Palika and District in Nepali '!$D$1:$F$283,3,FALSE)</f>
        <v>बुलिंगटार गाउँपालिका</v>
      </c>
      <c r="D268" s="36" t="str">
        <f ca="1">IFERROR(__xludf.DUMMYFUNCTION("""COMPUTED_VALUE"""),"Nawalparasi")</f>
        <v>Nawalparasi</v>
      </c>
      <c r="E268" s="36"/>
      <c r="F268" s="27">
        <f>VLOOKUP(A268,'[1]Raw Data'!$A$3:$FB$285,4,FALSE)</f>
        <v>18</v>
      </c>
      <c r="G268" s="27">
        <f>VLOOKUP(A268,'[1]Raw Data'!$A$3:$FB$285,5,FALSE)</f>
        <v>262</v>
      </c>
      <c r="H268" s="27">
        <f>VLOOKUP(A268,'[1]Raw Data'!$A$3:$FB$285,6,FALSE)</f>
        <v>280</v>
      </c>
      <c r="I268" s="27">
        <f>VLOOKUP($A268,'[1]Raw Data'!$A$3:$FB$285,8,FALSE)</f>
        <v>0</v>
      </c>
      <c r="J268" s="27">
        <f>VLOOKUP($A268,'[1]Raw Data'!$A$3:$FB$285,9,FALSE)</f>
        <v>0.81</v>
      </c>
      <c r="K268" s="27">
        <f>VLOOKUP($A268,'[1]Raw Data'!$A$3:$FB$285,11,FALSE)</f>
        <v>98.21</v>
      </c>
      <c r="L268" s="27">
        <f>VLOOKUP($A268,'[1]Raw Data'!$A$3:$FB$285,12,FALSE)</f>
        <v>95.12</v>
      </c>
      <c r="M268" s="27">
        <f>VLOOKUP($A268,'[1]Raw Data'!$A$3:$FB$285,14,FALSE)</f>
        <v>1.07</v>
      </c>
      <c r="N268" s="27">
        <f>VLOOKUP($A268,'[1]Raw Data'!$A$3:$FB$285,15,FALSE)</f>
        <v>1.83</v>
      </c>
      <c r="O268" s="27">
        <f>VLOOKUP($A268,'[1]Raw Data'!$A$3:$FB$285,17,FALSE)</f>
        <v>0.36</v>
      </c>
      <c r="P268" s="27">
        <f>VLOOKUP($A268,'[1]Raw Data'!$A$3:$FB$285,18,FALSE)</f>
        <v>0.92</v>
      </c>
      <c r="Q268" s="27">
        <f>VLOOKUP($A268,'[1]Raw Data'!$A$3:$FB$285,20,FALSE)</f>
        <v>0</v>
      </c>
      <c r="R268" s="27">
        <f>VLOOKUP($A268,'[1]Raw Data'!$A$3:$FB$285,21,FALSE)</f>
        <v>0</v>
      </c>
      <c r="S268" s="27">
        <f>VLOOKUP($A268,'[1]Raw Data'!$A$3:$FB$285,23,FALSE)</f>
        <v>0</v>
      </c>
      <c r="T268" s="27">
        <f>VLOOKUP($A268,'[1]Raw Data'!$A$3:$FB$285,24,FALSE)</f>
        <v>0</v>
      </c>
      <c r="U268" s="27">
        <f>VLOOKUP($A268,'[1]Raw Data'!$A$3:$FB$285,26,FALSE)</f>
        <v>0.36</v>
      </c>
      <c r="V268" s="27">
        <f>VLOOKUP($A268,'[1]Raw Data'!$A$3:$FB$285,27,FALSE)</f>
        <v>0.92</v>
      </c>
      <c r="W268" s="27">
        <f>VLOOKUP($A268,'[1]Raw Data'!$A$3:$FB$285,29,FALSE)</f>
        <v>0</v>
      </c>
      <c r="X268" s="27">
        <f>VLOOKUP($A268,'[1]Raw Data'!$A$3:$FB$285,30,FALSE)</f>
        <v>0</v>
      </c>
      <c r="Y268" s="27">
        <f>VLOOKUP($A268,'[1]Raw Data'!$A$3:$FB$285,32,FALSE)</f>
        <v>0</v>
      </c>
      <c r="Z268" s="27">
        <f>VLOOKUP($A268,'[1]Raw Data'!$A$3:$FB$285,33,FALSE)</f>
        <v>0.31</v>
      </c>
      <c r="AA268" s="27">
        <f>VLOOKUP($A268,'[1]Raw Data'!$A$3:$FB$285,35,FALSE)</f>
        <v>0</v>
      </c>
      <c r="AB268" s="27">
        <f>VLOOKUP($A268,'[1]Raw Data'!$A$3:$FB$285,36,FALSE)</f>
        <v>0.1</v>
      </c>
      <c r="AC268" s="27">
        <f>VLOOKUP($A268,'[1]Raw Data'!$A$3:$FB$285,38,FALSE)</f>
        <v>0</v>
      </c>
      <c r="AD268" s="27">
        <f>VLOOKUP($A268,'[1]Raw Data'!$A$3:$FB$285,39,FALSE)</f>
        <v>0</v>
      </c>
      <c r="AE268" s="27">
        <f>VLOOKUP($A268,'[1]Raw Data'!$A$3:$FB$285,41,FALSE)</f>
        <v>0</v>
      </c>
      <c r="AF268" s="27">
        <f>VLOOKUP($A268,'[1]Raw Data'!$A$3:$FB$285,42,FALSE)</f>
        <v>0</v>
      </c>
      <c r="AG268" s="27">
        <f>VLOOKUP($A268,'[1]Raw Data'!$A$3:$FB$285,44,FALSE)</f>
        <v>0</v>
      </c>
      <c r="AH268" s="27">
        <f>VLOOKUP($A268,'[1]Raw Data'!$A$3:$FB$285,45,FALSE)</f>
        <v>0</v>
      </c>
      <c r="AI268" s="27">
        <f>VLOOKUP($A268,'[1]Raw Data'!$A$3:$FB$285,46,FALSE)</f>
        <v>260</v>
      </c>
      <c r="AJ268" s="27">
        <f>VLOOKUP($A268,'[1]Raw Data'!$A$3:$FB$285,47,FALSE)</f>
        <v>260</v>
      </c>
      <c r="AK268" s="27">
        <f>VLOOKUP($A268,'[1]Raw Data'!$A$3:$FB$285,48,FALSE)</f>
        <v>260</v>
      </c>
      <c r="AL268" s="27">
        <f>VLOOKUP($A268,'[1]Raw Data'!$A$3:$FB$285,49,FALSE)</f>
        <v>194</v>
      </c>
      <c r="AM268" s="27">
        <f>VLOOKUP($A268,'[1]Raw Data'!$A$3:$FB$285,50,FALSE)</f>
        <v>56</v>
      </c>
      <c r="AN268" s="27">
        <f>VLOOKUP($A268,'[1]Raw Data'!$A$3:$FB$285,51,FALSE)</f>
        <v>194</v>
      </c>
      <c r="AO268" s="27">
        <f>VLOOKUP($A268,'[1]Raw Data'!$A$3:$FB$285,52,FALSE)</f>
        <v>0</v>
      </c>
      <c r="AP268" s="27">
        <f>VLOOKUP($A268,'[1]Raw Data'!$A$3:$FB$285,53,FALSE)</f>
        <v>5</v>
      </c>
      <c r="AQ268" s="27" t="str">
        <f>VLOOKUP($A268,'[1]Raw Data'!$A$3:$FB$285,54,FALSE)</f>
        <v/>
      </c>
      <c r="AR268" s="27" t="str">
        <f>VLOOKUP($A268,'[1]Raw Data'!$A$3:$FB$285,55,FALSE)</f>
        <v/>
      </c>
      <c r="AS268" s="27" t="str">
        <f>VLOOKUP($A268,'[1]Raw Data'!$A$3:$FB$285,56,FALSE)</f>
        <v/>
      </c>
      <c r="AT268" s="27">
        <f>VLOOKUP($A268,'[1]Raw Data'!$A$3:$FB$285,57,FALSE)</f>
        <v>406</v>
      </c>
      <c r="AU268" s="27">
        <f>VLOOKUP($A268,'[1]Raw Data'!$A$3:$FB$285,58,FALSE)</f>
        <v>10</v>
      </c>
      <c r="AV268" s="27" t="str">
        <f>VLOOKUP($A268,'[1]Raw Data'!$A$3:$FB$285,59,FALSE)</f>
        <v/>
      </c>
      <c r="AW268" s="27" t="str">
        <f>VLOOKUP($A268,'[1]Raw Data'!$A$3:$FB$285,60,FALSE)</f>
        <v/>
      </c>
      <c r="AX268" s="27" t="str">
        <f>VLOOKUP(A268,'[1]PO''s List'!A266:E548,4,FALSE)</f>
        <v/>
      </c>
      <c r="AZ268" s="27" t="str">
        <f>VLOOKUP(A268,'[1]PO''s List'!$A$3:$E$285,5,FALSE)</f>
        <v/>
      </c>
      <c r="BB268" s="27">
        <f>VLOOKUP($A268,'[1]Raw Data'!$A$3:$FB$285,63,FALSE)</f>
        <v>780</v>
      </c>
      <c r="BC268" s="27" t="str">
        <f>VLOOKUP($A268,'[1]Raw Data'!$A$3:$FB$285,64,FALSE)</f>
        <v/>
      </c>
      <c r="BD268" s="27" t="str">
        <f t="shared" si="36"/>
        <v/>
      </c>
      <c r="BE268" s="27" t="str">
        <f>VLOOKUP($A268,'[1]Raw Data'!$A$3:$FB$285,65,FALSE)</f>
        <v/>
      </c>
      <c r="BF268" s="27">
        <f>VLOOKUP($A268,'[1]Raw Data'!$A$3:$FB$285,66,FALSE)</f>
        <v>771</v>
      </c>
      <c r="BG268" s="27" t="str">
        <f>VLOOKUP($A268,'[1]Raw Data'!$A$3:$FB$285,67,FALSE)</f>
        <v/>
      </c>
      <c r="BH268" s="27" t="str">
        <f t="shared" si="37"/>
        <v/>
      </c>
      <c r="BI268" s="27" t="str">
        <f>VLOOKUP($A268,'[1]Raw Data'!$A$3:$FB$285,68,FALSE)</f>
        <v/>
      </c>
      <c r="BJ268" s="27">
        <f>VLOOKUP($A268,'[1]Raw Data'!$A$3:$FB$285,69,FALSE)</f>
        <v>83</v>
      </c>
      <c r="BK268" s="27" t="str">
        <f>VLOOKUP($A268,'[1]Raw Data'!$A$3:$FB$285,70,FALSE)</f>
        <v/>
      </c>
      <c r="BL268" s="27" t="str">
        <f t="shared" si="38"/>
        <v/>
      </c>
      <c r="BM268" s="27" t="str">
        <f>VLOOKUP($A268,'[1]Raw Data'!$A$3:$FB$285,71,FALSE)</f>
        <v/>
      </c>
      <c r="BN268" s="27">
        <f>VLOOKUP($A268,'[1]Raw Data'!$A$3:$FB$285,72,FALSE)</f>
        <v>95</v>
      </c>
      <c r="BO268" s="27" t="str">
        <f>VLOOKUP($A268,'[1]Raw Data'!$A$3:$FB$285,73,FALSE)</f>
        <v/>
      </c>
      <c r="BP268" s="27" t="str">
        <f t="shared" si="39"/>
        <v/>
      </c>
      <c r="BQ268" s="27" t="str">
        <f>VLOOKUP($A268,'[1]Raw Data'!$A$3:$FB$285,74,FALSE)</f>
        <v/>
      </c>
      <c r="BR268" s="27" t="str">
        <f>VLOOKUP($A268,'[1]Raw Data'!$A$3:$FB$285,75,FALSE)</f>
        <v/>
      </c>
      <c r="BS268" s="27" t="str">
        <f>VLOOKUP($A268,'[1]Raw Data'!$A$3:$FB$285,76,FALSE)</f>
        <v/>
      </c>
      <c r="BT268" s="27" t="str">
        <f t="shared" si="40"/>
        <v/>
      </c>
      <c r="BU268" s="27" t="str">
        <f>VLOOKUP($A268,'[1]Raw Data'!$A$3:$FB$285,77,FALSE)</f>
        <v/>
      </c>
      <c r="BV268" s="27">
        <f>VLOOKUP($A268,'[1]Raw Data'!$A$3:$FB$285,78,FALSE)</f>
        <v>2522</v>
      </c>
      <c r="BW268" s="27" t="str">
        <f>VLOOKUP($A268,'[1]Raw Data'!$A$3:$FB$285,79,FALSE)</f>
        <v/>
      </c>
      <c r="BX268" s="27" t="str">
        <f t="shared" si="41"/>
        <v/>
      </c>
      <c r="BY268" s="27" t="str">
        <f>VLOOKUP($A268,'[1]Raw Data'!$A$3:$FB$285,80,FALSE)</f>
        <v/>
      </c>
      <c r="BZ268" s="27">
        <f>VLOOKUP($A268,'[1]Raw Data'!$A$3:$FB$285,81,FALSE)</f>
        <v>8445</v>
      </c>
      <c r="CA268" s="27" t="str">
        <f>VLOOKUP($A268,'[1]Raw Data'!$A$3:$FB$285,82,FALSE)</f>
        <v/>
      </c>
      <c r="CB268" s="27" t="str">
        <f t="shared" si="42"/>
        <v/>
      </c>
      <c r="CC268" s="27" t="str">
        <f>VLOOKUP($A268,'[1]Raw Data'!$A$3:$FB$285,83,FALSE)</f>
        <v/>
      </c>
      <c r="CD268" s="27">
        <f>VLOOKUP($A268,'[1]Raw Data'!$A$3:$FB$285,84,FALSE)</f>
        <v>103</v>
      </c>
      <c r="CE268" s="27" t="str">
        <f>VLOOKUP($A268,'[1]Raw Data'!$A$3:$FB$285,85,FALSE)</f>
        <v/>
      </c>
      <c r="CF268" s="27" t="str">
        <f t="shared" si="43"/>
        <v/>
      </c>
      <c r="CG268" s="27" t="str">
        <f>VLOOKUP($A268,'[1]Raw Data'!$A$3:$FB$285,86,FALSE)</f>
        <v/>
      </c>
      <c r="CH268" s="27">
        <f>VLOOKUP($A268,'[1]Raw Data'!$A$3:$FB$285,87,FALSE)</f>
        <v>4176</v>
      </c>
      <c r="CI268" s="27" t="str">
        <f>VLOOKUP($A268,'[1]Raw Data'!$A$3:$FB$285,88,FALSE)</f>
        <v/>
      </c>
      <c r="CJ268" s="27" t="str">
        <f t="shared" si="44"/>
        <v/>
      </c>
      <c r="CK268" s="27" t="str">
        <f>VLOOKUP($A268,'[1]Raw Data'!$A$3:$FB$285,89,FALSE)</f>
        <v/>
      </c>
      <c r="CL268" s="27" t="str">
        <f>VLOOKUP($A268,'[1]Raw Data'!$A$3:$FB$285,91,FALSE)</f>
        <v/>
      </c>
      <c r="CM268" s="27" t="str">
        <f>VLOOKUP($A268,'[1]Raw Data'!$A$3:$FB$285,93,FALSE)</f>
        <v/>
      </c>
      <c r="CN268" s="27" t="str">
        <f>VLOOKUP($A268,'[1]Raw Data'!$A$3:$FB$285,94,FALSE)</f>
        <v/>
      </c>
      <c r="CO268" s="27" t="str">
        <f>VLOOKUP($A268,'[1]Raw Data'!$A$3:$FB$285,95,FALSE)</f>
        <v/>
      </c>
      <c r="CP268" s="27" t="str">
        <f>VLOOKUP($A268,'[1]Raw Data'!$A$3:$FB$285,96,FALSE)</f>
        <v/>
      </c>
      <c r="CQ268" s="27" t="str">
        <f>VLOOKUP($A268,'[1]Raw Data'!$A$3:$FB$285,97,FALSE)</f>
        <v/>
      </c>
      <c r="CR268" s="27" t="str">
        <f>VLOOKUP($A268,'[1]Raw Data'!$A$3:$FB$285,98,FALSE)</f>
        <v/>
      </c>
      <c r="CS268" s="27" t="str">
        <f>VLOOKUP($A268,'[1]Raw Data'!$A$3:$FB$285,99,FALSE)</f>
        <v/>
      </c>
      <c r="CT268" s="27" t="str">
        <f>VLOOKUP($A268,'[1]Raw Data'!$A$3:$FB$285,101,FALSE)</f>
        <v>Shashi Kiran Bastakoti</v>
      </c>
      <c r="CU268" s="27" t="s">
        <v>1465</v>
      </c>
      <c r="CV268" s="27" t="str">
        <f>VLOOKUP($A268,'[1]Raw Data'!$A$3:$FB$285,102,FALSE)</f>
        <v xml:space="preserve">Chairman </v>
      </c>
      <c r="CW268" s="27" t="s">
        <v>878</v>
      </c>
      <c r="CX268" s="27">
        <f>VLOOKUP($A268,'[1]Raw Data'!$A$3:$FB$285,103,FALSE)</f>
        <v>9857062005</v>
      </c>
      <c r="CY268" s="27" t="str">
        <f>VLOOKUP($A268,'[1]Raw Data'!$A$3:$FB$285,105,FALSE)</f>
        <v>Maina Bk</v>
      </c>
      <c r="CZ268" s="27" t="s">
        <v>1466</v>
      </c>
      <c r="DA268" s="27" t="str">
        <f>VLOOKUP($A268,'[1]Raw Data'!$A$3:$FB$285,106,FALSE)</f>
        <v>Deputy Chairman</v>
      </c>
      <c r="DB268" s="27" t="s">
        <v>879</v>
      </c>
      <c r="DC268" s="27">
        <f>VLOOKUP($A268,'[1]Raw Data'!$A$3:$FB$285,107,FALSE)</f>
        <v>9821206523</v>
      </c>
      <c r="DD268" s="27" t="str">
        <f>VLOOKUP($A268,'[1]Raw Data'!$A$3:$FB$285,109,FALSE)</f>
        <v>Ghanshyam Gaha</v>
      </c>
      <c r="DE268" s="27" t="s">
        <v>1467</v>
      </c>
      <c r="DF268" s="27" t="str">
        <f>VLOOKUP($A268,'[1]Raw Data'!$A$3:$FB$285,110,FALSE)</f>
        <v>Chief Adminstration Officer</v>
      </c>
      <c r="DG268" s="27" t="s">
        <v>880</v>
      </c>
      <c r="DH268" s="27">
        <f>VLOOKUP($A268,'[1]Raw Data'!$A$3:$FB$285,111,FALSE)</f>
        <v>9847356965</v>
      </c>
      <c r="DI268" s="27" t="str">
        <f>VLOOKUP($A268,'[1]Raw Data'!$A$3:$FB$285,121,FALSE)</f>
        <v>Narayan Pandey</v>
      </c>
      <c r="DJ268" s="27" t="s">
        <v>1468</v>
      </c>
      <c r="DK268" s="27" t="str">
        <f>VLOOKUP($A268,'[1]Raw Data'!$A$3:$FB$285,122,FALSE)</f>
        <v>Focal Person</v>
      </c>
      <c r="DL268" s="27" t="s">
        <v>881</v>
      </c>
      <c r="DM268" s="27">
        <f>VLOOKUP($A268,'[1]Raw Data'!$A$3:$FB$285,123,FALSE)</f>
        <v>9812916749</v>
      </c>
      <c r="DN268" s="27" t="str">
        <f>VLOOKUP($A268,'[1]Raw Data'!$A$3:$FB$285,113,FALSE)</f>
        <v xml:space="preserve">Rajendra  Karki </v>
      </c>
      <c r="DO268" s="27" t="s">
        <v>1211</v>
      </c>
      <c r="DP268" s="27" t="str">
        <f>VLOOKUP($A268,'[1]Raw Data'!$A$3:$FB$285,114,FALSE)</f>
        <v>NRA Chief-District</v>
      </c>
      <c r="DQ268" s="27" t="s">
        <v>882</v>
      </c>
      <c r="DR268" s="27">
        <f>VLOOKUP($A268,'[1]Raw Data'!$A$3:$FB$285,115,FALSE)</f>
        <v>9857087637</v>
      </c>
      <c r="DS268" s="27" t="str">
        <f>VLOOKUP($A268,'[1]Raw Data'!$A$3:$FB$285,117,FALSE)</f>
        <v/>
      </c>
      <c r="DU268" s="27" t="str">
        <f>VLOOKUP($A268,'[1]Raw Data'!$A$3:$FB$285,118,FALSE)</f>
        <v>DUDBC.DLPIU Chief</v>
      </c>
      <c r="DV268" s="27" t="s">
        <v>883</v>
      </c>
      <c r="DW268" s="27" t="str">
        <f>VLOOKUP($A268,'[1]Raw Data'!$A$3:$FB$285,119,FALSE)</f>
        <v/>
      </c>
      <c r="DX268" s="27" t="s">
        <v>339</v>
      </c>
      <c r="DY268" s="27" t="str">
        <f>VLOOKUP($A268,'[1]Raw Data'!$A$3:$FB$285,124,FALSE)</f>
        <v/>
      </c>
      <c r="DZ268" s="27" t="s">
        <v>884</v>
      </c>
      <c r="EA268" s="27" t="str">
        <f>VLOOKUP($A268,'[1]Raw Data'!$A$3:$FB$285,125,FALSE)</f>
        <v/>
      </c>
      <c r="EB268" s="27" t="s">
        <v>341</v>
      </c>
      <c r="EC268" s="27" t="str">
        <f>VLOOKUP($A268,'[1]Raw Data'!$A$3:$FB$285,126,FALSE)</f>
        <v/>
      </c>
      <c r="ED268" t="s">
        <v>478</v>
      </c>
      <c r="EE268" s="27" t="str">
        <f>VLOOKUP($A268,'[1]Raw Data'!$A$3:$FB$285,127,FALSE)</f>
        <v/>
      </c>
      <c r="EF268" s="27" t="s">
        <v>343</v>
      </c>
      <c r="EG268" s="27" t="str">
        <f>VLOOKUP($A268,'[1]Raw Data'!$A$3:$FB$285,128,FALSE)</f>
        <v/>
      </c>
      <c r="EH268" t="s">
        <v>344</v>
      </c>
      <c r="EI268" s="27" t="str">
        <f>VLOOKUP($A268,'[1]Raw Data'!$A$3:$FB$285,129,FALSE)</f>
        <v/>
      </c>
      <c r="EM268" s="27" t="str">
        <f>VLOOKUP($A268,'[1]Raw Data'!$A$3:$FB$285,130,FALSE)</f>
        <v/>
      </c>
      <c r="EN268" s="27" t="str">
        <f>VLOOKUP($A268,'[1]Raw Data'!$A$3:$FB$285,131,FALSE)</f>
        <v/>
      </c>
      <c r="EO268" s="27" t="str">
        <f>VLOOKUP($A268,'[1]Raw Data'!$A$3:$FB$285,132,FALSE)</f>
        <v/>
      </c>
      <c r="EP268" s="27" t="str">
        <f>VLOOKUP($A268,'[1]Raw Data'!$A$3:$FB$285,133,FALSE)</f>
        <v/>
      </c>
      <c r="EQ268" s="27" t="str">
        <f>VLOOKUP($A268,'[1]Raw Data'!$A$3:$FB$285,134,FALSE)</f>
        <v/>
      </c>
      <c r="ER268" s="27" t="str">
        <f>VLOOKUP($A268,'[1]Raw Data'!$A$3:$FB$285,135,FALSE)</f>
        <v/>
      </c>
      <c r="ES268" s="27" t="str">
        <f>VLOOKUP($A268,'[1]Raw Data'!$A$3:$FB$285,136,FALSE)</f>
        <v/>
      </c>
      <c r="ET268" s="27" t="str">
        <f>VLOOKUP($A268,'[1]Raw Data'!$A$3:$FB$285,137,FALSE)</f>
        <v/>
      </c>
      <c r="EU268" s="27" t="str">
        <f>VLOOKUP($A268,'[1]Raw Data'!$A$3:$FB$285,138,FALSE)</f>
        <v/>
      </c>
      <c r="EV268" s="27" t="str">
        <f>VLOOKUP($A268,'[1]Raw Data'!$A$3:$FB$285,139,FALSE)</f>
        <v/>
      </c>
      <c r="EW268" s="38">
        <f>VLOOKUP($A268,[1]Training!$A$2:$I$284,5,FALSE)</f>
        <v>20.307692307692307</v>
      </c>
      <c r="EX268" s="31">
        <f>VLOOKUP($A268,[1]Training!$A$2:$I$284,6,FALSE)</f>
        <v>0</v>
      </c>
      <c r="EY268" s="38">
        <f>VLOOKUP($A268,[1]Training!$A$2:$I$284,8,FALSE)</f>
        <v>24</v>
      </c>
      <c r="EZ268" s="31">
        <f>VLOOKUP($A268,[1]Training!$A$2:$I$284,9,FALSE)</f>
        <v>0</v>
      </c>
      <c r="FA268" s="27">
        <v>1</v>
      </c>
      <c r="FB268" s="27">
        <v>2</v>
      </c>
      <c r="FC268" s="27" t="str">
        <f>VLOOKUP($A268,'[1]Raw Data'!$A$3:$FB$285,148,FALSE)</f>
        <v>Hari Prasad Thalang</v>
      </c>
      <c r="FE268" s="27" t="str">
        <f>VLOOKUP($A268,'[1]Raw Data'!$A$3:$FB$285,149,FALSE)</f>
        <v>District Coordinator</v>
      </c>
      <c r="FF268" s="27" t="s">
        <v>885</v>
      </c>
      <c r="FG268" s="27">
        <f>VLOOKUP($A268,'[1]Raw Data'!$A$3:$FB$285,150,FALSE)</f>
        <v>9851224505</v>
      </c>
      <c r="FH268" s="27" t="str">
        <f>VLOOKUP($A268,'[1]Raw Data'!$A$3:$FB$285,156,FALSE)</f>
        <v xml:space="preserve">Kausal Bist </v>
      </c>
      <c r="FJ268" s="27" t="str">
        <f>VLOOKUP($A268,'[1]Raw Data'!$A$3:$FB$285,157,FALSE)</f>
        <v>District Technical Officer</v>
      </c>
      <c r="FK268" s="27" t="s">
        <v>886</v>
      </c>
      <c r="FL268" s="27">
        <f>VLOOKUP($A268,'[1]Raw Data'!$A$3:$FB$285,158,FALSE)</f>
        <v>9849787273</v>
      </c>
      <c r="FM268" s="27" t="str">
        <f>VLOOKUP($A268,'[1]Raw Data'!$A$3:$FB$285,152,FALSE)</f>
        <v>Nirmal Nepali</v>
      </c>
      <c r="FO268" s="27" t="str">
        <f>VLOOKUP($A268,'[1]Raw Data'!$A$3:$FB$285,153,FALSE)</f>
        <v>DIstrict Information Management Officer</v>
      </c>
      <c r="FP268" s="27" t="s">
        <v>887</v>
      </c>
      <c r="FQ268" s="27">
        <f>VLOOKUP($A268,'[1]Raw Data'!$A$3:$FB$285,154,FALSE)</f>
        <v>9848500348</v>
      </c>
    </row>
    <row r="269" spans="1:173" ht="24" x14ac:dyDescent="0.45">
      <c r="A269" s="27">
        <v>48004</v>
      </c>
      <c r="B269" s="36" t="str">
        <f ca="1">IFERROR(__xludf.DUMMYFUNCTION("""COMPUTED_VALUE"""),"Bungdikali Gaunpalika")</f>
        <v>Bungdikali Gaunpalika</v>
      </c>
      <c r="C269" s="37" t="str">
        <f>VLOOKUP(A269,'[1]Palika and District in Nepali '!$D$1:$F$283,3,FALSE)</f>
        <v>बुंग्दीकाली गाउँपालिका</v>
      </c>
      <c r="D269" s="36" t="str">
        <f ca="1">IFERROR(__xludf.DUMMYFUNCTION("""COMPUTED_VALUE"""),"Nawalparasi")</f>
        <v>Nawalparasi</v>
      </c>
      <c r="E269" s="36"/>
      <c r="F269" s="27">
        <f>VLOOKUP(A269,'[1]Raw Data'!$A$3:$FB$285,4,FALSE)</f>
        <v>56</v>
      </c>
      <c r="G269" s="27">
        <f>VLOOKUP(A269,'[1]Raw Data'!$A$3:$FB$285,5,FALSE)</f>
        <v>77</v>
      </c>
      <c r="H269" s="27">
        <f>VLOOKUP(A269,'[1]Raw Data'!$A$3:$FB$285,6,FALSE)</f>
        <v>133</v>
      </c>
      <c r="I269" s="27">
        <f>VLOOKUP($A269,'[1]Raw Data'!$A$3:$FB$285,8,FALSE)</f>
        <v>0</v>
      </c>
      <c r="J269" s="27">
        <f>VLOOKUP($A269,'[1]Raw Data'!$A$3:$FB$285,9,FALSE)</f>
        <v>0.81</v>
      </c>
      <c r="K269" s="27">
        <f>VLOOKUP($A269,'[1]Raw Data'!$A$3:$FB$285,11,FALSE)</f>
        <v>100</v>
      </c>
      <c r="L269" s="27">
        <f>VLOOKUP($A269,'[1]Raw Data'!$A$3:$FB$285,12,FALSE)</f>
        <v>95.12</v>
      </c>
      <c r="M269" s="27">
        <f>VLOOKUP($A269,'[1]Raw Data'!$A$3:$FB$285,14,FALSE)</f>
        <v>0</v>
      </c>
      <c r="N269" s="27">
        <f>VLOOKUP($A269,'[1]Raw Data'!$A$3:$FB$285,15,FALSE)</f>
        <v>1.83</v>
      </c>
      <c r="O269" s="27">
        <f>VLOOKUP($A269,'[1]Raw Data'!$A$3:$FB$285,17,FALSE)</f>
        <v>0</v>
      </c>
      <c r="P269" s="27">
        <f>VLOOKUP($A269,'[1]Raw Data'!$A$3:$FB$285,18,FALSE)</f>
        <v>0.92</v>
      </c>
      <c r="Q269" s="27">
        <f>VLOOKUP($A269,'[1]Raw Data'!$A$3:$FB$285,20,FALSE)</f>
        <v>0</v>
      </c>
      <c r="R269" s="27">
        <f>VLOOKUP($A269,'[1]Raw Data'!$A$3:$FB$285,21,FALSE)</f>
        <v>0</v>
      </c>
      <c r="S269" s="27">
        <f>VLOOKUP($A269,'[1]Raw Data'!$A$3:$FB$285,23,FALSE)</f>
        <v>0</v>
      </c>
      <c r="T269" s="27">
        <f>VLOOKUP($A269,'[1]Raw Data'!$A$3:$FB$285,24,FALSE)</f>
        <v>0</v>
      </c>
      <c r="U269" s="27">
        <f>VLOOKUP($A269,'[1]Raw Data'!$A$3:$FB$285,26,FALSE)</f>
        <v>0</v>
      </c>
      <c r="V269" s="27">
        <f>VLOOKUP($A269,'[1]Raw Data'!$A$3:$FB$285,27,FALSE)</f>
        <v>0.92</v>
      </c>
      <c r="W269" s="27">
        <f>VLOOKUP($A269,'[1]Raw Data'!$A$3:$FB$285,29,FALSE)</f>
        <v>0</v>
      </c>
      <c r="X269" s="27">
        <f>VLOOKUP($A269,'[1]Raw Data'!$A$3:$FB$285,30,FALSE)</f>
        <v>0</v>
      </c>
      <c r="Y269" s="27">
        <f>VLOOKUP($A269,'[1]Raw Data'!$A$3:$FB$285,32,FALSE)</f>
        <v>0</v>
      </c>
      <c r="Z269" s="27">
        <f>VLOOKUP($A269,'[1]Raw Data'!$A$3:$FB$285,33,FALSE)</f>
        <v>0.31</v>
      </c>
      <c r="AA269" s="27">
        <f>VLOOKUP($A269,'[1]Raw Data'!$A$3:$FB$285,35,FALSE)</f>
        <v>0</v>
      </c>
      <c r="AB269" s="27">
        <f>VLOOKUP($A269,'[1]Raw Data'!$A$3:$FB$285,36,FALSE)</f>
        <v>0.1</v>
      </c>
      <c r="AC269" s="27">
        <f>VLOOKUP($A269,'[1]Raw Data'!$A$3:$FB$285,38,FALSE)</f>
        <v>0</v>
      </c>
      <c r="AD269" s="27">
        <f>VLOOKUP($A269,'[1]Raw Data'!$A$3:$FB$285,39,FALSE)</f>
        <v>0</v>
      </c>
      <c r="AE269" s="27">
        <f>VLOOKUP($A269,'[1]Raw Data'!$A$3:$FB$285,41,FALSE)</f>
        <v>0</v>
      </c>
      <c r="AF269" s="27">
        <f>VLOOKUP($A269,'[1]Raw Data'!$A$3:$FB$285,42,FALSE)</f>
        <v>0</v>
      </c>
      <c r="AG269" s="27">
        <f>VLOOKUP($A269,'[1]Raw Data'!$A$3:$FB$285,44,FALSE)</f>
        <v>0</v>
      </c>
      <c r="AH269" s="27">
        <f>VLOOKUP($A269,'[1]Raw Data'!$A$3:$FB$285,45,FALSE)</f>
        <v>0</v>
      </c>
      <c r="AI269" s="27">
        <f>VLOOKUP($A269,'[1]Raw Data'!$A$3:$FB$285,46,FALSE)</f>
        <v>72</v>
      </c>
      <c r="AJ269" s="27">
        <f>VLOOKUP($A269,'[1]Raw Data'!$A$3:$FB$285,47,FALSE)</f>
        <v>72</v>
      </c>
      <c r="AK269" s="27">
        <f>VLOOKUP($A269,'[1]Raw Data'!$A$3:$FB$285,48,FALSE)</f>
        <v>72</v>
      </c>
      <c r="AL269" s="27">
        <f>VLOOKUP($A269,'[1]Raw Data'!$A$3:$FB$285,49,FALSE)</f>
        <v>55</v>
      </c>
      <c r="AM269" s="27">
        <f>VLOOKUP($A269,'[1]Raw Data'!$A$3:$FB$285,50,FALSE)</f>
        <v>38</v>
      </c>
      <c r="AN269" s="27">
        <f>VLOOKUP($A269,'[1]Raw Data'!$A$3:$FB$285,51,FALSE)</f>
        <v>55</v>
      </c>
      <c r="AO269" s="27">
        <f>VLOOKUP($A269,'[1]Raw Data'!$A$3:$FB$285,52,FALSE)</f>
        <v>0</v>
      </c>
      <c r="AP269" s="27">
        <f>VLOOKUP($A269,'[1]Raw Data'!$A$3:$FB$285,53,FALSE)</f>
        <v>1</v>
      </c>
      <c r="AQ269" s="27" t="str">
        <f>VLOOKUP($A269,'[1]Raw Data'!$A$3:$FB$285,54,FALSE)</f>
        <v/>
      </c>
      <c r="AR269" s="27" t="str">
        <f>VLOOKUP($A269,'[1]Raw Data'!$A$3:$FB$285,55,FALSE)</f>
        <v/>
      </c>
      <c r="AS269" s="27" t="str">
        <f>VLOOKUP($A269,'[1]Raw Data'!$A$3:$FB$285,56,FALSE)</f>
        <v/>
      </c>
      <c r="AT269" s="27">
        <f>VLOOKUP($A269,'[1]Raw Data'!$A$3:$FB$285,57,FALSE)</f>
        <v>106</v>
      </c>
      <c r="AU269" s="27" t="str">
        <f>VLOOKUP($A269,'[1]Raw Data'!$A$3:$FB$285,58,FALSE)</f>
        <v/>
      </c>
      <c r="AV269" s="27" t="str">
        <f>VLOOKUP($A269,'[1]Raw Data'!$A$3:$FB$285,59,FALSE)</f>
        <v/>
      </c>
      <c r="AW269" s="27" t="str">
        <f>VLOOKUP($A269,'[1]Raw Data'!$A$3:$FB$285,60,FALSE)</f>
        <v/>
      </c>
      <c r="AX269" s="27" t="str">
        <f>VLOOKUP(A269,'[1]PO''s List'!A267:E549,4,FALSE)</f>
        <v/>
      </c>
      <c r="AZ269" s="27" t="str">
        <f>VLOOKUP(A269,'[1]PO''s List'!$A$3:$E$285,5,FALSE)</f>
        <v/>
      </c>
      <c r="BB269" s="27">
        <f>VLOOKUP($A269,'[1]Raw Data'!$A$3:$FB$285,63,FALSE)</f>
        <v>2829</v>
      </c>
      <c r="BC269" s="27" t="str">
        <f>VLOOKUP($A269,'[1]Raw Data'!$A$3:$FB$285,64,FALSE)</f>
        <v/>
      </c>
      <c r="BD269" s="27" t="str">
        <f t="shared" si="36"/>
        <v/>
      </c>
      <c r="BE269" s="27" t="str">
        <f>VLOOKUP($A269,'[1]Raw Data'!$A$3:$FB$285,65,FALSE)</f>
        <v/>
      </c>
      <c r="BF269" s="27">
        <f>VLOOKUP($A269,'[1]Raw Data'!$A$3:$FB$285,66,FALSE)</f>
        <v>2968</v>
      </c>
      <c r="BG269" s="27" t="str">
        <f>VLOOKUP($A269,'[1]Raw Data'!$A$3:$FB$285,67,FALSE)</f>
        <v/>
      </c>
      <c r="BH269" s="27" t="str">
        <f t="shared" si="37"/>
        <v/>
      </c>
      <c r="BI269" s="27" t="str">
        <f>VLOOKUP($A269,'[1]Raw Data'!$A$3:$FB$285,68,FALSE)</f>
        <v/>
      </c>
      <c r="BJ269" s="27">
        <f>VLOOKUP($A269,'[1]Raw Data'!$A$3:$FB$285,69,FALSE)</f>
        <v>303</v>
      </c>
      <c r="BK269" s="27" t="str">
        <f>VLOOKUP($A269,'[1]Raw Data'!$A$3:$FB$285,70,FALSE)</f>
        <v/>
      </c>
      <c r="BL269" s="27" t="str">
        <f t="shared" si="38"/>
        <v/>
      </c>
      <c r="BM269" s="27" t="str">
        <f>VLOOKUP($A269,'[1]Raw Data'!$A$3:$FB$285,71,FALSE)</f>
        <v/>
      </c>
      <c r="BN269" s="27">
        <f>VLOOKUP($A269,'[1]Raw Data'!$A$3:$FB$285,72,FALSE)</f>
        <v>351</v>
      </c>
      <c r="BO269" s="27" t="str">
        <f>VLOOKUP($A269,'[1]Raw Data'!$A$3:$FB$285,73,FALSE)</f>
        <v/>
      </c>
      <c r="BP269" s="27" t="str">
        <f t="shared" si="39"/>
        <v/>
      </c>
      <c r="BQ269" s="27" t="str">
        <f>VLOOKUP($A269,'[1]Raw Data'!$A$3:$FB$285,74,FALSE)</f>
        <v/>
      </c>
      <c r="BR269" s="27" t="str">
        <f>VLOOKUP($A269,'[1]Raw Data'!$A$3:$FB$285,75,FALSE)</f>
        <v/>
      </c>
      <c r="BS269" s="27" t="str">
        <f>VLOOKUP($A269,'[1]Raw Data'!$A$3:$FB$285,76,FALSE)</f>
        <v/>
      </c>
      <c r="BT269" s="27" t="str">
        <f t="shared" si="40"/>
        <v/>
      </c>
      <c r="BU269" s="27" t="str">
        <f>VLOOKUP($A269,'[1]Raw Data'!$A$3:$FB$285,77,FALSE)</f>
        <v/>
      </c>
      <c r="BV269" s="27">
        <f>VLOOKUP($A269,'[1]Raw Data'!$A$3:$FB$285,78,FALSE)</f>
        <v>9790</v>
      </c>
      <c r="BW269" s="27" t="str">
        <f>VLOOKUP($A269,'[1]Raw Data'!$A$3:$FB$285,79,FALSE)</f>
        <v/>
      </c>
      <c r="BX269" s="27" t="str">
        <f t="shared" si="41"/>
        <v/>
      </c>
      <c r="BY269" s="27" t="str">
        <f>VLOOKUP($A269,'[1]Raw Data'!$A$3:$FB$285,80,FALSE)</f>
        <v/>
      </c>
      <c r="BZ269" s="27">
        <f>VLOOKUP($A269,'[1]Raw Data'!$A$3:$FB$285,81,FALSE)</f>
        <v>30519</v>
      </c>
      <c r="CA269" s="27" t="str">
        <f>VLOOKUP($A269,'[1]Raw Data'!$A$3:$FB$285,82,FALSE)</f>
        <v/>
      </c>
      <c r="CB269" s="27" t="str">
        <f t="shared" si="42"/>
        <v/>
      </c>
      <c r="CC269" s="27" t="str">
        <f>VLOOKUP($A269,'[1]Raw Data'!$A$3:$FB$285,83,FALSE)</f>
        <v/>
      </c>
      <c r="CD269" s="27">
        <f>VLOOKUP($A269,'[1]Raw Data'!$A$3:$FB$285,84,FALSE)</f>
        <v>400</v>
      </c>
      <c r="CE269" s="27" t="str">
        <f>VLOOKUP($A269,'[1]Raw Data'!$A$3:$FB$285,85,FALSE)</f>
        <v/>
      </c>
      <c r="CF269" s="27" t="str">
        <f t="shared" si="43"/>
        <v/>
      </c>
      <c r="CG269" s="27" t="str">
        <f>VLOOKUP($A269,'[1]Raw Data'!$A$3:$FB$285,86,FALSE)</f>
        <v/>
      </c>
      <c r="CH269" s="27">
        <f>VLOOKUP($A269,'[1]Raw Data'!$A$3:$FB$285,87,FALSE)</f>
        <v>18156</v>
      </c>
      <c r="CI269" s="27" t="str">
        <f>VLOOKUP($A269,'[1]Raw Data'!$A$3:$FB$285,88,FALSE)</f>
        <v/>
      </c>
      <c r="CJ269" s="27" t="str">
        <f t="shared" si="44"/>
        <v/>
      </c>
      <c r="CK269" s="27" t="str">
        <f>VLOOKUP($A269,'[1]Raw Data'!$A$3:$FB$285,89,FALSE)</f>
        <v/>
      </c>
      <c r="CL269" s="27" t="str">
        <f>VLOOKUP($A269,'[1]Raw Data'!$A$3:$FB$285,91,FALSE)</f>
        <v/>
      </c>
      <c r="CM269" s="27" t="str">
        <f>VLOOKUP($A269,'[1]Raw Data'!$A$3:$FB$285,93,FALSE)</f>
        <v/>
      </c>
      <c r="CN269" s="27" t="str">
        <f>VLOOKUP($A269,'[1]Raw Data'!$A$3:$FB$285,94,FALSE)</f>
        <v/>
      </c>
      <c r="CO269" s="27" t="str">
        <f>VLOOKUP($A269,'[1]Raw Data'!$A$3:$FB$285,95,FALSE)</f>
        <v/>
      </c>
      <c r="CP269" s="27" t="str">
        <f>VLOOKUP($A269,'[1]Raw Data'!$A$3:$FB$285,96,FALSE)</f>
        <v/>
      </c>
      <c r="CQ269" s="27" t="str">
        <f>VLOOKUP($A269,'[1]Raw Data'!$A$3:$FB$285,97,FALSE)</f>
        <v/>
      </c>
      <c r="CR269" s="27" t="str">
        <f>VLOOKUP($A269,'[1]Raw Data'!$A$3:$FB$285,98,FALSE)</f>
        <v/>
      </c>
      <c r="CS269" s="27" t="str">
        <f>VLOOKUP($A269,'[1]Raw Data'!$A$3:$FB$285,99,FALSE)</f>
        <v/>
      </c>
      <c r="CT269" s="27" t="str">
        <f>VLOOKUP($A269,'[1]Raw Data'!$A$3:$FB$285,101,FALSE)</f>
        <v>Durga bahadur Rana</v>
      </c>
      <c r="CU269" s="27" t="s">
        <v>1469</v>
      </c>
      <c r="CV269" s="27" t="str">
        <f>VLOOKUP($A269,'[1]Raw Data'!$A$3:$FB$285,102,FALSE)</f>
        <v xml:space="preserve">Chairman </v>
      </c>
      <c r="CW269" s="27" t="s">
        <v>878</v>
      </c>
      <c r="CX269" s="27">
        <f>VLOOKUP($A269,'[1]Raw Data'!$A$3:$FB$285,103,FALSE)</f>
        <v>9847048773</v>
      </c>
      <c r="CY269" s="27" t="str">
        <f>VLOOKUP($A269,'[1]Raw Data'!$A$3:$FB$285,105,FALSE)</f>
        <v>Maya devi Shrestha</v>
      </c>
      <c r="CZ269" s="27" t="s">
        <v>1470</v>
      </c>
      <c r="DA269" s="27" t="str">
        <f>VLOOKUP($A269,'[1]Raw Data'!$A$3:$FB$285,106,FALSE)</f>
        <v>Deputy Chairman</v>
      </c>
      <c r="DB269" s="27" t="s">
        <v>879</v>
      </c>
      <c r="DC269" s="27">
        <f>VLOOKUP($A269,'[1]Raw Data'!$A$3:$FB$285,107,FALSE)</f>
        <v>9808926232</v>
      </c>
      <c r="DD269" s="27" t="str">
        <f>VLOOKUP($A269,'[1]Raw Data'!$A$3:$FB$285,109,FALSE)</f>
        <v>Krishna Prasad Gyawali</v>
      </c>
      <c r="DE269" s="27" t="s">
        <v>1471</v>
      </c>
      <c r="DF269" s="27" t="str">
        <f>VLOOKUP($A269,'[1]Raw Data'!$A$3:$FB$285,110,FALSE)</f>
        <v>Chief Adminstration Officer</v>
      </c>
      <c r="DG269" s="27" t="s">
        <v>880</v>
      </c>
      <c r="DH269" s="27">
        <f>VLOOKUP($A269,'[1]Raw Data'!$A$3:$FB$285,111,FALSE)</f>
        <v>9857046264</v>
      </c>
      <c r="DI269" s="27" t="str">
        <f>VLOOKUP($A269,'[1]Raw Data'!$A$3:$FB$285,121,FALSE)</f>
        <v>Dinesh paneru</v>
      </c>
      <c r="DJ269" s="27" t="s">
        <v>1472</v>
      </c>
      <c r="DK269" s="27" t="str">
        <f>VLOOKUP($A269,'[1]Raw Data'!$A$3:$FB$285,122,FALSE)</f>
        <v>Focal Person</v>
      </c>
      <c r="DL269" s="27" t="s">
        <v>881</v>
      </c>
      <c r="DM269" s="27">
        <f>VLOOKUP($A269,'[1]Raw Data'!$A$3:$FB$285,123,FALSE)</f>
        <v>9848643281</v>
      </c>
      <c r="DN269" s="27" t="str">
        <f>VLOOKUP($A269,'[1]Raw Data'!$A$3:$FB$285,113,FALSE)</f>
        <v xml:space="preserve">Rajendra  Karki </v>
      </c>
      <c r="DO269" s="27" t="s">
        <v>1211</v>
      </c>
      <c r="DP269" s="27" t="str">
        <f>VLOOKUP($A269,'[1]Raw Data'!$A$3:$FB$285,114,FALSE)</f>
        <v>NRA Chief-District</v>
      </c>
      <c r="DQ269" s="27" t="s">
        <v>882</v>
      </c>
      <c r="DR269" s="27">
        <f>VLOOKUP($A269,'[1]Raw Data'!$A$3:$FB$285,115,FALSE)</f>
        <v>9857087637</v>
      </c>
      <c r="DS269" s="27" t="str">
        <f>VLOOKUP($A269,'[1]Raw Data'!$A$3:$FB$285,117,FALSE)</f>
        <v/>
      </c>
      <c r="DU269" s="27" t="str">
        <f>VLOOKUP($A269,'[1]Raw Data'!$A$3:$FB$285,118,FALSE)</f>
        <v>DUDBC.DLPIU Chief</v>
      </c>
      <c r="DV269" s="27" t="s">
        <v>883</v>
      </c>
      <c r="DW269" s="27" t="str">
        <f>VLOOKUP($A269,'[1]Raw Data'!$A$3:$FB$285,119,FALSE)</f>
        <v/>
      </c>
      <c r="DX269" s="27" t="s">
        <v>339</v>
      </c>
      <c r="DY269" s="27" t="str">
        <f>VLOOKUP($A269,'[1]Raw Data'!$A$3:$FB$285,124,FALSE)</f>
        <v/>
      </c>
      <c r="DZ269" s="27" t="s">
        <v>884</v>
      </c>
      <c r="EA269" s="27" t="str">
        <f>VLOOKUP($A269,'[1]Raw Data'!$A$3:$FB$285,125,FALSE)</f>
        <v/>
      </c>
      <c r="EB269" s="27" t="s">
        <v>341</v>
      </c>
      <c r="EC269" s="27" t="str">
        <f>VLOOKUP($A269,'[1]Raw Data'!$A$3:$FB$285,126,FALSE)</f>
        <v/>
      </c>
      <c r="ED269" t="s">
        <v>478</v>
      </c>
      <c r="EE269" s="27" t="str">
        <f>VLOOKUP($A269,'[1]Raw Data'!$A$3:$FB$285,127,FALSE)</f>
        <v/>
      </c>
      <c r="EF269" s="27" t="s">
        <v>343</v>
      </c>
      <c r="EG269" s="27" t="str">
        <f>VLOOKUP($A269,'[1]Raw Data'!$A$3:$FB$285,128,FALSE)</f>
        <v/>
      </c>
      <c r="EH269" t="s">
        <v>344</v>
      </c>
      <c r="EI269" s="27" t="str">
        <f>VLOOKUP($A269,'[1]Raw Data'!$A$3:$FB$285,129,FALSE)</f>
        <v/>
      </c>
      <c r="EM269" s="27" t="str">
        <f>VLOOKUP($A269,'[1]Raw Data'!$A$3:$FB$285,130,FALSE)</f>
        <v/>
      </c>
      <c r="EN269" s="27" t="str">
        <f>VLOOKUP($A269,'[1]Raw Data'!$A$3:$FB$285,131,FALSE)</f>
        <v/>
      </c>
      <c r="EO269" s="27" t="str">
        <f>VLOOKUP($A269,'[1]Raw Data'!$A$3:$FB$285,132,FALSE)</f>
        <v/>
      </c>
      <c r="EP269" s="27" t="str">
        <f>VLOOKUP($A269,'[1]Raw Data'!$A$3:$FB$285,133,FALSE)</f>
        <v/>
      </c>
      <c r="EQ269" s="27" t="str">
        <f>VLOOKUP($A269,'[1]Raw Data'!$A$3:$FB$285,134,FALSE)</f>
        <v/>
      </c>
      <c r="ER269" s="27" t="str">
        <f>VLOOKUP($A269,'[1]Raw Data'!$A$3:$FB$285,135,FALSE)</f>
        <v/>
      </c>
      <c r="ES269" s="27" t="str">
        <f>VLOOKUP($A269,'[1]Raw Data'!$A$3:$FB$285,136,FALSE)</f>
        <v/>
      </c>
      <c r="ET269" s="27" t="str">
        <f>VLOOKUP($A269,'[1]Raw Data'!$A$3:$FB$285,137,FALSE)</f>
        <v/>
      </c>
      <c r="EU269" s="27" t="str">
        <f>VLOOKUP($A269,'[1]Raw Data'!$A$3:$FB$285,138,FALSE)</f>
        <v/>
      </c>
      <c r="EV269" s="27" t="str">
        <f>VLOOKUP($A269,'[1]Raw Data'!$A$3:$FB$285,139,FALSE)</f>
        <v/>
      </c>
      <c r="EW269" s="38">
        <f>VLOOKUP($A269,[1]Training!$A$2:$I$284,5,FALSE)</f>
        <v>5.5384615384615383</v>
      </c>
      <c r="EX269" s="31">
        <f>VLOOKUP($A269,[1]Training!$A$2:$I$284,6,FALSE)</f>
        <v>0</v>
      </c>
      <c r="EY269" s="38">
        <f>VLOOKUP($A269,[1]Training!$A$2:$I$284,8,FALSE)</f>
        <v>6.5454545454545459</v>
      </c>
      <c r="EZ269" s="31">
        <f>VLOOKUP($A269,[1]Training!$A$2:$I$284,9,FALSE)</f>
        <v>0</v>
      </c>
      <c r="FA269" s="27">
        <v>1</v>
      </c>
      <c r="FB269" s="27">
        <v>2</v>
      </c>
      <c r="FC269" s="27" t="str">
        <f>VLOOKUP($A269,'[1]Raw Data'!$A$3:$FB$285,148,FALSE)</f>
        <v>Hari Prasad Thalang</v>
      </c>
      <c r="FE269" s="27" t="str">
        <f>VLOOKUP($A269,'[1]Raw Data'!$A$3:$FB$285,149,FALSE)</f>
        <v>District Coordinator</v>
      </c>
      <c r="FF269" s="27" t="s">
        <v>885</v>
      </c>
      <c r="FG269" s="27">
        <f>VLOOKUP($A269,'[1]Raw Data'!$A$3:$FB$285,150,FALSE)</f>
        <v>9851224505</v>
      </c>
      <c r="FH269" s="27" t="str">
        <f>VLOOKUP($A269,'[1]Raw Data'!$A$3:$FB$285,156,FALSE)</f>
        <v xml:space="preserve">Kausal Bist </v>
      </c>
      <c r="FJ269" s="27" t="str">
        <f>VLOOKUP($A269,'[1]Raw Data'!$A$3:$FB$285,157,FALSE)</f>
        <v>District Technical Officer</v>
      </c>
      <c r="FK269" s="27" t="s">
        <v>886</v>
      </c>
      <c r="FL269" s="27">
        <f>VLOOKUP($A269,'[1]Raw Data'!$A$3:$FB$285,158,FALSE)</f>
        <v>9849787273</v>
      </c>
      <c r="FM269" s="27" t="str">
        <f>VLOOKUP($A269,'[1]Raw Data'!$A$3:$FB$285,152,FALSE)</f>
        <v>Nirmal Nepali</v>
      </c>
      <c r="FO269" s="27" t="str">
        <f>VLOOKUP($A269,'[1]Raw Data'!$A$3:$FB$285,153,FALSE)</f>
        <v>DIstrict Information Management Officer</v>
      </c>
      <c r="FP269" s="27" t="s">
        <v>887</v>
      </c>
      <c r="FQ269" s="27">
        <f>VLOOKUP($A269,'[1]Raw Data'!$A$3:$FB$285,154,FALSE)</f>
        <v>9848500348</v>
      </c>
    </row>
    <row r="270" spans="1:173" ht="24" x14ac:dyDescent="0.45">
      <c r="A270" s="27">
        <v>48005</v>
      </c>
      <c r="B270" s="36" t="str">
        <f ca="1">IFERROR(__xludf.DUMMYFUNCTION("""COMPUTED_VALUE"""),"Devchuli Nagarpalika")</f>
        <v>Devchuli Nagarpalika</v>
      </c>
      <c r="C270" s="37" t="str">
        <f>VLOOKUP(A270,'[1]Palika and District in Nepali '!$D$1:$F$283,3,FALSE)</f>
        <v>देवचुली नगरपालिका</v>
      </c>
      <c r="D270" s="36" t="str">
        <f ca="1">IFERROR(__xludf.DUMMYFUNCTION("""COMPUTED_VALUE"""),"Nawalparasi")</f>
        <v>Nawalparasi</v>
      </c>
      <c r="E270" s="36"/>
      <c r="F270" s="27">
        <f>VLOOKUP(A270,'[1]Raw Data'!$A$3:$FB$285,4,FALSE)</f>
        <v>0</v>
      </c>
      <c r="G270" s="27">
        <f>VLOOKUP(A270,'[1]Raw Data'!$A$3:$FB$285,5,FALSE)</f>
        <v>177</v>
      </c>
      <c r="H270" s="27">
        <f>VLOOKUP(A270,'[1]Raw Data'!$A$3:$FB$285,6,FALSE)</f>
        <v>177</v>
      </c>
      <c r="I270" s="27">
        <f>VLOOKUP($A270,'[1]Raw Data'!$A$3:$FB$285,8,FALSE)</f>
        <v>2.2599999999999998</v>
      </c>
      <c r="J270" s="27">
        <f>VLOOKUP($A270,'[1]Raw Data'!$A$3:$FB$285,9,FALSE)</f>
        <v>0.81</v>
      </c>
      <c r="K270" s="27">
        <f>VLOOKUP($A270,'[1]Raw Data'!$A$3:$FB$285,11,FALSE)</f>
        <v>96.05</v>
      </c>
      <c r="L270" s="27">
        <f>VLOOKUP($A270,'[1]Raw Data'!$A$3:$FB$285,12,FALSE)</f>
        <v>95.12</v>
      </c>
      <c r="M270" s="27">
        <f>VLOOKUP($A270,'[1]Raw Data'!$A$3:$FB$285,14,FALSE)</f>
        <v>0</v>
      </c>
      <c r="N270" s="27">
        <f>VLOOKUP($A270,'[1]Raw Data'!$A$3:$FB$285,15,FALSE)</f>
        <v>1.83</v>
      </c>
      <c r="O270" s="27">
        <f>VLOOKUP($A270,'[1]Raw Data'!$A$3:$FB$285,17,FALSE)</f>
        <v>0</v>
      </c>
      <c r="P270" s="27">
        <f>VLOOKUP($A270,'[1]Raw Data'!$A$3:$FB$285,18,FALSE)</f>
        <v>0.92</v>
      </c>
      <c r="Q270" s="27">
        <f>VLOOKUP($A270,'[1]Raw Data'!$A$3:$FB$285,20,FALSE)</f>
        <v>0</v>
      </c>
      <c r="R270" s="27">
        <f>VLOOKUP($A270,'[1]Raw Data'!$A$3:$FB$285,21,FALSE)</f>
        <v>0</v>
      </c>
      <c r="S270" s="27">
        <f>VLOOKUP($A270,'[1]Raw Data'!$A$3:$FB$285,23,FALSE)</f>
        <v>0</v>
      </c>
      <c r="T270" s="27">
        <f>VLOOKUP($A270,'[1]Raw Data'!$A$3:$FB$285,24,FALSE)</f>
        <v>0</v>
      </c>
      <c r="U270" s="27">
        <f>VLOOKUP($A270,'[1]Raw Data'!$A$3:$FB$285,26,FALSE)</f>
        <v>0</v>
      </c>
      <c r="V270" s="27">
        <f>VLOOKUP($A270,'[1]Raw Data'!$A$3:$FB$285,27,FALSE)</f>
        <v>0.92</v>
      </c>
      <c r="W270" s="27">
        <f>VLOOKUP($A270,'[1]Raw Data'!$A$3:$FB$285,29,FALSE)</f>
        <v>0</v>
      </c>
      <c r="X270" s="27">
        <f>VLOOKUP($A270,'[1]Raw Data'!$A$3:$FB$285,30,FALSE)</f>
        <v>0</v>
      </c>
      <c r="Y270" s="27">
        <f>VLOOKUP($A270,'[1]Raw Data'!$A$3:$FB$285,32,FALSE)</f>
        <v>1.69</v>
      </c>
      <c r="Z270" s="27">
        <f>VLOOKUP($A270,'[1]Raw Data'!$A$3:$FB$285,33,FALSE)</f>
        <v>0.31</v>
      </c>
      <c r="AA270" s="27">
        <f>VLOOKUP($A270,'[1]Raw Data'!$A$3:$FB$285,35,FALSE)</f>
        <v>0</v>
      </c>
      <c r="AB270" s="27">
        <f>VLOOKUP($A270,'[1]Raw Data'!$A$3:$FB$285,36,FALSE)</f>
        <v>0.1</v>
      </c>
      <c r="AC270" s="27">
        <f>VLOOKUP($A270,'[1]Raw Data'!$A$3:$FB$285,38,FALSE)</f>
        <v>0</v>
      </c>
      <c r="AD270" s="27">
        <f>VLOOKUP($A270,'[1]Raw Data'!$A$3:$FB$285,39,FALSE)</f>
        <v>0</v>
      </c>
      <c r="AE270" s="27">
        <f>VLOOKUP($A270,'[1]Raw Data'!$A$3:$FB$285,41,FALSE)</f>
        <v>0</v>
      </c>
      <c r="AF270" s="27">
        <f>VLOOKUP($A270,'[1]Raw Data'!$A$3:$FB$285,42,FALSE)</f>
        <v>0</v>
      </c>
      <c r="AG270" s="27">
        <f>VLOOKUP($A270,'[1]Raw Data'!$A$3:$FB$285,44,FALSE)</f>
        <v>0</v>
      </c>
      <c r="AH270" s="27">
        <f>VLOOKUP($A270,'[1]Raw Data'!$A$3:$FB$285,45,FALSE)</f>
        <v>0</v>
      </c>
      <c r="AI270" s="27">
        <f>VLOOKUP($A270,'[1]Raw Data'!$A$3:$FB$285,46,FALSE)</f>
        <v>177</v>
      </c>
      <c r="AJ270" s="27">
        <f>VLOOKUP($A270,'[1]Raw Data'!$A$3:$FB$285,47,FALSE)</f>
        <v>177</v>
      </c>
      <c r="AK270" s="27">
        <f>VLOOKUP($A270,'[1]Raw Data'!$A$3:$FB$285,48,FALSE)</f>
        <v>177</v>
      </c>
      <c r="AL270" s="27">
        <f>VLOOKUP($A270,'[1]Raw Data'!$A$3:$FB$285,49,FALSE)</f>
        <v>169</v>
      </c>
      <c r="AM270" s="27">
        <f>VLOOKUP($A270,'[1]Raw Data'!$A$3:$FB$285,50,FALSE)</f>
        <v>22</v>
      </c>
      <c r="AN270" s="27">
        <f>VLOOKUP($A270,'[1]Raw Data'!$A$3:$FB$285,51,FALSE)</f>
        <v>169</v>
      </c>
      <c r="AO270" s="27">
        <f>VLOOKUP($A270,'[1]Raw Data'!$A$3:$FB$285,52,FALSE)</f>
        <v>22</v>
      </c>
      <c r="AP270" s="27">
        <f>VLOOKUP($A270,'[1]Raw Data'!$A$3:$FB$285,53,FALSE)</f>
        <v>1</v>
      </c>
      <c r="AQ270" s="27" t="str">
        <f>VLOOKUP($A270,'[1]Raw Data'!$A$3:$FB$285,54,FALSE)</f>
        <v/>
      </c>
      <c r="AR270" s="27" t="str">
        <f>VLOOKUP($A270,'[1]Raw Data'!$A$3:$FB$285,55,FALSE)</f>
        <v/>
      </c>
      <c r="AS270" s="27" t="str">
        <f>VLOOKUP($A270,'[1]Raw Data'!$A$3:$FB$285,56,FALSE)</f>
        <v/>
      </c>
      <c r="AT270" s="27">
        <f>VLOOKUP($A270,'[1]Raw Data'!$A$3:$FB$285,57,FALSE)</f>
        <v>224</v>
      </c>
      <c r="AU270" s="27" t="str">
        <f>VLOOKUP($A270,'[1]Raw Data'!$A$3:$FB$285,58,FALSE)</f>
        <v/>
      </c>
      <c r="AV270" s="27" t="str">
        <f>VLOOKUP($A270,'[1]Raw Data'!$A$3:$FB$285,59,FALSE)</f>
        <v/>
      </c>
      <c r="AW270" s="27" t="str">
        <f>VLOOKUP($A270,'[1]Raw Data'!$A$3:$FB$285,60,FALSE)</f>
        <v/>
      </c>
      <c r="AX270" s="27" t="str">
        <f>VLOOKUP(A270,'[1]PO''s List'!A268:E550,4,FALSE)</f>
        <v/>
      </c>
      <c r="AZ270" s="27" t="str">
        <f>VLOOKUP(A270,'[1]PO''s List'!$A$3:$E$285,5,FALSE)</f>
        <v/>
      </c>
      <c r="BB270" s="27">
        <f>VLOOKUP($A270,'[1]Raw Data'!$A$3:$FB$285,63,FALSE)</f>
        <v>57</v>
      </c>
      <c r="BC270" s="27" t="str">
        <f>VLOOKUP($A270,'[1]Raw Data'!$A$3:$FB$285,64,FALSE)</f>
        <v/>
      </c>
      <c r="BD270" s="27" t="str">
        <f t="shared" si="36"/>
        <v/>
      </c>
      <c r="BE270" s="27" t="str">
        <f>VLOOKUP($A270,'[1]Raw Data'!$A$3:$FB$285,65,FALSE)</f>
        <v/>
      </c>
      <c r="BF270" s="27">
        <f>VLOOKUP($A270,'[1]Raw Data'!$A$3:$FB$285,66,FALSE)</f>
        <v>59</v>
      </c>
      <c r="BG270" s="27" t="str">
        <f>VLOOKUP($A270,'[1]Raw Data'!$A$3:$FB$285,67,FALSE)</f>
        <v/>
      </c>
      <c r="BH270" s="27" t="str">
        <f t="shared" si="37"/>
        <v/>
      </c>
      <c r="BI270" s="27" t="str">
        <f>VLOOKUP($A270,'[1]Raw Data'!$A$3:$FB$285,68,FALSE)</f>
        <v/>
      </c>
      <c r="BJ270" s="27">
        <f>VLOOKUP($A270,'[1]Raw Data'!$A$3:$FB$285,69,FALSE)</f>
        <v>6</v>
      </c>
      <c r="BK270" s="27" t="str">
        <f>VLOOKUP($A270,'[1]Raw Data'!$A$3:$FB$285,70,FALSE)</f>
        <v/>
      </c>
      <c r="BL270" s="27" t="str">
        <f t="shared" si="38"/>
        <v/>
      </c>
      <c r="BM270" s="27" t="str">
        <f>VLOOKUP($A270,'[1]Raw Data'!$A$3:$FB$285,71,FALSE)</f>
        <v/>
      </c>
      <c r="BN270" s="27">
        <f>VLOOKUP($A270,'[1]Raw Data'!$A$3:$FB$285,72,FALSE)</f>
        <v>7</v>
      </c>
      <c r="BO270" s="27" t="str">
        <f>VLOOKUP($A270,'[1]Raw Data'!$A$3:$FB$285,73,FALSE)</f>
        <v/>
      </c>
      <c r="BP270" s="27" t="str">
        <f t="shared" si="39"/>
        <v/>
      </c>
      <c r="BQ270" s="27" t="str">
        <f>VLOOKUP($A270,'[1]Raw Data'!$A$3:$FB$285,74,FALSE)</f>
        <v/>
      </c>
      <c r="BR270" s="27" t="str">
        <f>VLOOKUP($A270,'[1]Raw Data'!$A$3:$FB$285,75,FALSE)</f>
        <v/>
      </c>
      <c r="BS270" s="27" t="str">
        <f>VLOOKUP($A270,'[1]Raw Data'!$A$3:$FB$285,76,FALSE)</f>
        <v/>
      </c>
      <c r="BT270" s="27" t="str">
        <f t="shared" si="40"/>
        <v/>
      </c>
      <c r="BU270" s="27" t="str">
        <f>VLOOKUP($A270,'[1]Raw Data'!$A$3:$FB$285,77,FALSE)</f>
        <v/>
      </c>
      <c r="BV270" s="27">
        <f>VLOOKUP($A270,'[1]Raw Data'!$A$3:$FB$285,78,FALSE)</f>
        <v>196</v>
      </c>
      <c r="BW270" s="27" t="str">
        <f>VLOOKUP($A270,'[1]Raw Data'!$A$3:$FB$285,79,FALSE)</f>
        <v/>
      </c>
      <c r="BX270" s="27" t="str">
        <f t="shared" si="41"/>
        <v/>
      </c>
      <c r="BY270" s="27" t="str">
        <f>VLOOKUP($A270,'[1]Raw Data'!$A$3:$FB$285,80,FALSE)</f>
        <v/>
      </c>
      <c r="BZ270" s="27">
        <f>VLOOKUP($A270,'[1]Raw Data'!$A$3:$FB$285,81,FALSE)</f>
        <v>623</v>
      </c>
      <c r="CA270" s="27" t="str">
        <f>VLOOKUP($A270,'[1]Raw Data'!$A$3:$FB$285,82,FALSE)</f>
        <v/>
      </c>
      <c r="CB270" s="27" t="str">
        <f t="shared" si="42"/>
        <v/>
      </c>
      <c r="CC270" s="27" t="str">
        <f>VLOOKUP($A270,'[1]Raw Data'!$A$3:$FB$285,83,FALSE)</f>
        <v/>
      </c>
      <c r="CD270" s="27">
        <f>VLOOKUP($A270,'[1]Raw Data'!$A$3:$FB$285,84,FALSE)</f>
        <v>8</v>
      </c>
      <c r="CE270" s="27" t="str">
        <f>VLOOKUP($A270,'[1]Raw Data'!$A$3:$FB$285,85,FALSE)</f>
        <v/>
      </c>
      <c r="CF270" s="27" t="str">
        <f t="shared" si="43"/>
        <v/>
      </c>
      <c r="CG270" s="27" t="str">
        <f>VLOOKUP($A270,'[1]Raw Data'!$A$3:$FB$285,86,FALSE)</f>
        <v/>
      </c>
      <c r="CH270" s="27">
        <f>VLOOKUP($A270,'[1]Raw Data'!$A$3:$FB$285,87,FALSE)</f>
        <v>790</v>
      </c>
      <c r="CI270" s="27" t="str">
        <f>VLOOKUP($A270,'[1]Raw Data'!$A$3:$FB$285,88,FALSE)</f>
        <v/>
      </c>
      <c r="CJ270" s="27" t="str">
        <f t="shared" si="44"/>
        <v/>
      </c>
      <c r="CK270" s="27" t="str">
        <f>VLOOKUP($A270,'[1]Raw Data'!$A$3:$FB$285,89,FALSE)</f>
        <v/>
      </c>
      <c r="CL270" s="27" t="str">
        <f>VLOOKUP($A270,'[1]Raw Data'!$A$3:$FB$285,91,FALSE)</f>
        <v/>
      </c>
      <c r="CM270" s="27" t="str">
        <f>VLOOKUP($A270,'[1]Raw Data'!$A$3:$FB$285,93,FALSE)</f>
        <v/>
      </c>
      <c r="CN270" s="27" t="str">
        <f>VLOOKUP($A270,'[1]Raw Data'!$A$3:$FB$285,94,FALSE)</f>
        <v/>
      </c>
      <c r="CO270" s="27" t="str">
        <f>VLOOKUP($A270,'[1]Raw Data'!$A$3:$FB$285,95,FALSE)</f>
        <v/>
      </c>
      <c r="CP270" s="27" t="str">
        <f>VLOOKUP($A270,'[1]Raw Data'!$A$3:$FB$285,96,FALSE)</f>
        <v/>
      </c>
      <c r="CQ270" s="27" t="str">
        <f>VLOOKUP($A270,'[1]Raw Data'!$A$3:$FB$285,97,FALSE)</f>
        <v/>
      </c>
      <c r="CR270" s="27" t="str">
        <f>VLOOKUP($A270,'[1]Raw Data'!$A$3:$FB$285,98,FALSE)</f>
        <v/>
      </c>
      <c r="CS270" s="27" t="str">
        <f>VLOOKUP($A270,'[1]Raw Data'!$A$3:$FB$285,99,FALSE)</f>
        <v/>
      </c>
      <c r="CT270" s="27" t="str">
        <f>VLOOKUP($A270,'[1]Raw Data'!$A$3:$FB$285,101,FALSE)</f>
        <v>Purna Kumara Shrestha</v>
      </c>
      <c r="CU270" s="27" t="s">
        <v>1473</v>
      </c>
      <c r="CV270" s="27" t="str">
        <f>VLOOKUP($A270,'[1]Raw Data'!$A$3:$FB$285,102,FALSE)</f>
        <v>Mayor</v>
      </c>
      <c r="CW270" s="27" t="s">
        <v>834</v>
      </c>
      <c r="CX270" s="27">
        <f>VLOOKUP($A270,'[1]Raw Data'!$A$3:$FB$285,103,FALSE)</f>
        <v>9847271538</v>
      </c>
      <c r="CY270" s="27" t="str">
        <f>VLOOKUP($A270,'[1]Raw Data'!$A$3:$FB$285,105,FALSE)</f>
        <v>Parbata Tiwari</v>
      </c>
      <c r="CZ270" s="27" t="s">
        <v>1474</v>
      </c>
      <c r="DA270" s="27" t="str">
        <f>VLOOKUP($A270,'[1]Raw Data'!$A$3:$FB$285,106,FALSE)</f>
        <v>Deputy Mayor</v>
      </c>
      <c r="DB270" s="27" t="s">
        <v>888</v>
      </c>
      <c r="DC270" s="27">
        <f>VLOOKUP($A270,'[1]Raw Data'!$A$3:$FB$285,107,FALSE)</f>
        <v>9857040742</v>
      </c>
      <c r="DD270" s="27" t="str">
        <f>VLOOKUP($A270,'[1]Raw Data'!$A$3:$FB$285,109,FALSE)</f>
        <v>Man Bahadur Khadka</v>
      </c>
      <c r="DE270" s="27" t="s">
        <v>1475</v>
      </c>
      <c r="DF270" s="27" t="str">
        <f>VLOOKUP($A270,'[1]Raw Data'!$A$3:$FB$285,110,FALSE)</f>
        <v>Chief Adminstration Officer</v>
      </c>
      <c r="DG270" s="27" t="s">
        <v>880</v>
      </c>
      <c r="DH270" s="27">
        <f>VLOOKUP($A270,'[1]Raw Data'!$A$3:$FB$285,111,FALSE)</f>
        <v>9857642111</v>
      </c>
      <c r="DI270" s="27" t="str">
        <f>VLOOKUP($A270,'[1]Raw Data'!$A$3:$FB$285,121,FALSE)</f>
        <v>Dhurba Ghaire</v>
      </c>
      <c r="DJ270" s="27" t="s">
        <v>1476</v>
      </c>
      <c r="DK270" s="27" t="str">
        <f>VLOOKUP($A270,'[1]Raw Data'!$A$3:$FB$285,122,FALSE)</f>
        <v>Focal Person</v>
      </c>
      <c r="DL270" s="27" t="s">
        <v>881</v>
      </c>
      <c r="DM270" s="27">
        <f>VLOOKUP($A270,'[1]Raw Data'!$A$3:$FB$285,123,FALSE)</f>
        <v>9855063606</v>
      </c>
      <c r="DN270" s="27" t="str">
        <f>VLOOKUP($A270,'[1]Raw Data'!$A$3:$FB$285,113,FALSE)</f>
        <v xml:space="preserve">Rajendra  Karki </v>
      </c>
      <c r="DO270" s="27" t="s">
        <v>1211</v>
      </c>
      <c r="DP270" s="27" t="str">
        <f>VLOOKUP($A270,'[1]Raw Data'!$A$3:$FB$285,114,FALSE)</f>
        <v>NRA Chief-District</v>
      </c>
      <c r="DQ270" s="27" t="s">
        <v>882</v>
      </c>
      <c r="DR270" s="27">
        <f>VLOOKUP($A270,'[1]Raw Data'!$A$3:$FB$285,115,FALSE)</f>
        <v>9857087637</v>
      </c>
      <c r="DS270" s="27" t="str">
        <f>VLOOKUP($A270,'[1]Raw Data'!$A$3:$FB$285,117,FALSE)</f>
        <v/>
      </c>
      <c r="DU270" s="27" t="str">
        <f>VLOOKUP($A270,'[1]Raw Data'!$A$3:$FB$285,118,FALSE)</f>
        <v>DUDBC.DLPIU Chief</v>
      </c>
      <c r="DV270" s="27" t="s">
        <v>883</v>
      </c>
      <c r="DW270" s="27" t="str">
        <f>VLOOKUP($A270,'[1]Raw Data'!$A$3:$FB$285,119,FALSE)</f>
        <v/>
      </c>
      <c r="DX270" s="27" t="s">
        <v>339</v>
      </c>
      <c r="DY270" s="27" t="str">
        <f>VLOOKUP($A270,'[1]Raw Data'!$A$3:$FB$285,124,FALSE)</f>
        <v/>
      </c>
      <c r="DZ270" s="27" t="s">
        <v>884</v>
      </c>
      <c r="EA270" s="27" t="str">
        <f>VLOOKUP($A270,'[1]Raw Data'!$A$3:$FB$285,125,FALSE)</f>
        <v/>
      </c>
      <c r="EB270" s="27" t="s">
        <v>341</v>
      </c>
      <c r="EC270" s="27" t="str">
        <f>VLOOKUP($A270,'[1]Raw Data'!$A$3:$FB$285,126,FALSE)</f>
        <v/>
      </c>
      <c r="ED270" t="s">
        <v>478</v>
      </c>
      <c r="EE270" s="27" t="str">
        <f>VLOOKUP($A270,'[1]Raw Data'!$A$3:$FB$285,127,FALSE)</f>
        <v/>
      </c>
      <c r="EF270" s="27" t="s">
        <v>343</v>
      </c>
      <c r="EG270" s="27" t="str">
        <f>VLOOKUP($A270,'[1]Raw Data'!$A$3:$FB$285,128,FALSE)</f>
        <v/>
      </c>
      <c r="EH270" t="s">
        <v>344</v>
      </c>
      <c r="EI270" s="27" t="str">
        <f>VLOOKUP($A270,'[1]Raw Data'!$A$3:$FB$285,129,FALSE)</f>
        <v/>
      </c>
      <c r="EM270" s="27" t="str">
        <f>VLOOKUP($A270,'[1]Raw Data'!$A$3:$FB$285,130,FALSE)</f>
        <v/>
      </c>
      <c r="EN270" s="27" t="str">
        <f>VLOOKUP($A270,'[1]Raw Data'!$A$3:$FB$285,131,FALSE)</f>
        <v/>
      </c>
      <c r="EO270" s="27" t="str">
        <f>VLOOKUP($A270,'[1]Raw Data'!$A$3:$FB$285,132,FALSE)</f>
        <v/>
      </c>
      <c r="EP270" s="27" t="str">
        <f>VLOOKUP($A270,'[1]Raw Data'!$A$3:$FB$285,133,FALSE)</f>
        <v/>
      </c>
      <c r="EQ270" s="27" t="str">
        <f>VLOOKUP($A270,'[1]Raw Data'!$A$3:$FB$285,134,FALSE)</f>
        <v/>
      </c>
      <c r="ER270" s="27" t="str">
        <f>VLOOKUP($A270,'[1]Raw Data'!$A$3:$FB$285,135,FALSE)</f>
        <v/>
      </c>
      <c r="ES270" s="27" t="str">
        <f>VLOOKUP($A270,'[1]Raw Data'!$A$3:$FB$285,136,FALSE)</f>
        <v/>
      </c>
      <c r="ET270" s="27" t="str">
        <f>VLOOKUP($A270,'[1]Raw Data'!$A$3:$FB$285,137,FALSE)</f>
        <v/>
      </c>
      <c r="EU270" s="27" t="str">
        <f>VLOOKUP($A270,'[1]Raw Data'!$A$3:$FB$285,138,FALSE)</f>
        <v/>
      </c>
      <c r="EV270" s="27" t="str">
        <f>VLOOKUP($A270,'[1]Raw Data'!$A$3:$FB$285,139,FALSE)</f>
        <v/>
      </c>
      <c r="EW270" s="38">
        <f>VLOOKUP($A270,[1]Training!$A$2:$I$284,5,FALSE)</f>
        <v>13.615384615384615</v>
      </c>
      <c r="EX270" s="31">
        <f>VLOOKUP($A270,[1]Training!$A$2:$I$284,6,FALSE)</f>
        <v>0</v>
      </c>
      <c r="EY270" s="38">
        <f>VLOOKUP($A270,[1]Training!$A$2:$I$284,8,FALSE)</f>
        <v>16.09090909090909</v>
      </c>
      <c r="EZ270" s="31">
        <f>VLOOKUP($A270,[1]Training!$A$2:$I$284,9,FALSE)</f>
        <v>0</v>
      </c>
      <c r="FA270" s="27">
        <v>1</v>
      </c>
      <c r="FB270" s="27">
        <v>2</v>
      </c>
      <c r="FC270" s="27" t="str">
        <f>VLOOKUP($A270,'[1]Raw Data'!$A$3:$FB$285,148,FALSE)</f>
        <v>Hari Prasad Thalang</v>
      </c>
      <c r="FE270" s="27" t="str">
        <f>VLOOKUP($A270,'[1]Raw Data'!$A$3:$FB$285,149,FALSE)</f>
        <v>District Coordinator</v>
      </c>
      <c r="FF270" s="27" t="s">
        <v>885</v>
      </c>
      <c r="FG270" s="27">
        <f>VLOOKUP($A270,'[1]Raw Data'!$A$3:$FB$285,150,FALSE)</f>
        <v>9851224505</v>
      </c>
      <c r="FH270" s="27" t="str">
        <f>VLOOKUP($A270,'[1]Raw Data'!$A$3:$FB$285,156,FALSE)</f>
        <v xml:space="preserve">Kausal Bist </v>
      </c>
      <c r="FJ270" s="27" t="str">
        <f>VLOOKUP($A270,'[1]Raw Data'!$A$3:$FB$285,157,FALSE)</f>
        <v>District Technical Officer</v>
      </c>
      <c r="FK270" s="27" t="s">
        <v>886</v>
      </c>
      <c r="FL270" s="27">
        <f>VLOOKUP($A270,'[1]Raw Data'!$A$3:$FB$285,158,FALSE)</f>
        <v>9849787273</v>
      </c>
      <c r="FM270" s="27" t="str">
        <f>VLOOKUP($A270,'[1]Raw Data'!$A$3:$FB$285,152,FALSE)</f>
        <v>Nirmal Nepali</v>
      </c>
      <c r="FO270" s="27" t="str">
        <f>VLOOKUP($A270,'[1]Raw Data'!$A$3:$FB$285,153,FALSE)</f>
        <v>DIstrict Information Management Officer</v>
      </c>
      <c r="FP270" s="27" t="s">
        <v>887</v>
      </c>
      <c r="FQ270" s="27">
        <f>VLOOKUP($A270,'[1]Raw Data'!$A$3:$FB$285,154,FALSE)</f>
        <v>9848500348</v>
      </c>
    </row>
    <row r="271" spans="1:173" ht="24" x14ac:dyDescent="0.45">
      <c r="A271" s="27">
        <v>48006</v>
      </c>
      <c r="B271" s="36" t="str">
        <f ca="1">IFERROR(__xludf.DUMMYFUNCTION("""COMPUTED_VALUE"""),"Gaidakot Nagarpalika")</f>
        <v>Gaidakot Nagarpalika</v>
      </c>
      <c r="C271" s="37" t="str">
        <f>VLOOKUP(A271,'[1]Palika and District in Nepali '!$D$1:$F$283,3,FALSE)</f>
        <v>गैडाकोट नगरपालिका</v>
      </c>
      <c r="D271" s="36" t="str">
        <f ca="1">IFERROR(__xludf.DUMMYFUNCTION("""COMPUTED_VALUE"""),"Nawalparasi")</f>
        <v>Nawalparasi</v>
      </c>
      <c r="E271" s="36"/>
      <c r="F271" s="27">
        <f>VLOOKUP(A271,'[1]Raw Data'!$A$3:$FB$285,4,FALSE)</f>
        <v>5</v>
      </c>
      <c r="G271" s="27">
        <f>VLOOKUP(A271,'[1]Raw Data'!$A$3:$FB$285,5,FALSE)</f>
        <v>98</v>
      </c>
      <c r="H271" s="27">
        <f>VLOOKUP(A271,'[1]Raw Data'!$A$3:$FB$285,6,FALSE)</f>
        <v>103</v>
      </c>
      <c r="I271" s="27">
        <f>VLOOKUP($A271,'[1]Raw Data'!$A$3:$FB$285,8,FALSE)</f>
        <v>0.97</v>
      </c>
      <c r="J271" s="27">
        <f>VLOOKUP($A271,'[1]Raw Data'!$A$3:$FB$285,9,FALSE)</f>
        <v>0.81</v>
      </c>
      <c r="K271" s="27">
        <f>VLOOKUP($A271,'[1]Raw Data'!$A$3:$FB$285,11,FALSE)</f>
        <v>93.2</v>
      </c>
      <c r="L271" s="27">
        <f>VLOOKUP($A271,'[1]Raw Data'!$A$3:$FB$285,12,FALSE)</f>
        <v>95.12</v>
      </c>
      <c r="M271" s="27">
        <f>VLOOKUP($A271,'[1]Raw Data'!$A$3:$FB$285,14,FALSE)</f>
        <v>4.8499999999999996</v>
      </c>
      <c r="N271" s="27">
        <f>VLOOKUP($A271,'[1]Raw Data'!$A$3:$FB$285,15,FALSE)</f>
        <v>1.83</v>
      </c>
      <c r="O271" s="27">
        <f>VLOOKUP($A271,'[1]Raw Data'!$A$3:$FB$285,17,FALSE)</f>
        <v>0</v>
      </c>
      <c r="P271" s="27">
        <f>VLOOKUP($A271,'[1]Raw Data'!$A$3:$FB$285,18,FALSE)</f>
        <v>0.92</v>
      </c>
      <c r="Q271" s="27">
        <f>VLOOKUP($A271,'[1]Raw Data'!$A$3:$FB$285,20,FALSE)</f>
        <v>0</v>
      </c>
      <c r="R271" s="27">
        <f>VLOOKUP($A271,'[1]Raw Data'!$A$3:$FB$285,21,FALSE)</f>
        <v>0</v>
      </c>
      <c r="S271" s="27">
        <f>VLOOKUP($A271,'[1]Raw Data'!$A$3:$FB$285,23,FALSE)</f>
        <v>0</v>
      </c>
      <c r="T271" s="27">
        <f>VLOOKUP($A271,'[1]Raw Data'!$A$3:$FB$285,24,FALSE)</f>
        <v>0</v>
      </c>
      <c r="U271" s="27">
        <f>VLOOKUP($A271,'[1]Raw Data'!$A$3:$FB$285,26,FALSE)</f>
        <v>0</v>
      </c>
      <c r="V271" s="27">
        <f>VLOOKUP($A271,'[1]Raw Data'!$A$3:$FB$285,27,FALSE)</f>
        <v>0.92</v>
      </c>
      <c r="W271" s="27">
        <f>VLOOKUP($A271,'[1]Raw Data'!$A$3:$FB$285,29,FALSE)</f>
        <v>0</v>
      </c>
      <c r="X271" s="27">
        <f>VLOOKUP($A271,'[1]Raw Data'!$A$3:$FB$285,30,FALSE)</f>
        <v>0</v>
      </c>
      <c r="Y271" s="27">
        <f>VLOOKUP($A271,'[1]Raw Data'!$A$3:$FB$285,32,FALSE)</f>
        <v>0</v>
      </c>
      <c r="Z271" s="27">
        <f>VLOOKUP($A271,'[1]Raw Data'!$A$3:$FB$285,33,FALSE)</f>
        <v>0.31</v>
      </c>
      <c r="AA271" s="27">
        <f>VLOOKUP($A271,'[1]Raw Data'!$A$3:$FB$285,35,FALSE)</f>
        <v>0.97</v>
      </c>
      <c r="AB271" s="27">
        <f>VLOOKUP($A271,'[1]Raw Data'!$A$3:$FB$285,36,FALSE)</f>
        <v>0.1</v>
      </c>
      <c r="AC271" s="27">
        <f>VLOOKUP($A271,'[1]Raw Data'!$A$3:$FB$285,38,FALSE)</f>
        <v>0</v>
      </c>
      <c r="AD271" s="27">
        <f>VLOOKUP($A271,'[1]Raw Data'!$A$3:$FB$285,39,FALSE)</f>
        <v>0</v>
      </c>
      <c r="AE271" s="27">
        <f>VLOOKUP($A271,'[1]Raw Data'!$A$3:$FB$285,41,FALSE)</f>
        <v>0</v>
      </c>
      <c r="AF271" s="27">
        <f>VLOOKUP($A271,'[1]Raw Data'!$A$3:$FB$285,42,FALSE)</f>
        <v>0</v>
      </c>
      <c r="AG271" s="27">
        <f>VLOOKUP($A271,'[1]Raw Data'!$A$3:$FB$285,44,FALSE)</f>
        <v>0</v>
      </c>
      <c r="AH271" s="27">
        <f>VLOOKUP($A271,'[1]Raw Data'!$A$3:$FB$285,45,FALSE)</f>
        <v>0</v>
      </c>
      <c r="AI271" s="27">
        <f>VLOOKUP($A271,'[1]Raw Data'!$A$3:$FB$285,46,FALSE)</f>
        <v>49</v>
      </c>
      <c r="AJ271" s="27">
        <f>VLOOKUP($A271,'[1]Raw Data'!$A$3:$FB$285,47,FALSE)</f>
        <v>49</v>
      </c>
      <c r="AK271" s="27">
        <f>VLOOKUP($A271,'[1]Raw Data'!$A$3:$FB$285,48,FALSE)</f>
        <v>49</v>
      </c>
      <c r="AL271" s="27">
        <f>VLOOKUP($A271,'[1]Raw Data'!$A$3:$FB$285,49,FALSE)</f>
        <v>41</v>
      </c>
      <c r="AM271" s="27">
        <f>VLOOKUP($A271,'[1]Raw Data'!$A$3:$FB$285,50,FALSE)</f>
        <v>1</v>
      </c>
      <c r="AN271" s="27">
        <f>VLOOKUP($A271,'[1]Raw Data'!$A$3:$FB$285,51,FALSE)</f>
        <v>38</v>
      </c>
      <c r="AO271" s="27">
        <f>VLOOKUP($A271,'[1]Raw Data'!$A$3:$FB$285,52,FALSE)</f>
        <v>0</v>
      </c>
      <c r="AP271" s="27">
        <f>VLOOKUP($A271,'[1]Raw Data'!$A$3:$FB$285,53,FALSE)</f>
        <v>0</v>
      </c>
      <c r="AQ271" s="27" t="str">
        <f>VLOOKUP($A271,'[1]Raw Data'!$A$3:$FB$285,54,FALSE)</f>
        <v/>
      </c>
      <c r="AR271" s="27" t="str">
        <f>VLOOKUP($A271,'[1]Raw Data'!$A$3:$FB$285,55,FALSE)</f>
        <v/>
      </c>
      <c r="AS271" s="27" t="str">
        <f>VLOOKUP($A271,'[1]Raw Data'!$A$3:$FB$285,56,FALSE)</f>
        <v/>
      </c>
      <c r="AT271" s="27">
        <f>VLOOKUP($A271,'[1]Raw Data'!$A$3:$FB$285,57,FALSE)</f>
        <v>46</v>
      </c>
      <c r="AU271" s="27" t="str">
        <f>VLOOKUP($A271,'[1]Raw Data'!$A$3:$FB$285,58,FALSE)</f>
        <v/>
      </c>
      <c r="AV271" s="27" t="str">
        <f>VLOOKUP($A271,'[1]Raw Data'!$A$3:$FB$285,59,FALSE)</f>
        <v/>
      </c>
      <c r="AW271" s="27" t="str">
        <f>VLOOKUP($A271,'[1]Raw Data'!$A$3:$FB$285,60,FALSE)</f>
        <v/>
      </c>
      <c r="AX271" s="27" t="str">
        <f>VLOOKUP(A271,'[1]PO''s List'!A269:E551,4,FALSE)</f>
        <v/>
      </c>
      <c r="AZ271" s="27" t="str">
        <f>VLOOKUP(A271,'[1]PO''s List'!$A$3:$E$285,5,FALSE)</f>
        <v/>
      </c>
      <c r="BB271" s="27">
        <f>VLOOKUP($A271,'[1]Raw Data'!$A$3:$FB$285,63,FALSE)</f>
        <v>2341</v>
      </c>
      <c r="BC271" s="27" t="str">
        <f>VLOOKUP($A271,'[1]Raw Data'!$A$3:$FB$285,64,FALSE)</f>
        <v/>
      </c>
      <c r="BD271" s="27" t="str">
        <f t="shared" si="36"/>
        <v/>
      </c>
      <c r="BE271" s="27" t="str">
        <f>VLOOKUP($A271,'[1]Raw Data'!$A$3:$FB$285,65,FALSE)</f>
        <v/>
      </c>
      <c r="BF271" s="27">
        <f>VLOOKUP($A271,'[1]Raw Data'!$A$3:$FB$285,66,FALSE)</f>
        <v>2347</v>
      </c>
      <c r="BG271" s="27" t="str">
        <f>VLOOKUP($A271,'[1]Raw Data'!$A$3:$FB$285,67,FALSE)</f>
        <v/>
      </c>
      <c r="BH271" s="27" t="str">
        <f t="shared" si="37"/>
        <v/>
      </c>
      <c r="BI271" s="27" t="str">
        <f>VLOOKUP($A271,'[1]Raw Data'!$A$3:$FB$285,68,FALSE)</f>
        <v/>
      </c>
      <c r="BJ271" s="27">
        <f>VLOOKUP($A271,'[1]Raw Data'!$A$3:$FB$285,69,FALSE)</f>
        <v>250</v>
      </c>
      <c r="BK271" s="27" t="str">
        <f>VLOOKUP($A271,'[1]Raw Data'!$A$3:$FB$285,70,FALSE)</f>
        <v/>
      </c>
      <c r="BL271" s="27" t="str">
        <f t="shared" si="38"/>
        <v/>
      </c>
      <c r="BM271" s="27" t="str">
        <f>VLOOKUP($A271,'[1]Raw Data'!$A$3:$FB$285,71,FALSE)</f>
        <v/>
      </c>
      <c r="BN271" s="27">
        <f>VLOOKUP($A271,'[1]Raw Data'!$A$3:$FB$285,72,FALSE)</f>
        <v>287</v>
      </c>
      <c r="BO271" s="27" t="str">
        <f>VLOOKUP($A271,'[1]Raw Data'!$A$3:$FB$285,73,FALSE)</f>
        <v/>
      </c>
      <c r="BP271" s="27" t="str">
        <f t="shared" si="39"/>
        <v/>
      </c>
      <c r="BQ271" s="27" t="str">
        <f>VLOOKUP($A271,'[1]Raw Data'!$A$3:$FB$285,74,FALSE)</f>
        <v/>
      </c>
      <c r="BR271" s="27" t="str">
        <f>VLOOKUP($A271,'[1]Raw Data'!$A$3:$FB$285,75,FALSE)</f>
        <v/>
      </c>
      <c r="BS271" s="27" t="str">
        <f>VLOOKUP($A271,'[1]Raw Data'!$A$3:$FB$285,76,FALSE)</f>
        <v/>
      </c>
      <c r="BT271" s="27" t="str">
        <f t="shared" si="40"/>
        <v/>
      </c>
      <c r="BU271" s="27" t="str">
        <f>VLOOKUP($A271,'[1]Raw Data'!$A$3:$FB$285,77,FALSE)</f>
        <v/>
      </c>
      <c r="BV271" s="27">
        <f>VLOOKUP($A271,'[1]Raw Data'!$A$3:$FB$285,78,FALSE)</f>
        <v>7912</v>
      </c>
      <c r="BW271" s="27" t="str">
        <f>VLOOKUP($A271,'[1]Raw Data'!$A$3:$FB$285,79,FALSE)</f>
        <v/>
      </c>
      <c r="BX271" s="27" t="str">
        <f t="shared" si="41"/>
        <v/>
      </c>
      <c r="BY271" s="27" t="str">
        <f>VLOOKUP($A271,'[1]Raw Data'!$A$3:$FB$285,80,FALSE)</f>
        <v/>
      </c>
      <c r="BZ271" s="27">
        <f>VLOOKUP($A271,'[1]Raw Data'!$A$3:$FB$285,81,FALSE)</f>
        <v>25622</v>
      </c>
      <c r="CA271" s="27" t="str">
        <f>VLOOKUP($A271,'[1]Raw Data'!$A$3:$FB$285,82,FALSE)</f>
        <v/>
      </c>
      <c r="CB271" s="27" t="str">
        <f t="shared" si="42"/>
        <v/>
      </c>
      <c r="CC271" s="27" t="str">
        <f>VLOOKUP($A271,'[1]Raw Data'!$A$3:$FB$285,83,FALSE)</f>
        <v/>
      </c>
      <c r="CD271" s="27">
        <f>VLOOKUP($A271,'[1]Raw Data'!$A$3:$FB$285,84,FALSE)</f>
        <v>324</v>
      </c>
      <c r="CE271" s="27" t="str">
        <f>VLOOKUP($A271,'[1]Raw Data'!$A$3:$FB$285,85,FALSE)</f>
        <v/>
      </c>
      <c r="CF271" s="27" t="str">
        <f t="shared" si="43"/>
        <v/>
      </c>
      <c r="CG271" s="27" t="str">
        <f>VLOOKUP($A271,'[1]Raw Data'!$A$3:$FB$285,86,FALSE)</f>
        <v/>
      </c>
      <c r="CH271" s="27">
        <f>VLOOKUP($A271,'[1]Raw Data'!$A$3:$FB$285,87,FALSE)</f>
        <v>46220</v>
      </c>
      <c r="CI271" s="27" t="str">
        <f>VLOOKUP($A271,'[1]Raw Data'!$A$3:$FB$285,88,FALSE)</f>
        <v/>
      </c>
      <c r="CJ271" s="27" t="str">
        <f t="shared" si="44"/>
        <v/>
      </c>
      <c r="CK271" s="27" t="str">
        <f>VLOOKUP($A271,'[1]Raw Data'!$A$3:$FB$285,89,FALSE)</f>
        <v/>
      </c>
      <c r="CL271" s="27" t="str">
        <f>VLOOKUP($A271,'[1]Raw Data'!$A$3:$FB$285,91,FALSE)</f>
        <v/>
      </c>
      <c r="CM271" s="27" t="str">
        <f>VLOOKUP($A271,'[1]Raw Data'!$A$3:$FB$285,93,FALSE)</f>
        <v/>
      </c>
      <c r="CN271" s="27" t="str">
        <f>VLOOKUP($A271,'[1]Raw Data'!$A$3:$FB$285,94,FALSE)</f>
        <v/>
      </c>
      <c r="CO271" s="27" t="str">
        <f>VLOOKUP($A271,'[1]Raw Data'!$A$3:$FB$285,95,FALSE)</f>
        <v/>
      </c>
      <c r="CP271" s="27" t="str">
        <f>VLOOKUP($A271,'[1]Raw Data'!$A$3:$FB$285,96,FALSE)</f>
        <v/>
      </c>
      <c r="CQ271" s="27" t="str">
        <f>VLOOKUP($A271,'[1]Raw Data'!$A$3:$FB$285,97,FALSE)</f>
        <v/>
      </c>
      <c r="CR271" s="27" t="str">
        <f>VLOOKUP($A271,'[1]Raw Data'!$A$3:$FB$285,98,FALSE)</f>
        <v/>
      </c>
      <c r="CS271" s="27" t="str">
        <f>VLOOKUP($A271,'[1]Raw Data'!$A$3:$FB$285,99,FALSE)</f>
        <v/>
      </c>
      <c r="CT271" s="27" t="str">
        <f>VLOOKUP($A271,'[1]Raw Data'!$A$3:$FB$285,101,FALSE)</f>
        <v>Chhab raj Paudel</v>
      </c>
      <c r="CU271" s="27" t="s">
        <v>1477</v>
      </c>
      <c r="CV271" s="27" t="str">
        <f>VLOOKUP($A271,'[1]Raw Data'!$A$3:$FB$285,102,FALSE)</f>
        <v>Mayor</v>
      </c>
      <c r="CW271" s="27" t="s">
        <v>834</v>
      </c>
      <c r="CX271" s="27">
        <f>VLOOKUP($A271,'[1]Raw Data'!$A$3:$FB$285,103,FALSE)</f>
        <v>9845064964</v>
      </c>
      <c r="CY271" s="27" t="str">
        <f>VLOOKUP($A271,'[1]Raw Data'!$A$3:$FB$285,105,FALSE)</f>
        <v>Bishnu Kumari kandel</v>
      </c>
      <c r="CZ271" s="27" t="s">
        <v>1478</v>
      </c>
      <c r="DA271" s="27" t="str">
        <f>VLOOKUP($A271,'[1]Raw Data'!$A$3:$FB$285,106,FALSE)</f>
        <v>Deputy Mayor</v>
      </c>
      <c r="DB271" s="27" t="s">
        <v>888</v>
      </c>
      <c r="DC271" s="27">
        <f>VLOOKUP($A271,'[1]Raw Data'!$A$3:$FB$285,107,FALSE)</f>
        <v>9855011601</v>
      </c>
      <c r="DD271" s="27" t="str">
        <f>VLOOKUP($A271,'[1]Raw Data'!$A$3:$FB$285,109,FALSE)</f>
        <v>Shiv Prasad Rijal</v>
      </c>
      <c r="DE271" s="27" t="s">
        <v>1479</v>
      </c>
      <c r="DF271" s="27" t="str">
        <f>VLOOKUP($A271,'[1]Raw Data'!$A$3:$FB$285,110,FALSE)</f>
        <v>Chief Adminstration Officer</v>
      </c>
      <c r="DG271" s="27" t="s">
        <v>880</v>
      </c>
      <c r="DH271" s="27">
        <f>VLOOKUP($A271,'[1]Raw Data'!$A$3:$FB$285,111,FALSE)</f>
        <v>9857639111</v>
      </c>
      <c r="DI271" s="27" t="str">
        <f>VLOOKUP($A271,'[1]Raw Data'!$A$3:$FB$285,121,FALSE)</f>
        <v>Dhurba Ghaire</v>
      </c>
      <c r="DJ271" s="27" t="s">
        <v>1476</v>
      </c>
      <c r="DK271" s="27" t="str">
        <f>VLOOKUP($A271,'[1]Raw Data'!$A$3:$FB$285,122,FALSE)</f>
        <v>Focal Person</v>
      </c>
      <c r="DL271" s="27" t="s">
        <v>881</v>
      </c>
      <c r="DM271" s="27">
        <f>VLOOKUP($A271,'[1]Raw Data'!$A$3:$FB$285,123,FALSE)</f>
        <v>9855063606</v>
      </c>
      <c r="DN271" s="27" t="str">
        <f>VLOOKUP($A271,'[1]Raw Data'!$A$3:$FB$285,113,FALSE)</f>
        <v xml:space="preserve">Rajendra  Karki </v>
      </c>
      <c r="DO271" s="27" t="s">
        <v>1211</v>
      </c>
      <c r="DP271" s="27" t="str">
        <f>VLOOKUP($A271,'[1]Raw Data'!$A$3:$FB$285,114,FALSE)</f>
        <v>NRA Chief-District</v>
      </c>
      <c r="DQ271" s="27" t="s">
        <v>882</v>
      </c>
      <c r="DR271" s="27">
        <f>VLOOKUP($A271,'[1]Raw Data'!$A$3:$FB$285,115,FALSE)</f>
        <v>9857087637</v>
      </c>
      <c r="DS271" s="27" t="str">
        <f>VLOOKUP($A271,'[1]Raw Data'!$A$3:$FB$285,117,FALSE)</f>
        <v/>
      </c>
      <c r="DU271" s="27" t="str">
        <f>VLOOKUP($A271,'[1]Raw Data'!$A$3:$FB$285,118,FALSE)</f>
        <v>DUDBC.DLPIU Chief</v>
      </c>
      <c r="DV271" s="27" t="s">
        <v>883</v>
      </c>
      <c r="DW271" s="27" t="str">
        <f>VLOOKUP($A271,'[1]Raw Data'!$A$3:$FB$285,119,FALSE)</f>
        <v/>
      </c>
      <c r="DX271" s="27" t="s">
        <v>339</v>
      </c>
      <c r="DY271" s="27" t="str">
        <f>VLOOKUP($A271,'[1]Raw Data'!$A$3:$FB$285,124,FALSE)</f>
        <v/>
      </c>
      <c r="DZ271" s="27" t="s">
        <v>884</v>
      </c>
      <c r="EA271" s="27" t="str">
        <f>VLOOKUP($A271,'[1]Raw Data'!$A$3:$FB$285,125,FALSE)</f>
        <v/>
      </c>
      <c r="EB271" s="27" t="s">
        <v>341</v>
      </c>
      <c r="EC271" s="27" t="str">
        <f>VLOOKUP($A271,'[1]Raw Data'!$A$3:$FB$285,126,FALSE)</f>
        <v/>
      </c>
      <c r="ED271" t="s">
        <v>478</v>
      </c>
      <c r="EE271" s="27" t="str">
        <f>VLOOKUP($A271,'[1]Raw Data'!$A$3:$FB$285,127,FALSE)</f>
        <v/>
      </c>
      <c r="EF271" s="27" t="s">
        <v>343</v>
      </c>
      <c r="EG271" s="27" t="str">
        <f>VLOOKUP($A271,'[1]Raw Data'!$A$3:$FB$285,128,FALSE)</f>
        <v/>
      </c>
      <c r="EH271" t="s">
        <v>344</v>
      </c>
      <c r="EI271" s="27" t="str">
        <f>VLOOKUP($A271,'[1]Raw Data'!$A$3:$FB$285,129,FALSE)</f>
        <v/>
      </c>
      <c r="EM271" s="27" t="str">
        <f>VLOOKUP($A271,'[1]Raw Data'!$A$3:$FB$285,130,FALSE)</f>
        <v/>
      </c>
      <c r="EN271" s="27" t="str">
        <f>VLOOKUP($A271,'[1]Raw Data'!$A$3:$FB$285,131,FALSE)</f>
        <v/>
      </c>
      <c r="EO271" s="27" t="str">
        <f>VLOOKUP($A271,'[1]Raw Data'!$A$3:$FB$285,132,FALSE)</f>
        <v/>
      </c>
      <c r="EP271" s="27" t="str">
        <f>VLOOKUP($A271,'[1]Raw Data'!$A$3:$FB$285,133,FALSE)</f>
        <v/>
      </c>
      <c r="EQ271" s="27" t="str">
        <f>VLOOKUP($A271,'[1]Raw Data'!$A$3:$FB$285,134,FALSE)</f>
        <v/>
      </c>
      <c r="ER271" s="27" t="str">
        <f>VLOOKUP($A271,'[1]Raw Data'!$A$3:$FB$285,135,FALSE)</f>
        <v/>
      </c>
      <c r="ES271" s="27" t="str">
        <f>VLOOKUP($A271,'[1]Raw Data'!$A$3:$FB$285,136,FALSE)</f>
        <v/>
      </c>
      <c r="ET271" s="27" t="str">
        <f>VLOOKUP($A271,'[1]Raw Data'!$A$3:$FB$285,137,FALSE)</f>
        <v/>
      </c>
      <c r="EU271" s="27" t="str">
        <f>VLOOKUP($A271,'[1]Raw Data'!$A$3:$FB$285,138,FALSE)</f>
        <v/>
      </c>
      <c r="EV271" s="27" t="str">
        <f>VLOOKUP($A271,'[1]Raw Data'!$A$3:$FB$285,139,FALSE)</f>
        <v/>
      </c>
      <c r="EW271" s="38">
        <f>VLOOKUP($A271,[1]Training!$A$2:$I$284,5,FALSE)</f>
        <v>3.7692307692307692</v>
      </c>
      <c r="EX271" s="31">
        <f>VLOOKUP($A271,[1]Training!$A$2:$I$284,6,FALSE)</f>
        <v>0</v>
      </c>
      <c r="EY271" s="38">
        <f>VLOOKUP($A271,[1]Training!$A$2:$I$284,8,FALSE)</f>
        <v>4.4545454545454541</v>
      </c>
      <c r="EZ271" s="31">
        <f>VLOOKUP($A271,[1]Training!$A$2:$I$284,9,FALSE)</f>
        <v>0</v>
      </c>
      <c r="FA271" s="27">
        <v>1</v>
      </c>
      <c r="FB271" s="27">
        <v>2</v>
      </c>
      <c r="FC271" s="27" t="str">
        <f>VLOOKUP($A271,'[1]Raw Data'!$A$3:$FB$285,148,FALSE)</f>
        <v>Hari Prasad Thalang</v>
      </c>
      <c r="FE271" s="27" t="str">
        <f>VLOOKUP($A271,'[1]Raw Data'!$A$3:$FB$285,149,FALSE)</f>
        <v>District Coordinator</v>
      </c>
      <c r="FF271" s="27" t="s">
        <v>885</v>
      </c>
      <c r="FG271" s="27">
        <f>VLOOKUP($A271,'[1]Raw Data'!$A$3:$FB$285,150,FALSE)</f>
        <v>9851224505</v>
      </c>
      <c r="FH271" s="27" t="str">
        <f>VLOOKUP($A271,'[1]Raw Data'!$A$3:$FB$285,156,FALSE)</f>
        <v xml:space="preserve">Kausal Bist </v>
      </c>
      <c r="FJ271" s="27" t="str">
        <f>VLOOKUP($A271,'[1]Raw Data'!$A$3:$FB$285,157,FALSE)</f>
        <v>District Technical Officer</v>
      </c>
      <c r="FK271" s="27" t="s">
        <v>886</v>
      </c>
      <c r="FL271" s="27">
        <f>VLOOKUP($A271,'[1]Raw Data'!$A$3:$FB$285,158,FALSE)</f>
        <v>9849787273</v>
      </c>
      <c r="FM271" s="27" t="str">
        <f>VLOOKUP($A271,'[1]Raw Data'!$A$3:$FB$285,152,FALSE)</f>
        <v>Nirmal Nepali</v>
      </c>
      <c r="FO271" s="27" t="str">
        <f>VLOOKUP($A271,'[1]Raw Data'!$A$3:$FB$285,153,FALSE)</f>
        <v>DIstrict Information Management Officer</v>
      </c>
      <c r="FP271" s="27" t="s">
        <v>887</v>
      </c>
      <c r="FQ271" s="27">
        <f>VLOOKUP($A271,'[1]Raw Data'!$A$3:$FB$285,154,FALSE)</f>
        <v>9848500348</v>
      </c>
    </row>
    <row r="272" spans="1:173" ht="24" x14ac:dyDescent="0.45">
      <c r="A272" s="27">
        <v>48007</v>
      </c>
      <c r="B272" s="36" t="str">
        <f ca="1">IFERROR(__xludf.DUMMYFUNCTION("""COMPUTED_VALUE"""),"Hupsekot Gaunpalika")</f>
        <v>Hupsekot Gaunpalika</v>
      </c>
      <c r="C272" s="37" t="str">
        <f>VLOOKUP(A272,'[1]Palika and District in Nepali '!$D$1:$F$283,3,FALSE)</f>
        <v>हुप्सेकोट नगरपालिका</v>
      </c>
      <c r="D272" s="36" t="str">
        <f ca="1">IFERROR(__xludf.DUMMYFUNCTION("""COMPUTED_VALUE"""),"Nawalparasi")</f>
        <v>Nawalparasi</v>
      </c>
      <c r="E272" s="36"/>
      <c r="F272" s="27">
        <f>VLOOKUP(A272,'[1]Raw Data'!$A$3:$FB$285,4,FALSE)</f>
        <v>13</v>
      </c>
      <c r="G272" s="27">
        <f>VLOOKUP(A272,'[1]Raw Data'!$A$3:$FB$285,5,FALSE)</f>
        <v>142</v>
      </c>
      <c r="H272" s="27">
        <f>VLOOKUP(A272,'[1]Raw Data'!$A$3:$FB$285,6,FALSE)</f>
        <v>155</v>
      </c>
      <c r="I272" s="27">
        <f>VLOOKUP($A272,'[1]Raw Data'!$A$3:$FB$285,8,FALSE)</f>
        <v>0</v>
      </c>
      <c r="J272" s="27">
        <f>VLOOKUP($A272,'[1]Raw Data'!$A$3:$FB$285,9,FALSE)</f>
        <v>0.81</v>
      </c>
      <c r="K272" s="27">
        <f>VLOOKUP($A272,'[1]Raw Data'!$A$3:$FB$285,11,FALSE)</f>
        <v>96.13</v>
      </c>
      <c r="L272" s="27">
        <f>VLOOKUP($A272,'[1]Raw Data'!$A$3:$FB$285,12,FALSE)</f>
        <v>95.12</v>
      </c>
      <c r="M272" s="27">
        <f>VLOOKUP($A272,'[1]Raw Data'!$A$3:$FB$285,14,FALSE)</f>
        <v>0</v>
      </c>
      <c r="N272" s="27">
        <f>VLOOKUP($A272,'[1]Raw Data'!$A$3:$FB$285,15,FALSE)</f>
        <v>1.83</v>
      </c>
      <c r="O272" s="27">
        <f>VLOOKUP($A272,'[1]Raw Data'!$A$3:$FB$285,17,FALSE)</f>
        <v>0.65</v>
      </c>
      <c r="P272" s="27">
        <f>VLOOKUP($A272,'[1]Raw Data'!$A$3:$FB$285,18,FALSE)</f>
        <v>0.92</v>
      </c>
      <c r="Q272" s="27">
        <f>VLOOKUP($A272,'[1]Raw Data'!$A$3:$FB$285,20,FALSE)</f>
        <v>0</v>
      </c>
      <c r="R272" s="27">
        <f>VLOOKUP($A272,'[1]Raw Data'!$A$3:$FB$285,21,FALSE)</f>
        <v>0</v>
      </c>
      <c r="S272" s="27">
        <f>VLOOKUP($A272,'[1]Raw Data'!$A$3:$FB$285,23,FALSE)</f>
        <v>0</v>
      </c>
      <c r="T272" s="27">
        <f>VLOOKUP($A272,'[1]Raw Data'!$A$3:$FB$285,24,FALSE)</f>
        <v>0</v>
      </c>
      <c r="U272" s="27">
        <f>VLOOKUP($A272,'[1]Raw Data'!$A$3:$FB$285,26,FALSE)</f>
        <v>3.23</v>
      </c>
      <c r="V272" s="27">
        <f>VLOOKUP($A272,'[1]Raw Data'!$A$3:$FB$285,27,FALSE)</f>
        <v>0.92</v>
      </c>
      <c r="W272" s="27">
        <f>VLOOKUP($A272,'[1]Raw Data'!$A$3:$FB$285,29,FALSE)</f>
        <v>0</v>
      </c>
      <c r="X272" s="27">
        <f>VLOOKUP($A272,'[1]Raw Data'!$A$3:$FB$285,30,FALSE)</f>
        <v>0</v>
      </c>
      <c r="Y272" s="27">
        <f>VLOOKUP($A272,'[1]Raw Data'!$A$3:$FB$285,32,FALSE)</f>
        <v>0</v>
      </c>
      <c r="Z272" s="27">
        <f>VLOOKUP($A272,'[1]Raw Data'!$A$3:$FB$285,33,FALSE)</f>
        <v>0.31</v>
      </c>
      <c r="AA272" s="27">
        <f>VLOOKUP($A272,'[1]Raw Data'!$A$3:$FB$285,35,FALSE)</f>
        <v>0</v>
      </c>
      <c r="AB272" s="27">
        <f>VLOOKUP($A272,'[1]Raw Data'!$A$3:$FB$285,36,FALSE)</f>
        <v>0.1</v>
      </c>
      <c r="AC272" s="27">
        <f>VLOOKUP($A272,'[1]Raw Data'!$A$3:$FB$285,38,FALSE)</f>
        <v>0</v>
      </c>
      <c r="AD272" s="27">
        <f>VLOOKUP($A272,'[1]Raw Data'!$A$3:$FB$285,39,FALSE)</f>
        <v>0</v>
      </c>
      <c r="AE272" s="27">
        <f>VLOOKUP($A272,'[1]Raw Data'!$A$3:$FB$285,41,FALSE)</f>
        <v>0</v>
      </c>
      <c r="AF272" s="27">
        <f>VLOOKUP($A272,'[1]Raw Data'!$A$3:$FB$285,42,FALSE)</f>
        <v>0</v>
      </c>
      <c r="AG272" s="27">
        <f>VLOOKUP($A272,'[1]Raw Data'!$A$3:$FB$285,44,FALSE)</f>
        <v>0</v>
      </c>
      <c r="AH272" s="27">
        <f>VLOOKUP($A272,'[1]Raw Data'!$A$3:$FB$285,45,FALSE)</f>
        <v>0</v>
      </c>
      <c r="AI272" s="27">
        <f>VLOOKUP($A272,'[1]Raw Data'!$A$3:$FB$285,46,FALSE)</f>
        <v>139</v>
      </c>
      <c r="AJ272" s="27">
        <f>VLOOKUP($A272,'[1]Raw Data'!$A$3:$FB$285,47,FALSE)</f>
        <v>139</v>
      </c>
      <c r="AK272" s="27">
        <f>VLOOKUP($A272,'[1]Raw Data'!$A$3:$FB$285,48,FALSE)</f>
        <v>139</v>
      </c>
      <c r="AL272" s="27">
        <f>VLOOKUP($A272,'[1]Raw Data'!$A$3:$FB$285,49,FALSE)</f>
        <v>113</v>
      </c>
      <c r="AM272" s="27">
        <f>VLOOKUP($A272,'[1]Raw Data'!$A$3:$FB$285,50,FALSE)</f>
        <v>57</v>
      </c>
      <c r="AN272" s="27">
        <f>VLOOKUP($A272,'[1]Raw Data'!$A$3:$FB$285,51,FALSE)</f>
        <v>139</v>
      </c>
      <c r="AO272" s="27">
        <f>VLOOKUP($A272,'[1]Raw Data'!$A$3:$FB$285,52,FALSE)</f>
        <v>0</v>
      </c>
      <c r="AP272" s="27">
        <f>VLOOKUP($A272,'[1]Raw Data'!$A$3:$FB$285,53,FALSE)</f>
        <v>2</v>
      </c>
      <c r="AQ272" s="27" t="str">
        <f>VLOOKUP($A272,'[1]Raw Data'!$A$3:$FB$285,54,FALSE)</f>
        <v/>
      </c>
      <c r="AR272" s="27" t="str">
        <f>VLOOKUP($A272,'[1]Raw Data'!$A$3:$FB$285,55,FALSE)</f>
        <v/>
      </c>
      <c r="AS272" s="27" t="str">
        <f>VLOOKUP($A272,'[1]Raw Data'!$A$3:$FB$285,56,FALSE)</f>
        <v/>
      </c>
      <c r="AT272" s="27">
        <f>VLOOKUP($A272,'[1]Raw Data'!$A$3:$FB$285,57,FALSE)</f>
        <v>181</v>
      </c>
      <c r="AU272" s="27" t="str">
        <f>VLOOKUP($A272,'[1]Raw Data'!$A$3:$FB$285,58,FALSE)</f>
        <v/>
      </c>
      <c r="AV272" s="27" t="str">
        <f>VLOOKUP($A272,'[1]Raw Data'!$A$3:$FB$285,59,FALSE)</f>
        <v/>
      </c>
      <c r="AW272" s="27" t="str">
        <f>VLOOKUP($A272,'[1]Raw Data'!$A$3:$FB$285,60,FALSE)</f>
        <v/>
      </c>
      <c r="AX272" s="27" t="str">
        <f>VLOOKUP(A272,'[1]PO''s List'!A270:E552,4,FALSE)</f>
        <v/>
      </c>
      <c r="AZ272" s="27" t="str">
        <f>VLOOKUP(A272,'[1]PO''s List'!$A$3:$E$285,5,FALSE)</f>
        <v/>
      </c>
      <c r="BB272" s="27">
        <f>VLOOKUP($A272,'[1]Raw Data'!$A$3:$FB$285,63,FALSE)</f>
        <v>112</v>
      </c>
      <c r="BC272" s="27" t="str">
        <f>VLOOKUP($A272,'[1]Raw Data'!$A$3:$FB$285,64,FALSE)</f>
        <v/>
      </c>
      <c r="BD272" s="27" t="str">
        <f t="shared" si="36"/>
        <v/>
      </c>
      <c r="BE272" s="27" t="str">
        <f>VLOOKUP($A272,'[1]Raw Data'!$A$3:$FB$285,65,FALSE)</f>
        <v/>
      </c>
      <c r="BF272" s="27">
        <f>VLOOKUP($A272,'[1]Raw Data'!$A$3:$FB$285,66,FALSE)</f>
        <v>120</v>
      </c>
      <c r="BG272" s="27" t="str">
        <f>VLOOKUP($A272,'[1]Raw Data'!$A$3:$FB$285,67,FALSE)</f>
        <v/>
      </c>
      <c r="BH272" s="27" t="str">
        <f t="shared" si="37"/>
        <v/>
      </c>
      <c r="BI272" s="27" t="str">
        <f>VLOOKUP($A272,'[1]Raw Data'!$A$3:$FB$285,68,FALSE)</f>
        <v/>
      </c>
      <c r="BJ272" s="27">
        <f>VLOOKUP($A272,'[1]Raw Data'!$A$3:$FB$285,69,FALSE)</f>
        <v>12</v>
      </c>
      <c r="BK272" s="27" t="str">
        <f>VLOOKUP($A272,'[1]Raw Data'!$A$3:$FB$285,70,FALSE)</f>
        <v/>
      </c>
      <c r="BL272" s="27" t="str">
        <f t="shared" si="38"/>
        <v/>
      </c>
      <c r="BM272" s="27" t="str">
        <f>VLOOKUP($A272,'[1]Raw Data'!$A$3:$FB$285,71,FALSE)</f>
        <v/>
      </c>
      <c r="BN272" s="27">
        <f>VLOOKUP($A272,'[1]Raw Data'!$A$3:$FB$285,72,FALSE)</f>
        <v>14</v>
      </c>
      <c r="BO272" s="27" t="str">
        <f>VLOOKUP($A272,'[1]Raw Data'!$A$3:$FB$285,73,FALSE)</f>
        <v/>
      </c>
      <c r="BP272" s="27" t="str">
        <f t="shared" si="39"/>
        <v/>
      </c>
      <c r="BQ272" s="27" t="str">
        <f>VLOOKUP($A272,'[1]Raw Data'!$A$3:$FB$285,74,FALSE)</f>
        <v/>
      </c>
      <c r="BR272" s="27" t="str">
        <f>VLOOKUP($A272,'[1]Raw Data'!$A$3:$FB$285,75,FALSE)</f>
        <v/>
      </c>
      <c r="BS272" s="27" t="str">
        <f>VLOOKUP($A272,'[1]Raw Data'!$A$3:$FB$285,76,FALSE)</f>
        <v/>
      </c>
      <c r="BT272" s="27" t="str">
        <f t="shared" si="40"/>
        <v/>
      </c>
      <c r="BU272" s="27" t="str">
        <f>VLOOKUP($A272,'[1]Raw Data'!$A$3:$FB$285,77,FALSE)</f>
        <v/>
      </c>
      <c r="BV272" s="27">
        <f>VLOOKUP($A272,'[1]Raw Data'!$A$3:$FB$285,78,FALSE)</f>
        <v>392</v>
      </c>
      <c r="BW272" s="27" t="str">
        <f>VLOOKUP($A272,'[1]Raw Data'!$A$3:$FB$285,79,FALSE)</f>
        <v/>
      </c>
      <c r="BX272" s="27" t="str">
        <f t="shared" si="41"/>
        <v/>
      </c>
      <c r="BY272" s="27" t="str">
        <f>VLOOKUP($A272,'[1]Raw Data'!$A$3:$FB$285,80,FALSE)</f>
        <v/>
      </c>
      <c r="BZ272" s="27">
        <f>VLOOKUP($A272,'[1]Raw Data'!$A$3:$FB$285,81,FALSE)</f>
        <v>1200</v>
      </c>
      <c r="CA272" s="27" t="str">
        <f>VLOOKUP($A272,'[1]Raw Data'!$A$3:$FB$285,82,FALSE)</f>
        <v/>
      </c>
      <c r="CB272" s="27" t="str">
        <f t="shared" si="42"/>
        <v/>
      </c>
      <c r="CC272" s="27" t="str">
        <f>VLOOKUP($A272,'[1]Raw Data'!$A$3:$FB$285,83,FALSE)</f>
        <v/>
      </c>
      <c r="CD272" s="27">
        <f>VLOOKUP($A272,'[1]Raw Data'!$A$3:$FB$285,84,FALSE)</f>
        <v>16</v>
      </c>
      <c r="CE272" s="27" t="str">
        <f>VLOOKUP($A272,'[1]Raw Data'!$A$3:$FB$285,85,FALSE)</f>
        <v/>
      </c>
      <c r="CF272" s="27" t="str">
        <f t="shared" si="43"/>
        <v/>
      </c>
      <c r="CG272" s="27" t="str">
        <f>VLOOKUP($A272,'[1]Raw Data'!$A$3:$FB$285,86,FALSE)</f>
        <v/>
      </c>
      <c r="CH272" s="27">
        <f>VLOOKUP($A272,'[1]Raw Data'!$A$3:$FB$285,87,FALSE)</f>
        <v>0</v>
      </c>
      <c r="CI272" s="27" t="str">
        <f>VLOOKUP($A272,'[1]Raw Data'!$A$3:$FB$285,88,FALSE)</f>
        <v/>
      </c>
      <c r="CJ272" s="27" t="str">
        <f t="shared" si="44"/>
        <v/>
      </c>
      <c r="CK272" s="27" t="str">
        <f>VLOOKUP($A272,'[1]Raw Data'!$A$3:$FB$285,89,FALSE)</f>
        <v/>
      </c>
      <c r="CL272" s="27" t="str">
        <f>VLOOKUP($A272,'[1]Raw Data'!$A$3:$FB$285,91,FALSE)</f>
        <v/>
      </c>
      <c r="CM272" s="27" t="str">
        <f>VLOOKUP($A272,'[1]Raw Data'!$A$3:$FB$285,93,FALSE)</f>
        <v/>
      </c>
      <c r="CN272" s="27" t="str">
        <f>VLOOKUP($A272,'[1]Raw Data'!$A$3:$FB$285,94,FALSE)</f>
        <v/>
      </c>
      <c r="CO272" s="27" t="str">
        <f>VLOOKUP($A272,'[1]Raw Data'!$A$3:$FB$285,95,FALSE)</f>
        <v/>
      </c>
      <c r="CP272" s="27" t="str">
        <f>VLOOKUP($A272,'[1]Raw Data'!$A$3:$FB$285,96,FALSE)</f>
        <v/>
      </c>
      <c r="CQ272" s="27" t="str">
        <f>VLOOKUP($A272,'[1]Raw Data'!$A$3:$FB$285,97,FALSE)</f>
        <v/>
      </c>
      <c r="CR272" s="27" t="str">
        <f>VLOOKUP($A272,'[1]Raw Data'!$A$3:$FB$285,98,FALSE)</f>
        <v/>
      </c>
      <c r="CS272" s="27" t="str">
        <f>VLOOKUP($A272,'[1]Raw Data'!$A$3:$FB$285,99,FALSE)</f>
        <v/>
      </c>
      <c r="CT272" s="27" t="str">
        <f>VLOOKUP($A272,'[1]Raw Data'!$A$3:$FB$285,101,FALSE)</f>
        <v>Laxmi Pandey</v>
      </c>
      <c r="CU272" s="27" t="s">
        <v>1480</v>
      </c>
      <c r="CV272" s="27" t="str">
        <f>VLOOKUP($A272,'[1]Raw Data'!$A$3:$FB$285,102,FALSE)</f>
        <v xml:space="preserve">Chairman </v>
      </c>
      <c r="CW272" s="27" t="s">
        <v>878</v>
      </c>
      <c r="CX272" s="27">
        <f>VLOOKUP($A272,'[1]Raw Data'!$A$3:$FB$285,103,FALSE)</f>
        <v>9857040631</v>
      </c>
      <c r="CY272" s="27" t="str">
        <f>VLOOKUP($A272,'[1]Raw Data'!$A$3:$FB$285,105,FALSE)</f>
        <v>Swatantra Kopila Malla</v>
      </c>
      <c r="CZ272" s="27" t="s">
        <v>1481</v>
      </c>
      <c r="DA272" s="27" t="str">
        <f>VLOOKUP($A272,'[1]Raw Data'!$A$3:$FB$285,106,FALSE)</f>
        <v>Deputy Chairman</v>
      </c>
      <c r="DB272" s="27" t="s">
        <v>879</v>
      </c>
      <c r="DC272" s="27">
        <f>VLOOKUP($A272,'[1]Raw Data'!$A$3:$FB$285,107,FALSE)</f>
        <v>9847415770</v>
      </c>
      <c r="DD272" s="27" t="str">
        <f>VLOOKUP($A272,'[1]Raw Data'!$A$3:$FB$285,109,FALSE)</f>
        <v>Chhatra Adhikari</v>
      </c>
      <c r="DE272" s="27" t="s">
        <v>1482</v>
      </c>
      <c r="DF272" s="27" t="str">
        <f>VLOOKUP($A272,'[1]Raw Data'!$A$3:$FB$285,110,FALSE)</f>
        <v>Chief Adminstration Officer</v>
      </c>
      <c r="DG272" s="27" t="s">
        <v>880</v>
      </c>
      <c r="DH272" s="27">
        <f>VLOOKUP($A272,'[1]Raw Data'!$A$3:$FB$285,111,FALSE)</f>
        <v>9841904764</v>
      </c>
      <c r="DI272" s="27" t="str">
        <f>VLOOKUP($A272,'[1]Raw Data'!$A$3:$FB$285,121,FALSE)</f>
        <v>Ganesh MC</v>
      </c>
      <c r="DJ272" s="27" t="s">
        <v>1483</v>
      </c>
      <c r="DK272" s="27" t="str">
        <f>VLOOKUP($A272,'[1]Raw Data'!$A$3:$FB$285,122,FALSE)</f>
        <v>Focal Person</v>
      </c>
      <c r="DL272" s="27" t="s">
        <v>881</v>
      </c>
      <c r="DM272" s="27">
        <f>VLOOKUP($A272,'[1]Raw Data'!$A$3:$FB$285,123,FALSE)</f>
        <v>9857036027</v>
      </c>
      <c r="DN272" s="27" t="str">
        <f>VLOOKUP($A272,'[1]Raw Data'!$A$3:$FB$285,113,FALSE)</f>
        <v xml:space="preserve">Rajendra  Karki </v>
      </c>
      <c r="DO272" s="27" t="s">
        <v>1211</v>
      </c>
      <c r="DP272" s="27" t="str">
        <f>VLOOKUP($A272,'[1]Raw Data'!$A$3:$FB$285,114,FALSE)</f>
        <v>NRA Chief-District</v>
      </c>
      <c r="DQ272" s="27" t="s">
        <v>882</v>
      </c>
      <c r="DR272" s="27">
        <f>VLOOKUP($A272,'[1]Raw Data'!$A$3:$FB$285,115,FALSE)</f>
        <v>9857087637</v>
      </c>
      <c r="DS272" s="27" t="str">
        <f>VLOOKUP($A272,'[1]Raw Data'!$A$3:$FB$285,117,FALSE)</f>
        <v/>
      </c>
      <c r="DU272" s="27" t="str">
        <f>VLOOKUP($A272,'[1]Raw Data'!$A$3:$FB$285,118,FALSE)</f>
        <v>DUDBC.DLPIU Chief</v>
      </c>
      <c r="DV272" s="27" t="s">
        <v>883</v>
      </c>
      <c r="DW272" s="27" t="str">
        <f>VLOOKUP($A272,'[1]Raw Data'!$A$3:$FB$285,119,FALSE)</f>
        <v/>
      </c>
      <c r="DX272" s="27" t="s">
        <v>339</v>
      </c>
      <c r="DY272" s="27" t="str">
        <f>VLOOKUP($A272,'[1]Raw Data'!$A$3:$FB$285,124,FALSE)</f>
        <v/>
      </c>
      <c r="DZ272" s="27" t="s">
        <v>884</v>
      </c>
      <c r="EA272" s="27" t="str">
        <f>VLOOKUP($A272,'[1]Raw Data'!$A$3:$FB$285,125,FALSE)</f>
        <v/>
      </c>
      <c r="EB272" s="27" t="s">
        <v>341</v>
      </c>
      <c r="EC272" s="27" t="str">
        <f>VLOOKUP($A272,'[1]Raw Data'!$A$3:$FB$285,126,FALSE)</f>
        <v/>
      </c>
      <c r="ED272" t="s">
        <v>478</v>
      </c>
      <c r="EE272" s="27" t="str">
        <f>VLOOKUP($A272,'[1]Raw Data'!$A$3:$FB$285,127,FALSE)</f>
        <v/>
      </c>
      <c r="EF272" s="27" t="s">
        <v>343</v>
      </c>
      <c r="EG272" s="27" t="str">
        <f>VLOOKUP($A272,'[1]Raw Data'!$A$3:$FB$285,128,FALSE)</f>
        <v/>
      </c>
      <c r="EH272" t="s">
        <v>344</v>
      </c>
      <c r="EI272" s="27" t="str">
        <f>VLOOKUP($A272,'[1]Raw Data'!$A$3:$FB$285,129,FALSE)</f>
        <v/>
      </c>
      <c r="EM272" s="27" t="str">
        <f>VLOOKUP($A272,'[1]Raw Data'!$A$3:$FB$285,130,FALSE)</f>
        <v/>
      </c>
      <c r="EN272" s="27" t="str">
        <f>VLOOKUP($A272,'[1]Raw Data'!$A$3:$FB$285,131,FALSE)</f>
        <v/>
      </c>
      <c r="EO272" s="27" t="str">
        <f>VLOOKUP($A272,'[1]Raw Data'!$A$3:$FB$285,132,FALSE)</f>
        <v/>
      </c>
      <c r="EP272" s="27" t="str">
        <f>VLOOKUP($A272,'[1]Raw Data'!$A$3:$FB$285,133,FALSE)</f>
        <v/>
      </c>
      <c r="EQ272" s="27" t="str">
        <f>VLOOKUP($A272,'[1]Raw Data'!$A$3:$FB$285,134,FALSE)</f>
        <v/>
      </c>
      <c r="ER272" s="27" t="str">
        <f>VLOOKUP($A272,'[1]Raw Data'!$A$3:$FB$285,135,FALSE)</f>
        <v/>
      </c>
      <c r="ES272" s="27" t="str">
        <f>VLOOKUP($A272,'[1]Raw Data'!$A$3:$FB$285,136,FALSE)</f>
        <v/>
      </c>
      <c r="ET272" s="27" t="str">
        <f>VLOOKUP($A272,'[1]Raw Data'!$A$3:$FB$285,137,FALSE)</f>
        <v/>
      </c>
      <c r="EU272" s="27" t="str">
        <f>VLOOKUP($A272,'[1]Raw Data'!$A$3:$FB$285,138,FALSE)</f>
        <v/>
      </c>
      <c r="EV272" s="27" t="str">
        <f>VLOOKUP($A272,'[1]Raw Data'!$A$3:$FB$285,139,FALSE)</f>
        <v/>
      </c>
      <c r="EW272" s="38">
        <f>VLOOKUP($A272,[1]Training!$A$2:$I$284,5,FALSE)</f>
        <v>10.692307692307692</v>
      </c>
      <c r="EX272" s="31">
        <f>VLOOKUP($A272,[1]Training!$A$2:$I$284,6,FALSE)</f>
        <v>0</v>
      </c>
      <c r="EY272" s="38">
        <f>VLOOKUP($A272,[1]Training!$A$2:$I$284,8,FALSE)</f>
        <v>12.636363636363637</v>
      </c>
      <c r="EZ272" s="31">
        <f>VLOOKUP($A272,[1]Training!$A$2:$I$284,9,FALSE)</f>
        <v>0</v>
      </c>
      <c r="FA272" s="27">
        <v>1</v>
      </c>
      <c r="FB272" s="27">
        <v>2</v>
      </c>
      <c r="FC272" s="27" t="str">
        <f>VLOOKUP($A272,'[1]Raw Data'!$A$3:$FB$285,148,FALSE)</f>
        <v>Hari Prasad Thalang</v>
      </c>
      <c r="FE272" s="27" t="str">
        <f>VLOOKUP($A272,'[1]Raw Data'!$A$3:$FB$285,149,FALSE)</f>
        <v>District Coordinator</v>
      </c>
      <c r="FF272" s="27" t="s">
        <v>885</v>
      </c>
      <c r="FG272" s="27">
        <f>VLOOKUP($A272,'[1]Raw Data'!$A$3:$FB$285,150,FALSE)</f>
        <v>9851224505</v>
      </c>
      <c r="FH272" s="27" t="str">
        <f>VLOOKUP($A272,'[1]Raw Data'!$A$3:$FB$285,156,FALSE)</f>
        <v xml:space="preserve">Kausal Bist </v>
      </c>
      <c r="FJ272" s="27" t="str">
        <f>VLOOKUP($A272,'[1]Raw Data'!$A$3:$FB$285,157,FALSE)</f>
        <v>District Technical Officer</v>
      </c>
      <c r="FK272" s="27" t="s">
        <v>886</v>
      </c>
      <c r="FL272" s="27">
        <f>VLOOKUP($A272,'[1]Raw Data'!$A$3:$FB$285,158,FALSE)</f>
        <v>9849787273</v>
      </c>
      <c r="FM272" s="27" t="str">
        <f>VLOOKUP($A272,'[1]Raw Data'!$A$3:$FB$285,152,FALSE)</f>
        <v>Nirmal Nepali</v>
      </c>
      <c r="FO272" s="27" t="str">
        <f>VLOOKUP($A272,'[1]Raw Data'!$A$3:$FB$285,153,FALSE)</f>
        <v>DIstrict Information Management Officer</v>
      </c>
      <c r="FP272" s="27" t="s">
        <v>887</v>
      </c>
      <c r="FQ272" s="27">
        <f>VLOOKUP($A272,'[1]Raw Data'!$A$3:$FB$285,154,FALSE)</f>
        <v>9848500348</v>
      </c>
    </row>
    <row r="273" spans="1:173" ht="24" x14ac:dyDescent="0.45">
      <c r="A273" s="27">
        <v>48008</v>
      </c>
      <c r="B273" s="36" t="str">
        <f ca="1">IFERROR(__xludf.DUMMYFUNCTION("""COMPUTED_VALUE"""),"Kawasoti Nagarpalika")</f>
        <v>Kawasoti Nagarpalika</v>
      </c>
      <c r="C273" s="37" t="str">
        <f>VLOOKUP(A273,'[1]Palika and District in Nepali '!$D$1:$F$283,3,FALSE)</f>
        <v>कावासोती नगरपालिका</v>
      </c>
      <c r="D273" s="36" t="str">
        <f ca="1">IFERROR(__xludf.DUMMYFUNCTION("""COMPUTED_VALUE"""),"Nawalparasi")</f>
        <v>Nawalparasi</v>
      </c>
      <c r="E273" s="36"/>
      <c r="F273" s="27">
        <f>VLOOKUP(A273,'[1]Raw Data'!$A$3:$FB$285,4,FALSE)</f>
        <v>0</v>
      </c>
      <c r="G273" s="27">
        <f>VLOOKUP(A273,'[1]Raw Data'!$A$3:$FB$285,5,FALSE)</f>
        <v>4</v>
      </c>
      <c r="H273" s="27">
        <f>VLOOKUP(A273,'[1]Raw Data'!$A$3:$FB$285,6,FALSE)</f>
        <v>4</v>
      </c>
      <c r="I273" s="27">
        <f>VLOOKUP($A273,'[1]Raw Data'!$A$3:$FB$285,8,FALSE)</f>
        <v>25</v>
      </c>
      <c r="J273" s="27">
        <f>VLOOKUP($A273,'[1]Raw Data'!$A$3:$FB$285,9,FALSE)</f>
        <v>0.81</v>
      </c>
      <c r="K273" s="27">
        <f>VLOOKUP($A273,'[1]Raw Data'!$A$3:$FB$285,11,FALSE)</f>
        <v>50</v>
      </c>
      <c r="L273" s="27">
        <f>VLOOKUP($A273,'[1]Raw Data'!$A$3:$FB$285,12,FALSE)</f>
        <v>95.12</v>
      </c>
      <c r="M273" s="27">
        <f>VLOOKUP($A273,'[1]Raw Data'!$A$3:$FB$285,14,FALSE)</f>
        <v>25</v>
      </c>
      <c r="N273" s="27">
        <f>VLOOKUP($A273,'[1]Raw Data'!$A$3:$FB$285,15,FALSE)</f>
        <v>1.83</v>
      </c>
      <c r="O273" s="27">
        <f>VLOOKUP($A273,'[1]Raw Data'!$A$3:$FB$285,17,FALSE)</f>
        <v>0</v>
      </c>
      <c r="P273" s="27">
        <f>VLOOKUP($A273,'[1]Raw Data'!$A$3:$FB$285,18,FALSE)</f>
        <v>0.92</v>
      </c>
      <c r="Q273" s="27">
        <f>VLOOKUP($A273,'[1]Raw Data'!$A$3:$FB$285,20,FALSE)</f>
        <v>0</v>
      </c>
      <c r="R273" s="27">
        <f>VLOOKUP($A273,'[1]Raw Data'!$A$3:$FB$285,21,FALSE)</f>
        <v>0</v>
      </c>
      <c r="S273" s="27">
        <f>VLOOKUP($A273,'[1]Raw Data'!$A$3:$FB$285,23,FALSE)</f>
        <v>0</v>
      </c>
      <c r="T273" s="27">
        <f>VLOOKUP($A273,'[1]Raw Data'!$A$3:$FB$285,24,FALSE)</f>
        <v>0</v>
      </c>
      <c r="U273" s="27">
        <f>VLOOKUP($A273,'[1]Raw Data'!$A$3:$FB$285,26,FALSE)</f>
        <v>0</v>
      </c>
      <c r="V273" s="27">
        <f>VLOOKUP($A273,'[1]Raw Data'!$A$3:$FB$285,27,FALSE)</f>
        <v>0.92</v>
      </c>
      <c r="W273" s="27">
        <f>VLOOKUP($A273,'[1]Raw Data'!$A$3:$FB$285,29,FALSE)</f>
        <v>0</v>
      </c>
      <c r="X273" s="27">
        <f>VLOOKUP($A273,'[1]Raw Data'!$A$3:$FB$285,30,FALSE)</f>
        <v>0</v>
      </c>
      <c r="Y273" s="27">
        <f>VLOOKUP($A273,'[1]Raw Data'!$A$3:$FB$285,32,FALSE)</f>
        <v>0</v>
      </c>
      <c r="Z273" s="27">
        <f>VLOOKUP($A273,'[1]Raw Data'!$A$3:$FB$285,33,FALSE)</f>
        <v>0.31</v>
      </c>
      <c r="AA273" s="27">
        <f>VLOOKUP($A273,'[1]Raw Data'!$A$3:$FB$285,35,FALSE)</f>
        <v>0</v>
      </c>
      <c r="AB273" s="27">
        <f>VLOOKUP($A273,'[1]Raw Data'!$A$3:$FB$285,36,FALSE)</f>
        <v>0.1</v>
      </c>
      <c r="AC273" s="27">
        <f>VLOOKUP($A273,'[1]Raw Data'!$A$3:$FB$285,38,FALSE)</f>
        <v>0</v>
      </c>
      <c r="AD273" s="27">
        <f>VLOOKUP($A273,'[1]Raw Data'!$A$3:$FB$285,39,FALSE)</f>
        <v>0</v>
      </c>
      <c r="AE273" s="27">
        <f>VLOOKUP($A273,'[1]Raw Data'!$A$3:$FB$285,41,FALSE)</f>
        <v>0</v>
      </c>
      <c r="AF273" s="27">
        <f>VLOOKUP($A273,'[1]Raw Data'!$A$3:$FB$285,42,FALSE)</f>
        <v>0</v>
      </c>
      <c r="AG273" s="27">
        <f>VLOOKUP($A273,'[1]Raw Data'!$A$3:$FB$285,44,FALSE)</f>
        <v>0</v>
      </c>
      <c r="AH273" s="27">
        <f>VLOOKUP($A273,'[1]Raw Data'!$A$3:$FB$285,45,FALSE)</f>
        <v>0</v>
      </c>
      <c r="AI273" s="27">
        <f>VLOOKUP($A273,'[1]Raw Data'!$A$3:$FB$285,46,FALSE)</f>
        <v>4</v>
      </c>
      <c r="AJ273" s="27">
        <f>VLOOKUP($A273,'[1]Raw Data'!$A$3:$FB$285,47,FALSE)</f>
        <v>4</v>
      </c>
      <c r="AK273" s="27">
        <f>VLOOKUP($A273,'[1]Raw Data'!$A$3:$FB$285,48,FALSE)</f>
        <v>4</v>
      </c>
      <c r="AL273" s="27">
        <f>VLOOKUP($A273,'[1]Raw Data'!$A$3:$FB$285,49,FALSE)</f>
        <v>3</v>
      </c>
      <c r="AM273" s="27">
        <f>VLOOKUP($A273,'[1]Raw Data'!$A$3:$FB$285,50,FALSE)</f>
        <v>2</v>
      </c>
      <c r="AN273" s="27">
        <f>VLOOKUP($A273,'[1]Raw Data'!$A$3:$FB$285,51,FALSE)</f>
        <v>3</v>
      </c>
      <c r="AO273" s="27">
        <f>VLOOKUP($A273,'[1]Raw Data'!$A$3:$FB$285,52,FALSE)</f>
        <v>0</v>
      </c>
      <c r="AP273" s="27">
        <f>VLOOKUP($A273,'[1]Raw Data'!$A$3:$FB$285,53,FALSE)</f>
        <v>0</v>
      </c>
      <c r="AQ273" s="27" t="str">
        <f>VLOOKUP($A273,'[1]Raw Data'!$A$3:$FB$285,54,FALSE)</f>
        <v/>
      </c>
      <c r="AR273" s="27" t="str">
        <f>VLOOKUP($A273,'[1]Raw Data'!$A$3:$FB$285,55,FALSE)</f>
        <v/>
      </c>
      <c r="AS273" s="27" t="str">
        <f>VLOOKUP($A273,'[1]Raw Data'!$A$3:$FB$285,56,FALSE)</f>
        <v/>
      </c>
      <c r="AT273" s="27">
        <f>VLOOKUP($A273,'[1]Raw Data'!$A$3:$FB$285,57,FALSE)</f>
        <v>2</v>
      </c>
      <c r="AU273" s="27" t="str">
        <f>VLOOKUP($A273,'[1]Raw Data'!$A$3:$FB$285,58,FALSE)</f>
        <v/>
      </c>
      <c r="AV273" s="27" t="str">
        <f>VLOOKUP($A273,'[1]Raw Data'!$A$3:$FB$285,59,FALSE)</f>
        <v/>
      </c>
      <c r="AW273" s="27" t="str">
        <f>VLOOKUP($A273,'[1]Raw Data'!$A$3:$FB$285,60,FALSE)</f>
        <v/>
      </c>
      <c r="AX273" s="27" t="str">
        <f>VLOOKUP(A273,'[1]PO''s List'!A271:E553,4,FALSE)</f>
        <v/>
      </c>
      <c r="AZ273" s="27" t="str">
        <f>VLOOKUP(A273,'[1]PO''s List'!$A$3:$E$285,5,FALSE)</f>
        <v/>
      </c>
      <c r="BB273" s="27">
        <f>VLOOKUP($A273,'[1]Raw Data'!$A$3:$FB$285,63,FALSE)</f>
        <v>4368</v>
      </c>
      <c r="BC273" s="27" t="str">
        <f>VLOOKUP($A273,'[1]Raw Data'!$A$3:$FB$285,64,FALSE)</f>
        <v/>
      </c>
      <c r="BD273" s="27" t="str">
        <f t="shared" si="36"/>
        <v/>
      </c>
      <c r="BE273" s="27" t="str">
        <f>VLOOKUP($A273,'[1]Raw Data'!$A$3:$FB$285,65,FALSE)</f>
        <v/>
      </c>
      <c r="BF273" s="27">
        <f>VLOOKUP($A273,'[1]Raw Data'!$A$3:$FB$285,66,FALSE)</f>
        <v>1960</v>
      </c>
      <c r="BG273" s="27" t="str">
        <f>VLOOKUP($A273,'[1]Raw Data'!$A$3:$FB$285,67,FALSE)</f>
        <v/>
      </c>
      <c r="BH273" s="27" t="str">
        <f t="shared" si="37"/>
        <v/>
      </c>
      <c r="BI273" s="27" t="str">
        <f>VLOOKUP($A273,'[1]Raw Data'!$A$3:$FB$285,68,FALSE)</f>
        <v/>
      </c>
      <c r="BJ273" s="27">
        <f>VLOOKUP($A273,'[1]Raw Data'!$A$3:$FB$285,69,FALSE)</f>
        <v>448</v>
      </c>
      <c r="BK273" s="27" t="str">
        <f>VLOOKUP($A273,'[1]Raw Data'!$A$3:$FB$285,70,FALSE)</f>
        <v/>
      </c>
      <c r="BL273" s="27" t="str">
        <f t="shared" si="38"/>
        <v/>
      </c>
      <c r="BM273" s="27" t="str">
        <f>VLOOKUP($A273,'[1]Raw Data'!$A$3:$FB$285,71,FALSE)</f>
        <v/>
      </c>
      <c r="BN273" s="27">
        <f>VLOOKUP($A273,'[1]Raw Data'!$A$3:$FB$285,72,FALSE)</f>
        <v>448</v>
      </c>
      <c r="BO273" s="27" t="str">
        <f>VLOOKUP($A273,'[1]Raw Data'!$A$3:$FB$285,73,FALSE)</f>
        <v/>
      </c>
      <c r="BP273" s="27" t="str">
        <f t="shared" si="39"/>
        <v/>
      </c>
      <c r="BQ273" s="27" t="str">
        <f>VLOOKUP($A273,'[1]Raw Data'!$A$3:$FB$285,74,FALSE)</f>
        <v/>
      </c>
      <c r="BR273" s="27" t="str">
        <f>VLOOKUP($A273,'[1]Raw Data'!$A$3:$FB$285,75,FALSE)</f>
        <v/>
      </c>
      <c r="BS273" s="27" t="str">
        <f>VLOOKUP($A273,'[1]Raw Data'!$A$3:$FB$285,76,FALSE)</f>
        <v/>
      </c>
      <c r="BT273" s="27" t="str">
        <f t="shared" si="40"/>
        <v/>
      </c>
      <c r="BU273" s="27" t="str">
        <f>VLOOKUP($A273,'[1]Raw Data'!$A$3:$FB$285,77,FALSE)</f>
        <v/>
      </c>
      <c r="BV273" s="27">
        <f>VLOOKUP($A273,'[1]Raw Data'!$A$3:$FB$285,78,FALSE)</f>
        <v>10528</v>
      </c>
      <c r="BW273" s="27" t="str">
        <f>VLOOKUP($A273,'[1]Raw Data'!$A$3:$FB$285,79,FALSE)</f>
        <v/>
      </c>
      <c r="BX273" s="27" t="str">
        <f t="shared" si="41"/>
        <v/>
      </c>
      <c r="BY273" s="27" t="str">
        <f>VLOOKUP($A273,'[1]Raw Data'!$A$3:$FB$285,80,FALSE)</f>
        <v/>
      </c>
      <c r="BZ273" s="27">
        <f>VLOOKUP($A273,'[1]Raw Data'!$A$3:$FB$285,81,FALSE)</f>
        <v>56000</v>
      </c>
      <c r="CA273" s="27" t="str">
        <f>VLOOKUP($A273,'[1]Raw Data'!$A$3:$FB$285,82,FALSE)</f>
        <v/>
      </c>
      <c r="CB273" s="27" t="str">
        <f t="shared" si="42"/>
        <v/>
      </c>
      <c r="CC273" s="27" t="str">
        <f>VLOOKUP($A273,'[1]Raw Data'!$A$3:$FB$285,83,FALSE)</f>
        <v/>
      </c>
      <c r="CD273" s="27">
        <f>VLOOKUP($A273,'[1]Raw Data'!$A$3:$FB$285,84,FALSE)</f>
        <v>448</v>
      </c>
      <c r="CE273" s="27" t="str">
        <f>VLOOKUP($A273,'[1]Raw Data'!$A$3:$FB$285,85,FALSE)</f>
        <v/>
      </c>
      <c r="CF273" s="27" t="str">
        <f t="shared" si="43"/>
        <v/>
      </c>
      <c r="CG273" s="27" t="str">
        <f>VLOOKUP($A273,'[1]Raw Data'!$A$3:$FB$285,86,FALSE)</f>
        <v/>
      </c>
      <c r="CH273" s="27">
        <f>VLOOKUP($A273,'[1]Raw Data'!$A$3:$FB$285,87,FALSE)</f>
        <v>782880</v>
      </c>
      <c r="CI273" s="27" t="str">
        <f>VLOOKUP($A273,'[1]Raw Data'!$A$3:$FB$285,88,FALSE)</f>
        <v/>
      </c>
      <c r="CJ273" s="27" t="str">
        <f t="shared" si="44"/>
        <v/>
      </c>
      <c r="CK273" s="27" t="str">
        <f>VLOOKUP($A273,'[1]Raw Data'!$A$3:$FB$285,89,FALSE)</f>
        <v/>
      </c>
      <c r="CL273" s="27" t="str">
        <f>VLOOKUP($A273,'[1]Raw Data'!$A$3:$FB$285,91,FALSE)</f>
        <v/>
      </c>
      <c r="CM273" s="27" t="str">
        <f>VLOOKUP($A273,'[1]Raw Data'!$A$3:$FB$285,93,FALSE)</f>
        <v/>
      </c>
      <c r="CN273" s="27" t="str">
        <f>VLOOKUP($A273,'[1]Raw Data'!$A$3:$FB$285,94,FALSE)</f>
        <v/>
      </c>
      <c r="CO273" s="27" t="str">
        <f>VLOOKUP($A273,'[1]Raw Data'!$A$3:$FB$285,95,FALSE)</f>
        <v/>
      </c>
      <c r="CP273" s="27" t="str">
        <f>VLOOKUP($A273,'[1]Raw Data'!$A$3:$FB$285,96,FALSE)</f>
        <v/>
      </c>
      <c r="CQ273" s="27" t="str">
        <f>VLOOKUP($A273,'[1]Raw Data'!$A$3:$FB$285,97,FALSE)</f>
        <v/>
      </c>
      <c r="CR273" s="27" t="str">
        <f>VLOOKUP($A273,'[1]Raw Data'!$A$3:$FB$285,98,FALSE)</f>
        <v/>
      </c>
      <c r="CS273" s="27" t="str">
        <f>VLOOKUP($A273,'[1]Raw Data'!$A$3:$FB$285,99,FALSE)</f>
        <v/>
      </c>
      <c r="CT273" s="27" t="str">
        <f>VLOOKUP($A273,'[1]Raw Data'!$A$3:$FB$285,101,FALSE)</f>
        <v>Chandra Kumari Pun</v>
      </c>
      <c r="CU273" s="27" t="s">
        <v>1484</v>
      </c>
      <c r="CV273" s="27" t="str">
        <f>VLOOKUP($A273,'[1]Raw Data'!$A$3:$FB$285,102,FALSE)</f>
        <v xml:space="preserve">Chairman </v>
      </c>
      <c r="CW273" s="27" t="s">
        <v>878</v>
      </c>
      <c r="CX273" s="27">
        <f>VLOOKUP($A273,'[1]Raw Data'!$A$3:$FB$285,103,FALSE)</f>
        <v>9857046212</v>
      </c>
      <c r="CY273" s="27" t="str">
        <f>VLOOKUP($A273,'[1]Raw Data'!$A$3:$FB$285,105,FALSE)</f>
        <v>Prem Shankar Mardaniya</v>
      </c>
      <c r="CZ273" s="27" t="s">
        <v>1485</v>
      </c>
      <c r="DA273" s="27" t="str">
        <f>VLOOKUP($A273,'[1]Raw Data'!$A$3:$FB$285,106,FALSE)</f>
        <v>Deputy Chairman</v>
      </c>
      <c r="DB273" s="27" t="s">
        <v>879</v>
      </c>
      <c r="DC273" s="27">
        <f>VLOOKUP($A273,'[1]Raw Data'!$A$3:$FB$285,107,FALSE)</f>
        <v>9857046213</v>
      </c>
      <c r="DD273" s="27" t="str">
        <f>VLOOKUP($A273,'[1]Raw Data'!$A$3:$FB$285,109,FALSE)</f>
        <v>Roshan Gyanwali</v>
      </c>
      <c r="DE273" s="27" t="s">
        <v>1486</v>
      </c>
      <c r="DF273" s="27" t="str">
        <f>VLOOKUP($A273,'[1]Raw Data'!$A$3:$FB$285,110,FALSE)</f>
        <v>Chief Adminstration Officer</v>
      </c>
      <c r="DG273" s="27" t="s">
        <v>880</v>
      </c>
      <c r="DH273" s="27">
        <f>VLOOKUP($A273,'[1]Raw Data'!$A$3:$FB$285,111,FALSE)</f>
        <v>9857641111</v>
      </c>
      <c r="DI273" s="27" t="str">
        <f>VLOOKUP($A273,'[1]Raw Data'!$A$3:$FB$285,121,FALSE)</f>
        <v>Ganesh MC</v>
      </c>
      <c r="DJ273" s="27" t="s">
        <v>1483</v>
      </c>
      <c r="DK273" s="27" t="str">
        <f>VLOOKUP($A273,'[1]Raw Data'!$A$3:$FB$285,122,FALSE)</f>
        <v>Focal Person</v>
      </c>
      <c r="DL273" s="27" t="s">
        <v>881</v>
      </c>
      <c r="DM273" s="27">
        <f>VLOOKUP($A273,'[1]Raw Data'!$A$3:$FB$285,123,FALSE)</f>
        <v>9857036027</v>
      </c>
      <c r="DN273" s="27" t="str">
        <f>VLOOKUP($A273,'[1]Raw Data'!$A$3:$FB$285,113,FALSE)</f>
        <v xml:space="preserve">Rajendra  Karki </v>
      </c>
      <c r="DO273" s="27" t="s">
        <v>1211</v>
      </c>
      <c r="DP273" s="27" t="str">
        <f>VLOOKUP($A273,'[1]Raw Data'!$A$3:$FB$285,114,FALSE)</f>
        <v>NRA Chief-District</v>
      </c>
      <c r="DQ273" s="27" t="s">
        <v>882</v>
      </c>
      <c r="DR273" s="27">
        <f>VLOOKUP($A273,'[1]Raw Data'!$A$3:$FB$285,115,FALSE)</f>
        <v>9857087637</v>
      </c>
      <c r="DS273" s="27" t="str">
        <f>VLOOKUP($A273,'[1]Raw Data'!$A$3:$FB$285,117,FALSE)</f>
        <v/>
      </c>
      <c r="DU273" s="27" t="str">
        <f>VLOOKUP($A273,'[1]Raw Data'!$A$3:$FB$285,118,FALSE)</f>
        <v>DUDBC.DLPIU Chief</v>
      </c>
      <c r="DV273" s="27" t="s">
        <v>883</v>
      </c>
      <c r="DW273" s="27" t="str">
        <f>VLOOKUP($A273,'[1]Raw Data'!$A$3:$FB$285,119,FALSE)</f>
        <v/>
      </c>
      <c r="DX273" s="27" t="s">
        <v>339</v>
      </c>
      <c r="DY273" s="27" t="str">
        <f>VLOOKUP($A273,'[1]Raw Data'!$A$3:$FB$285,124,FALSE)</f>
        <v/>
      </c>
      <c r="DZ273" s="27" t="s">
        <v>884</v>
      </c>
      <c r="EA273" s="27" t="str">
        <f>VLOOKUP($A273,'[1]Raw Data'!$A$3:$FB$285,125,FALSE)</f>
        <v/>
      </c>
      <c r="EB273" s="27" t="s">
        <v>341</v>
      </c>
      <c r="EC273" s="27" t="str">
        <f>VLOOKUP($A273,'[1]Raw Data'!$A$3:$FB$285,126,FALSE)</f>
        <v/>
      </c>
      <c r="ED273" t="s">
        <v>478</v>
      </c>
      <c r="EE273" s="27" t="str">
        <f>VLOOKUP($A273,'[1]Raw Data'!$A$3:$FB$285,127,FALSE)</f>
        <v/>
      </c>
      <c r="EF273" s="27" t="s">
        <v>343</v>
      </c>
      <c r="EG273" s="27" t="str">
        <f>VLOOKUP($A273,'[1]Raw Data'!$A$3:$FB$285,128,FALSE)</f>
        <v/>
      </c>
      <c r="EH273" t="s">
        <v>344</v>
      </c>
      <c r="EI273" s="27" t="str">
        <f>VLOOKUP($A273,'[1]Raw Data'!$A$3:$FB$285,129,FALSE)</f>
        <v/>
      </c>
      <c r="EM273" s="27" t="str">
        <f>VLOOKUP($A273,'[1]Raw Data'!$A$3:$FB$285,130,FALSE)</f>
        <v/>
      </c>
      <c r="EN273" s="27" t="str">
        <f>VLOOKUP($A273,'[1]Raw Data'!$A$3:$FB$285,131,FALSE)</f>
        <v/>
      </c>
      <c r="EO273" s="27" t="str">
        <f>VLOOKUP($A273,'[1]Raw Data'!$A$3:$FB$285,132,FALSE)</f>
        <v/>
      </c>
      <c r="EP273" s="27" t="str">
        <f>VLOOKUP($A273,'[1]Raw Data'!$A$3:$FB$285,133,FALSE)</f>
        <v/>
      </c>
      <c r="EQ273" s="27" t="str">
        <f>VLOOKUP($A273,'[1]Raw Data'!$A$3:$FB$285,134,FALSE)</f>
        <v/>
      </c>
      <c r="ER273" s="27" t="str">
        <f>VLOOKUP($A273,'[1]Raw Data'!$A$3:$FB$285,135,FALSE)</f>
        <v/>
      </c>
      <c r="ES273" s="27" t="str">
        <f>VLOOKUP($A273,'[1]Raw Data'!$A$3:$FB$285,136,FALSE)</f>
        <v/>
      </c>
      <c r="ET273" s="27" t="str">
        <f>VLOOKUP($A273,'[1]Raw Data'!$A$3:$FB$285,137,FALSE)</f>
        <v/>
      </c>
      <c r="EU273" s="27" t="str">
        <f>VLOOKUP($A273,'[1]Raw Data'!$A$3:$FB$285,138,FALSE)</f>
        <v/>
      </c>
      <c r="EV273" s="27" t="str">
        <f>VLOOKUP($A273,'[1]Raw Data'!$A$3:$FB$285,139,FALSE)</f>
        <v/>
      </c>
      <c r="EW273" s="38">
        <f>VLOOKUP($A273,[1]Training!$A$2:$I$284,5,FALSE)</f>
        <v>1</v>
      </c>
      <c r="EX273" s="31">
        <f>VLOOKUP($A273,[1]Training!$A$2:$I$284,6,FALSE)</f>
        <v>0</v>
      </c>
      <c r="EY273" s="38">
        <f>VLOOKUP($A273,[1]Training!$A$2:$I$284,8,FALSE)</f>
        <v>1</v>
      </c>
      <c r="EZ273" s="31">
        <f>VLOOKUP($A273,[1]Training!$A$2:$I$284,9,FALSE)</f>
        <v>0</v>
      </c>
      <c r="FA273" s="27">
        <v>1</v>
      </c>
      <c r="FB273" s="27">
        <v>2</v>
      </c>
      <c r="FC273" s="27" t="str">
        <f>VLOOKUP($A273,'[1]Raw Data'!$A$3:$FB$285,148,FALSE)</f>
        <v>Hari Prasad Thalang</v>
      </c>
      <c r="FE273" s="27" t="str">
        <f>VLOOKUP($A273,'[1]Raw Data'!$A$3:$FB$285,149,FALSE)</f>
        <v>District Coordinator</v>
      </c>
      <c r="FF273" s="27" t="s">
        <v>885</v>
      </c>
      <c r="FG273" s="27">
        <f>VLOOKUP($A273,'[1]Raw Data'!$A$3:$FB$285,150,FALSE)</f>
        <v>9851224505</v>
      </c>
      <c r="FH273" s="27" t="str">
        <f>VLOOKUP($A273,'[1]Raw Data'!$A$3:$FB$285,156,FALSE)</f>
        <v xml:space="preserve">Kausal Bist </v>
      </c>
      <c r="FJ273" s="27" t="str">
        <f>VLOOKUP($A273,'[1]Raw Data'!$A$3:$FB$285,157,FALSE)</f>
        <v>District Technical Officer</v>
      </c>
      <c r="FK273" s="27" t="s">
        <v>886</v>
      </c>
      <c r="FL273" s="27">
        <f>VLOOKUP($A273,'[1]Raw Data'!$A$3:$FB$285,158,FALSE)</f>
        <v>9849787273</v>
      </c>
      <c r="FM273" s="27" t="str">
        <f>VLOOKUP($A273,'[1]Raw Data'!$A$3:$FB$285,152,FALSE)</f>
        <v>Nirmal Nepali</v>
      </c>
      <c r="FO273" s="27" t="str">
        <f>VLOOKUP($A273,'[1]Raw Data'!$A$3:$FB$285,153,FALSE)</f>
        <v>DIstrict Information Management Officer</v>
      </c>
      <c r="FP273" s="27" t="s">
        <v>887</v>
      </c>
      <c r="FQ273" s="27">
        <f>VLOOKUP($A273,'[1]Raw Data'!$A$3:$FB$285,154,FALSE)</f>
        <v>9848500348</v>
      </c>
    </row>
    <row r="274" spans="1:173" ht="24" x14ac:dyDescent="0.45">
      <c r="A274" s="27">
        <v>48009</v>
      </c>
      <c r="B274" s="36" t="str">
        <f ca="1">IFERROR(__xludf.DUMMYFUNCTION("""COMPUTED_VALUE"""),"Madhyabindu Nagarpalika")</f>
        <v>Madhyabindu Nagarpalika</v>
      </c>
      <c r="C274" s="37" t="str">
        <f>VLOOKUP(A274,'[1]Palika and District in Nepali '!$D$1:$F$283,3,FALSE)</f>
        <v>मध्यविन्दु नगरपालिका</v>
      </c>
      <c r="D274" s="36" t="str">
        <f ca="1">IFERROR(__xludf.DUMMYFUNCTION("""COMPUTED_VALUE"""),"Nawalparasi")</f>
        <v>Nawalparasi</v>
      </c>
      <c r="E274" s="36"/>
      <c r="F274" s="27">
        <f>VLOOKUP(A274,'[1]Raw Data'!$A$3:$FB$285,4,FALSE)</f>
        <v>0</v>
      </c>
      <c r="G274" s="27">
        <f>VLOOKUP(A274,'[1]Raw Data'!$A$3:$FB$285,5,FALSE)</f>
        <v>41</v>
      </c>
      <c r="H274" s="27">
        <f>VLOOKUP(A274,'[1]Raw Data'!$A$3:$FB$285,6,FALSE)</f>
        <v>41</v>
      </c>
      <c r="I274" s="27">
        <f>VLOOKUP($A274,'[1]Raw Data'!$A$3:$FB$285,8,FALSE)</f>
        <v>4.88</v>
      </c>
      <c r="J274" s="27">
        <f>VLOOKUP($A274,'[1]Raw Data'!$A$3:$FB$285,9,FALSE)</f>
        <v>0.81</v>
      </c>
      <c r="K274" s="27">
        <f>VLOOKUP($A274,'[1]Raw Data'!$A$3:$FB$285,11,FALSE)</f>
        <v>90.24</v>
      </c>
      <c r="L274" s="27">
        <f>VLOOKUP($A274,'[1]Raw Data'!$A$3:$FB$285,12,FALSE)</f>
        <v>95.12</v>
      </c>
      <c r="M274" s="27">
        <f>VLOOKUP($A274,'[1]Raw Data'!$A$3:$FB$285,14,FALSE)</f>
        <v>4.88</v>
      </c>
      <c r="N274" s="27">
        <f>VLOOKUP($A274,'[1]Raw Data'!$A$3:$FB$285,15,FALSE)</f>
        <v>1.83</v>
      </c>
      <c r="O274" s="27">
        <f>VLOOKUP($A274,'[1]Raw Data'!$A$3:$FB$285,17,FALSE)</f>
        <v>0</v>
      </c>
      <c r="P274" s="27">
        <f>VLOOKUP($A274,'[1]Raw Data'!$A$3:$FB$285,18,FALSE)</f>
        <v>0.92</v>
      </c>
      <c r="Q274" s="27">
        <f>VLOOKUP($A274,'[1]Raw Data'!$A$3:$FB$285,20,FALSE)</f>
        <v>0</v>
      </c>
      <c r="R274" s="27">
        <f>VLOOKUP($A274,'[1]Raw Data'!$A$3:$FB$285,21,FALSE)</f>
        <v>0</v>
      </c>
      <c r="S274" s="27">
        <f>VLOOKUP($A274,'[1]Raw Data'!$A$3:$FB$285,23,FALSE)</f>
        <v>0</v>
      </c>
      <c r="T274" s="27">
        <f>VLOOKUP($A274,'[1]Raw Data'!$A$3:$FB$285,24,FALSE)</f>
        <v>0</v>
      </c>
      <c r="U274" s="27">
        <f>VLOOKUP($A274,'[1]Raw Data'!$A$3:$FB$285,26,FALSE)</f>
        <v>0</v>
      </c>
      <c r="V274" s="27">
        <f>VLOOKUP($A274,'[1]Raw Data'!$A$3:$FB$285,27,FALSE)</f>
        <v>0.92</v>
      </c>
      <c r="W274" s="27">
        <f>VLOOKUP($A274,'[1]Raw Data'!$A$3:$FB$285,29,FALSE)</f>
        <v>0</v>
      </c>
      <c r="X274" s="27">
        <f>VLOOKUP($A274,'[1]Raw Data'!$A$3:$FB$285,30,FALSE)</f>
        <v>0</v>
      </c>
      <c r="Y274" s="27">
        <f>VLOOKUP($A274,'[1]Raw Data'!$A$3:$FB$285,32,FALSE)</f>
        <v>0</v>
      </c>
      <c r="Z274" s="27">
        <f>VLOOKUP($A274,'[1]Raw Data'!$A$3:$FB$285,33,FALSE)</f>
        <v>0.31</v>
      </c>
      <c r="AA274" s="27">
        <f>VLOOKUP($A274,'[1]Raw Data'!$A$3:$FB$285,35,FALSE)</f>
        <v>0</v>
      </c>
      <c r="AB274" s="27">
        <f>VLOOKUP($A274,'[1]Raw Data'!$A$3:$FB$285,36,FALSE)</f>
        <v>0.1</v>
      </c>
      <c r="AC274" s="27">
        <f>VLOOKUP($A274,'[1]Raw Data'!$A$3:$FB$285,38,FALSE)</f>
        <v>0</v>
      </c>
      <c r="AD274" s="27">
        <f>VLOOKUP($A274,'[1]Raw Data'!$A$3:$FB$285,39,FALSE)</f>
        <v>0</v>
      </c>
      <c r="AE274" s="27">
        <f>VLOOKUP($A274,'[1]Raw Data'!$A$3:$FB$285,41,FALSE)</f>
        <v>0</v>
      </c>
      <c r="AF274" s="27">
        <f>VLOOKUP($A274,'[1]Raw Data'!$A$3:$FB$285,42,FALSE)</f>
        <v>0</v>
      </c>
      <c r="AG274" s="27">
        <f>VLOOKUP($A274,'[1]Raw Data'!$A$3:$FB$285,44,FALSE)</f>
        <v>0</v>
      </c>
      <c r="AH274" s="27">
        <f>VLOOKUP($A274,'[1]Raw Data'!$A$3:$FB$285,45,FALSE)</f>
        <v>0</v>
      </c>
      <c r="AI274" s="27">
        <f>VLOOKUP($A274,'[1]Raw Data'!$A$3:$FB$285,46,FALSE)</f>
        <v>81</v>
      </c>
      <c r="AJ274" s="27">
        <f>VLOOKUP($A274,'[1]Raw Data'!$A$3:$FB$285,47,FALSE)</f>
        <v>81</v>
      </c>
      <c r="AK274" s="27">
        <f>VLOOKUP($A274,'[1]Raw Data'!$A$3:$FB$285,48,FALSE)</f>
        <v>81</v>
      </c>
      <c r="AL274" s="27">
        <f>VLOOKUP($A274,'[1]Raw Data'!$A$3:$FB$285,49,FALSE)</f>
        <v>63</v>
      </c>
      <c r="AM274" s="27">
        <f>VLOOKUP($A274,'[1]Raw Data'!$A$3:$FB$285,50,FALSE)</f>
        <v>52</v>
      </c>
      <c r="AN274" s="27">
        <f>VLOOKUP($A274,'[1]Raw Data'!$A$3:$FB$285,51,FALSE)</f>
        <v>63</v>
      </c>
      <c r="AO274" s="27">
        <f>VLOOKUP($A274,'[1]Raw Data'!$A$3:$FB$285,52,FALSE)</f>
        <v>52</v>
      </c>
      <c r="AP274" s="27">
        <f>VLOOKUP($A274,'[1]Raw Data'!$A$3:$FB$285,53,FALSE)</f>
        <v>3</v>
      </c>
      <c r="AQ274" s="27" t="str">
        <f>VLOOKUP($A274,'[1]Raw Data'!$A$3:$FB$285,54,FALSE)</f>
        <v/>
      </c>
      <c r="AR274" s="27" t="str">
        <f>VLOOKUP($A274,'[1]Raw Data'!$A$3:$FB$285,55,FALSE)</f>
        <v/>
      </c>
      <c r="AS274" s="27" t="str">
        <f>VLOOKUP($A274,'[1]Raw Data'!$A$3:$FB$285,56,FALSE)</f>
        <v/>
      </c>
      <c r="AT274" s="27">
        <f>VLOOKUP($A274,'[1]Raw Data'!$A$3:$FB$285,57,FALSE)</f>
        <v>218</v>
      </c>
      <c r="AU274" s="27" t="str">
        <f>VLOOKUP($A274,'[1]Raw Data'!$A$3:$FB$285,58,FALSE)</f>
        <v/>
      </c>
      <c r="AV274" s="27" t="str">
        <f>VLOOKUP($A274,'[1]Raw Data'!$A$3:$FB$285,59,FALSE)</f>
        <v/>
      </c>
      <c r="AW274" s="27" t="str">
        <f>VLOOKUP($A274,'[1]Raw Data'!$A$3:$FB$285,60,FALSE)</f>
        <v/>
      </c>
      <c r="AX274" s="27" t="str">
        <f>VLOOKUP(A274,'[1]PO''s List'!A272:E554,4,FALSE)</f>
        <v/>
      </c>
      <c r="AZ274" s="27" t="str">
        <f>VLOOKUP(A274,'[1]PO''s List'!$A$3:$E$285,5,FALSE)</f>
        <v/>
      </c>
      <c r="BB274" s="27">
        <f>VLOOKUP($A274,'[1]Raw Data'!$A$3:$FB$285,63,FALSE)</f>
        <v>35</v>
      </c>
      <c r="BC274" s="27" t="str">
        <f>VLOOKUP($A274,'[1]Raw Data'!$A$3:$FB$285,64,FALSE)</f>
        <v/>
      </c>
      <c r="BD274" s="27" t="str">
        <f t="shared" si="36"/>
        <v/>
      </c>
      <c r="BE274" s="27" t="str">
        <f>VLOOKUP($A274,'[1]Raw Data'!$A$3:$FB$285,65,FALSE)</f>
        <v/>
      </c>
      <c r="BF274" s="27">
        <f>VLOOKUP($A274,'[1]Raw Data'!$A$3:$FB$285,66,FALSE)</f>
        <v>28</v>
      </c>
      <c r="BG274" s="27" t="str">
        <f>VLOOKUP($A274,'[1]Raw Data'!$A$3:$FB$285,67,FALSE)</f>
        <v/>
      </c>
      <c r="BH274" s="27" t="str">
        <f t="shared" si="37"/>
        <v/>
      </c>
      <c r="BI274" s="27" t="str">
        <f>VLOOKUP($A274,'[1]Raw Data'!$A$3:$FB$285,68,FALSE)</f>
        <v/>
      </c>
      <c r="BJ274" s="27">
        <f>VLOOKUP($A274,'[1]Raw Data'!$A$3:$FB$285,69,FALSE)</f>
        <v>4</v>
      </c>
      <c r="BK274" s="27" t="str">
        <f>VLOOKUP($A274,'[1]Raw Data'!$A$3:$FB$285,70,FALSE)</f>
        <v/>
      </c>
      <c r="BL274" s="27" t="str">
        <f t="shared" si="38"/>
        <v/>
      </c>
      <c r="BM274" s="27" t="str">
        <f>VLOOKUP($A274,'[1]Raw Data'!$A$3:$FB$285,71,FALSE)</f>
        <v/>
      </c>
      <c r="BN274" s="27">
        <f>VLOOKUP($A274,'[1]Raw Data'!$A$3:$FB$285,72,FALSE)</f>
        <v>4</v>
      </c>
      <c r="BO274" s="27" t="str">
        <f>VLOOKUP($A274,'[1]Raw Data'!$A$3:$FB$285,73,FALSE)</f>
        <v/>
      </c>
      <c r="BP274" s="27" t="str">
        <f t="shared" si="39"/>
        <v/>
      </c>
      <c r="BQ274" s="27" t="str">
        <f>VLOOKUP($A274,'[1]Raw Data'!$A$3:$FB$285,74,FALSE)</f>
        <v/>
      </c>
      <c r="BR274" s="27" t="str">
        <f>VLOOKUP($A274,'[1]Raw Data'!$A$3:$FB$285,75,FALSE)</f>
        <v/>
      </c>
      <c r="BS274" s="27" t="str">
        <f>VLOOKUP($A274,'[1]Raw Data'!$A$3:$FB$285,76,FALSE)</f>
        <v/>
      </c>
      <c r="BT274" s="27" t="str">
        <f t="shared" si="40"/>
        <v/>
      </c>
      <c r="BU274" s="27" t="str">
        <f>VLOOKUP($A274,'[1]Raw Data'!$A$3:$FB$285,77,FALSE)</f>
        <v/>
      </c>
      <c r="BV274" s="27">
        <f>VLOOKUP($A274,'[1]Raw Data'!$A$3:$FB$285,78,FALSE)</f>
        <v>96</v>
      </c>
      <c r="BW274" s="27" t="str">
        <f>VLOOKUP($A274,'[1]Raw Data'!$A$3:$FB$285,79,FALSE)</f>
        <v/>
      </c>
      <c r="BX274" s="27" t="str">
        <f t="shared" si="41"/>
        <v/>
      </c>
      <c r="BY274" s="27" t="str">
        <f>VLOOKUP($A274,'[1]Raw Data'!$A$3:$FB$285,80,FALSE)</f>
        <v/>
      </c>
      <c r="BZ274" s="27">
        <f>VLOOKUP($A274,'[1]Raw Data'!$A$3:$FB$285,81,FALSE)</f>
        <v>398</v>
      </c>
      <c r="CA274" s="27" t="str">
        <f>VLOOKUP($A274,'[1]Raw Data'!$A$3:$FB$285,82,FALSE)</f>
        <v/>
      </c>
      <c r="CB274" s="27" t="str">
        <f t="shared" si="42"/>
        <v/>
      </c>
      <c r="CC274" s="27" t="str">
        <f>VLOOKUP($A274,'[1]Raw Data'!$A$3:$FB$285,83,FALSE)</f>
        <v/>
      </c>
      <c r="CD274" s="27">
        <f>VLOOKUP($A274,'[1]Raw Data'!$A$3:$FB$285,84,FALSE)</f>
        <v>4</v>
      </c>
      <c r="CE274" s="27" t="str">
        <f>VLOOKUP($A274,'[1]Raw Data'!$A$3:$FB$285,85,FALSE)</f>
        <v/>
      </c>
      <c r="CF274" s="27" t="str">
        <f t="shared" si="43"/>
        <v/>
      </c>
      <c r="CG274" s="27" t="str">
        <f>VLOOKUP($A274,'[1]Raw Data'!$A$3:$FB$285,86,FALSE)</f>
        <v/>
      </c>
      <c r="CH274" s="27">
        <f>VLOOKUP($A274,'[1]Raw Data'!$A$3:$FB$285,87,FALSE)</f>
        <v>1025</v>
      </c>
      <c r="CI274" s="27" t="str">
        <f>VLOOKUP($A274,'[1]Raw Data'!$A$3:$FB$285,88,FALSE)</f>
        <v/>
      </c>
      <c r="CJ274" s="27" t="str">
        <f t="shared" si="44"/>
        <v/>
      </c>
      <c r="CK274" s="27" t="str">
        <f>VLOOKUP($A274,'[1]Raw Data'!$A$3:$FB$285,89,FALSE)</f>
        <v/>
      </c>
      <c r="CL274" s="27" t="str">
        <f>VLOOKUP($A274,'[1]Raw Data'!$A$3:$FB$285,91,FALSE)</f>
        <v/>
      </c>
      <c r="CM274" s="27" t="str">
        <f>VLOOKUP($A274,'[1]Raw Data'!$A$3:$FB$285,93,FALSE)</f>
        <v/>
      </c>
      <c r="CN274" s="27" t="str">
        <f>VLOOKUP($A274,'[1]Raw Data'!$A$3:$FB$285,94,FALSE)</f>
        <v/>
      </c>
      <c r="CO274" s="27" t="str">
        <f>VLOOKUP($A274,'[1]Raw Data'!$A$3:$FB$285,95,FALSE)</f>
        <v/>
      </c>
      <c r="CP274" s="27" t="str">
        <f>VLOOKUP($A274,'[1]Raw Data'!$A$3:$FB$285,96,FALSE)</f>
        <v/>
      </c>
      <c r="CQ274" s="27" t="str">
        <f>VLOOKUP($A274,'[1]Raw Data'!$A$3:$FB$285,97,FALSE)</f>
        <v/>
      </c>
      <c r="CR274" s="27" t="str">
        <f>VLOOKUP($A274,'[1]Raw Data'!$A$3:$FB$285,98,FALSE)</f>
        <v/>
      </c>
      <c r="CS274" s="27" t="str">
        <f>VLOOKUP($A274,'[1]Raw Data'!$A$3:$FB$285,99,FALSE)</f>
        <v/>
      </c>
      <c r="CT274" s="27" t="str">
        <f>VLOOKUP($A274,'[1]Raw Data'!$A$3:$FB$285,101,FALSE)</f>
        <v>Chandra Bahadur Rana</v>
      </c>
      <c r="CU274" s="27" t="s">
        <v>1487</v>
      </c>
      <c r="CV274" s="27" t="str">
        <f>VLOOKUP($A274,'[1]Raw Data'!$A$3:$FB$285,102,FALSE)</f>
        <v xml:space="preserve">Chairman </v>
      </c>
      <c r="CW274" s="27" t="s">
        <v>878</v>
      </c>
      <c r="CX274" s="27">
        <f>VLOOKUP($A274,'[1]Raw Data'!$A$3:$FB$285,103,FALSE)</f>
        <v>9857040250</v>
      </c>
      <c r="CY274" s="27" t="str">
        <f>VLOOKUP($A274,'[1]Raw Data'!$A$3:$FB$285,105,FALSE)</f>
        <v>Om Kumari Mahato</v>
      </c>
      <c r="CZ274" s="27" t="s">
        <v>1488</v>
      </c>
      <c r="DA274" s="27" t="str">
        <f>VLOOKUP($A274,'[1]Raw Data'!$A$3:$FB$285,106,FALSE)</f>
        <v>Deputy Chairman</v>
      </c>
      <c r="DB274" s="27" t="s">
        <v>879</v>
      </c>
      <c r="DC274" s="27">
        <f>VLOOKUP($A274,'[1]Raw Data'!$A$3:$FB$285,107,FALSE)</f>
        <v>9847425348</v>
      </c>
      <c r="DD274" s="27" t="str">
        <f>VLOOKUP($A274,'[1]Raw Data'!$A$3:$FB$285,109,FALSE)</f>
        <v>Shiv Raj Bhattarai</v>
      </c>
      <c r="DE274" s="27" t="s">
        <v>1489</v>
      </c>
      <c r="DF274" s="27" t="str">
        <f>VLOOKUP($A274,'[1]Raw Data'!$A$3:$FB$285,110,FALSE)</f>
        <v>Chief Adminstration Officer</v>
      </c>
      <c r="DG274" s="27" t="s">
        <v>880</v>
      </c>
      <c r="DH274" s="27">
        <f>VLOOKUP($A274,'[1]Raw Data'!$A$3:$FB$285,111,FALSE)</f>
        <v>9857041003</v>
      </c>
      <c r="DI274" s="27" t="str">
        <f>VLOOKUP($A274,'[1]Raw Data'!$A$3:$FB$285,121,FALSE)</f>
        <v>Dipak Tiwari</v>
      </c>
      <c r="DJ274" s="27" t="s">
        <v>1490</v>
      </c>
      <c r="DK274" s="27" t="str">
        <f>VLOOKUP($A274,'[1]Raw Data'!$A$3:$FB$285,122,FALSE)</f>
        <v>Focal Person</v>
      </c>
      <c r="DL274" s="27" t="s">
        <v>881</v>
      </c>
      <c r="DM274" s="27">
        <f>VLOOKUP($A274,'[1]Raw Data'!$A$3:$FB$285,123,FALSE)</f>
        <v>9847250774</v>
      </c>
      <c r="DN274" s="27" t="str">
        <f>VLOOKUP($A274,'[1]Raw Data'!$A$3:$FB$285,113,FALSE)</f>
        <v xml:space="preserve">Rajendra  Karki </v>
      </c>
      <c r="DO274" s="27" t="s">
        <v>1211</v>
      </c>
      <c r="DP274" s="27" t="str">
        <f>VLOOKUP($A274,'[1]Raw Data'!$A$3:$FB$285,114,FALSE)</f>
        <v>NRA Chief-District</v>
      </c>
      <c r="DQ274" s="27" t="s">
        <v>882</v>
      </c>
      <c r="DR274" s="27">
        <f>VLOOKUP($A274,'[1]Raw Data'!$A$3:$FB$285,115,FALSE)</f>
        <v>9857087637</v>
      </c>
      <c r="DS274" s="27" t="str">
        <f>VLOOKUP($A274,'[1]Raw Data'!$A$3:$FB$285,117,FALSE)</f>
        <v/>
      </c>
      <c r="DU274" s="27" t="str">
        <f>VLOOKUP($A274,'[1]Raw Data'!$A$3:$FB$285,118,FALSE)</f>
        <v>DUDBC.DLPIU Chief</v>
      </c>
      <c r="DV274" s="27" t="s">
        <v>883</v>
      </c>
      <c r="DW274" s="27" t="str">
        <f>VLOOKUP($A274,'[1]Raw Data'!$A$3:$FB$285,119,FALSE)</f>
        <v/>
      </c>
      <c r="DX274" s="27" t="s">
        <v>339</v>
      </c>
      <c r="DY274" s="27" t="str">
        <f>VLOOKUP($A274,'[1]Raw Data'!$A$3:$FB$285,124,FALSE)</f>
        <v/>
      </c>
      <c r="DZ274" s="27" t="s">
        <v>884</v>
      </c>
      <c r="EA274" s="27" t="str">
        <f>VLOOKUP($A274,'[1]Raw Data'!$A$3:$FB$285,125,FALSE)</f>
        <v/>
      </c>
      <c r="EB274" s="27" t="s">
        <v>341</v>
      </c>
      <c r="EC274" s="27" t="str">
        <f>VLOOKUP($A274,'[1]Raw Data'!$A$3:$FB$285,126,FALSE)</f>
        <v/>
      </c>
      <c r="ED274" t="s">
        <v>478</v>
      </c>
      <c r="EE274" s="27" t="str">
        <f>VLOOKUP($A274,'[1]Raw Data'!$A$3:$FB$285,127,FALSE)</f>
        <v/>
      </c>
      <c r="EF274" s="27" t="s">
        <v>343</v>
      </c>
      <c r="EG274" s="27" t="str">
        <f>VLOOKUP($A274,'[1]Raw Data'!$A$3:$FB$285,128,FALSE)</f>
        <v/>
      </c>
      <c r="EH274" t="s">
        <v>344</v>
      </c>
      <c r="EI274" s="27" t="str">
        <f>VLOOKUP($A274,'[1]Raw Data'!$A$3:$FB$285,129,FALSE)</f>
        <v/>
      </c>
      <c r="EM274" s="27" t="str">
        <f>VLOOKUP($A274,'[1]Raw Data'!$A$3:$FB$285,130,FALSE)</f>
        <v/>
      </c>
      <c r="EN274" s="27" t="str">
        <f>VLOOKUP($A274,'[1]Raw Data'!$A$3:$FB$285,131,FALSE)</f>
        <v/>
      </c>
      <c r="EO274" s="27" t="str">
        <f>VLOOKUP($A274,'[1]Raw Data'!$A$3:$FB$285,132,FALSE)</f>
        <v/>
      </c>
      <c r="EP274" s="27" t="str">
        <f>VLOOKUP($A274,'[1]Raw Data'!$A$3:$FB$285,133,FALSE)</f>
        <v/>
      </c>
      <c r="EQ274" s="27" t="str">
        <f>VLOOKUP($A274,'[1]Raw Data'!$A$3:$FB$285,134,FALSE)</f>
        <v/>
      </c>
      <c r="ER274" s="27" t="str">
        <f>VLOOKUP($A274,'[1]Raw Data'!$A$3:$FB$285,135,FALSE)</f>
        <v/>
      </c>
      <c r="ES274" s="27" t="str">
        <f>VLOOKUP($A274,'[1]Raw Data'!$A$3:$FB$285,136,FALSE)</f>
        <v/>
      </c>
      <c r="ET274" s="27" t="str">
        <f>VLOOKUP($A274,'[1]Raw Data'!$A$3:$FB$285,137,FALSE)</f>
        <v/>
      </c>
      <c r="EU274" s="27" t="str">
        <f>VLOOKUP($A274,'[1]Raw Data'!$A$3:$FB$285,138,FALSE)</f>
        <v/>
      </c>
      <c r="EV274" s="27" t="str">
        <f>VLOOKUP($A274,'[1]Raw Data'!$A$3:$FB$285,139,FALSE)</f>
        <v/>
      </c>
      <c r="EW274" s="38">
        <f>VLOOKUP($A274,[1]Training!$A$2:$I$284,5,FALSE)</f>
        <v>6.5384615384615383</v>
      </c>
      <c r="EX274" s="31">
        <f>VLOOKUP($A274,[1]Training!$A$2:$I$284,6,FALSE)</f>
        <v>0</v>
      </c>
      <c r="EY274" s="38">
        <f>VLOOKUP($A274,[1]Training!$A$2:$I$284,8,FALSE)</f>
        <v>7.7272727272727275</v>
      </c>
      <c r="EZ274" s="31">
        <f>VLOOKUP($A274,[1]Training!$A$2:$I$284,9,FALSE)</f>
        <v>0</v>
      </c>
      <c r="FA274" s="27">
        <v>1</v>
      </c>
      <c r="FB274" s="27">
        <v>2</v>
      </c>
      <c r="FC274" s="27" t="str">
        <f>VLOOKUP($A274,'[1]Raw Data'!$A$3:$FB$285,148,FALSE)</f>
        <v>Hari Prasad Thalang</v>
      </c>
      <c r="FE274" s="27" t="str">
        <f>VLOOKUP($A274,'[1]Raw Data'!$A$3:$FB$285,149,FALSE)</f>
        <v>District Coordinator</v>
      </c>
      <c r="FF274" s="27" t="s">
        <v>885</v>
      </c>
      <c r="FG274" s="27">
        <f>VLOOKUP($A274,'[1]Raw Data'!$A$3:$FB$285,150,FALSE)</f>
        <v>9851224505</v>
      </c>
      <c r="FH274" s="27" t="str">
        <f>VLOOKUP($A274,'[1]Raw Data'!$A$3:$FB$285,156,FALSE)</f>
        <v xml:space="preserve">Kausal Bist </v>
      </c>
      <c r="FJ274" s="27" t="str">
        <f>VLOOKUP($A274,'[1]Raw Data'!$A$3:$FB$285,157,FALSE)</f>
        <v>District Technical Officer</v>
      </c>
      <c r="FK274" s="27" t="s">
        <v>886</v>
      </c>
      <c r="FL274" s="27">
        <f>VLOOKUP($A274,'[1]Raw Data'!$A$3:$FB$285,158,FALSE)</f>
        <v>9849787273</v>
      </c>
      <c r="FM274" s="27" t="str">
        <f>VLOOKUP($A274,'[1]Raw Data'!$A$3:$FB$285,152,FALSE)</f>
        <v>Nirmal Nepali</v>
      </c>
      <c r="FO274" s="27" t="str">
        <f>VLOOKUP($A274,'[1]Raw Data'!$A$3:$FB$285,153,FALSE)</f>
        <v>DIstrict Information Management Officer</v>
      </c>
      <c r="FP274" s="27" t="s">
        <v>887</v>
      </c>
      <c r="FQ274" s="27">
        <f>VLOOKUP($A274,'[1]Raw Data'!$A$3:$FB$285,154,FALSE)</f>
        <v>9848500348</v>
      </c>
    </row>
    <row r="275" spans="1:173" ht="24" x14ac:dyDescent="0.45">
      <c r="A275" s="27">
        <v>48020</v>
      </c>
      <c r="B275" s="36" t="str">
        <f ca="1">IFERROR(__xludf.DUMMYFUNCTION("""COMPUTED_VALUE"""),"Palhi Nandan Gaunpalika")</f>
        <v>Palhi Nandan Gaunpalika</v>
      </c>
      <c r="C275" s="37" t="str">
        <f>VLOOKUP(A275,'[1]Palika and District in Nepali '!$D$1:$F$283,3,FALSE)</f>
        <v xml:space="preserve">पाल्हि नन्दन गाउँपालिका </v>
      </c>
      <c r="D275" s="36" t="str">
        <f ca="1">IFERROR(__xludf.DUMMYFUNCTION("""COMPUTED_VALUE"""),"Nawalparasi")</f>
        <v>Nawalparasi</v>
      </c>
      <c r="E275" s="36"/>
      <c r="F275" s="27">
        <f>VLOOKUP(A275,'[1]Raw Data'!$A$3:$FB$285,4,FALSE)</f>
        <v>1</v>
      </c>
      <c r="G275" s="27">
        <f>VLOOKUP(A275,'[1]Raw Data'!$A$3:$FB$285,5,FALSE)</f>
        <v>5</v>
      </c>
      <c r="H275" s="27">
        <f>VLOOKUP(A275,'[1]Raw Data'!$A$3:$FB$285,6,FALSE)</f>
        <v>6</v>
      </c>
      <c r="I275" s="27">
        <f>VLOOKUP($A275,'[1]Raw Data'!$A$3:$FB$285,8,FALSE)</f>
        <v>0</v>
      </c>
      <c r="J275" s="27">
        <f>VLOOKUP($A275,'[1]Raw Data'!$A$3:$FB$285,9,FALSE)</f>
        <v>0.81</v>
      </c>
      <c r="K275" s="27">
        <f>VLOOKUP($A275,'[1]Raw Data'!$A$3:$FB$285,11,FALSE)</f>
        <v>0</v>
      </c>
      <c r="L275" s="27">
        <f>VLOOKUP($A275,'[1]Raw Data'!$A$3:$FB$285,12,FALSE)</f>
        <v>95.12</v>
      </c>
      <c r="M275" s="27">
        <f>VLOOKUP($A275,'[1]Raw Data'!$A$3:$FB$285,14,FALSE)</f>
        <v>33.33</v>
      </c>
      <c r="N275" s="27">
        <f>VLOOKUP($A275,'[1]Raw Data'!$A$3:$FB$285,15,FALSE)</f>
        <v>1.83</v>
      </c>
      <c r="O275" s="27">
        <f>VLOOKUP($A275,'[1]Raw Data'!$A$3:$FB$285,17,FALSE)</f>
        <v>50</v>
      </c>
      <c r="P275" s="27">
        <f>VLOOKUP($A275,'[1]Raw Data'!$A$3:$FB$285,18,FALSE)</f>
        <v>0.92</v>
      </c>
      <c r="Q275" s="27">
        <f>VLOOKUP($A275,'[1]Raw Data'!$A$3:$FB$285,20,FALSE)</f>
        <v>0</v>
      </c>
      <c r="R275" s="27">
        <f>VLOOKUP($A275,'[1]Raw Data'!$A$3:$FB$285,21,FALSE)</f>
        <v>0</v>
      </c>
      <c r="S275" s="27">
        <f>VLOOKUP($A275,'[1]Raw Data'!$A$3:$FB$285,23,FALSE)</f>
        <v>0</v>
      </c>
      <c r="T275" s="27">
        <f>VLOOKUP($A275,'[1]Raw Data'!$A$3:$FB$285,24,FALSE)</f>
        <v>0</v>
      </c>
      <c r="U275" s="27">
        <f>VLOOKUP($A275,'[1]Raw Data'!$A$3:$FB$285,26,FALSE)</f>
        <v>16.670000000000002</v>
      </c>
      <c r="V275" s="27">
        <f>VLOOKUP($A275,'[1]Raw Data'!$A$3:$FB$285,27,FALSE)</f>
        <v>0.92</v>
      </c>
      <c r="W275" s="27">
        <f>VLOOKUP($A275,'[1]Raw Data'!$A$3:$FB$285,29,FALSE)</f>
        <v>0</v>
      </c>
      <c r="X275" s="27">
        <f>VLOOKUP($A275,'[1]Raw Data'!$A$3:$FB$285,30,FALSE)</f>
        <v>0</v>
      </c>
      <c r="Y275" s="27">
        <f>VLOOKUP($A275,'[1]Raw Data'!$A$3:$FB$285,32,FALSE)</f>
        <v>0</v>
      </c>
      <c r="Z275" s="27">
        <f>VLOOKUP($A275,'[1]Raw Data'!$A$3:$FB$285,33,FALSE)</f>
        <v>0.31</v>
      </c>
      <c r="AA275" s="27">
        <f>VLOOKUP($A275,'[1]Raw Data'!$A$3:$FB$285,35,FALSE)</f>
        <v>0</v>
      </c>
      <c r="AB275" s="27">
        <f>VLOOKUP($A275,'[1]Raw Data'!$A$3:$FB$285,36,FALSE)</f>
        <v>0.1</v>
      </c>
      <c r="AC275" s="27">
        <f>VLOOKUP($A275,'[1]Raw Data'!$A$3:$FB$285,38,FALSE)</f>
        <v>0</v>
      </c>
      <c r="AD275" s="27">
        <f>VLOOKUP($A275,'[1]Raw Data'!$A$3:$FB$285,39,FALSE)</f>
        <v>0</v>
      </c>
      <c r="AE275" s="27">
        <f>VLOOKUP($A275,'[1]Raw Data'!$A$3:$FB$285,41,FALSE)</f>
        <v>0</v>
      </c>
      <c r="AF275" s="27">
        <f>VLOOKUP($A275,'[1]Raw Data'!$A$3:$FB$285,42,FALSE)</f>
        <v>0</v>
      </c>
      <c r="AG275" s="27">
        <f>VLOOKUP($A275,'[1]Raw Data'!$A$3:$FB$285,44,FALSE)</f>
        <v>0</v>
      </c>
      <c r="AH275" s="27">
        <f>VLOOKUP($A275,'[1]Raw Data'!$A$3:$FB$285,45,FALSE)</f>
        <v>0</v>
      </c>
      <c r="AI275" s="27">
        <f>VLOOKUP($A275,'[1]Raw Data'!$A$3:$FB$285,46,FALSE)</f>
        <v>4</v>
      </c>
      <c r="AJ275" s="27">
        <f>VLOOKUP($A275,'[1]Raw Data'!$A$3:$FB$285,47,FALSE)</f>
        <v>4</v>
      </c>
      <c r="AK275" s="27">
        <f>VLOOKUP($A275,'[1]Raw Data'!$A$3:$FB$285,48,FALSE)</f>
        <v>4</v>
      </c>
      <c r="AL275" s="27">
        <f>VLOOKUP($A275,'[1]Raw Data'!$A$3:$FB$285,49,FALSE)</f>
        <v>3</v>
      </c>
      <c r="AM275" s="27">
        <f>VLOOKUP($A275,'[1]Raw Data'!$A$3:$FB$285,50,FALSE)</f>
        <v>3</v>
      </c>
      <c r="AN275" s="27">
        <f>VLOOKUP($A275,'[1]Raw Data'!$A$3:$FB$285,51,FALSE)</f>
        <v>3</v>
      </c>
      <c r="AO275" s="27">
        <f>VLOOKUP($A275,'[1]Raw Data'!$A$3:$FB$285,52,FALSE)</f>
        <v>0</v>
      </c>
      <c r="AP275" s="27">
        <f>VLOOKUP($A275,'[1]Raw Data'!$A$3:$FB$285,53,FALSE)</f>
        <v>0</v>
      </c>
      <c r="AQ275" s="27" t="str">
        <f>VLOOKUP($A275,'[1]Raw Data'!$A$3:$FB$285,54,FALSE)</f>
        <v/>
      </c>
      <c r="AR275" s="27" t="str">
        <f>VLOOKUP($A275,'[1]Raw Data'!$A$3:$FB$285,55,FALSE)</f>
        <v/>
      </c>
      <c r="AS275" s="27" t="str">
        <f>VLOOKUP($A275,'[1]Raw Data'!$A$3:$FB$285,56,FALSE)</f>
        <v/>
      </c>
      <c r="AT275" s="27">
        <f>VLOOKUP($A275,'[1]Raw Data'!$A$3:$FB$285,57,FALSE)</f>
        <v>0</v>
      </c>
      <c r="AU275" s="27" t="str">
        <f>VLOOKUP($A275,'[1]Raw Data'!$A$3:$FB$285,58,FALSE)</f>
        <v/>
      </c>
      <c r="AV275" s="27" t="str">
        <f>VLOOKUP($A275,'[1]Raw Data'!$A$3:$FB$285,59,FALSE)</f>
        <v/>
      </c>
      <c r="AW275" s="27" t="str">
        <f>VLOOKUP($A275,'[1]Raw Data'!$A$3:$FB$285,60,FALSE)</f>
        <v/>
      </c>
      <c r="AX275" s="27" t="str">
        <f>VLOOKUP(A275,'[1]PO''s List'!A273:E555,4,FALSE)</f>
        <v/>
      </c>
      <c r="AZ275" s="27" t="str">
        <f>VLOOKUP(A275,'[1]PO''s List'!$A$3:$E$285,5,FALSE)</f>
        <v/>
      </c>
      <c r="BB275" s="27">
        <f>VLOOKUP($A275,'[1]Raw Data'!$A$3:$FB$285,63,FALSE)</f>
        <v>45</v>
      </c>
      <c r="BC275" s="27" t="str">
        <f>VLOOKUP($A275,'[1]Raw Data'!$A$3:$FB$285,64,FALSE)</f>
        <v/>
      </c>
      <c r="BD275" s="27" t="str">
        <f t="shared" si="36"/>
        <v/>
      </c>
      <c r="BE275" s="27" t="str">
        <f>VLOOKUP($A275,'[1]Raw Data'!$A$3:$FB$285,65,FALSE)</f>
        <v/>
      </c>
      <c r="BF275" s="27">
        <f>VLOOKUP($A275,'[1]Raw Data'!$A$3:$FB$285,66,FALSE)</f>
        <v>48</v>
      </c>
      <c r="BG275" s="27" t="str">
        <f>VLOOKUP($A275,'[1]Raw Data'!$A$3:$FB$285,67,FALSE)</f>
        <v/>
      </c>
      <c r="BH275" s="27" t="str">
        <f t="shared" si="37"/>
        <v/>
      </c>
      <c r="BI275" s="27" t="str">
        <f>VLOOKUP($A275,'[1]Raw Data'!$A$3:$FB$285,68,FALSE)</f>
        <v/>
      </c>
      <c r="BJ275" s="27">
        <f>VLOOKUP($A275,'[1]Raw Data'!$A$3:$FB$285,69,FALSE)</f>
        <v>5</v>
      </c>
      <c r="BK275" s="27" t="str">
        <f>VLOOKUP($A275,'[1]Raw Data'!$A$3:$FB$285,70,FALSE)</f>
        <v/>
      </c>
      <c r="BL275" s="27" t="str">
        <f t="shared" si="38"/>
        <v/>
      </c>
      <c r="BM275" s="27" t="str">
        <f>VLOOKUP($A275,'[1]Raw Data'!$A$3:$FB$285,71,FALSE)</f>
        <v/>
      </c>
      <c r="BN275" s="27">
        <f>VLOOKUP($A275,'[1]Raw Data'!$A$3:$FB$285,72,FALSE)</f>
        <v>6</v>
      </c>
      <c r="BO275" s="27" t="str">
        <f>VLOOKUP($A275,'[1]Raw Data'!$A$3:$FB$285,73,FALSE)</f>
        <v/>
      </c>
      <c r="BP275" s="27" t="str">
        <f t="shared" si="39"/>
        <v/>
      </c>
      <c r="BQ275" s="27" t="str">
        <f>VLOOKUP($A275,'[1]Raw Data'!$A$3:$FB$285,74,FALSE)</f>
        <v/>
      </c>
      <c r="BR275" s="27" t="str">
        <f>VLOOKUP($A275,'[1]Raw Data'!$A$3:$FB$285,75,FALSE)</f>
        <v/>
      </c>
      <c r="BS275" s="27" t="str">
        <f>VLOOKUP($A275,'[1]Raw Data'!$A$3:$FB$285,76,FALSE)</f>
        <v/>
      </c>
      <c r="BT275" s="27" t="str">
        <f t="shared" si="40"/>
        <v/>
      </c>
      <c r="BU275" s="27" t="str">
        <f>VLOOKUP($A275,'[1]Raw Data'!$A$3:$FB$285,77,FALSE)</f>
        <v/>
      </c>
      <c r="BV275" s="27">
        <f>VLOOKUP($A275,'[1]Raw Data'!$A$3:$FB$285,78,FALSE)</f>
        <v>157</v>
      </c>
      <c r="BW275" s="27" t="str">
        <f>VLOOKUP($A275,'[1]Raw Data'!$A$3:$FB$285,79,FALSE)</f>
        <v/>
      </c>
      <c r="BX275" s="27" t="str">
        <f t="shared" si="41"/>
        <v/>
      </c>
      <c r="BY275" s="27" t="str">
        <f>VLOOKUP($A275,'[1]Raw Data'!$A$3:$FB$285,80,FALSE)</f>
        <v/>
      </c>
      <c r="BZ275" s="27">
        <f>VLOOKUP($A275,'[1]Raw Data'!$A$3:$FB$285,81,FALSE)</f>
        <v>480</v>
      </c>
      <c r="CA275" s="27" t="str">
        <f>VLOOKUP($A275,'[1]Raw Data'!$A$3:$FB$285,82,FALSE)</f>
        <v/>
      </c>
      <c r="CB275" s="27" t="str">
        <f t="shared" si="42"/>
        <v/>
      </c>
      <c r="CC275" s="27" t="str">
        <f>VLOOKUP($A275,'[1]Raw Data'!$A$3:$FB$285,83,FALSE)</f>
        <v/>
      </c>
      <c r="CD275" s="27">
        <f>VLOOKUP($A275,'[1]Raw Data'!$A$3:$FB$285,84,FALSE)</f>
        <v>6</v>
      </c>
      <c r="CE275" s="27" t="str">
        <f>VLOOKUP($A275,'[1]Raw Data'!$A$3:$FB$285,85,FALSE)</f>
        <v/>
      </c>
      <c r="CF275" s="27" t="str">
        <f t="shared" si="43"/>
        <v/>
      </c>
      <c r="CG275" s="27" t="str">
        <f>VLOOKUP($A275,'[1]Raw Data'!$A$3:$FB$285,86,FALSE)</f>
        <v/>
      </c>
      <c r="CH275" s="27">
        <f>VLOOKUP($A275,'[1]Raw Data'!$A$3:$FB$285,87,FALSE)</f>
        <v>0</v>
      </c>
      <c r="CI275" s="27" t="str">
        <f>VLOOKUP($A275,'[1]Raw Data'!$A$3:$FB$285,88,FALSE)</f>
        <v/>
      </c>
      <c r="CJ275" s="27" t="str">
        <f t="shared" si="44"/>
        <v/>
      </c>
      <c r="CK275" s="27" t="str">
        <f>VLOOKUP($A275,'[1]Raw Data'!$A$3:$FB$285,89,FALSE)</f>
        <v/>
      </c>
      <c r="CL275" s="27" t="str">
        <f>VLOOKUP($A275,'[1]Raw Data'!$A$3:$FB$285,91,FALSE)</f>
        <v/>
      </c>
      <c r="CM275" s="27" t="str">
        <f>VLOOKUP($A275,'[1]Raw Data'!$A$3:$FB$285,93,FALSE)</f>
        <v/>
      </c>
      <c r="CN275" s="27" t="str">
        <f>VLOOKUP($A275,'[1]Raw Data'!$A$3:$FB$285,94,FALSE)</f>
        <v/>
      </c>
      <c r="CO275" s="27" t="str">
        <f>VLOOKUP($A275,'[1]Raw Data'!$A$3:$FB$285,95,FALSE)</f>
        <v/>
      </c>
      <c r="CP275" s="27" t="str">
        <f>VLOOKUP($A275,'[1]Raw Data'!$A$3:$FB$285,96,FALSE)</f>
        <v/>
      </c>
      <c r="CQ275" s="27" t="str">
        <f>VLOOKUP($A275,'[1]Raw Data'!$A$3:$FB$285,97,FALSE)</f>
        <v/>
      </c>
      <c r="CR275" s="27" t="str">
        <f>VLOOKUP($A275,'[1]Raw Data'!$A$3:$FB$285,98,FALSE)</f>
        <v/>
      </c>
      <c r="CS275" s="27" t="str">
        <f>VLOOKUP($A275,'[1]Raw Data'!$A$3:$FB$285,99,FALSE)</f>
        <v/>
      </c>
      <c r="CT275" s="27" t="str">
        <f>VLOOKUP($A275,'[1]Raw Data'!$A$3:$FB$285,101,FALSE)</f>
        <v>Biaju Prasad Gupta</v>
      </c>
      <c r="CU275" s="27" t="s">
        <v>1491</v>
      </c>
      <c r="CV275" s="27" t="str">
        <f>VLOOKUP($A275,'[1]Raw Data'!$A$3:$FB$285,102,FALSE)</f>
        <v xml:space="preserve">Chairman </v>
      </c>
      <c r="CW275" s="27" t="s">
        <v>878</v>
      </c>
      <c r="CX275" s="27">
        <f>VLOOKUP($A275,'[1]Raw Data'!$A$3:$FB$285,103,FALSE)</f>
        <v>9857024296</v>
      </c>
      <c r="CY275" s="27" t="str">
        <f>VLOOKUP($A275,'[1]Raw Data'!$A$3:$FB$285,105,FALSE)</f>
        <v>Parbati Kumari Kohar</v>
      </c>
      <c r="CZ275" s="27" t="s">
        <v>1492</v>
      </c>
      <c r="DA275" s="27" t="str">
        <f>VLOOKUP($A275,'[1]Raw Data'!$A$3:$FB$285,106,FALSE)</f>
        <v>Deputy Chairman</v>
      </c>
      <c r="DB275" s="27" t="s">
        <v>879</v>
      </c>
      <c r="DC275" s="27">
        <f>VLOOKUP($A275,'[1]Raw Data'!$A$3:$FB$285,107,FALSE)</f>
        <v>9867000725</v>
      </c>
      <c r="DD275" s="27" t="str">
        <f>VLOOKUP($A275,'[1]Raw Data'!$A$3:$FB$285,109,FALSE)</f>
        <v>Shashi Paudel</v>
      </c>
      <c r="DE275" s="27" t="s">
        <v>1493</v>
      </c>
      <c r="DF275" s="27" t="str">
        <f>VLOOKUP($A275,'[1]Raw Data'!$A$3:$FB$285,110,FALSE)</f>
        <v>Chief Adminstration Officer</v>
      </c>
      <c r="DG275" s="27" t="s">
        <v>880</v>
      </c>
      <c r="DH275" s="27">
        <f>VLOOKUP($A275,'[1]Raw Data'!$A$3:$FB$285,111,FALSE)</f>
        <v>9857046036</v>
      </c>
      <c r="DI275" s="27" t="str">
        <f>VLOOKUP($A275,'[1]Raw Data'!$A$3:$FB$285,121,FALSE)</f>
        <v>Sita Paudel</v>
      </c>
      <c r="DJ275" s="27" t="s">
        <v>1461</v>
      </c>
      <c r="DK275" s="27" t="str">
        <f>VLOOKUP($A275,'[1]Raw Data'!$A$3:$FB$285,122,FALSE)</f>
        <v>Focal Person</v>
      </c>
      <c r="DL275" s="27" t="s">
        <v>881</v>
      </c>
      <c r="DM275" s="27">
        <f>VLOOKUP($A275,'[1]Raw Data'!$A$3:$FB$285,123,FALSE)</f>
        <v>9847958120</v>
      </c>
      <c r="DN275" s="27" t="str">
        <f>VLOOKUP($A275,'[1]Raw Data'!$A$3:$FB$285,113,FALSE)</f>
        <v xml:space="preserve">Rajendra  Karki </v>
      </c>
      <c r="DO275" s="27" t="s">
        <v>1211</v>
      </c>
      <c r="DP275" s="27" t="str">
        <f>VLOOKUP($A275,'[1]Raw Data'!$A$3:$FB$285,114,FALSE)</f>
        <v>NRA Chief-District</v>
      </c>
      <c r="DQ275" s="27" t="s">
        <v>882</v>
      </c>
      <c r="DR275" s="27">
        <f>VLOOKUP($A275,'[1]Raw Data'!$A$3:$FB$285,115,FALSE)</f>
        <v>9857087637</v>
      </c>
      <c r="DS275" s="27" t="str">
        <f>VLOOKUP($A275,'[1]Raw Data'!$A$3:$FB$285,117,FALSE)</f>
        <v/>
      </c>
      <c r="DU275" s="27" t="str">
        <f>VLOOKUP($A275,'[1]Raw Data'!$A$3:$FB$285,118,FALSE)</f>
        <v>DUDBC.DLPIU Chief</v>
      </c>
      <c r="DV275" s="27" t="s">
        <v>883</v>
      </c>
      <c r="DW275" s="27" t="str">
        <f>VLOOKUP($A275,'[1]Raw Data'!$A$3:$FB$285,119,FALSE)</f>
        <v/>
      </c>
      <c r="DX275" s="27" t="s">
        <v>339</v>
      </c>
      <c r="DY275" s="27" t="str">
        <f>VLOOKUP($A275,'[1]Raw Data'!$A$3:$FB$285,124,FALSE)</f>
        <v/>
      </c>
      <c r="DZ275" s="27" t="s">
        <v>884</v>
      </c>
      <c r="EA275" s="27" t="str">
        <f>VLOOKUP($A275,'[1]Raw Data'!$A$3:$FB$285,125,FALSE)</f>
        <v/>
      </c>
      <c r="EB275" s="27" t="s">
        <v>341</v>
      </c>
      <c r="EC275" s="27" t="str">
        <f>VLOOKUP($A275,'[1]Raw Data'!$A$3:$FB$285,126,FALSE)</f>
        <v/>
      </c>
      <c r="ED275" t="s">
        <v>478</v>
      </c>
      <c r="EE275" s="27" t="str">
        <f>VLOOKUP($A275,'[1]Raw Data'!$A$3:$FB$285,127,FALSE)</f>
        <v/>
      </c>
      <c r="EF275" s="27" t="s">
        <v>343</v>
      </c>
      <c r="EG275" s="27" t="str">
        <f>VLOOKUP($A275,'[1]Raw Data'!$A$3:$FB$285,128,FALSE)</f>
        <v/>
      </c>
      <c r="EH275" t="s">
        <v>344</v>
      </c>
      <c r="EI275" s="27" t="str">
        <f>VLOOKUP($A275,'[1]Raw Data'!$A$3:$FB$285,129,FALSE)</f>
        <v/>
      </c>
      <c r="EM275" s="27" t="str">
        <f>VLOOKUP($A275,'[1]Raw Data'!$A$3:$FB$285,130,FALSE)</f>
        <v/>
      </c>
      <c r="EN275" s="27" t="str">
        <f>VLOOKUP($A275,'[1]Raw Data'!$A$3:$FB$285,131,FALSE)</f>
        <v/>
      </c>
      <c r="EO275" s="27" t="str">
        <f>VLOOKUP($A275,'[1]Raw Data'!$A$3:$FB$285,132,FALSE)</f>
        <v/>
      </c>
      <c r="EP275" s="27" t="str">
        <f>VLOOKUP($A275,'[1]Raw Data'!$A$3:$FB$285,133,FALSE)</f>
        <v/>
      </c>
      <c r="EQ275" s="27" t="str">
        <f>VLOOKUP($A275,'[1]Raw Data'!$A$3:$FB$285,134,FALSE)</f>
        <v/>
      </c>
      <c r="ER275" s="27" t="str">
        <f>VLOOKUP($A275,'[1]Raw Data'!$A$3:$FB$285,135,FALSE)</f>
        <v/>
      </c>
      <c r="ES275" s="27" t="str">
        <f>VLOOKUP($A275,'[1]Raw Data'!$A$3:$FB$285,136,FALSE)</f>
        <v/>
      </c>
      <c r="ET275" s="27" t="str">
        <f>VLOOKUP($A275,'[1]Raw Data'!$A$3:$FB$285,137,FALSE)</f>
        <v/>
      </c>
      <c r="EU275" s="27" t="str">
        <f>VLOOKUP($A275,'[1]Raw Data'!$A$3:$FB$285,138,FALSE)</f>
        <v/>
      </c>
      <c r="EV275" s="27" t="str">
        <f>VLOOKUP($A275,'[1]Raw Data'!$A$3:$FB$285,139,FALSE)</f>
        <v/>
      </c>
      <c r="EW275" s="38">
        <f>VLOOKUP($A275,[1]Training!$A$2:$I$284,5,FALSE)</f>
        <v>1</v>
      </c>
      <c r="EX275" s="31">
        <f>VLOOKUP($A275,[1]Training!$A$2:$I$284,6,FALSE)</f>
        <v>0</v>
      </c>
      <c r="EY275" s="38">
        <f>VLOOKUP($A275,[1]Training!$A$2:$I$284,8,FALSE)</f>
        <v>1</v>
      </c>
      <c r="EZ275" s="31">
        <f>VLOOKUP($A275,[1]Training!$A$2:$I$284,9,FALSE)</f>
        <v>0</v>
      </c>
      <c r="FA275" s="27">
        <v>1</v>
      </c>
      <c r="FB275" s="27">
        <v>2</v>
      </c>
      <c r="FC275" s="27" t="str">
        <f>VLOOKUP($A275,'[1]Raw Data'!$A$3:$FB$285,148,FALSE)</f>
        <v>Hari Prasad Thalang</v>
      </c>
      <c r="FE275" s="27" t="str">
        <f>VLOOKUP($A275,'[1]Raw Data'!$A$3:$FB$285,149,FALSE)</f>
        <v>District Coordinator</v>
      </c>
      <c r="FF275" s="27" t="s">
        <v>885</v>
      </c>
      <c r="FG275" s="27">
        <f>VLOOKUP($A275,'[1]Raw Data'!$A$3:$FB$285,150,FALSE)</f>
        <v>9851224505</v>
      </c>
      <c r="FH275" s="27" t="str">
        <f>VLOOKUP($A275,'[1]Raw Data'!$A$3:$FB$285,156,FALSE)</f>
        <v xml:space="preserve">Kausal Bist </v>
      </c>
      <c r="FJ275" s="27" t="str">
        <f>VLOOKUP($A275,'[1]Raw Data'!$A$3:$FB$285,157,FALSE)</f>
        <v>District Technical Officer</v>
      </c>
      <c r="FK275" s="27" t="s">
        <v>886</v>
      </c>
      <c r="FL275" s="27">
        <f>VLOOKUP($A275,'[1]Raw Data'!$A$3:$FB$285,158,FALSE)</f>
        <v>9849787273</v>
      </c>
      <c r="FM275" s="27" t="str">
        <f>VLOOKUP($A275,'[1]Raw Data'!$A$3:$FB$285,152,FALSE)</f>
        <v>Nirmal Nepali</v>
      </c>
      <c r="FO275" s="27" t="str">
        <f>VLOOKUP($A275,'[1]Raw Data'!$A$3:$FB$285,153,FALSE)</f>
        <v>DIstrict Information Management Officer</v>
      </c>
      <c r="FP275" s="27" t="s">
        <v>887</v>
      </c>
      <c r="FQ275" s="27">
        <f>VLOOKUP($A275,'[1]Raw Data'!$A$3:$FB$285,154,FALSE)</f>
        <v>9848500348</v>
      </c>
    </row>
    <row r="276" spans="1:173" ht="24" x14ac:dyDescent="0.45">
      <c r="A276" s="27">
        <v>48030</v>
      </c>
      <c r="B276" s="36" t="str">
        <f ca="1">IFERROR(__xludf.DUMMYFUNCTION("""COMPUTED_VALUE"""),"Pratappur Gaunpalika")</f>
        <v>Pratappur Gaunpalika</v>
      </c>
      <c r="C276" s="37" t="str">
        <f>VLOOKUP(A276,'[1]Palika and District in Nepali '!$D$1:$F$283,3,FALSE)</f>
        <v xml:space="preserve">प्रतापपुर गाउँपालिका </v>
      </c>
      <c r="D276" s="36" t="str">
        <f ca="1">IFERROR(__xludf.DUMMYFUNCTION("""COMPUTED_VALUE"""),"Nawalparasi")</f>
        <v>Nawalparasi</v>
      </c>
      <c r="E276" s="36"/>
      <c r="F276" s="27">
        <f>VLOOKUP(A276,'[1]Raw Data'!$A$3:$FB$285,4,FALSE)</f>
        <v>0</v>
      </c>
      <c r="G276" s="27">
        <f>VLOOKUP(A276,'[1]Raw Data'!$A$3:$FB$285,5,FALSE)</f>
        <v>3</v>
      </c>
      <c r="H276" s="27">
        <f>VLOOKUP(A276,'[1]Raw Data'!$A$3:$FB$285,6,FALSE)</f>
        <v>3</v>
      </c>
      <c r="I276" s="27">
        <f>VLOOKUP($A276,'[1]Raw Data'!$A$3:$FB$285,8,FALSE)</f>
        <v>0</v>
      </c>
      <c r="J276" s="27">
        <f>VLOOKUP($A276,'[1]Raw Data'!$A$3:$FB$285,9,FALSE)</f>
        <v>0.81</v>
      </c>
      <c r="K276" s="27">
        <f>VLOOKUP($A276,'[1]Raw Data'!$A$3:$FB$285,11,FALSE)</f>
        <v>33.33</v>
      </c>
      <c r="L276" s="27">
        <f>VLOOKUP($A276,'[1]Raw Data'!$A$3:$FB$285,12,FALSE)</f>
        <v>95.12</v>
      </c>
      <c r="M276" s="27">
        <f>VLOOKUP($A276,'[1]Raw Data'!$A$3:$FB$285,14,FALSE)</f>
        <v>33.33</v>
      </c>
      <c r="N276" s="27">
        <f>VLOOKUP($A276,'[1]Raw Data'!$A$3:$FB$285,15,FALSE)</f>
        <v>1.83</v>
      </c>
      <c r="O276" s="27">
        <f>VLOOKUP($A276,'[1]Raw Data'!$A$3:$FB$285,17,FALSE)</f>
        <v>33.33</v>
      </c>
      <c r="P276" s="27">
        <f>VLOOKUP($A276,'[1]Raw Data'!$A$3:$FB$285,18,FALSE)</f>
        <v>0.92</v>
      </c>
      <c r="Q276" s="27">
        <f>VLOOKUP($A276,'[1]Raw Data'!$A$3:$FB$285,20,FALSE)</f>
        <v>0</v>
      </c>
      <c r="R276" s="27">
        <f>VLOOKUP($A276,'[1]Raw Data'!$A$3:$FB$285,21,FALSE)</f>
        <v>0</v>
      </c>
      <c r="S276" s="27">
        <f>VLOOKUP($A276,'[1]Raw Data'!$A$3:$FB$285,23,FALSE)</f>
        <v>0</v>
      </c>
      <c r="T276" s="27">
        <f>VLOOKUP($A276,'[1]Raw Data'!$A$3:$FB$285,24,FALSE)</f>
        <v>0</v>
      </c>
      <c r="U276" s="27">
        <f>VLOOKUP($A276,'[1]Raw Data'!$A$3:$FB$285,26,FALSE)</f>
        <v>0</v>
      </c>
      <c r="V276" s="27">
        <f>VLOOKUP($A276,'[1]Raw Data'!$A$3:$FB$285,27,FALSE)</f>
        <v>0.92</v>
      </c>
      <c r="W276" s="27">
        <f>VLOOKUP($A276,'[1]Raw Data'!$A$3:$FB$285,29,FALSE)</f>
        <v>0</v>
      </c>
      <c r="X276" s="27">
        <f>VLOOKUP($A276,'[1]Raw Data'!$A$3:$FB$285,30,FALSE)</f>
        <v>0</v>
      </c>
      <c r="Y276" s="27">
        <f>VLOOKUP($A276,'[1]Raw Data'!$A$3:$FB$285,32,FALSE)</f>
        <v>0</v>
      </c>
      <c r="Z276" s="27">
        <f>VLOOKUP($A276,'[1]Raw Data'!$A$3:$FB$285,33,FALSE)</f>
        <v>0.31</v>
      </c>
      <c r="AA276" s="27">
        <f>VLOOKUP($A276,'[1]Raw Data'!$A$3:$FB$285,35,FALSE)</f>
        <v>0</v>
      </c>
      <c r="AB276" s="27">
        <f>VLOOKUP($A276,'[1]Raw Data'!$A$3:$FB$285,36,FALSE)</f>
        <v>0.1</v>
      </c>
      <c r="AC276" s="27">
        <f>VLOOKUP($A276,'[1]Raw Data'!$A$3:$FB$285,38,FALSE)</f>
        <v>0</v>
      </c>
      <c r="AD276" s="27">
        <f>VLOOKUP($A276,'[1]Raw Data'!$A$3:$FB$285,39,FALSE)</f>
        <v>0</v>
      </c>
      <c r="AE276" s="27">
        <f>VLOOKUP($A276,'[1]Raw Data'!$A$3:$FB$285,41,FALSE)</f>
        <v>0</v>
      </c>
      <c r="AF276" s="27">
        <f>VLOOKUP($A276,'[1]Raw Data'!$A$3:$FB$285,42,FALSE)</f>
        <v>0</v>
      </c>
      <c r="AG276" s="27">
        <f>VLOOKUP($A276,'[1]Raw Data'!$A$3:$FB$285,44,FALSE)</f>
        <v>0</v>
      </c>
      <c r="AH276" s="27">
        <f>VLOOKUP($A276,'[1]Raw Data'!$A$3:$FB$285,45,FALSE)</f>
        <v>0</v>
      </c>
      <c r="AI276" s="27">
        <f>VLOOKUP($A276,'[1]Raw Data'!$A$3:$FB$285,46,FALSE)</f>
        <v>3</v>
      </c>
      <c r="AJ276" s="27">
        <f>VLOOKUP($A276,'[1]Raw Data'!$A$3:$FB$285,47,FALSE)</f>
        <v>3</v>
      </c>
      <c r="AK276" s="27">
        <f>VLOOKUP($A276,'[1]Raw Data'!$A$3:$FB$285,48,FALSE)</f>
        <v>3</v>
      </c>
      <c r="AL276" s="27">
        <f>VLOOKUP($A276,'[1]Raw Data'!$A$3:$FB$285,49,FALSE)</f>
        <v>2</v>
      </c>
      <c r="AM276" s="27">
        <f>VLOOKUP($A276,'[1]Raw Data'!$A$3:$FB$285,50,FALSE)</f>
        <v>2</v>
      </c>
      <c r="AN276" s="27">
        <f>VLOOKUP($A276,'[1]Raw Data'!$A$3:$FB$285,51,FALSE)</f>
        <v>3</v>
      </c>
      <c r="AO276" s="27">
        <f>VLOOKUP($A276,'[1]Raw Data'!$A$3:$FB$285,52,FALSE)</f>
        <v>0</v>
      </c>
      <c r="AP276" s="27">
        <f>VLOOKUP($A276,'[1]Raw Data'!$A$3:$FB$285,53,FALSE)</f>
        <v>0</v>
      </c>
      <c r="AQ276" s="27" t="str">
        <f>VLOOKUP($A276,'[1]Raw Data'!$A$3:$FB$285,54,FALSE)</f>
        <v/>
      </c>
      <c r="AR276" s="27" t="str">
        <f>VLOOKUP($A276,'[1]Raw Data'!$A$3:$FB$285,55,FALSE)</f>
        <v/>
      </c>
      <c r="AS276" s="27" t="str">
        <f>VLOOKUP($A276,'[1]Raw Data'!$A$3:$FB$285,56,FALSE)</f>
        <v/>
      </c>
      <c r="AT276" s="27">
        <f>VLOOKUP($A276,'[1]Raw Data'!$A$3:$FB$285,57,FALSE)</f>
        <v>4</v>
      </c>
      <c r="AU276" s="27" t="str">
        <f>VLOOKUP($A276,'[1]Raw Data'!$A$3:$FB$285,58,FALSE)</f>
        <v/>
      </c>
      <c r="AV276" s="27" t="str">
        <f>VLOOKUP($A276,'[1]Raw Data'!$A$3:$FB$285,59,FALSE)</f>
        <v/>
      </c>
      <c r="AW276" s="27" t="str">
        <f>VLOOKUP($A276,'[1]Raw Data'!$A$3:$FB$285,60,FALSE)</f>
        <v/>
      </c>
      <c r="AX276" s="27" t="str">
        <f>VLOOKUP(A276,'[1]PO''s List'!A274:E556,4,FALSE)</f>
        <v/>
      </c>
      <c r="AZ276" s="27" t="str">
        <f>VLOOKUP(A276,'[1]PO''s List'!$A$3:$E$285,5,FALSE)</f>
        <v/>
      </c>
      <c r="BB276" s="27">
        <f>VLOOKUP($A276,'[1]Raw Data'!$A$3:$FB$285,63,FALSE)</f>
        <v>35</v>
      </c>
      <c r="BC276" s="27" t="str">
        <f>VLOOKUP($A276,'[1]Raw Data'!$A$3:$FB$285,64,FALSE)</f>
        <v/>
      </c>
      <c r="BD276" s="27" t="str">
        <f t="shared" si="36"/>
        <v/>
      </c>
      <c r="BE276" s="27" t="str">
        <f>VLOOKUP($A276,'[1]Raw Data'!$A$3:$FB$285,65,FALSE)</f>
        <v/>
      </c>
      <c r="BF276" s="27">
        <f>VLOOKUP($A276,'[1]Raw Data'!$A$3:$FB$285,66,FALSE)</f>
        <v>22</v>
      </c>
      <c r="BG276" s="27" t="str">
        <f>VLOOKUP($A276,'[1]Raw Data'!$A$3:$FB$285,67,FALSE)</f>
        <v/>
      </c>
      <c r="BH276" s="27" t="str">
        <f t="shared" si="37"/>
        <v/>
      </c>
      <c r="BI276" s="27" t="str">
        <f>VLOOKUP($A276,'[1]Raw Data'!$A$3:$FB$285,68,FALSE)</f>
        <v/>
      </c>
      <c r="BJ276" s="27">
        <f>VLOOKUP($A276,'[1]Raw Data'!$A$3:$FB$285,69,FALSE)</f>
        <v>4</v>
      </c>
      <c r="BK276" s="27" t="str">
        <f>VLOOKUP($A276,'[1]Raw Data'!$A$3:$FB$285,70,FALSE)</f>
        <v/>
      </c>
      <c r="BL276" s="27" t="str">
        <f t="shared" si="38"/>
        <v/>
      </c>
      <c r="BM276" s="27" t="str">
        <f>VLOOKUP($A276,'[1]Raw Data'!$A$3:$FB$285,71,FALSE)</f>
        <v/>
      </c>
      <c r="BN276" s="27">
        <f>VLOOKUP($A276,'[1]Raw Data'!$A$3:$FB$285,72,FALSE)</f>
        <v>4</v>
      </c>
      <c r="BO276" s="27" t="str">
        <f>VLOOKUP($A276,'[1]Raw Data'!$A$3:$FB$285,73,FALSE)</f>
        <v/>
      </c>
      <c r="BP276" s="27" t="str">
        <f t="shared" si="39"/>
        <v/>
      </c>
      <c r="BQ276" s="27" t="str">
        <f>VLOOKUP($A276,'[1]Raw Data'!$A$3:$FB$285,74,FALSE)</f>
        <v/>
      </c>
      <c r="BR276" s="27" t="str">
        <f>VLOOKUP($A276,'[1]Raw Data'!$A$3:$FB$285,75,FALSE)</f>
        <v/>
      </c>
      <c r="BS276" s="27" t="str">
        <f>VLOOKUP($A276,'[1]Raw Data'!$A$3:$FB$285,76,FALSE)</f>
        <v/>
      </c>
      <c r="BT276" s="27" t="str">
        <f t="shared" si="40"/>
        <v/>
      </c>
      <c r="BU276" s="27" t="str">
        <f>VLOOKUP($A276,'[1]Raw Data'!$A$3:$FB$285,77,FALSE)</f>
        <v/>
      </c>
      <c r="BV276" s="27">
        <f>VLOOKUP($A276,'[1]Raw Data'!$A$3:$FB$285,78,FALSE)</f>
        <v>95</v>
      </c>
      <c r="BW276" s="27" t="str">
        <f>VLOOKUP($A276,'[1]Raw Data'!$A$3:$FB$285,79,FALSE)</f>
        <v/>
      </c>
      <c r="BX276" s="27" t="str">
        <f t="shared" si="41"/>
        <v/>
      </c>
      <c r="BY276" s="27" t="str">
        <f>VLOOKUP($A276,'[1]Raw Data'!$A$3:$FB$285,80,FALSE)</f>
        <v/>
      </c>
      <c r="BZ276" s="27">
        <f>VLOOKUP($A276,'[1]Raw Data'!$A$3:$FB$285,81,FALSE)</f>
        <v>433</v>
      </c>
      <c r="CA276" s="27" t="str">
        <f>VLOOKUP($A276,'[1]Raw Data'!$A$3:$FB$285,82,FALSE)</f>
        <v/>
      </c>
      <c r="CB276" s="27" t="str">
        <f t="shared" si="42"/>
        <v/>
      </c>
      <c r="CC276" s="27" t="str">
        <f>VLOOKUP($A276,'[1]Raw Data'!$A$3:$FB$285,83,FALSE)</f>
        <v/>
      </c>
      <c r="CD276" s="27">
        <f>VLOOKUP($A276,'[1]Raw Data'!$A$3:$FB$285,84,FALSE)</f>
        <v>4</v>
      </c>
      <c r="CE276" s="27" t="str">
        <f>VLOOKUP($A276,'[1]Raw Data'!$A$3:$FB$285,85,FALSE)</f>
        <v/>
      </c>
      <c r="CF276" s="27" t="str">
        <f t="shared" si="43"/>
        <v/>
      </c>
      <c r="CG276" s="27" t="str">
        <f>VLOOKUP($A276,'[1]Raw Data'!$A$3:$FB$285,86,FALSE)</f>
        <v/>
      </c>
      <c r="CH276" s="27">
        <f>VLOOKUP($A276,'[1]Raw Data'!$A$3:$FB$285,87,FALSE)</f>
        <v>4660</v>
      </c>
      <c r="CI276" s="27" t="str">
        <f>VLOOKUP($A276,'[1]Raw Data'!$A$3:$FB$285,88,FALSE)</f>
        <v/>
      </c>
      <c r="CJ276" s="27" t="str">
        <f t="shared" si="44"/>
        <v/>
      </c>
      <c r="CK276" s="27" t="str">
        <f>VLOOKUP($A276,'[1]Raw Data'!$A$3:$FB$285,89,FALSE)</f>
        <v/>
      </c>
      <c r="CL276" s="27" t="str">
        <f>VLOOKUP($A276,'[1]Raw Data'!$A$3:$FB$285,91,FALSE)</f>
        <v/>
      </c>
      <c r="CM276" s="27" t="str">
        <f>VLOOKUP($A276,'[1]Raw Data'!$A$3:$FB$285,93,FALSE)</f>
        <v/>
      </c>
      <c r="CN276" s="27" t="str">
        <f>VLOOKUP($A276,'[1]Raw Data'!$A$3:$FB$285,94,FALSE)</f>
        <v/>
      </c>
      <c r="CO276" s="27" t="str">
        <f>VLOOKUP($A276,'[1]Raw Data'!$A$3:$FB$285,95,FALSE)</f>
        <v/>
      </c>
      <c r="CP276" s="27" t="str">
        <f>VLOOKUP($A276,'[1]Raw Data'!$A$3:$FB$285,96,FALSE)</f>
        <v/>
      </c>
      <c r="CQ276" s="27" t="str">
        <f>VLOOKUP($A276,'[1]Raw Data'!$A$3:$FB$285,97,FALSE)</f>
        <v/>
      </c>
      <c r="CR276" s="27" t="str">
        <f>VLOOKUP($A276,'[1]Raw Data'!$A$3:$FB$285,98,FALSE)</f>
        <v/>
      </c>
      <c r="CS276" s="27" t="str">
        <f>VLOOKUP($A276,'[1]Raw Data'!$A$3:$FB$285,99,FALSE)</f>
        <v/>
      </c>
      <c r="CT276" s="27" t="str">
        <f>VLOOKUP($A276,'[1]Raw Data'!$A$3:$FB$285,101,FALSE)</f>
        <v>Raj Kumar Sharma</v>
      </c>
      <c r="CU276" s="27" t="s">
        <v>1494</v>
      </c>
      <c r="CV276" s="27" t="str">
        <f>VLOOKUP($A276,'[1]Raw Data'!$A$3:$FB$285,102,FALSE)</f>
        <v xml:space="preserve">Chairman </v>
      </c>
      <c r="CW276" s="27" t="s">
        <v>878</v>
      </c>
      <c r="CX276" s="27">
        <f>VLOOKUP($A276,'[1]Raw Data'!$A$3:$FB$285,103,FALSE)</f>
        <v>9847127007</v>
      </c>
      <c r="CY276" s="27" t="str">
        <f>VLOOKUP($A276,'[1]Raw Data'!$A$3:$FB$285,105,FALSE)</f>
        <v xml:space="preserve">Anju Kumari Chaudhary </v>
      </c>
      <c r="CZ276" s="27" t="s">
        <v>1495</v>
      </c>
      <c r="DA276" s="27" t="str">
        <f>VLOOKUP($A276,'[1]Raw Data'!$A$3:$FB$285,106,FALSE)</f>
        <v>Deputy Chairman</v>
      </c>
      <c r="DB276" s="27" t="s">
        <v>879</v>
      </c>
      <c r="DC276" s="27">
        <f>VLOOKUP($A276,'[1]Raw Data'!$A$3:$FB$285,107,FALSE)</f>
        <v>9857046053</v>
      </c>
      <c r="DD276" s="27" t="str">
        <f>VLOOKUP($A276,'[1]Raw Data'!$A$3:$FB$285,109,FALSE)</f>
        <v>Bodh Raj Basyal</v>
      </c>
      <c r="DE276" s="27" t="s">
        <v>1496</v>
      </c>
      <c r="DF276" s="27" t="str">
        <f>VLOOKUP($A276,'[1]Raw Data'!$A$3:$FB$285,110,FALSE)</f>
        <v>Chief Adminstration Officer</v>
      </c>
      <c r="DG276" s="27" t="s">
        <v>880</v>
      </c>
      <c r="DH276" s="27">
        <f>VLOOKUP($A276,'[1]Raw Data'!$A$3:$FB$285,111,FALSE)</f>
        <v>9857080095</v>
      </c>
      <c r="DI276" s="27" t="str">
        <f>VLOOKUP($A276,'[1]Raw Data'!$A$3:$FB$285,121,FALSE)</f>
        <v>Sita Paudel</v>
      </c>
      <c r="DJ276" s="27" t="s">
        <v>1461</v>
      </c>
      <c r="DK276" s="27" t="str">
        <f>VLOOKUP($A276,'[1]Raw Data'!$A$3:$FB$285,122,FALSE)</f>
        <v>Focal Person</v>
      </c>
      <c r="DL276" s="27" t="s">
        <v>881</v>
      </c>
      <c r="DM276" s="27">
        <f>VLOOKUP($A276,'[1]Raw Data'!$A$3:$FB$285,123,FALSE)</f>
        <v>9847958120</v>
      </c>
      <c r="DN276" s="27" t="str">
        <f>VLOOKUP($A276,'[1]Raw Data'!$A$3:$FB$285,113,FALSE)</f>
        <v xml:space="preserve">Rajendra  Karki </v>
      </c>
      <c r="DO276" s="27" t="s">
        <v>1211</v>
      </c>
      <c r="DP276" s="27" t="str">
        <f>VLOOKUP($A276,'[1]Raw Data'!$A$3:$FB$285,114,FALSE)</f>
        <v>NRA Chief-District</v>
      </c>
      <c r="DQ276" s="27" t="s">
        <v>882</v>
      </c>
      <c r="DR276" s="27">
        <f>VLOOKUP($A276,'[1]Raw Data'!$A$3:$FB$285,115,FALSE)</f>
        <v>9857087637</v>
      </c>
      <c r="DS276" s="27" t="str">
        <f>VLOOKUP($A276,'[1]Raw Data'!$A$3:$FB$285,117,FALSE)</f>
        <v/>
      </c>
      <c r="DU276" s="27" t="str">
        <f>VLOOKUP($A276,'[1]Raw Data'!$A$3:$FB$285,118,FALSE)</f>
        <v>DUDBC.DLPIU Chief</v>
      </c>
      <c r="DV276" s="27" t="s">
        <v>883</v>
      </c>
      <c r="DW276" s="27" t="str">
        <f>VLOOKUP($A276,'[1]Raw Data'!$A$3:$FB$285,119,FALSE)</f>
        <v/>
      </c>
      <c r="DX276" s="27" t="s">
        <v>339</v>
      </c>
      <c r="DY276" s="27" t="str">
        <f>VLOOKUP($A276,'[1]Raw Data'!$A$3:$FB$285,124,FALSE)</f>
        <v/>
      </c>
      <c r="DZ276" s="27" t="s">
        <v>884</v>
      </c>
      <c r="EA276" s="27" t="str">
        <f>VLOOKUP($A276,'[1]Raw Data'!$A$3:$FB$285,125,FALSE)</f>
        <v/>
      </c>
      <c r="EB276" s="27" t="s">
        <v>341</v>
      </c>
      <c r="EC276" s="27" t="str">
        <f>VLOOKUP($A276,'[1]Raw Data'!$A$3:$FB$285,126,FALSE)</f>
        <v/>
      </c>
      <c r="ED276" t="s">
        <v>478</v>
      </c>
      <c r="EE276" s="27" t="str">
        <f>VLOOKUP($A276,'[1]Raw Data'!$A$3:$FB$285,127,FALSE)</f>
        <v/>
      </c>
      <c r="EF276" s="27" t="s">
        <v>343</v>
      </c>
      <c r="EG276" s="27" t="str">
        <f>VLOOKUP($A276,'[1]Raw Data'!$A$3:$FB$285,128,FALSE)</f>
        <v/>
      </c>
      <c r="EH276" t="s">
        <v>344</v>
      </c>
      <c r="EI276" s="27" t="str">
        <f>VLOOKUP($A276,'[1]Raw Data'!$A$3:$FB$285,129,FALSE)</f>
        <v/>
      </c>
      <c r="EM276" s="27" t="str">
        <f>VLOOKUP($A276,'[1]Raw Data'!$A$3:$FB$285,130,FALSE)</f>
        <v/>
      </c>
      <c r="EN276" s="27" t="str">
        <f>VLOOKUP($A276,'[1]Raw Data'!$A$3:$FB$285,131,FALSE)</f>
        <v/>
      </c>
      <c r="EO276" s="27" t="str">
        <f>VLOOKUP($A276,'[1]Raw Data'!$A$3:$FB$285,132,FALSE)</f>
        <v/>
      </c>
      <c r="EP276" s="27" t="str">
        <f>VLOOKUP($A276,'[1]Raw Data'!$A$3:$FB$285,133,FALSE)</f>
        <v/>
      </c>
      <c r="EQ276" s="27" t="str">
        <f>VLOOKUP($A276,'[1]Raw Data'!$A$3:$FB$285,134,FALSE)</f>
        <v/>
      </c>
      <c r="ER276" s="27" t="str">
        <f>VLOOKUP($A276,'[1]Raw Data'!$A$3:$FB$285,135,FALSE)</f>
        <v/>
      </c>
      <c r="ES276" s="27" t="str">
        <f>VLOOKUP($A276,'[1]Raw Data'!$A$3:$FB$285,136,FALSE)</f>
        <v/>
      </c>
      <c r="ET276" s="27" t="str">
        <f>VLOOKUP($A276,'[1]Raw Data'!$A$3:$FB$285,137,FALSE)</f>
        <v/>
      </c>
      <c r="EU276" s="27" t="str">
        <f>VLOOKUP($A276,'[1]Raw Data'!$A$3:$FB$285,138,FALSE)</f>
        <v/>
      </c>
      <c r="EV276" s="27" t="str">
        <f>VLOOKUP($A276,'[1]Raw Data'!$A$3:$FB$285,139,FALSE)</f>
        <v/>
      </c>
      <c r="EW276" s="38">
        <f>VLOOKUP($A276,[1]Training!$A$2:$I$284,5,FALSE)</f>
        <v>1</v>
      </c>
      <c r="EX276" s="31">
        <f>VLOOKUP($A276,[1]Training!$A$2:$I$284,6,FALSE)</f>
        <v>0</v>
      </c>
      <c r="EY276" s="38">
        <f>VLOOKUP($A276,[1]Training!$A$2:$I$284,8,FALSE)</f>
        <v>1</v>
      </c>
      <c r="EZ276" s="31">
        <f>VLOOKUP($A276,[1]Training!$A$2:$I$284,9,FALSE)</f>
        <v>0</v>
      </c>
      <c r="FA276" s="27">
        <v>1</v>
      </c>
      <c r="FB276" s="27">
        <v>2</v>
      </c>
      <c r="FC276" s="27" t="str">
        <f>VLOOKUP($A276,'[1]Raw Data'!$A$3:$FB$285,148,FALSE)</f>
        <v>Hari Prasad Thalang</v>
      </c>
      <c r="FE276" s="27" t="str">
        <f>VLOOKUP($A276,'[1]Raw Data'!$A$3:$FB$285,149,FALSE)</f>
        <v>District Coordinator</v>
      </c>
      <c r="FF276" s="27" t="s">
        <v>885</v>
      </c>
      <c r="FG276" s="27">
        <f>VLOOKUP($A276,'[1]Raw Data'!$A$3:$FB$285,150,FALSE)</f>
        <v>9851224505</v>
      </c>
      <c r="FH276" s="27" t="str">
        <f>VLOOKUP($A276,'[1]Raw Data'!$A$3:$FB$285,156,FALSE)</f>
        <v xml:space="preserve">Kausal Bist </v>
      </c>
      <c r="FJ276" s="27" t="str">
        <f>VLOOKUP($A276,'[1]Raw Data'!$A$3:$FB$285,157,FALSE)</f>
        <v>District Technical Officer</v>
      </c>
      <c r="FK276" s="27" t="s">
        <v>886</v>
      </c>
      <c r="FL276" s="27">
        <f>VLOOKUP($A276,'[1]Raw Data'!$A$3:$FB$285,158,FALSE)</f>
        <v>9849787273</v>
      </c>
      <c r="FM276" s="27" t="str">
        <f>VLOOKUP($A276,'[1]Raw Data'!$A$3:$FB$285,152,FALSE)</f>
        <v>Nirmal Nepali</v>
      </c>
      <c r="FO276" s="27" t="str">
        <f>VLOOKUP($A276,'[1]Raw Data'!$A$3:$FB$285,153,FALSE)</f>
        <v>DIstrict Information Management Officer</v>
      </c>
      <c r="FP276" s="27" t="s">
        <v>887</v>
      </c>
      <c r="FQ276" s="27">
        <f>VLOOKUP($A276,'[1]Raw Data'!$A$3:$FB$285,154,FALSE)</f>
        <v>9848500348</v>
      </c>
    </row>
    <row r="277" spans="1:173" ht="24" x14ac:dyDescent="0.45">
      <c r="A277" s="27">
        <v>48012</v>
      </c>
      <c r="B277" s="36" t="str">
        <f ca="1">IFERROR(__xludf.DUMMYFUNCTION("""COMPUTED_VALUE"""),"Ramgram Nagarpalika")</f>
        <v>Ramgram Nagarpalika</v>
      </c>
      <c r="C277" s="37" t="str">
        <f>VLOOKUP(A277,'[1]Palika and District in Nepali '!$D$1:$F$283,3,FALSE)</f>
        <v>रामग्राम नगरपालिका</v>
      </c>
      <c r="D277" s="36" t="str">
        <f ca="1">IFERROR(__xludf.DUMMYFUNCTION("""COMPUTED_VALUE"""),"Nawalparasi")</f>
        <v>Nawalparasi</v>
      </c>
      <c r="E277" s="36"/>
      <c r="F277" s="27">
        <f>VLOOKUP(A277,'[1]Raw Data'!$A$3:$FB$285,4,FALSE)</f>
        <v>0</v>
      </c>
      <c r="G277" s="27">
        <f>VLOOKUP(A277,'[1]Raw Data'!$A$3:$FB$285,5,FALSE)</f>
        <v>0</v>
      </c>
      <c r="H277" s="27">
        <f>VLOOKUP(A277,'[1]Raw Data'!$A$3:$FB$285,6,FALSE)</f>
        <v>0</v>
      </c>
      <c r="I277" s="27">
        <f>VLOOKUP($A277,'[1]Raw Data'!$A$3:$FB$285,8,FALSE)</f>
        <v>0</v>
      </c>
      <c r="J277" s="27">
        <f>VLOOKUP($A277,'[1]Raw Data'!$A$3:$FB$285,9,FALSE)</f>
        <v>0.81</v>
      </c>
      <c r="K277" s="27">
        <f>VLOOKUP($A277,'[1]Raw Data'!$A$3:$FB$285,11,FALSE)</f>
        <v>0</v>
      </c>
      <c r="L277" s="27">
        <f>VLOOKUP($A277,'[1]Raw Data'!$A$3:$FB$285,12,FALSE)</f>
        <v>95.12</v>
      </c>
      <c r="M277" s="27">
        <f>VLOOKUP($A277,'[1]Raw Data'!$A$3:$FB$285,14,FALSE)</f>
        <v>0</v>
      </c>
      <c r="N277" s="27">
        <f>VLOOKUP($A277,'[1]Raw Data'!$A$3:$FB$285,15,FALSE)</f>
        <v>1.83</v>
      </c>
      <c r="O277" s="27">
        <f>VLOOKUP($A277,'[1]Raw Data'!$A$3:$FB$285,17,FALSE)</f>
        <v>0</v>
      </c>
      <c r="P277" s="27">
        <f>VLOOKUP($A277,'[1]Raw Data'!$A$3:$FB$285,18,FALSE)</f>
        <v>0.92</v>
      </c>
      <c r="Q277" s="27">
        <f>VLOOKUP($A277,'[1]Raw Data'!$A$3:$FB$285,20,FALSE)</f>
        <v>0</v>
      </c>
      <c r="R277" s="27">
        <f>VLOOKUP($A277,'[1]Raw Data'!$A$3:$FB$285,21,FALSE)</f>
        <v>0</v>
      </c>
      <c r="S277" s="27">
        <f>VLOOKUP($A277,'[1]Raw Data'!$A$3:$FB$285,23,FALSE)</f>
        <v>0</v>
      </c>
      <c r="T277" s="27">
        <f>VLOOKUP($A277,'[1]Raw Data'!$A$3:$FB$285,24,FALSE)</f>
        <v>0</v>
      </c>
      <c r="U277" s="27">
        <f>VLOOKUP($A277,'[1]Raw Data'!$A$3:$FB$285,26,FALSE)</f>
        <v>0</v>
      </c>
      <c r="V277" s="27">
        <f>VLOOKUP($A277,'[1]Raw Data'!$A$3:$FB$285,27,FALSE)</f>
        <v>0.92</v>
      </c>
      <c r="W277" s="27">
        <f>VLOOKUP($A277,'[1]Raw Data'!$A$3:$FB$285,29,FALSE)</f>
        <v>0</v>
      </c>
      <c r="X277" s="27">
        <f>VLOOKUP($A277,'[1]Raw Data'!$A$3:$FB$285,30,FALSE)</f>
        <v>0</v>
      </c>
      <c r="Y277" s="27">
        <f>VLOOKUP($A277,'[1]Raw Data'!$A$3:$FB$285,32,FALSE)</f>
        <v>0</v>
      </c>
      <c r="Z277" s="27">
        <f>VLOOKUP($A277,'[1]Raw Data'!$A$3:$FB$285,33,FALSE)</f>
        <v>0.31</v>
      </c>
      <c r="AA277" s="27">
        <f>VLOOKUP($A277,'[1]Raw Data'!$A$3:$FB$285,35,FALSE)</f>
        <v>0</v>
      </c>
      <c r="AB277" s="27">
        <f>VLOOKUP($A277,'[1]Raw Data'!$A$3:$FB$285,36,FALSE)</f>
        <v>0.1</v>
      </c>
      <c r="AC277" s="27">
        <f>VLOOKUP($A277,'[1]Raw Data'!$A$3:$FB$285,38,FALSE)</f>
        <v>0</v>
      </c>
      <c r="AD277" s="27">
        <f>VLOOKUP($A277,'[1]Raw Data'!$A$3:$FB$285,39,FALSE)</f>
        <v>0</v>
      </c>
      <c r="AE277" s="27">
        <f>VLOOKUP($A277,'[1]Raw Data'!$A$3:$FB$285,41,FALSE)</f>
        <v>0</v>
      </c>
      <c r="AF277" s="27">
        <f>VLOOKUP($A277,'[1]Raw Data'!$A$3:$FB$285,42,FALSE)</f>
        <v>0</v>
      </c>
      <c r="AG277" s="27">
        <f>VLOOKUP($A277,'[1]Raw Data'!$A$3:$FB$285,44,FALSE)</f>
        <v>0</v>
      </c>
      <c r="AH277" s="27">
        <f>VLOOKUP($A277,'[1]Raw Data'!$A$3:$FB$285,45,FALSE)</f>
        <v>0</v>
      </c>
      <c r="AI277" s="27">
        <f>VLOOKUP($A277,'[1]Raw Data'!$A$3:$FB$285,46,FALSE)</f>
        <v>0</v>
      </c>
      <c r="AJ277" s="27">
        <f>VLOOKUP($A277,'[1]Raw Data'!$A$3:$FB$285,47,FALSE)</f>
        <v>0</v>
      </c>
      <c r="AK277" s="27">
        <f>VLOOKUP($A277,'[1]Raw Data'!$A$3:$FB$285,48,FALSE)</f>
        <v>0</v>
      </c>
      <c r="AL277" s="27">
        <f>VLOOKUP($A277,'[1]Raw Data'!$A$3:$FB$285,49,FALSE)</f>
        <v>0</v>
      </c>
      <c r="AM277" s="27">
        <f>VLOOKUP($A277,'[1]Raw Data'!$A$3:$FB$285,50,FALSE)</f>
        <v>0</v>
      </c>
      <c r="AN277" s="27">
        <f>VLOOKUP($A277,'[1]Raw Data'!$A$3:$FB$285,51,FALSE)</f>
        <v>0</v>
      </c>
      <c r="AO277" s="27">
        <f>VLOOKUP($A277,'[1]Raw Data'!$A$3:$FB$285,52,FALSE)</f>
        <v>0</v>
      </c>
      <c r="AP277" s="27">
        <f>VLOOKUP($A277,'[1]Raw Data'!$A$3:$FB$285,53,FALSE)</f>
        <v>0</v>
      </c>
      <c r="AQ277" s="27" t="str">
        <f>VLOOKUP($A277,'[1]Raw Data'!$A$3:$FB$285,54,FALSE)</f>
        <v/>
      </c>
      <c r="AR277" s="27" t="str">
        <f>VLOOKUP($A277,'[1]Raw Data'!$A$3:$FB$285,55,FALSE)</f>
        <v/>
      </c>
      <c r="AS277" s="27" t="str">
        <f>VLOOKUP($A277,'[1]Raw Data'!$A$3:$FB$285,56,FALSE)</f>
        <v/>
      </c>
      <c r="AT277" s="27">
        <f>VLOOKUP($A277,'[1]Raw Data'!$A$3:$FB$285,57,FALSE)</f>
        <v>0</v>
      </c>
      <c r="AU277" s="27" t="str">
        <f>VLOOKUP($A277,'[1]Raw Data'!$A$3:$FB$285,58,FALSE)</f>
        <v/>
      </c>
      <c r="AV277" s="27" t="str">
        <f>VLOOKUP($A277,'[1]Raw Data'!$A$3:$FB$285,59,FALSE)</f>
        <v/>
      </c>
      <c r="AW277" s="27" t="str">
        <f>VLOOKUP($A277,'[1]Raw Data'!$A$3:$FB$285,60,FALSE)</f>
        <v/>
      </c>
      <c r="AX277" s="27" t="str">
        <f>VLOOKUP(A277,'[1]PO''s List'!A275:E557,4,FALSE)</f>
        <v/>
      </c>
      <c r="AZ277" s="27" t="str">
        <f>VLOOKUP(A277,'[1]PO''s List'!$A$3:$E$285,5,FALSE)</f>
        <v/>
      </c>
      <c r="BB277" s="27">
        <f>VLOOKUP($A277,'[1]Raw Data'!$A$3:$FB$285,63,FALSE)</f>
        <v>0</v>
      </c>
      <c r="BC277" s="27" t="str">
        <f>VLOOKUP($A277,'[1]Raw Data'!$A$3:$FB$285,64,FALSE)</f>
        <v/>
      </c>
      <c r="BD277" s="27" t="str">
        <f t="shared" si="36"/>
        <v/>
      </c>
      <c r="BE277" s="27" t="str">
        <f>VLOOKUP($A277,'[1]Raw Data'!$A$3:$FB$285,65,FALSE)</f>
        <v/>
      </c>
      <c r="BF277" s="27">
        <f>VLOOKUP($A277,'[1]Raw Data'!$A$3:$FB$285,66,FALSE)</f>
        <v>0</v>
      </c>
      <c r="BG277" s="27" t="str">
        <f>VLOOKUP($A277,'[1]Raw Data'!$A$3:$FB$285,67,FALSE)</f>
        <v/>
      </c>
      <c r="BH277" s="27" t="str">
        <f t="shared" si="37"/>
        <v/>
      </c>
      <c r="BI277" s="27" t="str">
        <f>VLOOKUP($A277,'[1]Raw Data'!$A$3:$FB$285,68,FALSE)</f>
        <v/>
      </c>
      <c r="BJ277" s="27">
        <f>VLOOKUP($A277,'[1]Raw Data'!$A$3:$FB$285,69,FALSE)</f>
        <v>0</v>
      </c>
      <c r="BK277" s="27" t="str">
        <f>VLOOKUP($A277,'[1]Raw Data'!$A$3:$FB$285,70,FALSE)</f>
        <v/>
      </c>
      <c r="BL277" s="27" t="str">
        <f t="shared" si="38"/>
        <v/>
      </c>
      <c r="BM277" s="27" t="str">
        <f>VLOOKUP($A277,'[1]Raw Data'!$A$3:$FB$285,71,FALSE)</f>
        <v/>
      </c>
      <c r="BN277" s="27">
        <f>VLOOKUP($A277,'[1]Raw Data'!$A$3:$FB$285,72,FALSE)</f>
        <v>0</v>
      </c>
      <c r="BO277" s="27" t="str">
        <f>VLOOKUP($A277,'[1]Raw Data'!$A$3:$FB$285,73,FALSE)</f>
        <v/>
      </c>
      <c r="BP277" s="27" t="str">
        <f t="shared" si="39"/>
        <v/>
      </c>
      <c r="BQ277" s="27" t="str">
        <f>VLOOKUP($A277,'[1]Raw Data'!$A$3:$FB$285,74,FALSE)</f>
        <v/>
      </c>
      <c r="BR277" s="27" t="str">
        <f>VLOOKUP($A277,'[1]Raw Data'!$A$3:$FB$285,75,FALSE)</f>
        <v/>
      </c>
      <c r="BS277" s="27" t="str">
        <f>VLOOKUP($A277,'[1]Raw Data'!$A$3:$FB$285,76,FALSE)</f>
        <v/>
      </c>
      <c r="BT277" s="27" t="str">
        <f t="shared" si="40"/>
        <v/>
      </c>
      <c r="BU277" s="27" t="str">
        <f>VLOOKUP($A277,'[1]Raw Data'!$A$3:$FB$285,77,FALSE)</f>
        <v/>
      </c>
      <c r="BV277" s="27">
        <f>VLOOKUP($A277,'[1]Raw Data'!$A$3:$FB$285,78,FALSE)</f>
        <v>0</v>
      </c>
      <c r="BW277" s="27" t="str">
        <f>VLOOKUP($A277,'[1]Raw Data'!$A$3:$FB$285,79,FALSE)</f>
        <v/>
      </c>
      <c r="BX277" s="27" t="str">
        <f t="shared" si="41"/>
        <v/>
      </c>
      <c r="BY277" s="27" t="str">
        <f>VLOOKUP($A277,'[1]Raw Data'!$A$3:$FB$285,80,FALSE)</f>
        <v/>
      </c>
      <c r="BZ277" s="27">
        <f>VLOOKUP($A277,'[1]Raw Data'!$A$3:$FB$285,81,FALSE)</f>
        <v>0</v>
      </c>
      <c r="CA277" s="27" t="str">
        <f>VLOOKUP($A277,'[1]Raw Data'!$A$3:$FB$285,82,FALSE)</f>
        <v/>
      </c>
      <c r="CB277" s="27" t="str">
        <f t="shared" si="42"/>
        <v/>
      </c>
      <c r="CC277" s="27" t="str">
        <f>VLOOKUP($A277,'[1]Raw Data'!$A$3:$FB$285,83,FALSE)</f>
        <v/>
      </c>
      <c r="CD277" s="27">
        <f>VLOOKUP($A277,'[1]Raw Data'!$A$3:$FB$285,84,FALSE)</f>
        <v>0</v>
      </c>
      <c r="CE277" s="27" t="str">
        <f>VLOOKUP($A277,'[1]Raw Data'!$A$3:$FB$285,85,FALSE)</f>
        <v/>
      </c>
      <c r="CF277" s="27" t="str">
        <f t="shared" si="43"/>
        <v/>
      </c>
      <c r="CG277" s="27" t="str">
        <f>VLOOKUP($A277,'[1]Raw Data'!$A$3:$FB$285,86,FALSE)</f>
        <v/>
      </c>
      <c r="CH277" s="27">
        <f>VLOOKUP($A277,'[1]Raw Data'!$A$3:$FB$285,87,FALSE)</f>
        <v>0</v>
      </c>
      <c r="CI277" s="27" t="str">
        <f>VLOOKUP($A277,'[1]Raw Data'!$A$3:$FB$285,88,FALSE)</f>
        <v/>
      </c>
      <c r="CJ277" s="27" t="str">
        <f t="shared" si="44"/>
        <v/>
      </c>
      <c r="CK277" s="27" t="str">
        <f>VLOOKUP($A277,'[1]Raw Data'!$A$3:$FB$285,89,FALSE)</f>
        <v/>
      </c>
      <c r="CL277" s="27" t="str">
        <f>VLOOKUP($A277,'[1]Raw Data'!$A$3:$FB$285,91,FALSE)</f>
        <v/>
      </c>
      <c r="CM277" s="27" t="str">
        <f>VLOOKUP($A277,'[1]Raw Data'!$A$3:$FB$285,93,FALSE)</f>
        <v/>
      </c>
      <c r="CN277" s="27" t="str">
        <f>VLOOKUP($A277,'[1]Raw Data'!$A$3:$FB$285,94,FALSE)</f>
        <v/>
      </c>
      <c r="CO277" s="27" t="str">
        <f>VLOOKUP($A277,'[1]Raw Data'!$A$3:$FB$285,95,FALSE)</f>
        <v/>
      </c>
      <c r="CP277" s="27" t="str">
        <f>VLOOKUP($A277,'[1]Raw Data'!$A$3:$FB$285,96,FALSE)</f>
        <v/>
      </c>
      <c r="CQ277" s="27" t="str">
        <f>VLOOKUP($A277,'[1]Raw Data'!$A$3:$FB$285,97,FALSE)</f>
        <v/>
      </c>
      <c r="CR277" s="27" t="str">
        <f>VLOOKUP($A277,'[1]Raw Data'!$A$3:$FB$285,98,FALSE)</f>
        <v/>
      </c>
      <c r="CS277" s="27" t="str">
        <f>VLOOKUP($A277,'[1]Raw Data'!$A$3:$FB$285,99,FALSE)</f>
        <v/>
      </c>
      <c r="CT277" s="27" t="str">
        <f>VLOOKUP($A277,'[1]Raw Data'!$A$3:$FB$285,101,FALSE)</f>
        <v>Narendra Kumar Gupta</v>
      </c>
      <c r="CU277" s="27" t="s">
        <v>1497</v>
      </c>
      <c r="CV277" s="27" t="str">
        <f>VLOOKUP($A277,'[1]Raw Data'!$A$3:$FB$285,102,FALSE)</f>
        <v>Mayor</v>
      </c>
      <c r="CW277" s="27" t="s">
        <v>834</v>
      </c>
      <c r="CX277" s="27">
        <f>VLOOKUP($A277,'[1]Raw Data'!$A$3:$FB$285,103,FALSE)</f>
        <v>9857021533</v>
      </c>
      <c r="CY277" s="27" t="str">
        <f>VLOOKUP($A277,'[1]Raw Data'!$A$3:$FB$285,105,FALSE)</f>
        <v>Rambha Kunwar</v>
      </c>
      <c r="CZ277" s="27" t="s">
        <v>1498</v>
      </c>
      <c r="DA277" s="27" t="str">
        <f>VLOOKUP($A277,'[1]Raw Data'!$A$3:$FB$285,106,FALSE)</f>
        <v>Deputy Mayor</v>
      </c>
      <c r="DB277" s="27" t="s">
        <v>888</v>
      </c>
      <c r="DC277" s="27">
        <f>VLOOKUP($A277,'[1]Raw Data'!$A$3:$FB$285,107,FALSE)</f>
        <v>9847214199</v>
      </c>
      <c r="DD277" s="27" t="str">
        <f>VLOOKUP($A277,'[1]Raw Data'!$A$3:$FB$285,109,FALSE)</f>
        <v>Krishan Prasad Chapagain</v>
      </c>
      <c r="DE277" s="27" t="s">
        <v>1499</v>
      </c>
      <c r="DF277" s="27" t="str">
        <f>VLOOKUP($A277,'[1]Raw Data'!$A$3:$FB$285,110,FALSE)</f>
        <v>Chief Adminstration Officer</v>
      </c>
      <c r="DG277" s="27" t="s">
        <v>880</v>
      </c>
      <c r="DH277" s="27">
        <f>VLOOKUP($A277,'[1]Raw Data'!$A$3:$FB$285,111,FALSE)</f>
        <v>9843165905</v>
      </c>
      <c r="DI277" s="27" t="str">
        <f>VLOOKUP($A277,'[1]Raw Data'!$A$3:$FB$285,121,FALSE)</f>
        <v>Sita Paudel</v>
      </c>
      <c r="DJ277" s="27" t="s">
        <v>1461</v>
      </c>
      <c r="DK277" s="27" t="str">
        <f>VLOOKUP($A277,'[1]Raw Data'!$A$3:$FB$285,122,FALSE)</f>
        <v>Focal Person</v>
      </c>
      <c r="DL277" s="27" t="s">
        <v>881</v>
      </c>
      <c r="DM277" s="27">
        <f>VLOOKUP($A277,'[1]Raw Data'!$A$3:$FB$285,123,FALSE)</f>
        <v>9847958120</v>
      </c>
      <c r="DN277" s="27" t="str">
        <f>VLOOKUP($A277,'[1]Raw Data'!$A$3:$FB$285,113,FALSE)</f>
        <v xml:space="preserve">Rajendra  Karki </v>
      </c>
      <c r="DO277" s="27" t="s">
        <v>1211</v>
      </c>
      <c r="DP277" s="27" t="str">
        <f>VLOOKUP($A277,'[1]Raw Data'!$A$3:$FB$285,114,FALSE)</f>
        <v>NRA Chief-District</v>
      </c>
      <c r="DQ277" s="27" t="s">
        <v>882</v>
      </c>
      <c r="DR277" s="27">
        <f>VLOOKUP($A277,'[1]Raw Data'!$A$3:$FB$285,115,FALSE)</f>
        <v>9857087637</v>
      </c>
      <c r="DS277" s="27" t="str">
        <f>VLOOKUP($A277,'[1]Raw Data'!$A$3:$FB$285,117,FALSE)</f>
        <v/>
      </c>
      <c r="DU277" s="27" t="str">
        <f>VLOOKUP($A277,'[1]Raw Data'!$A$3:$FB$285,118,FALSE)</f>
        <v>DUDBC.DLPIU Chief</v>
      </c>
      <c r="DV277" s="27" t="s">
        <v>883</v>
      </c>
      <c r="DW277" s="27" t="str">
        <f>VLOOKUP($A277,'[1]Raw Data'!$A$3:$FB$285,119,FALSE)</f>
        <v/>
      </c>
      <c r="DX277" s="27" t="s">
        <v>339</v>
      </c>
      <c r="DY277" s="27" t="str">
        <f>VLOOKUP($A277,'[1]Raw Data'!$A$3:$FB$285,124,FALSE)</f>
        <v/>
      </c>
      <c r="DZ277" s="27" t="s">
        <v>884</v>
      </c>
      <c r="EA277" s="27" t="str">
        <f>VLOOKUP($A277,'[1]Raw Data'!$A$3:$FB$285,125,FALSE)</f>
        <v/>
      </c>
      <c r="EB277" s="27" t="s">
        <v>341</v>
      </c>
      <c r="EC277" s="27" t="str">
        <f>VLOOKUP($A277,'[1]Raw Data'!$A$3:$FB$285,126,FALSE)</f>
        <v/>
      </c>
      <c r="ED277" t="s">
        <v>478</v>
      </c>
      <c r="EE277" s="27" t="str">
        <f>VLOOKUP($A277,'[1]Raw Data'!$A$3:$FB$285,127,FALSE)</f>
        <v/>
      </c>
      <c r="EF277" s="27" t="s">
        <v>343</v>
      </c>
      <c r="EG277" s="27" t="str">
        <f>VLOOKUP($A277,'[1]Raw Data'!$A$3:$FB$285,128,FALSE)</f>
        <v/>
      </c>
      <c r="EH277" t="s">
        <v>344</v>
      </c>
      <c r="EI277" s="27" t="str">
        <f>VLOOKUP($A277,'[1]Raw Data'!$A$3:$FB$285,129,FALSE)</f>
        <v/>
      </c>
      <c r="EM277" s="27" t="str">
        <f>VLOOKUP($A277,'[1]Raw Data'!$A$3:$FB$285,130,FALSE)</f>
        <v/>
      </c>
      <c r="EN277" s="27" t="str">
        <f>VLOOKUP($A277,'[1]Raw Data'!$A$3:$FB$285,131,FALSE)</f>
        <v/>
      </c>
      <c r="EO277" s="27" t="str">
        <f>VLOOKUP($A277,'[1]Raw Data'!$A$3:$FB$285,132,FALSE)</f>
        <v/>
      </c>
      <c r="EP277" s="27" t="str">
        <f>VLOOKUP($A277,'[1]Raw Data'!$A$3:$FB$285,133,FALSE)</f>
        <v/>
      </c>
      <c r="EQ277" s="27" t="str">
        <f>VLOOKUP($A277,'[1]Raw Data'!$A$3:$FB$285,134,FALSE)</f>
        <v/>
      </c>
      <c r="ER277" s="27" t="str">
        <f>VLOOKUP($A277,'[1]Raw Data'!$A$3:$FB$285,135,FALSE)</f>
        <v/>
      </c>
      <c r="ES277" s="27" t="str">
        <f>VLOOKUP($A277,'[1]Raw Data'!$A$3:$FB$285,136,FALSE)</f>
        <v/>
      </c>
      <c r="ET277" s="27" t="str">
        <f>VLOOKUP($A277,'[1]Raw Data'!$A$3:$FB$285,137,FALSE)</f>
        <v/>
      </c>
      <c r="EU277" s="27" t="str">
        <f>VLOOKUP($A277,'[1]Raw Data'!$A$3:$FB$285,138,FALSE)</f>
        <v/>
      </c>
      <c r="EV277" s="27" t="str">
        <f>VLOOKUP($A277,'[1]Raw Data'!$A$3:$FB$285,139,FALSE)</f>
        <v/>
      </c>
      <c r="EW277" s="38">
        <f>VLOOKUP($A277,[1]Training!$A$2:$I$284,5,FALSE)</f>
        <v>1</v>
      </c>
      <c r="EX277" s="31">
        <f>VLOOKUP($A277,[1]Training!$A$2:$I$284,6,FALSE)</f>
        <v>0</v>
      </c>
      <c r="EY277" s="38">
        <f>VLOOKUP($A277,[1]Training!$A$2:$I$284,8,FALSE)</f>
        <v>1</v>
      </c>
      <c r="EZ277" s="31">
        <f>VLOOKUP($A277,[1]Training!$A$2:$I$284,9,FALSE)</f>
        <v>0</v>
      </c>
      <c r="FA277" s="27">
        <v>1</v>
      </c>
      <c r="FB277" s="27">
        <v>2</v>
      </c>
      <c r="FC277" s="27" t="str">
        <f>VLOOKUP($A277,'[1]Raw Data'!$A$3:$FB$285,148,FALSE)</f>
        <v>Hari Prasad Thalang</v>
      </c>
      <c r="FE277" s="27" t="str">
        <f>VLOOKUP($A277,'[1]Raw Data'!$A$3:$FB$285,149,FALSE)</f>
        <v>District Coordinator</v>
      </c>
      <c r="FF277" s="27" t="s">
        <v>885</v>
      </c>
      <c r="FG277" s="27">
        <f>VLOOKUP($A277,'[1]Raw Data'!$A$3:$FB$285,150,FALSE)</f>
        <v>9851224505</v>
      </c>
      <c r="FH277" s="27" t="str">
        <f>VLOOKUP($A277,'[1]Raw Data'!$A$3:$FB$285,156,FALSE)</f>
        <v xml:space="preserve">Kausal Bist </v>
      </c>
      <c r="FJ277" s="27" t="str">
        <f>VLOOKUP($A277,'[1]Raw Data'!$A$3:$FB$285,157,FALSE)</f>
        <v>District Technical Officer</v>
      </c>
      <c r="FK277" s="27" t="s">
        <v>886</v>
      </c>
      <c r="FL277" s="27">
        <f>VLOOKUP($A277,'[1]Raw Data'!$A$3:$FB$285,158,FALSE)</f>
        <v>9849787273</v>
      </c>
      <c r="FM277" s="27" t="str">
        <f>VLOOKUP($A277,'[1]Raw Data'!$A$3:$FB$285,152,FALSE)</f>
        <v>Nirmal Nepali</v>
      </c>
      <c r="FO277" s="27" t="str">
        <f>VLOOKUP($A277,'[1]Raw Data'!$A$3:$FB$285,153,FALSE)</f>
        <v>DIstrict Information Management Officer</v>
      </c>
      <c r="FP277" s="27" t="s">
        <v>887</v>
      </c>
      <c r="FQ277" s="27">
        <f>VLOOKUP($A277,'[1]Raw Data'!$A$3:$FB$285,154,FALSE)</f>
        <v>9848500348</v>
      </c>
    </row>
    <row r="278" spans="1:173" ht="24" x14ac:dyDescent="0.45">
      <c r="A278" s="27">
        <v>48050</v>
      </c>
      <c r="B278" s="36" t="str">
        <f ca="1">IFERROR(__xludf.DUMMYFUNCTION("""COMPUTED_VALUE"""),"Sarawal Gaunpalika")</f>
        <v>Sarawal Gaunpalika</v>
      </c>
      <c r="C278" s="37" t="str">
        <f>VLOOKUP(A278,'[1]Palika and District in Nepali '!$D$1:$F$283,3,FALSE)</f>
        <v>सारावाल गाउँपालिका</v>
      </c>
      <c r="D278" s="36" t="str">
        <f ca="1">IFERROR(__xludf.DUMMYFUNCTION("""COMPUTED_VALUE"""),"Nawalparasi")</f>
        <v>Nawalparasi</v>
      </c>
      <c r="E278" s="36"/>
      <c r="F278" s="27">
        <f>VLOOKUP(A278,'[1]Raw Data'!$A$3:$FB$285,4,FALSE)</f>
        <v>0</v>
      </c>
      <c r="G278" s="27">
        <f>VLOOKUP(A278,'[1]Raw Data'!$A$3:$FB$285,5,FALSE)</f>
        <v>4</v>
      </c>
      <c r="H278" s="27">
        <f>VLOOKUP(A278,'[1]Raw Data'!$A$3:$FB$285,6,FALSE)</f>
        <v>4</v>
      </c>
      <c r="I278" s="27">
        <f>VLOOKUP($A278,'[1]Raw Data'!$A$3:$FB$285,8,FALSE)</f>
        <v>0</v>
      </c>
      <c r="J278" s="27">
        <f>VLOOKUP($A278,'[1]Raw Data'!$A$3:$FB$285,9,FALSE)</f>
        <v>0.81</v>
      </c>
      <c r="K278" s="27">
        <f>VLOOKUP($A278,'[1]Raw Data'!$A$3:$FB$285,11,FALSE)</f>
        <v>0</v>
      </c>
      <c r="L278" s="27">
        <f>VLOOKUP($A278,'[1]Raw Data'!$A$3:$FB$285,12,FALSE)</f>
        <v>95.12</v>
      </c>
      <c r="M278" s="27">
        <f>VLOOKUP($A278,'[1]Raw Data'!$A$3:$FB$285,14,FALSE)</f>
        <v>50</v>
      </c>
      <c r="N278" s="27">
        <f>VLOOKUP($A278,'[1]Raw Data'!$A$3:$FB$285,15,FALSE)</f>
        <v>1.83</v>
      </c>
      <c r="O278" s="27">
        <f>VLOOKUP($A278,'[1]Raw Data'!$A$3:$FB$285,17,FALSE)</f>
        <v>50</v>
      </c>
      <c r="P278" s="27">
        <f>VLOOKUP($A278,'[1]Raw Data'!$A$3:$FB$285,18,FALSE)</f>
        <v>0.92</v>
      </c>
      <c r="Q278" s="27">
        <f>VLOOKUP($A278,'[1]Raw Data'!$A$3:$FB$285,20,FALSE)</f>
        <v>0</v>
      </c>
      <c r="R278" s="27">
        <f>VLOOKUP($A278,'[1]Raw Data'!$A$3:$FB$285,21,FALSE)</f>
        <v>0</v>
      </c>
      <c r="S278" s="27">
        <f>VLOOKUP($A278,'[1]Raw Data'!$A$3:$FB$285,23,FALSE)</f>
        <v>0</v>
      </c>
      <c r="T278" s="27">
        <f>VLOOKUP($A278,'[1]Raw Data'!$A$3:$FB$285,24,FALSE)</f>
        <v>0</v>
      </c>
      <c r="U278" s="27">
        <f>VLOOKUP($A278,'[1]Raw Data'!$A$3:$FB$285,26,FALSE)</f>
        <v>0</v>
      </c>
      <c r="V278" s="27">
        <f>VLOOKUP($A278,'[1]Raw Data'!$A$3:$FB$285,27,FALSE)</f>
        <v>0.92</v>
      </c>
      <c r="W278" s="27">
        <f>VLOOKUP($A278,'[1]Raw Data'!$A$3:$FB$285,29,FALSE)</f>
        <v>0</v>
      </c>
      <c r="X278" s="27">
        <f>VLOOKUP($A278,'[1]Raw Data'!$A$3:$FB$285,30,FALSE)</f>
        <v>0</v>
      </c>
      <c r="Y278" s="27">
        <f>VLOOKUP($A278,'[1]Raw Data'!$A$3:$FB$285,32,FALSE)</f>
        <v>0</v>
      </c>
      <c r="Z278" s="27">
        <f>VLOOKUP($A278,'[1]Raw Data'!$A$3:$FB$285,33,FALSE)</f>
        <v>0.31</v>
      </c>
      <c r="AA278" s="27">
        <f>VLOOKUP($A278,'[1]Raw Data'!$A$3:$FB$285,35,FALSE)</f>
        <v>0</v>
      </c>
      <c r="AB278" s="27">
        <f>VLOOKUP($A278,'[1]Raw Data'!$A$3:$FB$285,36,FALSE)</f>
        <v>0.1</v>
      </c>
      <c r="AC278" s="27">
        <f>VLOOKUP($A278,'[1]Raw Data'!$A$3:$FB$285,38,FALSE)</f>
        <v>0</v>
      </c>
      <c r="AD278" s="27">
        <f>VLOOKUP($A278,'[1]Raw Data'!$A$3:$FB$285,39,FALSE)</f>
        <v>0</v>
      </c>
      <c r="AE278" s="27">
        <f>VLOOKUP($A278,'[1]Raw Data'!$A$3:$FB$285,41,FALSE)</f>
        <v>0</v>
      </c>
      <c r="AF278" s="27">
        <f>VLOOKUP($A278,'[1]Raw Data'!$A$3:$FB$285,42,FALSE)</f>
        <v>0</v>
      </c>
      <c r="AG278" s="27">
        <f>VLOOKUP($A278,'[1]Raw Data'!$A$3:$FB$285,44,FALSE)</f>
        <v>0</v>
      </c>
      <c r="AH278" s="27">
        <f>VLOOKUP($A278,'[1]Raw Data'!$A$3:$FB$285,45,FALSE)</f>
        <v>0</v>
      </c>
      <c r="AI278" s="27">
        <f>VLOOKUP($A278,'[1]Raw Data'!$A$3:$FB$285,46,FALSE)</f>
        <v>4</v>
      </c>
      <c r="AJ278" s="27">
        <f>VLOOKUP($A278,'[1]Raw Data'!$A$3:$FB$285,47,FALSE)</f>
        <v>3</v>
      </c>
      <c r="AK278" s="27">
        <f>VLOOKUP($A278,'[1]Raw Data'!$A$3:$FB$285,48,FALSE)</f>
        <v>3</v>
      </c>
      <c r="AL278" s="27">
        <f>VLOOKUP($A278,'[1]Raw Data'!$A$3:$FB$285,49,FALSE)</f>
        <v>0</v>
      </c>
      <c r="AM278" s="27">
        <f>VLOOKUP($A278,'[1]Raw Data'!$A$3:$FB$285,50,FALSE)</f>
        <v>0</v>
      </c>
      <c r="AN278" s="27">
        <f>VLOOKUP($A278,'[1]Raw Data'!$A$3:$FB$285,51,FALSE)</f>
        <v>0</v>
      </c>
      <c r="AO278" s="27">
        <f>VLOOKUP($A278,'[1]Raw Data'!$A$3:$FB$285,52,FALSE)</f>
        <v>0</v>
      </c>
      <c r="AP278" s="27">
        <f>VLOOKUP($A278,'[1]Raw Data'!$A$3:$FB$285,53,FALSE)</f>
        <v>0</v>
      </c>
      <c r="AQ278" s="27" t="str">
        <f>VLOOKUP($A278,'[1]Raw Data'!$A$3:$FB$285,54,FALSE)</f>
        <v/>
      </c>
      <c r="AR278" s="27" t="str">
        <f>VLOOKUP($A278,'[1]Raw Data'!$A$3:$FB$285,55,FALSE)</f>
        <v/>
      </c>
      <c r="AS278" s="27" t="str">
        <f>VLOOKUP($A278,'[1]Raw Data'!$A$3:$FB$285,56,FALSE)</f>
        <v/>
      </c>
      <c r="AT278" s="27">
        <f>VLOOKUP($A278,'[1]Raw Data'!$A$3:$FB$285,57,FALSE)</f>
        <v>1</v>
      </c>
      <c r="AU278" s="27" t="str">
        <f>VLOOKUP($A278,'[1]Raw Data'!$A$3:$FB$285,58,FALSE)</f>
        <v/>
      </c>
      <c r="AV278" s="27" t="str">
        <f>VLOOKUP($A278,'[1]Raw Data'!$A$3:$FB$285,59,FALSE)</f>
        <v/>
      </c>
      <c r="AW278" s="27" t="str">
        <f>VLOOKUP($A278,'[1]Raw Data'!$A$3:$FB$285,60,FALSE)</f>
        <v/>
      </c>
      <c r="AX278" s="27" t="str">
        <f>VLOOKUP(A278,'[1]PO''s List'!A276:E558,4,FALSE)</f>
        <v/>
      </c>
      <c r="AZ278" s="27" t="str">
        <f>VLOOKUP(A278,'[1]PO''s List'!$A$3:$E$285,5,FALSE)</f>
        <v/>
      </c>
      <c r="BB278" s="27">
        <f>VLOOKUP($A278,'[1]Raw Data'!$A$3:$FB$285,63,FALSE)</f>
        <v>437</v>
      </c>
      <c r="BC278" s="27" t="str">
        <f>VLOOKUP($A278,'[1]Raw Data'!$A$3:$FB$285,64,FALSE)</f>
        <v/>
      </c>
      <c r="BD278" s="27" t="str">
        <f t="shared" si="36"/>
        <v/>
      </c>
      <c r="BE278" s="27" t="str">
        <f>VLOOKUP($A278,'[1]Raw Data'!$A$3:$FB$285,65,FALSE)</f>
        <v/>
      </c>
      <c r="BF278" s="27">
        <f>VLOOKUP($A278,'[1]Raw Data'!$A$3:$FB$285,66,FALSE)</f>
        <v>17</v>
      </c>
      <c r="BG278" s="27" t="str">
        <f>VLOOKUP($A278,'[1]Raw Data'!$A$3:$FB$285,67,FALSE)</f>
        <v/>
      </c>
      <c r="BH278" s="27" t="str">
        <f t="shared" si="37"/>
        <v/>
      </c>
      <c r="BI278" s="27" t="str">
        <f>VLOOKUP($A278,'[1]Raw Data'!$A$3:$FB$285,68,FALSE)</f>
        <v/>
      </c>
      <c r="BJ278" s="27">
        <f>VLOOKUP($A278,'[1]Raw Data'!$A$3:$FB$285,69,FALSE)</f>
        <v>42</v>
      </c>
      <c r="BK278" s="27" t="str">
        <f>VLOOKUP($A278,'[1]Raw Data'!$A$3:$FB$285,70,FALSE)</f>
        <v/>
      </c>
      <c r="BL278" s="27" t="str">
        <f t="shared" si="38"/>
        <v/>
      </c>
      <c r="BM278" s="27" t="str">
        <f>VLOOKUP($A278,'[1]Raw Data'!$A$3:$FB$285,71,FALSE)</f>
        <v/>
      </c>
      <c r="BN278" s="27">
        <f>VLOOKUP($A278,'[1]Raw Data'!$A$3:$FB$285,72,FALSE)</f>
        <v>34</v>
      </c>
      <c r="BO278" s="27" t="str">
        <f>VLOOKUP($A278,'[1]Raw Data'!$A$3:$FB$285,73,FALSE)</f>
        <v/>
      </c>
      <c r="BP278" s="27" t="str">
        <f t="shared" si="39"/>
        <v/>
      </c>
      <c r="BQ278" s="27" t="str">
        <f>VLOOKUP($A278,'[1]Raw Data'!$A$3:$FB$285,74,FALSE)</f>
        <v/>
      </c>
      <c r="BR278" s="27" t="str">
        <f>VLOOKUP($A278,'[1]Raw Data'!$A$3:$FB$285,75,FALSE)</f>
        <v/>
      </c>
      <c r="BS278" s="27" t="str">
        <f>VLOOKUP($A278,'[1]Raw Data'!$A$3:$FB$285,76,FALSE)</f>
        <v/>
      </c>
      <c r="BT278" s="27" t="str">
        <f t="shared" si="40"/>
        <v/>
      </c>
      <c r="BU278" s="27" t="str">
        <f>VLOOKUP($A278,'[1]Raw Data'!$A$3:$FB$285,77,FALSE)</f>
        <v/>
      </c>
      <c r="BV278" s="27">
        <f>VLOOKUP($A278,'[1]Raw Data'!$A$3:$FB$285,78,FALSE)</f>
        <v>30</v>
      </c>
      <c r="BW278" s="27" t="str">
        <f>VLOOKUP($A278,'[1]Raw Data'!$A$3:$FB$285,79,FALSE)</f>
        <v/>
      </c>
      <c r="BX278" s="27" t="str">
        <f t="shared" si="41"/>
        <v/>
      </c>
      <c r="BY278" s="27" t="str">
        <f>VLOOKUP($A278,'[1]Raw Data'!$A$3:$FB$285,80,FALSE)</f>
        <v/>
      </c>
      <c r="BZ278" s="27">
        <f>VLOOKUP($A278,'[1]Raw Data'!$A$3:$FB$285,81,FALSE)</f>
        <v>5250</v>
      </c>
      <c r="CA278" s="27" t="str">
        <f>VLOOKUP($A278,'[1]Raw Data'!$A$3:$FB$285,82,FALSE)</f>
        <v/>
      </c>
      <c r="CB278" s="27" t="str">
        <f t="shared" si="42"/>
        <v/>
      </c>
      <c r="CC278" s="27" t="str">
        <f>VLOOKUP($A278,'[1]Raw Data'!$A$3:$FB$285,83,FALSE)</f>
        <v/>
      </c>
      <c r="CD278" s="27">
        <f>VLOOKUP($A278,'[1]Raw Data'!$A$3:$FB$285,84,FALSE)</f>
        <v>0</v>
      </c>
      <c r="CE278" s="27" t="str">
        <f>VLOOKUP($A278,'[1]Raw Data'!$A$3:$FB$285,85,FALSE)</f>
        <v/>
      </c>
      <c r="CF278" s="27" t="str">
        <f t="shared" si="43"/>
        <v/>
      </c>
      <c r="CG278" s="27" t="str">
        <f>VLOOKUP($A278,'[1]Raw Data'!$A$3:$FB$285,86,FALSE)</f>
        <v/>
      </c>
      <c r="CH278" s="27">
        <f>VLOOKUP($A278,'[1]Raw Data'!$A$3:$FB$285,87,FALSE)</f>
        <v>21077</v>
      </c>
      <c r="CI278" s="27" t="str">
        <f>VLOOKUP($A278,'[1]Raw Data'!$A$3:$FB$285,88,FALSE)</f>
        <v/>
      </c>
      <c r="CJ278" s="27" t="str">
        <f t="shared" si="44"/>
        <v/>
      </c>
      <c r="CK278" s="27" t="str">
        <f>VLOOKUP($A278,'[1]Raw Data'!$A$3:$FB$285,89,FALSE)</f>
        <v/>
      </c>
      <c r="CL278" s="27" t="str">
        <f>VLOOKUP($A278,'[1]Raw Data'!$A$3:$FB$285,91,FALSE)</f>
        <v/>
      </c>
      <c r="CM278" s="27" t="str">
        <f>VLOOKUP($A278,'[1]Raw Data'!$A$3:$FB$285,93,FALSE)</f>
        <v/>
      </c>
      <c r="CN278" s="27" t="str">
        <f>VLOOKUP($A278,'[1]Raw Data'!$A$3:$FB$285,94,FALSE)</f>
        <v/>
      </c>
      <c r="CO278" s="27" t="str">
        <f>VLOOKUP($A278,'[1]Raw Data'!$A$3:$FB$285,95,FALSE)</f>
        <v/>
      </c>
      <c r="CP278" s="27" t="str">
        <f>VLOOKUP($A278,'[1]Raw Data'!$A$3:$FB$285,96,FALSE)</f>
        <v/>
      </c>
      <c r="CQ278" s="27" t="str">
        <f>VLOOKUP($A278,'[1]Raw Data'!$A$3:$FB$285,97,FALSE)</f>
        <v/>
      </c>
      <c r="CR278" s="27" t="str">
        <f>VLOOKUP($A278,'[1]Raw Data'!$A$3:$FB$285,98,FALSE)</f>
        <v/>
      </c>
      <c r="CS278" s="27" t="str">
        <f>VLOOKUP($A278,'[1]Raw Data'!$A$3:$FB$285,99,FALSE)</f>
        <v/>
      </c>
      <c r="CT278" s="27" t="str">
        <f>VLOOKUP($A278,'[1]Raw Data'!$A$3:$FB$285,101,FALSE)</f>
        <v>RadheShyam Chaudhari</v>
      </c>
      <c r="CU278" s="27" t="s">
        <v>1500</v>
      </c>
      <c r="CV278" s="27" t="str">
        <f>VLOOKUP($A278,'[1]Raw Data'!$A$3:$FB$285,102,FALSE)</f>
        <v xml:space="preserve">Chairman </v>
      </c>
      <c r="CW278" s="27" t="s">
        <v>878</v>
      </c>
      <c r="CX278" s="27">
        <f>VLOOKUP($A278,'[1]Raw Data'!$A$3:$FB$285,103,FALSE)</f>
        <v>9847041511</v>
      </c>
      <c r="CY278" s="27" t="str">
        <f>VLOOKUP($A278,'[1]Raw Data'!$A$3:$FB$285,105,FALSE)</f>
        <v>Uttama Ray</v>
      </c>
      <c r="CZ278" s="27" t="s">
        <v>1501</v>
      </c>
      <c r="DA278" s="27" t="str">
        <f>VLOOKUP($A278,'[1]Raw Data'!$A$3:$FB$285,106,FALSE)</f>
        <v>Deputy Chairman</v>
      </c>
      <c r="DB278" s="27" t="s">
        <v>879</v>
      </c>
      <c r="DC278" s="27">
        <f>VLOOKUP($A278,'[1]Raw Data'!$A$3:$FB$285,107,FALSE)</f>
        <v>9857046185</v>
      </c>
      <c r="DD278" s="27" t="str">
        <f>VLOOKUP($A278,'[1]Raw Data'!$A$3:$FB$285,109,FALSE)</f>
        <v>Jhabishwor Regmi</v>
      </c>
      <c r="DE278" s="27" t="s">
        <v>1502</v>
      </c>
      <c r="DF278" s="27" t="str">
        <f>VLOOKUP($A278,'[1]Raw Data'!$A$3:$FB$285,110,FALSE)</f>
        <v>Chief Adminstration Officer</v>
      </c>
      <c r="DG278" s="27" t="s">
        <v>880</v>
      </c>
      <c r="DH278" s="27">
        <f>VLOOKUP($A278,'[1]Raw Data'!$A$3:$FB$285,111,FALSE)</f>
        <v>9857046266</v>
      </c>
      <c r="DI278" s="27" t="str">
        <f>VLOOKUP($A278,'[1]Raw Data'!$A$3:$FB$285,121,FALSE)</f>
        <v>Sita Paudel</v>
      </c>
      <c r="DJ278" s="27" t="s">
        <v>1461</v>
      </c>
      <c r="DK278" s="27" t="str">
        <f>VLOOKUP($A278,'[1]Raw Data'!$A$3:$FB$285,122,FALSE)</f>
        <v>Focal Person</v>
      </c>
      <c r="DL278" s="27" t="s">
        <v>881</v>
      </c>
      <c r="DM278" s="27">
        <f>VLOOKUP($A278,'[1]Raw Data'!$A$3:$FB$285,123,FALSE)</f>
        <v>9847958120</v>
      </c>
      <c r="DN278" s="27" t="str">
        <f>VLOOKUP($A278,'[1]Raw Data'!$A$3:$FB$285,113,FALSE)</f>
        <v xml:space="preserve">Rajendra  Karki </v>
      </c>
      <c r="DO278" s="27" t="s">
        <v>1211</v>
      </c>
      <c r="DP278" s="27" t="str">
        <f>VLOOKUP($A278,'[1]Raw Data'!$A$3:$FB$285,114,FALSE)</f>
        <v>NRA Chief-District</v>
      </c>
      <c r="DQ278" s="27" t="s">
        <v>882</v>
      </c>
      <c r="DR278" s="27">
        <f>VLOOKUP($A278,'[1]Raw Data'!$A$3:$FB$285,115,FALSE)</f>
        <v>9857087637</v>
      </c>
      <c r="DS278" s="27" t="str">
        <f>VLOOKUP($A278,'[1]Raw Data'!$A$3:$FB$285,117,FALSE)</f>
        <v/>
      </c>
      <c r="DU278" s="27" t="str">
        <f>VLOOKUP($A278,'[1]Raw Data'!$A$3:$FB$285,118,FALSE)</f>
        <v>DUDBC.DLPIU Chief</v>
      </c>
      <c r="DV278" s="27" t="s">
        <v>883</v>
      </c>
      <c r="DW278" s="27" t="str">
        <f>VLOOKUP($A278,'[1]Raw Data'!$A$3:$FB$285,119,FALSE)</f>
        <v/>
      </c>
      <c r="DX278" s="27" t="s">
        <v>339</v>
      </c>
      <c r="DY278" s="27" t="str">
        <f>VLOOKUP($A278,'[1]Raw Data'!$A$3:$FB$285,124,FALSE)</f>
        <v/>
      </c>
      <c r="DZ278" s="27" t="s">
        <v>884</v>
      </c>
      <c r="EA278" s="27" t="str">
        <f>VLOOKUP($A278,'[1]Raw Data'!$A$3:$FB$285,125,FALSE)</f>
        <v/>
      </c>
      <c r="EB278" s="27" t="s">
        <v>341</v>
      </c>
      <c r="EC278" s="27" t="str">
        <f>VLOOKUP($A278,'[1]Raw Data'!$A$3:$FB$285,126,FALSE)</f>
        <v/>
      </c>
      <c r="ED278" t="s">
        <v>478</v>
      </c>
      <c r="EE278" s="27" t="str">
        <f>VLOOKUP($A278,'[1]Raw Data'!$A$3:$FB$285,127,FALSE)</f>
        <v/>
      </c>
      <c r="EF278" s="27" t="s">
        <v>343</v>
      </c>
      <c r="EG278" s="27" t="str">
        <f>VLOOKUP($A278,'[1]Raw Data'!$A$3:$FB$285,128,FALSE)</f>
        <v/>
      </c>
      <c r="EH278" t="s">
        <v>344</v>
      </c>
      <c r="EI278" s="27" t="str">
        <f>VLOOKUP($A278,'[1]Raw Data'!$A$3:$FB$285,129,FALSE)</f>
        <v/>
      </c>
      <c r="EM278" s="27" t="str">
        <f>VLOOKUP($A278,'[1]Raw Data'!$A$3:$FB$285,130,FALSE)</f>
        <v/>
      </c>
      <c r="EN278" s="27" t="str">
        <f>VLOOKUP($A278,'[1]Raw Data'!$A$3:$FB$285,131,FALSE)</f>
        <v/>
      </c>
      <c r="EO278" s="27" t="str">
        <f>VLOOKUP($A278,'[1]Raw Data'!$A$3:$FB$285,132,FALSE)</f>
        <v/>
      </c>
      <c r="EP278" s="27" t="str">
        <f>VLOOKUP($A278,'[1]Raw Data'!$A$3:$FB$285,133,FALSE)</f>
        <v/>
      </c>
      <c r="EQ278" s="27" t="str">
        <f>VLOOKUP($A278,'[1]Raw Data'!$A$3:$FB$285,134,FALSE)</f>
        <v/>
      </c>
      <c r="ER278" s="27" t="str">
        <f>VLOOKUP($A278,'[1]Raw Data'!$A$3:$FB$285,135,FALSE)</f>
        <v/>
      </c>
      <c r="ES278" s="27" t="str">
        <f>VLOOKUP($A278,'[1]Raw Data'!$A$3:$FB$285,136,FALSE)</f>
        <v/>
      </c>
      <c r="ET278" s="27" t="str">
        <f>VLOOKUP($A278,'[1]Raw Data'!$A$3:$FB$285,137,FALSE)</f>
        <v/>
      </c>
      <c r="EU278" s="27" t="str">
        <f>VLOOKUP($A278,'[1]Raw Data'!$A$3:$FB$285,138,FALSE)</f>
        <v/>
      </c>
      <c r="EV278" s="27" t="str">
        <f>VLOOKUP($A278,'[1]Raw Data'!$A$3:$FB$285,139,FALSE)</f>
        <v/>
      </c>
      <c r="EW278" s="38">
        <f>VLOOKUP($A278,[1]Training!$A$2:$I$284,5,FALSE)</f>
        <v>1</v>
      </c>
      <c r="EX278" s="31">
        <f>VLOOKUP($A278,[1]Training!$A$2:$I$284,6,FALSE)</f>
        <v>0</v>
      </c>
      <c r="EY278" s="38">
        <f>VLOOKUP($A278,[1]Training!$A$2:$I$284,8,FALSE)</f>
        <v>1</v>
      </c>
      <c r="EZ278" s="31">
        <f>VLOOKUP($A278,[1]Training!$A$2:$I$284,9,FALSE)</f>
        <v>0</v>
      </c>
      <c r="FA278" s="27">
        <v>1</v>
      </c>
      <c r="FB278" s="27">
        <v>2</v>
      </c>
      <c r="FC278" s="27" t="str">
        <f>VLOOKUP($A278,'[1]Raw Data'!$A$3:$FB$285,148,FALSE)</f>
        <v>Hari Prasad Thalang</v>
      </c>
      <c r="FE278" s="27" t="str">
        <f>VLOOKUP($A278,'[1]Raw Data'!$A$3:$FB$285,149,FALSE)</f>
        <v>District Coordinator</v>
      </c>
      <c r="FF278" s="27" t="s">
        <v>885</v>
      </c>
      <c r="FG278" s="27">
        <f>VLOOKUP($A278,'[1]Raw Data'!$A$3:$FB$285,150,FALSE)</f>
        <v>9851224505</v>
      </c>
      <c r="FH278" s="27" t="str">
        <f>VLOOKUP($A278,'[1]Raw Data'!$A$3:$FB$285,156,FALSE)</f>
        <v xml:space="preserve">Kausal Bist </v>
      </c>
      <c r="FJ278" s="27" t="str">
        <f>VLOOKUP($A278,'[1]Raw Data'!$A$3:$FB$285,157,FALSE)</f>
        <v>District Technical Officer</v>
      </c>
      <c r="FK278" s="27" t="s">
        <v>886</v>
      </c>
      <c r="FL278" s="27">
        <f>VLOOKUP($A278,'[1]Raw Data'!$A$3:$FB$285,158,FALSE)</f>
        <v>9849787273</v>
      </c>
      <c r="FM278" s="27" t="str">
        <f>VLOOKUP($A278,'[1]Raw Data'!$A$3:$FB$285,152,FALSE)</f>
        <v>Nirmal Nepali</v>
      </c>
      <c r="FO278" s="27" t="str">
        <f>VLOOKUP($A278,'[1]Raw Data'!$A$3:$FB$285,153,FALSE)</f>
        <v>DIstrict Information Management Officer</v>
      </c>
      <c r="FP278" s="27" t="s">
        <v>887</v>
      </c>
      <c r="FQ278" s="27">
        <f>VLOOKUP($A278,'[1]Raw Data'!$A$3:$FB$285,154,FALSE)</f>
        <v>9848500348</v>
      </c>
    </row>
    <row r="279" spans="1:173" ht="24" x14ac:dyDescent="0.45">
      <c r="A279" s="27">
        <v>48060</v>
      </c>
      <c r="B279" s="36" t="str">
        <f ca="1">IFERROR(__xludf.DUMMYFUNCTION("""COMPUTED_VALUE"""),"Sunwal Nagarpalika")</f>
        <v>Sunwal Nagarpalika</v>
      </c>
      <c r="C279" s="37" t="str">
        <f>VLOOKUP(A279,'[1]Palika and District in Nepali '!$D$1:$F$283,3,FALSE)</f>
        <v>सुनवल गाउँपालिका</v>
      </c>
      <c r="D279" s="36" t="str">
        <f ca="1">IFERROR(__xludf.DUMMYFUNCTION("""COMPUTED_VALUE"""),"Nawalparasi")</f>
        <v>Nawalparasi</v>
      </c>
      <c r="E279" s="36"/>
      <c r="F279" s="27">
        <f>VLOOKUP(A279,'[1]Raw Data'!$A$3:$FB$285,4,FALSE)</f>
        <v>0</v>
      </c>
      <c r="G279" s="27">
        <f>VLOOKUP(A279,'[1]Raw Data'!$A$3:$FB$285,5,FALSE)</f>
        <v>2</v>
      </c>
      <c r="H279" s="27">
        <f>VLOOKUP(A279,'[1]Raw Data'!$A$3:$FB$285,6,FALSE)</f>
        <v>2</v>
      </c>
      <c r="I279" s="27">
        <f>VLOOKUP($A279,'[1]Raw Data'!$A$3:$FB$285,8,FALSE)</f>
        <v>0</v>
      </c>
      <c r="J279" s="27">
        <f>VLOOKUP($A279,'[1]Raw Data'!$A$3:$FB$285,9,FALSE)</f>
        <v>0.81</v>
      </c>
      <c r="K279" s="27">
        <f>VLOOKUP($A279,'[1]Raw Data'!$A$3:$FB$285,11,FALSE)</f>
        <v>0</v>
      </c>
      <c r="L279" s="27">
        <f>VLOOKUP($A279,'[1]Raw Data'!$A$3:$FB$285,12,FALSE)</f>
        <v>95.12</v>
      </c>
      <c r="M279" s="27">
        <f>VLOOKUP($A279,'[1]Raw Data'!$A$3:$FB$285,14,FALSE)</f>
        <v>50</v>
      </c>
      <c r="N279" s="27">
        <f>VLOOKUP($A279,'[1]Raw Data'!$A$3:$FB$285,15,FALSE)</f>
        <v>1.83</v>
      </c>
      <c r="O279" s="27">
        <f>VLOOKUP($A279,'[1]Raw Data'!$A$3:$FB$285,17,FALSE)</f>
        <v>0</v>
      </c>
      <c r="P279" s="27">
        <f>VLOOKUP($A279,'[1]Raw Data'!$A$3:$FB$285,18,FALSE)</f>
        <v>0.92</v>
      </c>
      <c r="Q279" s="27">
        <f>VLOOKUP($A279,'[1]Raw Data'!$A$3:$FB$285,20,FALSE)</f>
        <v>0</v>
      </c>
      <c r="R279" s="27">
        <f>VLOOKUP($A279,'[1]Raw Data'!$A$3:$FB$285,21,FALSE)</f>
        <v>0</v>
      </c>
      <c r="S279" s="27">
        <f>VLOOKUP($A279,'[1]Raw Data'!$A$3:$FB$285,23,FALSE)</f>
        <v>0</v>
      </c>
      <c r="T279" s="27">
        <f>VLOOKUP($A279,'[1]Raw Data'!$A$3:$FB$285,24,FALSE)</f>
        <v>0</v>
      </c>
      <c r="U279" s="27">
        <f>VLOOKUP($A279,'[1]Raw Data'!$A$3:$FB$285,26,FALSE)</f>
        <v>50</v>
      </c>
      <c r="V279" s="27">
        <f>VLOOKUP($A279,'[1]Raw Data'!$A$3:$FB$285,27,FALSE)</f>
        <v>0.92</v>
      </c>
      <c r="W279" s="27">
        <f>VLOOKUP($A279,'[1]Raw Data'!$A$3:$FB$285,29,FALSE)</f>
        <v>0</v>
      </c>
      <c r="X279" s="27">
        <f>VLOOKUP($A279,'[1]Raw Data'!$A$3:$FB$285,30,FALSE)</f>
        <v>0</v>
      </c>
      <c r="Y279" s="27">
        <f>VLOOKUP($A279,'[1]Raw Data'!$A$3:$FB$285,32,FALSE)</f>
        <v>0</v>
      </c>
      <c r="Z279" s="27">
        <f>VLOOKUP($A279,'[1]Raw Data'!$A$3:$FB$285,33,FALSE)</f>
        <v>0.31</v>
      </c>
      <c r="AA279" s="27">
        <f>VLOOKUP($A279,'[1]Raw Data'!$A$3:$FB$285,35,FALSE)</f>
        <v>0</v>
      </c>
      <c r="AB279" s="27">
        <f>VLOOKUP($A279,'[1]Raw Data'!$A$3:$FB$285,36,FALSE)</f>
        <v>0.1</v>
      </c>
      <c r="AC279" s="27">
        <f>VLOOKUP($A279,'[1]Raw Data'!$A$3:$FB$285,38,FALSE)</f>
        <v>0</v>
      </c>
      <c r="AD279" s="27">
        <f>VLOOKUP($A279,'[1]Raw Data'!$A$3:$FB$285,39,FALSE)</f>
        <v>0</v>
      </c>
      <c r="AE279" s="27">
        <f>VLOOKUP($A279,'[1]Raw Data'!$A$3:$FB$285,41,FALSE)</f>
        <v>0</v>
      </c>
      <c r="AF279" s="27">
        <f>VLOOKUP($A279,'[1]Raw Data'!$A$3:$FB$285,42,FALSE)</f>
        <v>0</v>
      </c>
      <c r="AG279" s="27">
        <f>VLOOKUP($A279,'[1]Raw Data'!$A$3:$FB$285,44,FALSE)</f>
        <v>0</v>
      </c>
      <c r="AH279" s="27">
        <f>VLOOKUP($A279,'[1]Raw Data'!$A$3:$FB$285,45,FALSE)</f>
        <v>0</v>
      </c>
      <c r="AI279" s="27">
        <f>VLOOKUP($A279,'[1]Raw Data'!$A$3:$FB$285,46,FALSE)</f>
        <v>2</v>
      </c>
      <c r="AJ279" s="27">
        <f>VLOOKUP($A279,'[1]Raw Data'!$A$3:$FB$285,47,FALSE)</f>
        <v>2</v>
      </c>
      <c r="AK279" s="27">
        <f>VLOOKUP($A279,'[1]Raw Data'!$A$3:$FB$285,48,FALSE)</f>
        <v>2</v>
      </c>
      <c r="AL279" s="27">
        <f>VLOOKUP($A279,'[1]Raw Data'!$A$3:$FB$285,49,FALSE)</f>
        <v>2</v>
      </c>
      <c r="AM279" s="27">
        <f>VLOOKUP($A279,'[1]Raw Data'!$A$3:$FB$285,50,FALSE)</f>
        <v>1</v>
      </c>
      <c r="AN279" s="27">
        <f>VLOOKUP($A279,'[1]Raw Data'!$A$3:$FB$285,51,FALSE)</f>
        <v>2</v>
      </c>
      <c r="AO279" s="27">
        <f>VLOOKUP($A279,'[1]Raw Data'!$A$3:$FB$285,52,FALSE)</f>
        <v>0</v>
      </c>
      <c r="AP279" s="27">
        <f>VLOOKUP($A279,'[1]Raw Data'!$A$3:$FB$285,53,FALSE)</f>
        <v>0</v>
      </c>
      <c r="AQ279" s="27" t="str">
        <f>VLOOKUP($A279,'[1]Raw Data'!$A$3:$FB$285,54,FALSE)</f>
        <v/>
      </c>
      <c r="AR279" s="27" t="str">
        <f>VLOOKUP($A279,'[1]Raw Data'!$A$3:$FB$285,55,FALSE)</f>
        <v/>
      </c>
      <c r="AS279" s="27" t="str">
        <f>VLOOKUP($A279,'[1]Raw Data'!$A$3:$FB$285,56,FALSE)</f>
        <v/>
      </c>
      <c r="AT279" s="27">
        <f>VLOOKUP($A279,'[1]Raw Data'!$A$3:$FB$285,57,FALSE)</f>
        <v>0</v>
      </c>
      <c r="AU279" s="27" t="str">
        <f>VLOOKUP($A279,'[1]Raw Data'!$A$3:$FB$285,58,FALSE)</f>
        <v/>
      </c>
      <c r="AV279" s="27" t="str">
        <f>VLOOKUP($A279,'[1]Raw Data'!$A$3:$FB$285,59,FALSE)</f>
        <v/>
      </c>
      <c r="AW279" s="27" t="str">
        <f>VLOOKUP($A279,'[1]Raw Data'!$A$3:$FB$285,60,FALSE)</f>
        <v/>
      </c>
      <c r="AX279" s="27" t="str">
        <f>VLOOKUP(A279,'[1]PO''s List'!A277:E559,4,FALSE)</f>
        <v/>
      </c>
      <c r="AZ279" s="27" t="str">
        <f>VLOOKUP(A279,'[1]PO''s List'!$A$3:$E$285,5,FALSE)</f>
        <v/>
      </c>
      <c r="BB279" s="27">
        <f>VLOOKUP($A279,'[1]Raw Data'!$A$3:$FB$285,63,FALSE)</f>
        <v>28</v>
      </c>
      <c r="BC279" s="27" t="str">
        <f>VLOOKUP($A279,'[1]Raw Data'!$A$3:$FB$285,64,FALSE)</f>
        <v/>
      </c>
      <c r="BD279" s="27" t="str">
        <f t="shared" si="36"/>
        <v/>
      </c>
      <c r="BE279" s="27" t="str">
        <f>VLOOKUP($A279,'[1]Raw Data'!$A$3:$FB$285,65,FALSE)</f>
        <v/>
      </c>
      <c r="BF279" s="27">
        <f>VLOOKUP($A279,'[1]Raw Data'!$A$3:$FB$285,66,FALSE)</f>
        <v>30</v>
      </c>
      <c r="BG279" s="27" t="str">
        <f>VLOOKUP($A279,'[1]Raw Data'!$A$3:$FB$285,67,FALSE)</f>
        <v/>
      </c>
      <c r="BH279" s="27" t="str">
        <f t="shared" si="37"/>
        <v/>
      </c>
      <c r="BI279" s="27" t="str">
        <f>VLOOKUP($A279,'[1]Raw Data'!$A$3:$FB$285,68,FALSE)</f>
        <v/>
      </c>
      <c r="BJ279" s="27">
        <f>VLOOKUP($A279,'[1]Raw Data'!$A$3:$FB$285,69,FALSE)</f>
        <v>3</v>
      </c>
      <c r="BK279" s="27" t="str">
        <f>VLOOKUP($A279,'[1]Raw Data'!$A$3:$FB$285,70,FALSE)</f>
        <v/>
      </c>
      <c r="BL279" s="27" t="str">
        <f t="shared" si="38"/>
        <v/>
      </c>
      <c r="BM279" s="27" t="str">
        <f>VLOOKUP($A279,'[1]Raw Data'!$A$3:$FB$285,71,FALSE)</f>
        <v/>
      </c>
      <c r="BN279" s="27">
        <f>VLOOKUP($A279,'[1]Raw Data'!$A$3:$FB$285,72,FALSE)</f>
        <v>4</v>
      </c>
      <c r="BO279" s="27" t="str">
        <f>VLOOKUP($A279,'[1]Raw Data'!$A$3:$FB$285,73,FALSE)</f>
        <v/>
      </c>
      <c r="BP279" s="27" t="str">
        <f t="shared" si="39"/>
        <v/>
      </c>
      <c r="BQ279" s="27" t="str">
        <f>VLOOKUP($A279,'[1]Raw Data'!$A$3:$FB$285,74,FALSE)</f>
        <v/>
      </c>
      <c r="BR279" s="27" t="str">
        <f>VLOOKUP($A279,'[1]Raw Data'!$A$3:$FB$285,75,FALSE)</f>
        <v/>
      </c>
      <c r="BS279" s="27" t="str">
        <f>VLOOKUP($A279,'[1]Raw Data'!$A$3:$FB$285,76,FALSE)</f>
        <v/>
      </c>
      <c r="BT279" s="27" t="str">
        <f t="shared" si="40"/>
        <v/>
      </c>
      <c r="BU279" s="27" t="str">
        <f>VLOOKUP($A279,'[1]Raw Data'!$A$3:$FB$285,77,FALSE)</f>
        <v/>
      </c>
      <c r="BV279" s="27">
        <f>VLOOKUP($A279,'[1]Raw Data'!$A$3:$FB$285,78,FALSE)</f>
        <v>98</v>
      </c>
      <c r="BW279" s="27" t="str">
        <f>VLOOKUP($A279,'[1]Raw Data'!$A$3:$FB$285,79,FALSE)</f>
        <v/>
      </c>
      <c r="BX279" s="27" t="str">
        <f t="shared" si="41"/>
        <v/>
      </c>
      <c r="BY279" s="27" t="str">
        <f>VLOOKUP($A279,'[1]Raw Data'!$A$3:$FB$285,80,FALSE)</f>
        <v/>
      </c>
      <c r="BZ279" s="27">
        <f>VLOOKUP($A279,'[1]Raw Data'!$A$3:$FB$285,81,FALSE)</f>
        <v>300</v>
      </c>
      <c r="CA279" s="27" t="str">
        <f>VLOOKUP($A279,'[1]Raw Data'!$A$3:$FB$285,82,FALSE)</f>
        <v/>
      </c>
      <c r="CB279" s="27" t="str">
        <f t="shared" si="42"/>
        <v/>
      </c>
      <c r="CC279" s="27" t="str">
        <f>VLOOKUP($A279,'[1]Raw Data'!$A$3:$FB$285,83,FALSE)</f>
        <v/>
      </c>
      <c r="CD279" s="27">
        <f>VLOOKUP($A279,'[1]Raw Data'!$A$3:$FB$285,84,FALSE)</f>
        <v>4</v>
      </c>
      <c r="CE279" s="27" t="str">
        <f>VLOOKUP($A279,'[1]Raw Data'!$A$3:$FB$285,85,FALSE)</f>
        <v/>
      </c>
      <c r="CF279" s="27" t="str">
        <f t="shared" si="43"/>
        <v/>
      </c>
      <c r="CG279" s="27" t="str">
        <f>VLOOKUP($A279,'[1]Raw Data'!$A$3:$FB$285,86,FALSE)</f>
        <v/>
      </c>
      <c r="CH279" s="27">
        <f>VLOOKUP($A279,'[1]Raw Data'!$A$3:$FB$285,87,FALSE)</f>
        <v>0</v>
      </c>
      <c r="CI279" s="27" t="str">
        <f>VLOOKUP($A279,'[1]Raw Data'!$A$3:$FB$285,88,FALSE)</f>
        <v/>
      </c>
      <c r="CJ279" s="27" t="str">
        <f t="shared" si="44"/>
        <v/>
      </c>
      <c r="CK279" s="27" t="str">
        <f>VLOOKUP($A279,'[1]Raw Data'!$A$3:$FB$285,89,FALSE)</f>
        <v/>
      </c>
      <c r="CL279" s="27" t="str">
        <f>VLOOKUP($A279,'[1]Raw Data'!$A$3:$FB$285,91,FALSE)</f>
        <v/>
      </c>
      <c r="CM279" s="27" t="str">
        <f>VLOOKUP($A279,'[1]Raw Data'!$A$3:$FB$285,93,FALSE)</f>
        <v/>
      </c>
      <c r="CN279" s="27" t="str">
        <f>VLOOKUP($A279,'[1]Raw Data'!$A$3:$FB$285,94,FALSE)</f>
        <v/>
      </c>
      <c r="CO279" s="27" t="str">
        <f>VLOOKUP($A279,'[1]Raw Data'!$A$3:$FB$285,95,FALSE)</f>
        <v/>
      </c>
      <c r="CP279" s="27" t="str">
        <f>VLOOKUP($A279,'[1]Raw Data'!$A$3:$FB$285,96,FALSE)</f>
        <v/>
      </c>
      <c r="CQ279" s="27" t="str">
        <f>VLOOKUP($A279,'[1]Raw Data'!$A$3:$FB$285,97,FALSE)</f>
        <v/>
      </c>
      <c r="CR279" s="27" t="str">
        <f>VLOOKUP($A279,'[1]Raw Data'!$A$3:$FB$285,98,FALSE)</f>
        <v/>
      </c>
      <c r="CS279" s="27" t="str">
        <f>VLOOKUP($A279,'[1]Raw Data'!$A$3:$FB$285,99,FALSE)</f>
        <v/>
      </c>
      <c r="CT279" s="27" t="str">
        <f>VLOOKUP($A279,'[1]Raw Data'!$A$3:$FB$285,101,FALSE)</f>
        <v>Bhumi Bahadur Thapa</v>
      </c>
      <c r="CU279" s="27" t="s">
        <v>1503</v>
      </c>
      <c r="CV279" s="27" t="str">
        <f>VLOOKUP($A279,'[1]Raw Data'!$A$3:$FB$285,102,FALSE)</f>
        <v>Mayor</v>
      </c>
      <c r="CW279" s="27" t="s">
        <v>834</v>
      </c>
      <c r="CX279" s="27">
        <f>VLOOKUP($A279,'[1]Raw Data'!$A$3:$FB$285,103,FALSE)</f>
        <v>9857021658</v>
      </c>
      <c r="CY279" s="27" t="str">
        <f>VLOOKUP($A279,'[1]Raw Data'!$A$3:$FB$285,105,FALSE)</f>
        <v>Dadhi Ram Aryal</v>
      </c>
      <c r="CZ279" s="27" t="s">
        <v>1504</v>
      </c>
      <c r="DA279" s="27" t="str">
        <f>VLOOKUP($A279,'[1]Raw Data'!$A$3:$FB$285,106,FALSE)</f>
        <v>Deputy Mayor</v>
      </c>
      <c r="DB279" s="27" t="s">
        <v>888</v>
      </c>
      <c r="DC279" s="27">
        <f>VLOOKUP($A279,'[1]Raw Data'!$A$3:$FB$285,107,FALSE)</f>
        <v>9857045561</v>
      </c>
      <c r="DD279" s="27" t="str">
        <f>VLOOKUP($A279,'[1]Raw Data'!$A$3:$FB$285,109,FALSE)</f>
        <v>Ram lal Shrestha</v>
      </c>
      <c r="DE279" s="27" t="s">
        <v>1505</v>
      </c>
      <c r="DF279" s="27" t="str">
        <f>VLOOKUP($A279,'[1]Raw Data'!$A$3:$FB$285,110,FALSE)</f>
        <v>Chief Adminstration Officer</v>
      </c>
      <c r="DG279" s="27" t="s">
        <v>880</v>
      </c>
      <c r="DH279" s="27">
        <f>VLOOKUP($A279,'[1]Raw Data'!$A$3:$FB$285,111,FALSE)</f>
        <v>9857638111</v>
      </c>
      <c r="DI279" s="27" t="str">
        <f>VLOOKUP($A279,'[1]Raw Data'!$A$3:$FB$285,121,FALSE)</f>
        <v>Sita Paudel</v>
      </c>
      <c r="DJ279" s="27" t="s">
        <v>1461</v>
      </c>
      <c r="DK279" s="27" t="str">
        <f>VLOOKUP($A279,'[1]Raw Data'!$A$3:$FB$285,122,FALSE)</f>
        <v>Focal Person</v>
      </c>
      <c r="DL279" s="27" t="s">
        <v>881</v>
      </c>
      <c r="DM279" s="27">
        <f>VLOOKUP($A279,'[1]Raw Data'!$A$3:$FB$285,123,FALSE)</f>
        <v>9847958120</v>
      </c>
      <c r="DN279" s="27" t="str">
        <f>VLOOKUP($A279,'[1]Raw Data'!$A$3:$FB$285,113,FALSE)</f>
        <v xml:space="preserve">Rajendra  Karki </v>
      </c>
      <c r="DO279" s="27" t="s">
        <v>1211</v>
      </c>
      <c r="DP279" s="27" t="str">
        <f>VLOOKUP($A279,'[1]Raw Data'!$A$3:$FB$285,114,FALSE)</f>
        <v>NRA Chief-District</v>
      </c>
      <c r="DQ279" s="27" t="s">
        <v>882</v>
      </c>
      <c r="DR279" s="27">
        <f>VLOOKUP($A279,'[1]Raw Data'!$A$3:$FB$285,115,FALSE)</f>
        <v>9857087637</v>
      </c>
      <c r="DS279" s="27" t="str">
        <f>VLOOKUP($A279,'[1]Raw Data'!$A$3:$FB$285,117,FALSE)</f>
        <v/>
      </c>
      <c r="DU279" s="27" t="str">
        <f>VLOOKUP($A279,'[1]Raw Data'!$A$3:$FB$285,118,FALSE)</f>
        <v>DUDBC.DLPIU Chief</v>
      </c>
      <c r="DV279" s="27" t="s">
        <v>883</v>
      </c>
      <c r="DW279" s="27" t="str">
        <f>VLOOKUP($A279,'[1]Raw Data'!$A$3:$FB$285,119,FALSE)</f>
        <v/>
      </c>
      <c r="DX279" s="27" t="s">
        <v>339</v>
      </c>
      <c r="DY279" s="27" t="str">
        <f>VLOOKUP($A279,'[1]Raw Data'!$A$3:$FB$285,124,FALSE)</f>
        <v/>
      </c>
      <c r="DZ279" s="27" t="s">
        <v>884</v>
      </c>
      <c r="EA279" s="27" t="str">
        <f>VLOOKUP($A279,'[1]Raw Data'!$A$3:$FB$285,125,FALSE)</f>
        <v/>
      </c>
      <c r="EB279" s="27" t="s">
        <v>341</v>
      </c>
      <c r="EC279" s="27" t="str">
        <f>VLOOKUP($A279,'[1]Raw Data'!$A$3:$FB$285,126,FALSE)</f>
        <v/>
      </c>
      <c r="ED279" t="s">
        <v>478</v>
      </c>
      <c r="EE279" s="27" t="str">
        <f>VLOOKUP($A279,'[1]Raw Data'!$A$3:$FB$285,127,FALSE)</f>
        <v/>
      </c>
      <c r="EF279" s="27" t="s">
        <v>343</v>
      </c>
      <c r="EG279" s="27" t="str">
        <f>VLOOKUP($A279,'[1]Raw Data'!$A$3:$FB$285,128,FALSE)</f>
        <v/>
      </c>
      <c r="EH279" t="s">
        <v>344</v>
      </c>
      <c r="EI279" s="27" t="str">
        <f>VLOOKUP($A279,'[1]Raw Data'!$A$3:$FB$285,129,FALSE)</f>
        <v/>
      </c>
      <c r="EM279" s="27" t="str">
        <f>VLOOKUP($A279,'[1]Raw Data'!$A$3:$FB$285,130,FALSE)</f>
        <v/>
      </c>
      <c r="EN279" s="27" t="str">
        <f>VLOOKUP($A279,'[1]Raw Data'!$A$3:$FB$285,131,FALSE)</f>
        <v/>
      </c>
      <c r="EO279" s="27" t="str">
        <f>VLOOKUP($A279,'[1]Raw Data'!$A$3:$FB$285,132,FALSE)</f>
        <v/>
      </c>
      <c r="EP279" s="27" t="str">
        <f>VLOOKUP($A279,'[1]Raw Data'!$A$3:$FB$285,133,FALSE)</f>
        <v/>
      </c>
      <c r="EQ279" s="27" t="str">
        <f>VLOOKUP($A279,'[1]Raw Data'!$A$3:$FB$285,134,FALSE)</f>
        <v/>
      </c>
      <c r="ER279" s="27" t="str">
        <f>VLOOKUP($A279,'[1]Raw Data'!$A$3:$FB$285,135,FALSE)</f>
        <v/>
      </c>
      <c r="ES279" s="27" t="str">
        <f>VLOOKUP($A279,'[1]Raw Data'!$A$3:$FB$285,136,FALSE)</f>
        <v/>
      </c>
      <c r="ET279" s="27" t="str">
        <f>VLOOKUP($A279,'[1]Raw Data'!$A$3:$FB$285,137,FALSE)</f>
        <v/>
      </c>
      <c r="EU279" s="27" t="str">
        <f>VLOOKUP($A279,'[1]Raw Data'!$A$3:$FB$285,138,FALSE)</f>
        <v/>
      </c>
      <c r="EV279" s="27" t="str">
        <f>VLOOKUP($A279,'[1]Raw Data'!$A$3:$FB$285,139,FALSE)</f>
        <v/>
      </c>
      <c r="EW279" s="38">
        <f>VLOOKUP($A279,[1]Training!$A$2:$I$284,5,FALSE)</f>
        <v>1</v>
      </c>
      <c r="EX279" s="31">
        <f>VLOOKUP($A279,[1]Training!$A$2:$I$284,6,FALSE)</f>
        <v>0</v>
      </c>
      <c r="EY279" s="38">
        <f>VLOOKUP($A279,[1]Training!$A$2:$I$284,8,FALSE)</f>
        <v>1</v>
      </c>
      <c r="EZ279" s="31">
        <f>VLOOKUP($A279,[1]Training!$A$2:$I$284,9,FALSE)</f>
        <v>0</v>
      </c>
      <c r="FA279" s="27">
        <v>1</v>
      </c>
      <c r="FB279" s="27">
        <v>2</v>
      </c>
      <c r="FC279" s="27" t="str">
        <f>VLOOKUP($A279,'[1]Raw Data'!$A$3:$FB$285,148,FALSE)</f>
        <v>Hari Prasad Thalang</v>
      </c>
      <c r="FE279" s="27" t="str">
        <f>VLOOKUP($A279,'[1]Raw Data'!$A$3:$FB$285,149,FALSE)</f>
        <v>District Coordinator</v>
      </c>
      <c r="FF279" s="27" t="s">
        <v>885</v>
      </c>
      <c r="FG279" s="27">
        <f>VLOOKUP($A279,'[1]Raw Data'!$A$3:$FB$285,150,FALSE)</f>
        <v>9851224505</v>
      </c>
      <c r="FH279" s="27" t="str">
        <f>VLOOKUP($A279,'[1]Raw Data'!$A$3:$FB$285,156,FALSE)</f>
        <v xml:space="preserve">Kausal Bist </v>
      </c>
      <c r="FJ279" s="27" t="str">
        <f>VLOOKUP($A279,'[1]Raw Data'!$A$3:$FB$285,157,FALSE)</f>
        <v>District Technical Officer</v>
      </c>
      <c r="FK279" s="27" t="s">
        <v>886</v>
      </c>
      <c r="FL279" s="27">
        <f>VLOOKUP($A279,'[1]Raw Data'!$A$3:$FB$285,158,FALSE)</f>
        <v>9849787273</v>
      </c>
      <c r="FM279" s="27" t="str">
        <f>VLOOKUP($A279,'[1]Raw Data'!$A$3:$FB$285,152,FALSE)</f>
        <v>Nirmal Nepali</v>
      </c>
      <c r="FO279" s="27" t="str">
        <f>VLOOKUP($A279,'[1]Raw Data'!$A$3:$FB$285,153,FALSE)</f>
        <v>DIstrict Information Management Officer</v>
      </c>
      <c r="FP279" s="27" t="s">
        <v>887</v>
      </c>
      <c r="FQ279" s="27">
        <f>VLOOKUP($A279,'[1]Raw Data'!$A$3:$FB$285,154,FALSE)</f>
        <v>9848500348</v>
      </c>
    </row>
    <row r="280" spans="1:173" ht="24" x14ac:dyDescent="0.45">
      <c r="A280" s="27">
        <v>48070</v>
      </c>
      <c r="B280" s="36" t="str">
        <f ca="1">IFERROR(__xludf.DUMMYFUNCTION("""COMPUTED_VALUE"""),"Susta Gaunpalika")</f>
        <v>Susta Gaunpalika</v>
      </c>
      <c r="C280" s="37" t="str">
        <f>VLOOKUP(A280,'[1]Palika and District in Nepali '!$D$1:$F$283,3,FALSE)</f>
        <v>सुस्ता गाउँपालिका</v>
      </c>
      <c r="D280" s="36" t="str">
        <f ca="1">IFERROR(__xludf.DUMMYFUNCTION("""COMPUTED_VALUE"""),"Nawalparasi")</f>
        <v>Nawalparasi</v>
      </c>
      <c r="E280" s="36"/>
      <c r="F280" s="27">
        <f>VLOOKUP(A280,'[1]Raw Data'!$A$3:$FB$285,4,FALSE)</f>
        <v>0</v>
      </c>
      <c r="G280" s="27">
        <f>VLOOKUP(A280,'[1]Raw Data'!$A$3:$FB$285,5,FALSE)</f>
        <v>2</v>
      </c>
      <c r="H280" s="27">
        <f>VLOOKUP(A280,'[1]Raw Data'!$A$3:$FB$285,6,FALSE)</f>
        <v>2</v>
      </c>
      <c r="I280" s="27">
        <f>VLOOKUP($A280,'[1]Raw Data'!$A$3:$FB$285,8,FALSE)</f>
        <v>0</v>
      </c>
      <c r="J280" s="27">
        <f>VLOOKUP($A280,'[1]Raw Data'!$A$3:$FB$285,9,FALSE)</f>
        <v>0.81</v>
      </c>
      <c r="K280" s="27">
        <f>VLOOKUP($A280,'[1]Raw Data'!$A$3:$FB$285,11,FALSE)</f>
        <v>100</v>
      </c>
      <c r="L280" s="27">
        <f>VLOOKUP($A280,'[1]Raw Data'!$A$3:$FB$285,12,FALSE)</f>
        <v>95.12</v>
      </c>
      <c r="M280" s="27">
        <f>VLOOKUP($A280,'[1]Raw Data'!$A$3:$FB$285,14,FALSE)</f>
        <v>0</v>
      </c>
      <c r="N280" s="27">
        <f>VLOOKUP($A280,'[1]Raw Data'!$A$3:$FB$285,15,FALSE)</f>
        <v>1.83</v>
      </c>
      <c r="O280" s="27">
        <f>VLOOKUP($A280,'[1]Raw Data'!$A$3:$FB$285,17,FALSE)</f>
        <v>0</v>
      </c>
      <c r="P280" s="27">
        <f>VLOOKUP($A280,'[1]Raw Data'!$A$3:$FB$285,18,FALSE)</f>
        <v>0.92</v>
      </c>
      <c r="Q280" s="27">
        <f>VLOOKUP($A280,'[1]Raw Data'!$A$3:$FB$285,20,FALSE)</f>
        <v>0</v>
      </c>
      <c r="R280" s="27">
        <f>VLOOKUP($A280,'[1]Raw Data'!$A$3:$FB$285,21,FALSE)</f>
        <v>0</v>
      </c>
      <c r="S280" s="27">
        <f>VLOOKUP($A280,'[1]Raw Data'!$A$3:$FB$285,23,FALSE)</f>
        <v>0</v>
      </c>
      <c r="T280" s="27">
        <f>VLOOKUP($A280,'[1]Raw Data'!$A$3:$FB$285,24,FALSE)</f>
        <v>0</v>
      </c>
      <c r="U280" s="27">
        <f>VLOOKUP($A280,'[1]Raw Data'!$A$3:$FB$285,26,FALSE)</f>
        <v>0</v>
      </c>
      <c r="V280" s="27">
        <f>VLOOKUP($A280,'[1]Raw Data'!$A$3:$FB$285,27,FALSE)</f>
        <v>0.92</v>
      </c>
      <c r="W280" s="27">
        <f>VLOOKUP($A280,'[1]Raw Data'!$A$3:$FB$285,29,FALSE)</f>
        <v>0</v>
      </c>
      <c r="X280" s="27">
        <f>VLOOKUP($A280,'[1]Raw Data'!$A$3:$FB$285,30,FALSE)</f>
        <v>0</v>
      </c>
      <c r="Y280" s="27">
        <f>VLOOKUP($A280,'[1]Raw Data'!$A$3:$FB$285,32,FALSE)</f>
        <v>0</v>
      </c>
      <c r="Z280" s="27">
        <f>VLOOKUP($A280,'[1]Raw Data'!$A$3:$FB$285,33,FALSE)</f>
        <v>0.31</v>
      </c>
      <c r="AA280" s="27">
        <f>VLOOKUP($A280,'[1]Raw Data'!$A$3:$FB$285,35,FALSE)</f>
        <v>0</v>
      </c>
      <c r="AB280" s="27">
        <f>VLOOKUP($A280,'[1]Raw Data'!$A$3:$FB$285,36,FALSE)</f>
        <v>0.1</v>
      </c>
      <c r="AC280" s="27">
        <f>VLOOKUP($A280,'[1]Raw Data'!$A$3:$FB$285,38,FALSE)</f>
        <v>0</v>
      </c>
      <c r="AD280" s="27">
        <f>VLOOKUP($A280,'[1]Raw Data'!$A$3:$FB$285,39,FALSE)</f>
        <v>0</v>
      </c>
      <c r="AE280" s="27">
        <f>VLOOKUP($A280,'[1]Raw Data'!$A$3:$FB$285,41,FALSE)</f>
        <v>0</v>
      </c>
      <c r="AF280" s="27">
        <f>VLOOKUP($A280,'[1]Raw Data'!$A$3:$FB$285,42,FALSE)</f>
        <v>0</v>
      </c>
      <c r="AG280" s="27">
        <f>VLOOKUP($A280,'[1]Raw Data'!$A$3:$FB$285,44,FALSE)</f>
        <v>0</v>
      </c>
      <c r="AH280" s="27">
        <f>VLOOKUP($A280,'[1]Raw Data'!$A$3:$FB$285,45,FALSE)</f>
        <v>0</v>
      </c>
      <c r="AI280" s="27">
        <f>VLOOKUP($A280,'[1]Raw Data'!$A$3:$FB$285,46,FALSE)</f>
        <v>3</v>
      </c>
      <c r="AJ280" s="27">
        <f>VLOOKUP($A280,'[1]Raw Data'!$A$3:$FB$285,47,FALSE)</f>
        <v>3</v>
      </c>
      <c r="AK280" s="27">
        <f>VLOOKUP($A280,'[1]Raw Data'!$A$3:$FB$285,48,FALSE)</f>
        <v>3</v>
      </c>
      <c r="AL280" s="27">
        <f>VLOOKUP($A280,'[1]Raw Data'!$A$3:$FB$285,49,FALSE)</f>
        <v>1</v>
      </c>
      <c r="AM280" s="27">
        <f>VLOOKUP($A280,'[1]Raw Data'!$A$3:$FB$285,50,FALSE)</f>
        <v>1</v>
      </c>
      <c r="AN280" s="27">
        <f>VLOOKUP($A280,'[1]Raw Data'!$A$3:$FB$285,51,FALSE)</f>
        <v>1</v>
      </c>
      <c r="AO280" s="27">
        <f>VLOOKUP($A280,'[1]Raw Data'!$A$3:$FB$285,52,FALSE)</f>
        <v>0</v>
      </c>
      <c r="AP280" s="27">
        <f>VLOOKUP($A280,'[1]Raw Data'!$A$3:$FB$285,53,FALSE)</f>
        <v>0</v>
      </c>
      <c r="AQ280" s="27" t="str">
        <f>VLOOKUP($A280,'[1]Raw Data'!$A$3:$FB$285,54,FALSE)</f>
        <v/>
      </c>
      <c r="AR280" s="27" t="str">
        <f>VLOOKUP($A280,'[1]Raw Data'!$A$3:$FB$285,55,FALSE)</f>
        <v/>
      </c>
      <c r="AS280" s="27" t="str">
        <f>VLOOKUP($A280,'[1]Raw Data'!$A$3:$FB$285,56,FALSE)</f>
        <v/>
      </c>
      <c r="AT280" s="27">
        <f>VLOOKUP($A280,'[1]Raw Data'!$A$3:$FB$285,57,FALSE)</f>
        <v>0</v>
      </c>
      <c r="AU280" s="27" t="str">
        <f>VLOOKUP($A280,'[1]Raw Data'!$A$3:$FB$285,58,FALSE)</f>
        <v/>
      </c>
      <c r="AV280" s="27" t="str">
        <f>VLOOKUP($A280,'[1]Raw Data'!$A$3:$FB$285,59,FALSE)</f>
        <v/>
      </c>
      <c r="AW280" s="27" t="str">
        <f>VLOOKUP($A280,'[1]Raw Data'!$A$3:$FB$285,60,FALSE)</f>
        <v/>
      </c>
      <c r="AX280" s="27" t="str">
        <f>VLOOKUP(A280,'[1]PO''s List'!A278:E560,4,FALSE)</f>
        <v/>
      </c>
      <c r="AZ280" s="27" t="str">
        <f>VLOOKUP(A280,'[1]PO''s List'!$A$3:$E$285,5,FALSE)</f>
        <v/>
      </c>
      <c r="BB280" s="27">
        <f>VLOOKUP($A280,'[1]Raw Data'!$A$3:$FB$285,63,FALSE)</f>
        <v>89</v>
      </c>
      <c r="BC280" s="27" t="str">
        <f>VLOOKUP($A280,'[1]Raw Data'!$A$3:$FB$285,64,FALSE)</f>
        <v/>
      </c>
      <c r="BD280" s="27" t="str">
        <f t="shared" si="36"/>
        <v/>
      </c>
      <c r="BE280" s="27" t="str">
        <f>VLOOKUP($A280,'[1]Raw Data'!$A$3:$FB$285,65,FALSE)</f>
        <v/>
      </c>
      <c r="BF280" s="27">
        <f>VLOOKUP($A280,'[1]Raw Data'!$A$3:$FB$285,66,FALSE)</f>
        <v>87</v>
      </c>
      <c r="BG280" s="27" t="str">
        <f>VLOOKUP($A280,'[1]Raw Data'!$A$3:$FB$285,67,FALSE)</f>
        <v/>
      </c>
      <c r="BH280" s="27" t="str">
        <f t="shared" si="37"/>
        <v/>
      </c>
      <c r="BI280" s="27" t="str">
        <f>VLOOKUP($A280,'[1]Raw Data'!$A$3:$FB$285,68,FALSE)</f>
        <v/>
      </c>
      <c r="BJ280" s="27">
        <f>VLOOKUP($A280,'[1]Raw Data'!$A$3:$FB$285,69,FALSE)</f>
        <v>9</v>
      </c>
      <c r="BK280" s="27" t="str">
        <f>VLOOKUP($A280,'[1]Raw Data'!$A$3:$FB$285,70,FALSE)</f>
        <v/>
      </c>
      <c r="BL280" s="27" t="str">
        <f t="shared" si="38"/>
        <v/>
      </c>
      <c r="BM280" s="27" t="str">
        <f>VLOOKUP($A280,'[1]Raw Data'!$A$3:$FB$285,71,FALSE)</f>
        <v/>
      </c>
      <c r="BN280" s="27">
        <f>VLOOKUP($A280,'[1]Raw Data'!$A$3:$FB$285,72,FALSE)</f>
        <v>11</v>
      </c>
      <c r="BO280" s="27" t="str">
        <f>VLOOKUP($A280,'[1]Raw Data'!$A$3:$FB$285,73,FALSE)</f>
        <v/>
      </c>
      <c r="BP280" s="27" t="str">
        <f t="shared" si="39"/>
        <v/>
      </c>
      <c r="BQ280" s="27" t="str">
        <f>VLOOKUP($A280,'[1]Raw Data'!$A$3:$FB$285,74,FALSE)</f>
        <v/>
      </c>
      <c r="BR280" s="27" t="str">
        <f>VLOOKUP($A280,'[1]Raw Data'!$A$3:$FB$285,75,FALSE)</f>
        <v/>
      </c>
      <c r="BS280" s="27" t="str">
        <f>VLOOKUP($A280,'[1]Raw Data'!$A$3:$FB$285,76,FALSE)</f>
        <v/>
      </c>
      <c r="BT280" s="27" t="str">
        <f t="shared" si="40"/>
        <v/>
      </c>
      <c r="BU280" s="27" t="str">
        <f>VLOOKUP($A280,'[1]Raw Data'!$A$3:$FB$285,77,FALSE)</f>
        <v/>
      </c>
      <c r="BV280" s="27">
        <f>VLOOKUP($A280,'[1]Raw Data'!$A$3:$FB$285,78,FALSE)</f>
        <v>292</v>
      </c>
      <c r="BW280" s="27" t="str">
        <f>VLOOKUP($A280,'[1]Raw Data'!$A$3:$FB$285,79,FALSE)</f>
        <v/>
      </c>
      <c r="BX280" s="27" t="str">
        <f t="shared" si="41"/>
        <v/>
      </c>
      <c r="BY280" s="27" t="str">
        <f>VLOOKUP($A280,'[1]Raw Data'!$A$3:$FB$285,80,FALSE)</f>
        <v/>
      </c>
      <c r="BZ280" s="27">
        <f>VLOOKUP($A280,'[1]Raw Data'!$A$3:$FB$285,81,FALSE)</f>
        <v>975</v>
      </c>
      <c r="CA280" s="27" t="str">
        <f>VLOOKUP($A280,'[1]Raw Data'!$A$3:$FB$285,82,FALSE)</f>
        <v/>
      </c>
      <c r="CB280" s="27" t="str">
        <f t="shared" si="42"/>
        <v/>
      </c>
      <c r="CC280" s="27" t="str">
        <f>VLOOKUP($A280,'[1]Raw Data'!$A$3:$FB$285,83,FALSE)</f>
        <v/>
      </c>
      <c r="CD280" s="27">
        <f>VLOOKUP($A280,'[1]Raw Data'!$A$3:$FB$285,84,FALSE)</f>
        <v>12</v>
      </c>
      <c r="CE280" s="27" t="str">
        <f>VLOOKUP($A280,'[1]Raw Data'!$A$3:$FB$285,85,FALSE)</f>
        <v/>
      </c>
      <c r="CF280" s="27" t="str">
        <f t="shared" si="43"/>
        <v/>
      </c>
      <c r="CG280" s="27" t="str">
        <f>VLOOKUP($A280,'[1]Raw Data'!$A$3:$FB$285,86,FALSE)</f>
        <v/>
      </c>
      <c r="CH280" s="27">
        <f>VLOOKUP($A280,'[1]Raw Data'!$A$3:$FB$285,87,FALSE)</f>
        <v>1519</v>
      </c>
      <c r="CI280" s="27" t="str">
        <f>VLOOKUP($A280,'[1]Raw Data'!$A$3:$FB$285,88,FALSE)</f>
        <v/>
      </c>
      <c r="CJ280" s="27" t="str">
        <f t="shared" si="44"/>
        <v/>
      </c>
      <c r="CK280" s="27" t="str">
        <f>VLOOKUP($A280,'[1]Raw Data'!$A$3:$FB$285,89,FALSE)</f>
        <v/>
      </c>
      <c r="CL280" s="27" t="str">
        <f>VLOOKUP($A280,'[1]Raw Data'!$A$3:$FB$285,91,FALSE)</f>
        <v/>
      </c>
      <c r="CM280" s="27" t="str">
        <f>VLOOKUP($A280,'[1]Raw Data'!$A$3:$FB$285,93,FALSE)</f>
        <v/>
      </c>
      <c r="CN280" s="27" t="str">
        <f>VLOOKUP($A280,'[1]Raw Data'!$A$3:$FB$285,94,FALSE)</f>
        <v/>
      </c>
      <c r="CO280" s="27" t="str">
        <f>VLOOKUP($A280,'[1]Raw Data'!$A$3:$FB$285,95,FALSE)</f>
        <v/>
      </c>
      <c r="CP280" s="27" t="str">
        <f>VLOOKUP($A280,'[1]Raw Data'!$A$3:$FB$285,96,FALSE)</f>
        <v/>
      </c>
      <c r="CQ280" s="27" t="str">
        <f>VLOOKUP($A280,'[1]Raw Data'!$A$3:$FB$285,97,FALSE)</f>
        <v/>
      </c>
      <c r="CR280" s="27" t="str">
        <f>VLOOKUP($A280,'[1]Raw Data'!$A$3:$FB$285,98,FALSE)</f>
        <v/>
      </c>
      <c r="CS280" s="27" t="str">
        <f>VLOOKUP($A280,'[1]Raw Data'!$A$3:$FB$285,99,FALSE)</f>
        <v/>
      </c>
      <c r="CT280" s="27" t="str">
        <f>VLOOKUP($A280,'[1]Raw Data'!$A$3:$FB$285,101,FALSE)</f>
        <v>Ram Prasad Pandey</v>
      </c>
      <c r="CU280" s="27" t="s">
        <v>1506</v>
      </c>
      <c r="CV280" s="27" t="str">
        <f>VLOOKUP($A280,'[1]Raw Data'!$A$3:$FB$285,102,FALSE)</f>
        <v xml:space="preserve">Chairman </v>
      </c>
      <c r="CW280" s="27" t="s">
        <v>878</v>
      </c>
      <c r="CX280" s="27">
        <f>VLOOKUP($A280,'[1]Raw Data'!$A$3:$FB$285,103,FALSE)</f>
        <v>9857080137</v>
      </c>
      <c r="CY280" s="27" t="str">
        <f>VLOOKUP($A280,'[1]Raw Data'!$A$3:$FB$285,105,FALSE)</f>
        <v>Indra Kumari Tharuni</v>
      </c>
      <c r="CZ280" s="27" t="s">
        <v>1507</v>
      </c>
      <c r="DA280" s="27" t="str">
        <f>VLOOKUP($A280,'[1]Raw Data'!$A$3:$FB$285,106,FALSE)</f>
        <v>Deputy Chairman</v>
      </c>
      <c r="DB280" s="27" t="s">
        <v>879</v>
      </c>
      <c r="DC280" s="27">
        <f>VLOOKUP($A280,'[1]Raw Data'!$A$3:$FB$285,107,FALSE)</f>
        <v>9847435768</v>
      </c>
      <c r="DD280" s="27" t="str">
        <f>VLOOKUP($A280,'[1]Raw Data'!$A$3:$FB$285,109,FALSE)</f>
        <v>Jiv Lal Shrestha</v>
      </c>
      <c r="DE280" s="27" t="s">
        <v>1508</v>
      </c>
      <c r="DF280" s="27" t="str">
        <f>VLOOKUP($A280,'[1]Raw Data'!$A$3:$FB$285,110,FALSE)</f>
        <v>Chief Adminstration Officer</v>
      </c>
      <c r="DG280" s="27" t="s">
        <v>880</v>
      </c>
      <c r="DH280" s="27">
        <f>VLOOKUP($A280,'[1]Raw Data'!$A$3:$FB$285,111,FALSE)</f>
        <v>9841526989</v>
      </c>
      <c r="DI280" s="27" t="str">
        <f>VLOOKUP($A280,'[1]Raw Data'!$A$3:$FB$285,121,FALSE)</f>
        <v>Sita Paudel</v>
      </c>
      <c r="DJ280" s="27" t="s">
        <v>1461</v>
      </c>
      <c r="DK280" s="27" t="str">
        <f>VLOOKUP($A280,'[1]Raw Data'!$A$3:$FB$285,122,FALSE)</f>
        <v>Focal Person</v>
      </c>
      <c r="DL280" s="27" t="s">
        <v>881</v>
      </c>
      <c r="DM280" s="27">
        <f>VLOOKUP($A280,'[1]Raw Data'!$A$3:$FB$285,123,FALSE)</f>
        <v>9847958120</v>
      </c>
      <c r="DN280" s="27" t="str">
        <f>VLOOKUP($A280,'[1]Raw Data'!$A$3:$FB$285,113,FALSE)</f>
        <v xml:space="preserve">Rajendra  Karki </v>
      </c>
      <c r="DO280" s="27" t="s">
        <v>1211</v>
      </c>
      <c r="DP280" s="27" t="str">
        <f>VLOOKUP($A280,'[1]Raw Data'!$A$3:$FB$285,114,FALSE)</f>
        <v>NRA Chief-District</v>
      </c>
      <c r="DQ280" s="27" t="s">
        <v>882</v>
      </c>
      <c r="DR280" s="27">
        <f>VLOOKUP($A280,'[1]Raw Data'!$A$3:$FB$285,115,FALSE)</f>
        <v>9857087637</v>
      </c>
      <c r="DS280" s="27" t="str">
        <f>VLOOKUP($A280,'[1]Raw Data'!$A$3:$FB$285,117,FALSE)</f>
        <v/>
      </c>
      <c r="DU280" s="27" t="str">
        <f>VLOOKUP($A280,'[1]Raw Data'!$A$3:$FB$285,118,FALSE)</f>
        <v>DUDBC.DLPIU Chief</v>
      </c>
      <c r="DV280" s="27" t="s">
        <v>883</v>
      </c>
      <c r="DW280" s="27" t="str">
        <f>VLOOKUP($A280,'[1]Raw Data'!$A$3:$FB$285,119,FALSE)</f>
        <v/>
      </c>
      <c r="DX280" s="27" t="s">
        <v>339</v>
      </c>
      <c r="DY280" s="27" t="str">
        <f>VLOOKUP($A280,'[1]Raw Data'!$A$3:$FB$285,124,FALSE)</f>
        <v/>
      </c>
      <c r="DZ280" s="27" t="s">
        <v>884</v>
      </c>
      <c r="EA280" s="27" t="str">
        <f>VLOOKUP($A280,'[1]Raw Data'!$A$3:$FB$285,125,FALSE)</f>
        <v/>
      </c>
      <c r="EB280" s="27" t="s">
        <v>341</v>
      </c>
      <c r="EC280" s="27" t="str">
        <f>VLOOKUP($A280,'[1]Raw Data'!$A$3:$FB$285,126,FALSE)</f>
        <v/>
      </c>
      <c r="ED280" t="s">
        <v>478</v>
      </c>
      <c r="EE280" s="27" t="str">
        <f>VLOOKUP($A280,'[1]Raw Data'!$A$3:$FB$285,127,FALSE)</f>
        <v/>
      </c>
      <c r="EF280" s="27" t="s">
        <v>343</v>
      </c>
      <c r="EG280" s="27" t="str">
        <f>VLOOKUP($A280,'[1]Raw Data'!$A$3:$FB$285,128,FALSE)</f>
        <v/>
      </c>
      <c r="EH280" t="s">
        <v>344</v>
      </c>
      <c r="EI280" s="27" t="str">
        <f>VLOOKUP($A280,'[1]Raw Data'!$A$3:$FB$285,129,FALSE)</f>
        <v/>
      </c>
      <c r="EM280" s="27" t="str">
        <f>VLOOKUP($A280,'[1]Raw Data'!$A$3:$FB$285,130,FALSE)</f>
        <v/>
      </c>
      <c r="EN280" s="27" t="str">
        <f>VLOOKUP($A280,'[1]Raw Data'!$A$3:$FB$285,131,FALSE)</f>
        <v/>
      </c>
      <c r="EO280" s="27" t="str">
        <f>VLOOKUP($A280,'[1]Raw Data'!$A$3:$FB$285,132,FALSE)</f>
        <v/>
      </c>
      <c r="EP280" s="27" t="str">
        <f>VLOOKUP($A280,'[1]Raw Data'!$A$3:$FB$285,133,FALSE)</f>
        <v/>
      </c>
      <c r="EQ280" s="27" t="str">
        <f>VLOOKUP($A280,'[1]Raw Data'!$A$3:$FB$285,134,FALSE)</f>
        <v/>
      </c>
      <c r="ER280" s="27" t="str">
        <f>VLOOKUP($A280,'[1]Raw Data'!$A$3:$FB$285,135,FALSE)</f>
        <v/>
      </c>
      <c r="ES280" s="27" t="str">
        <f>VLOOKUP($A280,'[1]Raw Data'!$A$3:$FB$285,136,FALSE)</f>
        <v/>
      </c>
      <c r="ET280" s="27" t="str">
        <f>VLOOKUP($A280,'[1]Raw Data'!$A$3:$FB$285,137,FALSE)</f>
        <v/>
      </c>
      <c r="EU280" s="27" t="str">
        <f>VLOOKUP($A280,'[1]Raw Data'!$A$3:$FB$285,138,FALSE)</f>
        <v/>
      </c>
      <c r="EV280" s="27" t="str">
        <f>VLOOKUP($A280,'[1]Raw Data'!$A$3:$FB$285,139,FALSE)</f>
        <v/>
      </c>
      <c r="EW280" s="38">
        <f>VLOOKUP($A280,[1]Training!$A$2:$I$284,5,FALSE)</f>
        <v>1</v>
      </c>
      <c r="EX280" s="31">
        <f>VLOOKUP($A280,[1]Training!$A$2:$I$284,6,FALSE)</f>
        <v>0</v>
      </c>
      <c r="EY280" s="38">
        <f>VLOOKUP($A280,[1]Training!$A$2:$I$284,8,FALSE)</f>
        <v>1</v>
      </c>
      <c r="EZ280" s="31">
        <f>VLOOKUP($A280,[1]Training!$A$2:$I$284,9,FALSE)</f>
        <v>0</v>
      </c>
      <c r="FA280" s="27">
        <v>1</v>
      </c>
      <c r="FB280" s="27">
        <v>2</v>
      </c>
      <c r="FC280" s="27" t="str">
        <f>VLOOKUP($A280,'[1]Raw Data'!$A$3:$FB$285,148,FALSE)</f>
        <v>Hari Prasad Thalang</v>
      </c>
      <c r="FE280" s="27" t="str">
        <f>VLOOKUP($A280,'[1]Raw Data'!$A$3:$FB$285,149,FALSE)</f>
        <v>District Coordinator</v>
      </c>
      <c r="FF280" s="27" t="s">
        <v>885</v>
      </c>
      <c r="FG280" s="27">
        <f>VLOOKUP($A280,'[1]Raw Data'!$A$3:$FB$285,150,FALSE)</f>
        <v>9851224505</v>
      </c>
      <c r="FH280" s="27" t="str">
        <f>VLOOKUP($A280,'[1]Raw Data'!$A$3:$FB$285,156,FALSE)</f>
        <v xml:space="preserve">Kausal Bist </v>
      </c>
      <c r="FJ280" s="27" t="str">
        <f>VLOOKUP($A280,'[1]Raw Data'!$A$3:$FB$285,157,FALSE)</f>
        <v>District Technical Officer</v>
      </c>
      <c r="FK280" s="27" t="s">
        <v>886</v>
      </c>
      <c r="FL280" s="27">
        <f>VLOOKUP($A280,'[1]Raw Data'!$A$3:$FB$285,158,FALSE)</f>
        <v>9849787273</v>
      </c>
      <c r="FM280" s="27" t="str">
        <f>VLOOKUP($A280,'[1]Raw Data'!$A$3:$FB$285,152,FALSE)</f>
        <v>Nirmal Nepali</v>
      </c>
      <c r="FO280" s="27" t="str">
        <f>VLOOKUP($A280,'[1]Raw Data'!$A$3:$FB$285,153,FALSE)</f>
        <v>DIstrict Information Management Officer</v>
      </c>
      <c r="FP280" s="27" t="s">
        <v>887</v>
      </c>
      <c r="FQ280" s="27">
        <f>VLOOKUP($A280,'[1]Raw Data'!$A$3:$FB$285,154,FALSE)</f>
        <v>9848500348</v>
      </c>
    </row>
    <row r="281" spans="1:173" ht="24" x14ac:dyDescent="0.45">
      <c r="A281" s="27">
        <v>51001</v>
      </c>
      <c r="B281" s="36" t="str">
        <f ca="1">IFERROR(__xludf.DUMMYFUNCTION("""COMPUTED_VALUE"""),"Bhumekasthan Nagarpalika")</f>
        <v>Bhumekasthan Nagarpalika</v>
      </c>
      <c r="C281" s="37" t="str">
        <f>VLOOKUP(A281,'[1]Palika and District in Nepali '!$D$1:$F$283,3,FALSE)</f>
        <v>भुमिकास्थान नगरपालिका</v>
      </c>
      <c r="D281" s="36" t="str">
        <f ca="1">IFERROR(__xludf.DUMMYFUNCTION("""COMPUTED_VALUE"""),"Arghakhanchi")</f>
        <v>Arghakhanchi</v>
      </c>
      <c r="E281" s="36"/>
      <c r="F281" s="27">
        <f>VLOOKUP(A281,'[1]Raw Data'!$A$3:$FB$285,4,FALSE)</f>
        <v>58</v>
      </c>
      <c r="G281" s="27">
        <f>VLOOKUP(A281,'[1]Raw Data'!$A$3:$FB$285,5,FALSE)</f>
        <v>172</v>
      </c>
      <c r="H281" s="27">
        <f>VLOOKUP($A$5,'[1]Raw Data'!$A$3:$FB$285,6,FALSE)</f>
        <v>514</v>
      </c>
      <c r="I281" s="27">
        <f>VLOOKUP($A281,'[1]Raw Data'!$A$3:$FB$285,8,FALSE)</f>
        <v>0</v>
      </c>
      <c r="J281" s="27">
        <f>VLOOKUP($A281,'[1]Raw Data'!$A$3:$FB$285,9,FALSE)</f>
        <v>0.85</v>
      </c>
      <c r="K281" s="27">
        <f>VLOOKUP($A281,'[1]Raw Data'!$A$3:$FB$285,11,FALSE)</f>
        <v>100</v>
      </c>
      <c r="L281" s="27">
        <f>VLOOKUP($A281,'[1]Raw Data'!$A$3:$FB$285,12,FALSE)</f>
        <v>98</v>
      </c>
      <c r="M281" s="27">
        <f>VLOOKUP($A281,'[1]Raw Data'!$A$3:$FB$285,14,FALSE)</f>
        <v>0</v>
      </c>
      <c r="N281" s="27">
        <f>VLOOKUP($A281,'[1]Raw Data'!$A$3:$FB$285,15,FALSE)</f>
        <v>0.61</v>
      </c>
      <c r="O281" s="27">
        <f>VLOOKUP($A281,'[1]Raw Data'!$A$3:$FB$285,17,FALSE)</f>
        <v>0</v>
      </c>
      <c r="P281" s="27">
        <f>VLOOKUP($A281,'[1]Raw Data'!$A$3:$FB$285,18,FALSE)</f>
        <v>0.12</v>
      </c>
      <c r="Q281" s="27">
        <f>VLOOKUP($A281,'[1]Raw Data'!$A$3:$FB$285,20,FALSE)</f>
        <v>0</v>
      </c>
      <c r="R281" s="27">
        <f>VLOOKUP($A281,'[1]Raw Data'!$A$3:$FB$285,21,FALSE)</f>
        <v>0.12</v>
      </c>
      <c r="S281" s="27">
        <f>VLOOKUP($A281,'[1]Raw Data'!$A$3:$FB$285,23,FALSE)</f>
        <v>0</v>
      </c>
      <c r="T281" s="27">
        <f>VLOOKUP($A281,'[1]Raw Data'!$A$3:$FB$285,24,FALSE)</f>
        <v>0</v>
      </c>
      <c r="U281" s="27">
        <f>VLOOKUP($A281,'[1]Raw Data'!$A$3:$FB$285,26,FALSE)</f>
        <v>0</v>
      </c>
      <c r="V281" s="27">
        <f>VLOOKUP($A281,'[1]Raw Data'!$A$3:$FB$285,27,FALSE)</f>
        <v>0.06</v>
      </c>
      <c r="W281" s="27">
        <f>VLOOKUP($A281,'[1]Raw Data'!$A$3:$FB$285,29,FALSE)</f>
        <v>0</v>
      </c>
      <c r="X281" s="27">
        <f>VLOOKUP($A281,'[1]Raw Data'!$A$3:$FB$285,30,FALSE)</f>
        <v>0</v>
      </c>
      <c r="Y281" s="27">
        <f>VLOOKUP($A281,'[1]Raw Data'!$A$3:$FB$285,32,FALSE)</f>
        <v>0</v>
      </c>
      <c r="Z281" s="27">
        <f>VLOOKUP($A281,'[1]Raw Data'!$A$3:$FB$285,33,FALSE)</f>
        <v>0.06</v>
      </c>
      <c r="AA281" s="27">
        <f>VLOOKUP($A281,'[1]Raw Data'!$A$3:$FB$285,35,FALSE)</f>
        <v>0</v>
      </c>
      <c r="AB281" s="27">
        <f>VLOOKUP($A281,'[1]Raw Data'!$A$3:$FB$285,36,FALSE)</f>
        <v>0.18</v>
      </c>
      <c r="AC281" s="27">
        <f>VLOOKUP($A281,'[1]Raw Data'!$A$3:$FB$285,38,FALSE)</f>
        <v>0</v>
      </c>
      <c r="AD281" s="27">
        <f>VLOOKUP($A281,'[1]Raw Data'!$A$3:$FB$285,39,FALSE)</f>
        <v>0</v>
      </c>
      <c r="AE281" s="27">
        <f>VLOOKUP($A281,'[1]Raw Data'!$A$3:$FB$285,41,FALSE)</f>
        <v>0</v>
      </c>
      <c r="AF281" s="27">
        <f>VLOOKUP($A281,'[1]Raw Data'!$A$3:$FB$285,42,FALSE)</f>
        <v>0</v>
      </c>
      <c r="AG281" s="27">
        <f>VLOOKUP($A281,'[1]Raw Data'!$A$3:$FB$285,44,FALSE)</f>
        <v>0</v>
      </c>
      <c r="AH281" s="27">
        <f>VLOOKUP($A281,'[1]Raw Data'!$A$3:$FB$285,45,FALSE)</f>
        <v>0</v>
      </c>
      <c r="AI281" s="27">
        <f>VLOOKUP($A281,'[1]Raw Data'!$A$3:$FB$285,46,FALSE)</f>
        <v>148</v>
      </c>
      <c r="AJ281" s="27">
        <f>VLOOKUP($A281,'[1]Raw Data'!$A$3:$FB$285,47,FALSE)</f>
        <v>119</v>
      </c>
      <c r="AK281" s="27">
        <f>VLOOKUP($A281,'[1]Raw Data'!$A$3:$FB$285,48,FALSE)</f>
        <v>119</v>
      </c>
      <c r="AL281" s="27">
        <f>VLOOKUP($A281,'[1]Raw Data'!$A$3:$FB$285,49,FALSE)</f>
        <v>21</v>
      </c>
      <c r="AM281" s="27">
        <f>VLOOKUP($A281,'[1]Raw Data'!$A$3:$FB$285,50,FALSE)</f>
        <v>0</v>
      </c>
      <c r="AN281" s="27" t="str">
        <f>VLOOKUP($A281,'[1]Raw Data'!$A$3:$FB$285,51,FALSE)</f>
        <v/>
      </c>
      <c r="AO281" s="27" t="str">
        <f>VLOOKUP($A281,'[1]Raw Data'!$A$3:$FB$285,52,FALSE)</f>
        <v/>
      </c>
      <c r="AP281" s="27">
        <f>VLOOKUP($A281,'[1]Raw Data'!$A$3:$FB$285,53,FALSE)</f>
        <v>24</v>
      </c>
      <c r="AQ281" s="27" t="str">
        <f>VLOOKUP($A281,'[1]Raw Data'!$A$3:$FB$285,54,FALSE)</f>
        <v/>
      </c>
      <c r="AR281" s="27" t="str">
        <f>VLOOKUP($A281,'[1]Raw Data'!$A$3:$FB$285,55,FALSE)</f>
        <v/>
      </c>
      <c r="AS281" s="27" t="str">
        <f>VLOOKUP($A281,'[1]Raw Data'!$A$3:$FB$285,56,FALSE)</f>
        <v/>
      </c>
      <c r="AT281" s="27" t="str">
        <f>VLOOKUP($A281,'[1]Raw Data'!$A$3:$FB$285,57,FALSE)</f>
        <v/>
      </c>
      <c r="AU281" s="27" t="str">
        <f>VLOOKUP($A281,'[1]Raw Data'!$A$3:$FB$285,58,FALSE)</f>
        <v/>
      </c>
      <c r="AV281" s="27" t="str">
        <f>VLOOKUP($A281,'[1]Raw Data'!$A$3:$FB$285,59,FALSE)</f>
        <v/>
      </c>
      <c r="AW281" s="27" t="str">
        <f>VLOOKUP($A281,'[1]Raw Data'!$A$3:$FB$285,60,FALSE)</f>
        <v/>
      </c>
      <c r="AX281" s="27" t="str">
        <f>VLOOKUP(A281,'[1]PO''s List'!A279:E561,4,FALSE)</f>
        <v/>
      </c>
      <c r="AZ281" s="27" t="str">
        <f>VLOOKUP(A281,'[1]PO''s List'!$A$3:$E$285,5,FALSE)</f>
        <v/>
      </c>
      <c r="BB281" s="27">
        <f>VLOOKUP($A281,'[1]Raw Data'!$A$3:$FB$285,63,FALSE)</f>
        <v>3393</v>
      </c>
      <c r="BC281" s="27" t="str">
        <f>VLOOKUP($A281,'[1]Raw Data'!$A$3:$FB$285,64,FALSE)</f>
        <v/>
      </c>
      <c r="BD281" s="27" t="str">
        <f t="shared" si="36"/>
        <v/>
      </c>
      <c r="BE281" s="27" t="str">
        <f>VLOOKUP($A281,'[1]Raw Data'!$A$3:$FB$285,65,FALSE)</f>
        <v/>
      </c>
      <c r="BF281" s="27">
        <f>VLOOKUP($A281,'[1]Raw Data'!$A$3:$FB$285,66,FALSE)</f>
        <v>3501</v>
      </c>
      <c r="BG281" s="27" t="str">
        <f>VLOOKUP($A281,'[1]Raw Data'!$A$3:$FB$285,67,FALSE)</f>
        <v/>
      </c>
      <c r="BH281" s="27" t="str">
        <f t="shared" si="37"/>
        <v/>
      </c>
      <c r="BI281" s="27" t="str">
        <f>VLOOKUP($A281,'[1]Raw Data'!$A$3:$FB$285,68,FALSE)</f>
        <v/>
      </c>
      <c r="BJ281" s="27">
        <f>VLOOKUP($A281,'[1]Raw Data'!$A$3:$FB$285,69,FALSE)</f>
        <v>363</v>
      </c>
      <c r="BK281" s="27" t="str">
        <f>VLOOKUP($A281,'[1]Raw Data'!$A$3:$FB$285,70,FALSE)</f>
        <v/>
      </c>
      <c r="BL281" s="27" t="str">
        <f t="shared" si="38"/>
        <v/>
      </c>
      <c r="BM281" s="27" t="str">
        <f>VLOOKUP($A281,'[1]Raw Data'!$A$3:$FB$285,71,FALSE)</f>
        <v/>
      </c>
      <c r="BN281" s="27">
        <f>VLOOKUP($A281,'[1]Raw Data'!$A$3:$FB$285,72,FALSE)</f>
        <v>419</v>
      </c>
      <c r="BO281" s="27" t="str">
        <f>VLOOKUP($A281,'[1]Raw Data'!$A$3:$FB$285,73,FALSE)</f>
        <v/>
      </c>
      <c r="BP281" s="27" t="str">
        <f t="shared" si="39"/>
        <v/>
      </c>
      <c r="BQ281" s="27" t="str">
        <f>VLOOKUP($A281,'[1]Raw Data'!$A$3:$FB$285,74,FALSE)</f>
        <v/>
      </c>
      <c r="BR281" s="27" t="str">
        <f>VLOOKUP($A281,'[1]Raw Data'!$A$3:$FB$285,75,FALSE)</f>
        <v/>
      </c>
      <c r="BS281" s="27" t="str">
        <f>VLOOKUP($A281,'[1]Raw Data'!$A$3:$FB$285,76,FALSE)</f>
        <v/>
      </c>
      <c r="BT281" s="27" t="str">
        <f t="shared" si="40"/>
        <v/>
      </c>
      <c r="BU281" s="27" t="str">
        <f>VLOOKUP($A281,'[1]Raw Data'!$A$3:$FB$285,77,FALSE)</f>
        <v/>
      </c>
      <c r="BV281" s="27">
        <f>VLOOKUP($A281,'[1]Raw Data'!$A$3:$FB$285,78,FALSE)</f>
        <v>11640</v>
      </c>
      <c r="BW281" s="27" t="str">
        <f>VLOOKUP($A281,'[1]Raw Data'!$A$3:$FB$285,79,FALSE)</f>
        <v/>
      </c>
      <c r="BX281" s="27" t="str">
        <f t="shared" si="41"/>
        <v/>
      </c>
      <c r="BY281" s="27" t="str">
        <f>VLOOKUP($A281,'[1]Raw Data'!$A$3:$FB$285,80,FALSE)</f>
        <v/>
      </c>
      <c r="BZ281" s="27">
        <f>VLOOKUP($A281,'[1]Raw Data'!$A$3:$FB$285,81,FALSE)</f>
        <v>36807</v>
      </c>
      <c r="CA281" s="27" t="str">
        <f>VLOOKUP($A281,'[1]Raw Data'!$A$3:$FB$285,82,FALSE)</f>
        <v/>
      </c>
      <c r="CB281" s="27" t="str">
        <f t="shared" si="42"/>
        <v/>
      </c>
      <c r="CC281" s="27" t="str">
        <f>VLOOKUP($A281,'[1]Raw Data'!$A$3:$FB$285,83,FALSE)</f>
        <v/>
      </c>
      <c r="CD281" s="27">
        <f>VLOOKUP($A281,'[1]Raw Data'!$A$3:$FB$285,84,FALSE)</f>
        <v>476</v>
      </c>
      <c r="CE281" s="27" t="str">
        <f>VLOOKUP($A281,'[1]Raw Data'!$A$3:$FB$285,85,FALSE)</f>
        <v/>
      </c>
      <c r="CF281" s="27" t="str">
        <f t="shared" si="43"/>
        <v/>
      </c>
      <c r="CG281" s="27" t="str">
        <f>VLOOKUP($A281,'[1]Raw Data'!$A$3:$FB$285,86,FALSE)</f>
        <v/>
      </c>
      <c r="CH281" s="27">
        <f>VLOOKUP($A281,'[1]Raw Data'!$A$3:$FB$285,87,FALSE)</f>
        <v>38689</v>
      </c>
      <c r="CI281" s="27" t="str">
        <f>VLOOKUP($A281,'[1]Raw Data'!$A$3:$FB$285,88,FALSE)</f>
        <v/>
      </c>
      <c r="CJ281" s="27" t="str">
        <f t="shared" si="44"/>
        <v/>
      </c>
      <c r="CK281" s="27" t="str">
        <f>VLOOKUP($A281,'[1]Raw Data'!$A$3:$FB$285,89,FALSE)</f>
        <v/>
      </c>
      <c r="CL281" s="27" t="str">
        <f>VLOOKUP($A281,'[1]Raw Data'!$A$3:$FB$285,91,FALSE)</f>
        <v/>
      </c>
      <c r="CM281" s="27" t="str">
        <f>VLOOKUP($A281,'[1]Raw Data'!$A$3:$FB$285,93,FALSE)</f>
        <v/>
      </c>
      <c r="CN281" s="27" t="str">
        <f>VLOOKUP($A281,'[1]Raw Data'!$A$3:$FB$285,94,FALSE)</f>
        <v/>
      </c>
      <c r="CO281" s="27" t="str">
        <f>VLOOKUP($A281,'[1]Raw Data'!$A$3:$FB$285,95,FALSE)</f>
        <v/>
      </c>
      <c r="CP281" s="27" t="str">
        <f>VLOOKUP($A281,'[1]Raw Data'!$A$3:$FB$285,96,FALSE)</f>
        <v/>
      </c>
      <c r="CQ281" s="27" t="str">
        <f>VLOOKUP($A281,'[1]Raw Data'!$A$3:$FB$285,97,FALSE)</f>
        <v/>
      </c>
      <c r="CR281" s="27" t="str">
        <f>VLOOKUP($A281,'[1]Raw Data'!$A$3:$FB$285,98,FALSE)</f>
        <v/>
      </c>
      <c r="CS281" s="27" t="str">
        <f>VLOOKUP($A281,'[1]Raw Data'!$A$3:$FB$285,99,FALSE)</f>
        <v/>
      </c>
      <c r="CT281" s="27" t="str">
        <f>VLOOKUP($A281,'[1]Raw Data'!$A$3:$FB$285,101,FALSE)</f>
        <v/>
      </c>
      <c r="CV281" s="27" t="str">
        <f>VLOOKUP($A281,'[1]Raw Data'!$A$3:$FB$285,102,FALSE)</f>
        <v>Mayor</v>
      </c>
      <c r="CW281" s="27" t="s">
        <v>834</v>
      </c>
      <c r="CX281" s="27" t="str">
        <f>VLOOKUP($A281,'[1]Raw Data'!$A$3:$FB$285,103,FALSE)</f>
        <v/>
      </c>
      <c r="CY281" s="27" t="str">
        <f>VLOOKUP($A281,'[1]Raw Data'!$A$3:$FB$285,105,FALSE)</f>
        <v/>
      </c>
      <c r="DA281" s="27" t="str">
        <f>VLOOKUP($A281,'[1]Raw Data'!$A$3:$FB$285,106,FALSE)</f>
        <v>Deputy Mayor</v>
      </c>
      <c r="DB281" s="27" t="s">
        <v>888</v>
      </c>
      <c r="DC281" s="27" t="str">
        <f>VLOOKUP($A281,'[1]Raw Data'!$A$3:$FB$285,107,FALSE)</f>
        <v/>
      </c>
      <c r="DD281" s="27" t="str">
        <f>VLOOKUP($A281,'[1]Raw Data'!$A$3:$FB$285,109,FALSE)</f>
        <v/>
      </c>
      <c r="DF281" s="27" t="str">
        <f>VLOOKUP($A281,'[1]Raw Data'!$A$3:$FB$285,110,FALSE)</f>
        <v>Chief Adminstration Officer</v>
      </c>
      <c r="DG281" s="27" t="s">
        <v>880</v>
      </c>
      <c r="DH281" s="27" t="str">
        <f>VLOOKUP($A281,'[1]Raw Data'!$A$3:$FB$285,111,FALSE)</f>
        <v/>
      </c>
      <c r="DI281" s="27" t="str">
        <f>VLOOKUP($A281,'[1]Raw Data'!$A$3:$FB$285,121,FALSE)</f>
        <v/>
      </c>
      <c r="DK281" s="27" t="str">
        <f>VLOOKUP($A281,'[1]Raw Data'!$A$3:$FB$285,122,FALSE)</f>
        <v>Focal Person</v>
      </c>
      <c r="DL281" s="27" t="s">
        <v>881</v>
      </c>
      <c r="DM281" s="27" t="str">
        <f>VLOOKUP($A281,'[1]Raw Data'!$A$3:$FB$285,123,FALSE)</f>
        <v/>
      </c>
      <c r="DN281" s="27" t="str">
        <f>VLOOKUP($A281,'[1]Raw Data'!$A$3:$FB$285,113,FALSE)</f>
        <v/>
      </c>
      <c r="DP281" s="27" t="str">
        <f>VLOOKUP($A281,'[1]Raw Data'!$A$3:$FB$285,114,FALSE)</f>
        <v>NRA Chief-District</v>
      </c>
      <c r="DQ281" s="27" t="s">
        <v>882</v>
      </c>
      <c r="DR281" s="27" t="str">
        <f>VLOOKUP($A281,'[1]Raw Data'!$A$3:$FB$285,115,FALSE)</f>
        <v/>
      </c>
      <c r="DS281" s="27" t="str">
        <f>VLOOKUP($A281,'[1]Raw Data'!$A$3:$FB$285,117,FALSE)</f>
        <v/>
      </c>
      <c r="DU281" s="27" t="str">
        <f>VLOOKUP($A281,'[1]Raw Data'!$A$3:$FB$285,118,FALSE)</f>
        <v>DUDBC.DLPIU Chief</v>
      </c>
      <c r="DV281" s="27" t="s">
        <v>883</v>
      </c>
      <c r="DW281" s="27" t="str">
        <f>VLOOKUP($A281,'[1]Raw Data'!$A$3:$FB$285,119,FALSE)</f>
        <v/>
      </c>
      <c r="DX281" s="27" t="s">
        <v>339</v>
      </c>
      <c r="DY281" s="27" t="str">
        <f>VLOOKUP($A281,'[1]Raw Data'!$A$3:$FB$285,124,FALSE)</f>
        <v/>
      </c>
      <c r="DZ281" s="27" t="s">
        <v>884</v>
      </c>
      <c r="EA281" s="27" t="str">
        <f>VLOOKUP($A281,'[1]Raw Data'!$A$3:$FB$285,125,FALSE)</f>
        <v/>
      </c>
      <c r="EB281" s="27" t="s">
        <v>341</v>
      </c>
      <c r="EC281" s="27" t="str">
        <f>VLOOKUP($A281,'[1]Raw Data'!$A$3:$FB$285,126,FALSE)</f>
        <v/>
      </c>
      <c r="ED281" t="s">
        <v>478</v>
      </c>
      <c r="EE281" s="27" t="str">
        <f>VLOOKUP($A281,'[1]Raw Data'!$A$3:$FB$285,127,FALSE)</f>
        <v/>
      </c>
      <c r="EF281" s="27" t="s">
        <v>343</v>
      </c>
      <c r="EG281" s="27" t="str">
        <f>VLOOKUP($A281,'[1]Raw Data'!$A$3:$FB$285,128,FALSE)</f>
        <v/>
      </c>
      <c r="EH281" t="s">
        <v>344</v>
      </c>
      <c r="EI281" s="27" t="str">
        <f>VLOOKUP($A281,'[1]Raw Data'!$A$3:$FB$285,129,FALSE)</f>
        <v/>
      </c>
      <c r="EM281" s="27" t="str">
        <f>VLOOKUP($A281,'[1]Raw Data'!$A$3:$FB$285,130,FALSE)</f>
        <v/>
      </c>
      <c r="EN281" s="27" t="str">
        <f>VLOOKUP($A281,'[1]Raw Data'!$A$3:$FB$285,131,FALSE)</f>
        <v/>
      </c>
      <c r="EO281" s="27" t="str">
        <f>VLOOKUP($A281,'[1]Raw Data'!$A$3:$FB$285,132,FALSE)</f>
        <v/>
      </c>
      <c r="EP281" s="27" t="str">
        <f>VLOOKUP($A281,'[1]Raw Data'!$A$3:$FB$285,133,FALSE)</f>
        <v/>
      </c>
      <c r="EQ281" s="27" t="str">
        <f>VLOOKUP($A281,'[1]Raw Data'!$A$3:$FB$285,134,FALSE)</f>
        <v/>
      </c>
      <c r="ER281" s="27" t="str">
        <f>VLOOKUP($A281,'[1]Raw Data'!$A$3:$FB$285,135,FALSE)</f>
        <v/>
      </c>
      <c r="ES281" s="27" t="str">
        <f>VLOOKUP($A281,'[1]Raw Data'!$A$3:$FB$285,136,FALSE)</f>
        <v/>
      </c>
      <c r="ET281" s="27" t="str">
        <f>VLOOKUP($A281,'[1]Raw Data'!$A$3:$FB$285,137,FALSE)</f>
        <v/>
      </c>
      <c r="EU281" s="27" t="str">
        <f>VLOOKUP($A281,'[1]Raw Data'!$A$3:$FB$285,138,FALSE)</f>
        <v/>
      </c>
      <c r="EV281" s="27" t="str">
        <f>VLOOKUP($A281,'[1]Raw Data'!$A$3:$FB$285,139,FALSE)</f>
        <v/>
      </c>
      <c r="EW281" s="38">
        <f>VLOOKUP($A281,[1]Training!$A$2:$I$284,5,FALSE)</f>
        <v>11.384615384615385</v>
      </c>
      <c r="EX281" s="31">
        <f>VLOOKUP($A281,[1]Training!$A$2:$I$284,6,FALSE)</f>
        <v>100</v>
      </c>
      <c r="EY281" s="38">
        <f>VLOOKUP($A281,[1]Training!$A$2:$I$284,8,FALSE)</f>
        <v>13.454545454545455</v>
      </c>
      <c r="EZ281" s="31">
        <f>VLOOKUP($A281,[1]Training!$A$2:$I$284,9,FALSE)</f>
        <v>0</v>
      </c>
      <c r="FA281" s="27">
        <v>1</v>
      </c>
      <c r="FB281" s="27">
        <v>2</v>
      </c>
      <c r="FC281" s="27" t="str">
        <f>VLOOKUP($A281,'[1]Raw Data'!$A$3:$FB$285,148,FALSE)</f>
        <v/>
      </c>
      <c r="FE281" s="27" t="str">
        <f>VLOOKUP($A281,'[1]Raw Data'!$A$3:$FB$285,149,FALSE)</f>
        <v>District Coordinator</v>
      </c>
      <c r="FF281" s="27" t="s">
        <v>885</v>
      </c>
      <c r="FG281" s="27" t="str">
        <f>VLOOKUP($A281,'[1]Raw Data'!$A$3:$FB$285,150,FALSE)</f>
        <v/>
      </c>
      <c r="FH281" s="27" t="str">
        <f>VLOOKUP($A281,'[1]Raw Data'!$A$3:$FB$285,156,FALSE)</f>
        <v/>
      </c>
      <c r="FJ281" s="27" t="str">
        <f>VLOOKUP($A281,'[1]Raw Data'!$A$3:$FB$285,157,FALSE)</f>
        <v>District Technical Officer</v>
      </c>
      <c r="FK281" s="27" t="s">
        <v>886</v>
      </c>
      <c r="FL281" s="27" t="str">
        <f>VLOOKUP($A281,'[1]Raw Data'!$A$3:$FB$285,158,FALSE)</f>
        <v/>
      </c>
      <c r="FM281" s="27" t="str">
        <f>VLOOKUP($A281,'[1]Raw Data'!$A$3:$FB$285,152,FALSE)</f>
        <v/>
      </c>
      <c r="FO281" s="27" t="str">
        <f>VLOOKUP($A281,'[1]Raw Data'!$A$3:$FB$285,153,FALSE)</f>
        <v>DIstrict Information Management Officer</v>
      </c>
      <c r="FP281" s="27" t="s">
        <v>887</v>
      </c>
      <c r="FQ281" s="27" t="str">
        <f>VLOOKUP($A281,'[1]Raw Data'!$A$3:$FB$285,154,FALSE)</f>
        <v/>
      </c>
    </row>
    <row r="282" spans="1:173" ht="24" x14ac:dyDescent="0.45">
      <c r="A282" s="27">
        <v>51002</v>
      </c>
      <c r="B282" s="36" t="str">
        <f ca="1">IFERROR(__xludf.DUMMYFUNCTION("""COMPUTED_VALUE"""),"Chhatradev Gaunpalika")</f>
        <v>Chhatradev Gaunpalika</v>
      </c>
      <c r="C282" s="37" t="str">
        <f>VLOOKUP(A282,'[1]Palika and District in Nepali '!$D$1:$F$283,3,FALSE)</f>
        <v>छत्रदेव गाउपालिका</v>
      </c>
      <c r="D282" s="36" t="str">
        <f ca="1">IFERROR(__xludf.DUMMYFUNCTION("""COMPUTED_VALUE"""),"Arghakhanchi")</f>
        <v>Arghakhanchi</v>
      </c>
      <c r="E282" s="36"/>
      <c r="F282" s="27">
        <f>VLOOKUP(A282,'[1]Raw Data'!$A$3:$FB$285,4,FALSE)</f>
        <v>181</v>
      </c>
      <c r="G282" s="27">
        <f>VLOOKUP(A282,'[1]Raw Data'!$A$3:$FB$285,5,FALSE)</f>
        <v>210</v>
      </c>
      <c r="H282" s="27">
        <f>VLOOKUP(A282,'[1]Raw Data'!$A$3:$FB$285,6,FALSE)</f>
        <v>391</v>
      </c>
      <c r="I282" s="27">
        <f>VLOOKUP($A282,'[1]Raw Data'!$A$3:$FB$285,8,FALSE)</f>
        <v>0</v>
      </c>
      <c r="J282" s="27">
        <f>VLOOKUP($A282,'[1]Raw Data'!$A$3:$FB$285,9,FALSE)</f>
        <v>0.85</v>
      </c>
      <c r="K282" s="27">
        <f>VLOOKUP($A282,'[1]Raw Data'!$A$3:$FB$285,11,FALSE)</f>
        <v>100</v>
      </c>
      <c r="L282" s="27">
        <f>VLOOKUP($A282,'[1]Raw Data'!$A$3:$FB$285,12,FALSE)</f>
        <v>98</v>
      </c>
      <c r="M282" s="27">
        <f>VLOOKUP($A282,'[1]Raw Data'!$A$3:$FB$285,14,FALSE)</f>
        <v>0</v>
      </c>
      <c r="N282" s="27">
        <f>VLOOKUP($A282,'[1]Raw Data'!$A$3:$FB$285,15,FALSE)</f>
        <v>0.61</v>
      </c>
      <c r="O282" s="27">
        <f>VLOOKUP($A282,'[1]Raw Data'!$A$3:$FB$285,17,FALSE)</f>
        <v>0</v>
      </c>
      <c r="P282" s="27">
        <f>VLOOKUP($A282,'[1]Raw Data'!$A$3:$FB$285,18,FALSE)</f>
        <v>0.12</v>
      </c>
      <c r="Q282" s="27">
        <f>VLOOKUP($A282,'[1]Raw Data'!$A$3:$FB$285,20,FALSE)</f>
        <v>0</v>
      </c>
      <c r="R282" s="27">
        <f>VLOOKUP($A282,'[1]Raw Data'!$A$3:$FB$285,21,FALSE)</f>
        <v>0.12</v>
      </c>
      <c r="S282" s="27">
        <f>VLOOKUP($A282,'[1]Raw Data'!$A$3:$FB$285,23,FALSE)</f>
        <v>0</v>
      </c>
      <c r="T282" s="27">
        <f>VLOOKUP($A282,'[1]Raw Data'!$A$3:$FB$285,24,FALSE)</f>
        <v>0</v>
      </c>
      <c r="U282" s="27">
        <f>VLOOKUP($A282,'[1]Raw Data'!$A$3:$FB$285,26,FALSE)</f>
        <v>0</v>
      </c>
      <c r="V282" s="27">
        <f>VLOOKUP($A282,'[1]Raw Data'!$A$3:$FB$285,27,FALSE)</f>
        <v>0.06</v>
      </c>
      <c r="W282" s="27">
        <f>VLOOKUP($A282,'[1]Raw Data'!$A$3:$FB$285,29,FALSE)</f>
        <v>0</v>
      </c>
      <c r="X282" s="27">
        <f>VLOOKUP($A282,'[1]Raw Data'!$A$3:$FB$285,30,FALSE)</f>
        <v>0</v>
      </c>
      <c r="Y282" s="27">
        <f>VLOOKUP($A282,'[1]Raw Data'!$A$3:$FB$285,32,FALSE)</f>
        <v>0</v>
      </c>
      <c r="Z282" s="27">
        <f>VLOOKUP($A282,'[1]Raw Data'!$A$3:$FB$285,33,FALSE)</f>
        <v>0.06</v>
      </c>
      <c r="AA282" s="27">
        <f>VLOOKUP($A282,'[1]Raw Data'!$A$3:$FB$285,35,FALSE)</f>
        <v>0</v>
      </c>
      <c r="AB282" s="27">
        <f>VLOOKUP($A282,'[1]Raw Data'!$A$3:$FB$285,36,FALSE)</f>
        <v>0.18</v>
      </c>
      <c r="AC282" s="27">
        <f>VLOOKUP($A282,'[1]Raw Data'!$A$3:$FB$285,38,FALSE)</f>
        <v>0</v>
      </c>
      <c r="AD282" s="27">
        <f>VLOOKUP($A282,'[1]Raw Data'!$A$3:$FB$285,39,FALSE)</f>
        <v>0</v>
      </c>
      <c r="AE282" s="27">
        <f>VLOOKUP($A282,'[1]Raw Data'!$A$3:$FB$285,41,FALSE)</f>
        <v>0</v>
      </c>
      <c r="AF282" s="27">
        <f>VLOOKUP($A282,'[1]Raw Data'!$A$3:$FB$285,42,FALSE)</f>
        <v>0</v>
      </c>
      <c r="AG282" s="27">
        <f>VLOOKUP($A282,'[1]Raw Data'!$A$3:$FB$285,44,FALSE)</f>
        <v>0</v>
      </c>
      <c r="AH282" s="27">
        <f>VLOOKUP($A282,'[1]Raw Data'!$A$3:$FB$285,45,FALSE)</f>
        <v>0</v>
      </c>
      <c r="AI282" s="27">
        <f>VLOOKUP($A282,'[1]Raw Data'!$A$3:$FB$285,46,FALSE)</f>
        <v>199</v>
      </c>
      <c r="AJ282" s="27">
        <f>VLOOKUP($A282,'[1]Raw Data'!$A$3:$FB$285,47,FALSE)</f>
        <v>98</v>
      </c>
      <c r="AK282" s="27">
        <f>VLOOKUP($A282,'[1]Raw Data'!$A$3:$FB$285,48,FALSE)</f>
        <v>98</v>
      </c>
      <c r="AL282" s="27">
        <f>VLOOKUP($A282,'[1]Raw Data'!$A$3:$FB$285,49,FALSE)</f>
        <v>44</v>
      </c>
      <c r="AM282" s="27">
        <f>VLOOKUP($A282,'[1]Raw Data'!$A$3:$FB$285,50,FALSE)</f>
        <v>0</v>
      </c>
      <c r="AN282" s="27" t="str">
        <f>VLOOKUP($A282,'[1]Raw Data'!$A$3:$FB$285,51,FALSE)</f>
        <v/>
      </c>
      <c r="AO282" s="27" t="str">
        <f>VLOOKUP($A282,'[1]Raw Data'!$A$3:$FB$285,52,FALSE)</f>
        <v/>
      </c>
      <c r="AP282" s="27">
        <f>VLOOKUP($A282,'[1]Raw Data'!$A$3:$FB$285,53,FALSE)</f>
        <v>9</v>
      </c>
      <c r="AQ282" s="27" t="str">
        <f>VLOOKUP($A282,'[1]Raw Data'!$A$3:$FB$285,54,FALSE)</f>
        <v/>
      </c>
      <c r="AR282" s="27" t="str">
        <f>VLOOKUP($A282,'[1]Raw Data'!$A$3:$FB$285,55,FALSE)</f>
        <v/>
      </c>
      <c r="AS282" s="27" t="str">
        <f>VLOOKUP($A282,'[1]Raw Data'!$A$3:$FB$285,56,FALSE)</f>
        <v/>
      </c>
      <c r="AT282" s="27" t="str">
        <f>VLOOKUP($A282,'[1]Raw Data'!$A$3:$FB$285,57,FALSE)</f>
        <v/>
      </c>
      <c r="AU282" s="27" t="str">
        <f>VLOOKUP($A282,'[1]Raw Data'!$A$3:$FB$285,58,FALSE)</f>
        <v/>
      </c>
      <c r="AV282" s="27" t="str">
        <f>VLOOKUP($A282,'[1]Raw Data'!$A$3:$FB$285,59,FALSE)</f>
        <v/>
      </c>
      <c r="AW282" s="27" t="str">
        <f>VLOOKUP($A282,'[1]Raw Data'!$A$3:$FB$285,60,FALSE)</f>
        <v/>
      </c>
      <c r="AX282" s="27" t="str">
        <f>VLOOKUP(A282,'[1]PO''s List'!A280:E562,4,FALSE)</f>
        <v/>
      </c>
      <c r="AZ282" s="27" t="str">
        <f>VLOOKUP(A282,'[1]PO''s List'!$A$3:$E$285,5,FALSE)</f>
        <v/>
      </c>
      <c r="BB282" s="27">
        <f>VLOOKUP($A282,'[1]Raw Data'!$A$3:$FB$285,63,FALSE)</f>
        <v>2744</v>
      </c>
      <c r="BC282" s="27" t="str">
        <f>VLOOKUP($A282,'[1]Raw Data'!$A$3:$FB$285,64,FALSE)</f>
        <v/>
      </c>
      <c r="BD282" s="27" t="str">
        <f t="shared" si="36"/>
        <v/>
      </c>
      <c r="BE282" s="27" t="str">
        <f>VLOOKUP($A282,'[1]Raw Data'!$A$3:$FB$285,65,FALSE)</f>
        <v/>
      </c>
      <c r="BF282" s="27">
        <f>VLOOKUP($A282,'[1]Raw Data'!$A$3:$FB$285,66,FALSE)</f>
        <v>2940</v>
      </c>
      <c r="BG282" s="27" t="str">
        <f>VLOOKUP($A282,'[1]Raw Data'!$A$3:$FB$285,67,FALSE)</f>
        <v/>
      </c>
      <c r="BH282" s="27" t="str">
        <f t="shared" si="37"/>
        <v/>
      </c>
      <c r="BI282" s="27" t="str">
        <f>VLOOKUP($A282,'[1]Raw Data'!$A$3:$FB$285,68,FALSE)</f>
        <v/>
      </c>
      <c r="BJ282" s="27">
        <f>VLOOKUP($A282,'[1]Raw Data'!$A$3:$FB$285,69,FALSE)</f>
        <v>294</v>
      </c>
      <c r="BK282" s="27" t="str">
        <f>VLOOKUP($A282,'[1]Raw Data'!$A$3:$FB$285,70,FALSE)</f>
        <v/>
      </c>
      <c r="BL282" s="27" t="str">
        <f t="shared" si="38"/>
        <v/>
      </c>
      <c r="BM282" s="27" t="str">
        <f>VLOOKUP($A282,'[1]Raw Data'!$A$3:$FB$285,71,FALSE)</f>
        <v/>
      </c>
      <c r="BN282" s="27">
        <f>VLOOKUP($A282,'[1]Raw Data'!$A$3:$FB$285,72,FALSE)</f>
        <v>343</v>
      </c>
      <c r="BO282" s="27" t="str">
        <f>VLOOKUP($A282,'[1]Raw Data'!$A$3:$FB$285,73,FALSE)</f>
        <v/>
      </c>
      <c r="BP282" s="27" t="str">
        <f t="shared" si="39"/>
        <v/>
      </c>
      <c r="BQ282" s="27" t="str">
        <f>VLOOKUP($A282,'[1]Raw Data'!$A$3:$FB$285,74,FALSE)</f>
        <v/>
      </c>
      <c r="BR282" s="27" t="str">
        <f>VLOOKUP($A282,'[1]Raw Data'!$A$3:$FB$285,75,FALSE)</f>
        <v/>
      </c>
      <c r="BS282" s="27" t="str">
        <f>VLOOKUP($A282,'[1]Raw Data'!$A$3:$FB$285,76,FALSE)</f>
        <v/>
      </c>
      <c r="BT282" s="27" t="str">
        <f t="shared" si="40"/>
        <v/>
      </c>
      <c r="BU282" s="27" t="str">
        <f>VLOOKUP($A282,'[1]Raw Data'!$A$3:$FB$285,77,FALSE)</f>
        <v/>
      </c>
      <c r="BV282" s="27">
        <f>VLOOKUP($A282,'[1]Raw Data'!$A$3:$FB$285,78,FALSE)</f>
        <v>9604</v>
      </c>
      <c r="BW282" s="27" t="str">
        <f>VLOOKUP($A282,'[1]Raw Data'!$A$3:$FB$285,79,FALSE)</f>
        <v/>
      </c>
      <c r="BX282" s="27" t="str">
        <f t="shared" si="41"/>
        <v/>
      </c>
      <c r="BY282" s="27" t="str">
        <f>VLOOKUP($A282,'[1]Raw Data'!$A$3:$FB$285,80,FALSE)</f>
        <v/>
      </c>
      <c r="BZ282" s="27">
        <f>VLOOKUP($A282,'[1]Raw Data'!$A$3:$FB$285,81,FALSE)</f>
        <v>29400</v>
      </c>
      <c r="CA282" s="27" t="str">
        <f>VLOOKUP($A282,'[1]Raw Data'!$A$3:$FB$285,82,FALSE)</f>
        <v/>
      </c>
      <c r="CB282" s="27" t="str">
        <f t="shared" si="42"/>
        <v/>
      </c>
      <c r="CC282" s="27" t="str">
        <f>VLOOKUP($A282,'[1]Raw Data'!$A$3:$FB$285,83,FALSE)</f>
        <v/>
      </c>
      <c r="CD282" s="27">
        <f>VLOOKUP($A282,'[1]Raw Data'!$A$3:$FB$285,84,FALSE)</f>
        <v>392</v>
      </c>
      <c r="CE282" s="27" t="str">
        <f>VLOOKUP($A282,'[1]Raw Data'!$A$3:$FB$285,85,FALSE)</f>
        <v/>
      </c>
      <c r="CF282" s="27" t="str">
        <f t="shared" si="43"/>
        <v/>
      </c>
      <c r="CG282" s="27" t="str">
        <f>VLOOKUP($A282,'[1]Raw Data'!$A$3:$FB$285,86,FALSE)</f>
        <v/>
      </c>
      <c r="CH282" s="27">
        <f>VLOOKUP($A282,'[1]Raw Data'!$A$3:$FB$285,87,FALSE)</f>
        <v>0</v>
      </c>
      <c r="CI282" s="27" t="str">
        <f>VLOOKUP($A282,'[1]Raw Data'!$A$3:$FB$285,88,FALSE)</f>
        <v/>
      </c>
      <c r="CJ282" s="27" t="str">
        <f t="shared" si="44"/>
        <v/>
      </c>
      <c r="CK282" s="27" t="str">
        <f>VLOOKUP($A282,'[1]Raw Data'!$A$3:$FB$285,89,FALSE)</f>
        <v/>
      </c>
      <c r="CL282" s="27" t="str">
        <f>VLOOKUP($A282,'[1]Raw Data'!$A$3:$FB$285,91,FALSE)</f>
        <v/>
      </c>
      <c r="CM282" s="27" t="str">
        <f>VLOOKUP($A282,'[1]Raw Data'!$A$3:$FB$285,93,FALSE)</f>
        <v/>
      </c>
      <c r="CN282" s="27" t="str">
        <f>VLOOKUP($A282,'[1]Raw Data'!$A$3:$FB$285,94,FALSE)</f>
        <v/>
      </c>
      <c r="CO282" s="27" t="str">
        <f>VLOOKUP($A282,'[1]Raw Data'!$A$3:$FB$285,95,FALSE)</f>
        <v/>
      </c>
      <c r="CP282" s="27" t="str">
        <f>VLOOKUP($A282,'[1]Raw Data'!$A$3:$FB$285,96,FALSE)</f>
        <v/>
      </c>
      <c r="CQ282" s="27" t="str">
        <f>VLOOKUP($A282,'[1]Raw Data'!$A$3:$FB$285,97,FALSE)</f>
        <v/>
      </c>
      <c r="CR282" s="27" t="str">
        <f>VLOOKUP($A282,'[1]Raw Data'!$A$3:$FB$285,98,FALSE)</f>
        <v/>
      </c>
      <c r="CS282" s="27" t="str">
        <f>VLOOKUP($A282,'[1]Raw Data'!$A$3:$FB$285,99,FALSE)</f>
        <v/>
      </c>
      <c r="CT282" s="27" t="str">
        <f>VLOOKUP($A282,'[1]Raw Data'!$A$3:$FB$285,101,FALSE)</f>
        <v/>
      </c>
      <c r="CV282" s="27" t="str">
        <f>VLOOKUP($A282,'[1]Raw Data'!$A$3:$FB$285,102,FALSE)</f>
        <v>Chairman</v>
      </c>
      <c r="CW282" s="27" t="s">
        <v>878</v>
      </c>
      <c r="CX282" s="27" t="str">
        <f>VLOOKUP($A282,'[1]Raw Data'!$A$3:$FB$285,103,FALSE)</f>
        <v/>
      </c>
      <c r="CY282" s="27" t="str">
        <f>VLOOKUP($A282,'[1]Raw Data'!$A$3:$FB$285,105,FALSE)</f>
        <v/>
      </c>
      <c r="DA282" s="27" t="str">
        <f>VLOOKUP($A282,'[1]Raw Data'!$A$3:$FB$285,106,FALSE)</f>
        <v>Deputy Chairman</v>
      </c>
      <c r="DB282" s="27" t="s">
        <v>879</v>
      </c>
      <c r="DC282" s="27" t="str">
        <f>VLOOKUP($A282,'[1]Raw Data'!$A$3:$FB$285,107,FALSE)</f>
        <v/>
      </c>
      <c r="DD282" s="27" t="str">
        <f>VLOOKUP($A282,'[1]Raw Data'!$A$3:$FB$285,109,FALSE)</f>
        <v/>
      </c>
      <c r="DF282" s="27" t="str">
        <f>VLOOKUP($A282,'[1]Raw Data'!$A$3:$FB$285,110,FALSE)</f>
        <v>Chief Adminstration Officer</v>
      </c>
      <c r="DG282" s="27" t="s">
        <v>880</v>
      </c>
      <c r="DH282" s="27" t="str">
        <f>VLOOKUP($A282,'[1]Raw Data'!$A$3:$FB$285,111,FALSE)</f>
        <v/>
      </c>
      <c r="DI282" s="27" t="str">
        <f>VLOOKUP($A282,'[1]Raw Data'!$A$3:$FB$285,121,FALSE)</f>
        <v/>
      </c>
      <c r="DK282" s="27" t="str">
        <f>VLOOKUP($A282,'[1]Raw Data'!$A$3:$FB$285,122,FALSE)</f>
        <v>Focal Person</v>
      </c>
      <c r="DL282" s="27" t="s">
        <v>881</v>
      </c>
      <c r="DM282" s="27" t="str">
        <f>VLOOKUP($A282,'[1]Raw Data'!$A$3:$FB$285,123,FALSE)</f>
        <v/>
      </c>
      <c r="DN282" s="27" t="str">
        <f>VLOOKUP($A282,'[1]Raw Data'!$A$3:$FB$285,113,FALSE)</f>
        <v/>
      </c>
      <c r="DP282" s="27" t="str">
        <f>VLOOKUP($A282,'[1]Raw Data'!$A$3:$FB$285,114,FALSE)</f>
        <v>NRA Chief-District</v>
      </c>
      <c r="DQ282" s="27" t="s">
        <v>882</v>
      </c>
      <c r="DR282" s="27" t="str">
        <f>VLOOKUP($A282,'[1]Raw Data'!$A$3:$FB$285,115,FALSE)</f>
        <v/>
      </c>
      <c r="DS282" s="27" t="str">
        <f>VLOOKUP($A282,'[1]Raw Data'!$A$3:$FB$285,117,FALSE)</f>
        <v/>
      </c>
      <c r="DU282" s="27" t="str">
        <f>VLOOKUP($A282,'[1]Raw Data'!$A$3:$FB$285,118,FALSE)</f>
        <v>DUDBC.DLPIU Chief</v>
      </c>
      <c r="DV282" s="27" t="s">
        <v>883</v>
      </c>
      <c r="DW282" s="27" t="str">
        <f>VLOOKUP($A282,'[1]Raw Data'!$A$3:$FB$285,119,FALSE)</f>
        <v/>
      </c>
      <c r="DX282" s="27" t="s">
        <v>339</v>
      </c>
      <c r="DY282" s="27" t="str">
        <f>VLOOKUP($A282,'[1]Raw Data'!$A$3:$FB$285,124,FALSE)</f>
        <v/>
      </c>
      <c r="DZ282" s="27" t="s">
        <v>884</v>
      </c>
      <c r="EA282" s="27" t="str">
        <f>VLOOKUP($A282,'[1]Raw Data'!$A$3:$FB$285,125,FALSE)</f>
        <v/>
      </c>
      <c r="EB282" s="27" t="s">
        <v>341</v>
      </c>
      <c r="EC282" s="27" t="str">
        <f>VLOOKUP($A282,'[1]Raw Data'!$A$3:$FB$285,126,FALSE)</f>
        <v/>
      </c>
      <c r="ED282" t="s">
        <v>478</v>
      </c>
      <c r="EE282" s="27" t="str">
        <f>VLOOKUP($A282,'[1]Raw Data'!$A$3:$FB$285,127,FALSE)</f>
        <v/>
      </c>
      <c r="EF282" s="27" t="s">
        <v>343</v>
      </c>
      <c r="EG282" s="27" t="str">
        <f>VLOOKUP($A282,'[1]Raw Data'!$A$3:$FB$285,128,FALSE)</f>
        <v/>
      </c>
      <c r="EH282" t="s">
        <v>344</v>
      </c>
      <c r="EI282" s="27" t="str">
        <f>VLOOKUP($A282,'[1]Raw Data'!$A$3:$FB$285,129,FALSE)</f>
        <v/>
      </c>
      <c r="EM282" s="27" t="str">
        <f>VLOOKUP($A282,'[1]Raw Data'!$A$3:$FB$285,130,FALSE)</f>
        <v/>
      </c>
      <c r="EN282" s="27" t="str">
        <f>VLOOKUP($A282,'[1]Raw Data'!$A$3:$FB$285,131,FALSE)</f>
        <v/>
      </c>
      <c r="EO282" s="27" t="str">
        <f>VLOOKUP($A282,'[1]Raw Data'!$A$3:$FB$285,132,FALSE)</f>
        <v/>
      </c>
      <c r="EP282" s="27" t="str">
        <f>VLOOKUP($A282,'[1]Raw Data'!$A$3:$FB$285,133,FALSE)</f>
        <v/>
      </c>
      <c r="EQ282" s="27" t="str">
        <f>VLOOKUP($A282,'[1]Raw Data'!$A$3:$FB$285,134,FALSE)</f>
        <v/>
      </c>
      <c r="ER282" s="27" t="str">
        <f>VLOOKUP($A282,'[1]Raw Data'!$A$3:$FB$285,135,FALSE)</f>
        <v/>
      </c>
      <c r="ES282" s="27" t="str">
        <f>VLOOKUP($A282,'[1]Raw Data'!$A$3:$FB$285,136,FALSE)</f>
        <v/>
      </c>
      <c r="ET282" s="27" t="str">
        <f>VLOOKUP($A282,'[1]Raw Data'!$A$3:$FB$285,137,FALSE)</f>
        <v/>
      </c>
      <c r="EU282" s="27" t="str">
        <f>VLOOKUP($A282,'[1]Raw Data'!$A$3:$FB$285,138,FALSE)</f>
        <v/>
      </c>
      <c r="EV282" s="27" t="str">
        <f>VLOOKUP($A282,'[1]Raw Data'!$A$3:$FB$285,139,FALSE)</f>
        <v/>
      </c>
      <c r="EW282" s="38">
        <f>VLOOKUP($A282,[1]Training!$A$2:$I$284,5,FALSE)</f>
        <v>15.307692307692308</v>
      </c>
      <c r="EX282" s="31">
        <f>VLOOKUP($A282,[1]Training!$A$2:$I$284,6,FALSE)</f>
        <v>50</v>
      </c>
      <c r="EY282" s="38">
        <f>VLOOKUP($A282,[1]Training!$A$2:$I$284,8,FALSE)</f>
        <v>18.09090909090909</v>
      </c>
      <c r="EZ282" s="31">
        <f>VLOOKUP($A282,[1]Training!$A$2:$I$284,9,FALSE)</f>
        <v>0</v>
      </c>
      <c r="FA282" s="27">
        <v>1</v>
      </c>
      <c r="FB282" s="27">
        <v>2</v>
      </c>
      <c r="FC282" s="27" t="str">
        <f>VLOOKUP($A282,'[1]Raw Data'!$A$3:$FB$285,148,FALSE)</f>
        <v/>
      </c>
      <c r="FE282" s="27" t="str">
        <f>VLOOKUP($A282,'[1]Raw Data'!$A$3:$FB$285,149,FALSE)</f>
        <v>District Coordinator</v>
      </c>
      <c r="FF282" s="27" t="s">
        <v>885</v>
      </c>
      <c r="FG282" s="27" t="str">
        <f>VLOOKUP($A282,'[1]Raw Data'!$A$3:$FB$285,150,FALSE)</f>
        <v/>
      </c>
      <c r="FH282" s="27" t="str">
        <f>VLOOKUP($A282,'[1]Raw Data'!$A$3:$FB$285,156,FALSE)</f>
        <v/>
      </c>
      <c r="FJ282" s="27" t="str">
        <f>VLOOKUP($A282,'[1]Raw Data'!$A$3:$FB$285,157,FALSE)</f>
        <v>District Technical Officer</v>
      </c>
      <c r="FK282" s="27" t="s">
        <v>886</v>
      </c>
      <c r="FL282" s="27" t="str">
        <f>VLOOKUP($A282,'[1]Raw Data'!$A$3:$FB$285,158,FALSE)</f>
        <v/>
      </c>
      <c r="FM282" s="27" t="str">
        <f>VLOOKUP($A282,'[1]Raw Data'!$A$3:$FB$285,152,FALSE)</f>
        <v/>
      </c>
      <c r="FO282" s="27" t="str">
        <f>VLOOKUP($A282,'[1]Raw Data'!$A$3:$FB$285,153,FALSE)</f>
        <v>DIstrict Information Management Officer</v>
      </c>
      <c r="FP282" s="27" t="s">
        <v>887</v>
      </c>
      <c r="FQ282" s="27" t="str">
        <f>VLOOKUP($A282,'[1]Raw Data'!$A$3:$FB$285,154,FALSE)</f>
        <v/>
      </c>
    </row>
    <row r="283" spans="1:173" ht="24" x14ac:dyDescent="0.45">
      <c r="A283" s="27">
        <v>51003</v>
      </c>
      <c r="B283" s="36" t="str">
        <f ca="1">IFERROR(__xludf.DUMMYFUNCTION("""COMPUTED_VALUE"""),"Malarani Gaunpalika")</f>
        <v>Malarani Gaunpalika</v>
      </c>
      <c r="C283" s="37" t="str">
        <f>VLOOKUP(A283,'[1]Palika and District in Nepali '!$D$1:$F$283,3,FALSE)</f>
        <v>मालारानी गाउपालिका</v>
      </c>
      <c r="D283" s="36" t="str">
        <f ca="1">IFERROR(__xludf.DUMMYFUNCTION("""COMPUTED_VALUE"""),"Arghakhanchi")</f>
        <v>Arghakhanchi</v>
      </c>
      <c r="E283" s="36"/>
      <c r="F283" s="27">
        <f>VLOOKUP(A283,'[1]Raw Data'!$A$3:$FB$285,4,FALSE)</f>
        <v>46</v>
      </c>
      <c r="G283" s="27">
        <f>VLOOKUP(A283,'[1]Raw Data'!$A$3:$FB$285,5,FALSE)</f>
        <v>266</v>
      </c>
      <c r="H283" s="27">
        <f>VLOOKUP(A283,'[1]Raw Data'!$A$3:$FB$285,6,FALSE)</f>
        <v>312</v>
      </c>
      <c r="I283" s="27">
        <f>VLOOKUP($A283,'[1]Raw Data'!$A$3:$FB$285,8,FALSE)</f>
        <v>0.64</v>
      </c>
      <c r="J283" s="27">
        <f>VLOOKUP($A283,'[1]Raw Data'!$A$3:$FB$285,9,FALSE)</f>
        <v>0.85</v>
      </c>
      <c r="K283" s="27">
        <f>VLOOKUP($A283,'[1]Raw Data'!$A$3:$FB$285,11,FALSE)</f>
        <v>99.04</v>
      </c>
      <c r="L283" s="27">
        <f>VLOOKUP($A283,'[1]Raw Data'!$A$3:$FB$285,12,FALSE)</f>
        <v>98</v>
      </c>
      <c r="M283" s="27">
        <f>VLOOKUP($A283,'[1]Raw Data'!$A$3:$FB$285,14,FALSE)</f>
        <v>0</v>
      </c>
      <c r="N283" s="27">
        <f>VLOOKUP($A283,'[1]Raw Data'!$A$3:$FB$285,15,FALSE)</f>
        <v>0.61</v>
      </c>
      <c r="O283" s="27">
        <f>VLOOKUP($A283,'[1]Raw Data'!$A$3:$FB$285,17,FALSE)</f>
        <v>0</v>
      </c>
      <c r="P283" s="27">
        <f>VLOOKUP($A283,'[1]Raw Data'!$A$3:$FB$285,18,FALSE)</f>
        <v>0.12</v>
      </c>
      <c r="Q283" s="27">
        <f>VLOOKUP($A283,'[1]Raw Data'!$A$3:$FB$285,20,FALSE)</f>
        <v>0</v>
      </c>
      <c r="R283" s="27">
        <f>VLOOKUP($A283,'[1]Raw Data'!$A$3:$FB$285,21,FALSE)</f>
        <v>0.12</v>
      </c>
      <c r="S283" s="27">
        <f>VLOOKUP($A283,'[1]Raw Data'!$A$3:$FB$285,23,FALSE)</f>
        <v>0</v>
      </c>
      <c r="T283" s="27">
        <f>VLOOKUP($A283,'[1]Raw Data'!$A$3:$FB$285,24,FALSE)</f>
        <v>0</v>
      </c>
      <c r="U283" s="27">
        <f>VLOOKUP($A283,'[1]Raw Data'!$A$3:$FB$285,26,FALSE)</f>
        <v>0</v>
      </c>
      <c r="V283" s="27">
        <f>VLOOKUP($A283,'[1]Raw Data'!$A$3:$FB$285,27,FALSE)</f>
        <v>0.06</v>
      </c>
      <c r="W283" s="27">
        <f>VLOOKUP($A283,'[1]Raw Data'!$A$3:$FB$285,29,FALSE)</f>
        <v>0</v>
      </c>
      <c r="X283" s="27">
        <f>VLOOKUP($A283,'[1]Raw Data'!$A$3:$FB$285,30,FALSE)</f>
        <v>0</v>
      </c>
      <c r="Y283" s="27">
        <f>VLOOKUP($A283,'[1]Raw Data'!$A$3:$FB$285,32,FALSE)</f>
        <v>0</v>
      </c>
      <c r="Z283" s="27">
        <f>VLOOKUP($A283,'[1]Raw Data'!$A$3:$FB$285,33,FALSE)</f>
        <v>0.06</v>
      </c>
      <c r="AA283" s="27">
        <f>VLOOKUP($A283,'[1]Raw Data'!$A$3:$FB$285,35,FALSE)</f>
        <v>0.32</v>
      </c>
      <c r="AB283" s="27">
        <f>VLOOKUP($A283,'[1]Raw Data'!$A$3:$FB$285,36,FALSE)</f>
        <v>0.18</v>
      </c>
      <c r="AC283" s="27">
        <f>VLOOKUP($A283,'[1]Raw Data'!$A$3:$FB$285,38,FALSE)</f>
        <v>0</v>
      </c>
      <c r="AD283" s="27">
        <f>VLOOKUP($A283,'[1]Raw Data'!$A$3:$FB$285,39,FALSE)</f>
        <v>0</v>
      </c>
      <c r="AE283" s="27">
        <f>VLOOKUP($A283,'[1]Raw Data'!$A$3:$FB$285,41,FALSE)</f>
        <v>0</v>
      </c>
      <c r="AF283" s="27">
        <f>VLOOKUP($A283,'[1]Raw Data'!$A$3:$FB$285,42,FALSE)</f>
        <v>0</v>
      </c>
      <c r="AG283" s="27">
        <f>VLOOKUP($A283,'[1]Raw Data'!$A$3:$FB$285,44,FALSE)</f>
        <v>0</v>
      </c>
      <c r="AH283" s="27">
        <f>VLOOKUP($A283,'[1]Raw Data'!$A$3:$FB$285,45,FALSE)</f>
        <v>0</v>
      </c>
      <c r="AI283" s="27">
        <f>VLOOKUP($A283,'[1]Raw Data'!$A$3:$FB$285,46,FALSE)</f>
        <v>245</v>
      </c>
      <c r="AJ283" s="27">
        <f>VLOOKUP($A283,'[1]Raw Data'!$A$3:$FB$285,47,FALSE)</f>
        <v>90</v>
      </c>
      <c r="AK283" s="27">
        <f>VLOOKUP($A283,'[1]Raw Data'!$A$3:$FB$285,48,FALSE)</f>
        <v>90</v>
      </c>
      <c r="AL283" s="27">
        <f>VLOOKUP($A283,'[1]Raw Data'!$A$3:$FB$285,49,FALSE)</f>
        <v>24</v>
      </c>
      <c r="AM283" s="27">
        <f>VLOOKUP($A283,'[1]Raw Data'!$A$3:$FB$285,50,FALSE)</f>
        <v>1</v>
      </c>
      <c r="AN283" s="27" t="str">
        <f>VLOOKUP($A283,'[1]Raw Data'!$A$3:$FB$285,51,FALSE)</f>
        <v/>
      </c>
      <c r="AO283" s="27" t="str">
        <f>VLOOKUP($A283,'[1]Raw Data'!$A$3:$FB$285,52,FALSE)</f>
        <v/>
      </c>
      <c r="AP283" s="27">
        <f>VLOOKUP($A283,'[1]Raw Data'!$A$3:$FB$285,53,FALSE)</f>
        <v>3</v>
      </c>
      <c r="AQ283" s="27" t="str">
        <f>VLOOKUP($A283,'[1]Raw Data'!$A$3:$FB$285,54,FALSE)</f>
        <v/>
      </c>
      <c r="AR283" s="27" t="str">
        <f>VLOOKUP($A283,'[1]Raw Data'!$A$3:$FB$285,55,FALSE)</f>
        <v/>
      </c>
      <c r="AS283" s="27" t="str">
        <f>VLOOKUP($A283,'[1]Raw Data'!$A$3:$FB$285,56,FALSE)</f>
        <v/>
      </c>
      <c r="AT283" s="27" t="str">
        <f>VLOOKUP($A283,'[1]Raw Data'!$A$3:$FB$285,57,FALSE)</f>
        <v/>
      </c>
      <c r="AU283" s="27" t="str">
        <f>VLOOKUP($A283,'[1]Raw Data'!$A$3:$FB$285,58,FALSE)</f>
        <v/>
      </c>
      <c r="AV283" s="27" t="str">
        <f>VLOOKUP($A283,'[1]Raw Data'!$A$3:$FB$285,59,FALSE)</f>
        <v/>
      </c>
      <c r="AW283" s="27" t="str">
        <f>VLOOKUP($A283,'[1]Raw Data'!$A$3:$FB$285,60,FALSE)</f>
        <v/>
      </c>
      <c r="AX283" s="27" t="str">
        <f>VLOOKUP(A283,'[1]PO''s List'!A281:E563,4,FALSE)</f>
        <v/>
      </c>
      <c r="AZ283" s="27" t="str">
        <f>VLOOKUP(A283,'[1]PO''s List'!$A$3:$E$285,5,FALSE)</f>
        <v/>
      </c>
      <c r="BB283" s="27">
        <f>VLOOKUP($A283,'[1]Raw Data'!$A$3:$FB$285,63,FALSE)</f>
        <v>2580</v>
      </c>
      <c r="BC283" s="27" t="str">
        <f>VLOOKUP($A283,'[1]Raw Data'!$A$3:$FB$285,64,FALSE)</f>
        <v/>
      </c>
      <c r="BD283" s="27" t="str">
        <f t="shared" si="36"/>
        <v/>
      </c>
      <c r="BE283" s="27" t="str">
        <f>VLOOKUP($A283,'[1]Raw Data'!$A$3:$FB$285,65,FALSE)</f>
        <v/>
      </c>
      <c r="BF283" s="27">
        <f>VLOOKUP($A283,'[1]Raw Data'!$A$3:$FB$285,66,FALSE)</f>
        <v>2570</v>
      </c>
      <c r="BG283" s="27" t="str">
        <f>VLOOKUP($A283,'[1]Raw Data'!$A$3:$FB$285,67,FALSE)</f>
        <v/>
      </c>
      <c r="BH283" s="27" t="str">
        <f t="shared" si="37"/>
        <v/>
      </c>
      <c r="BI283" s="27" t="str">
        <f>VLOOKUP($A283,'[1]Raw Data'!$A$3:$FB$285,68,FALSE)</f>
        <v/>
      </c>
      <c r="BJ283" s="27">
        <f>VLOOKUP($A283,'[1]Raw Data'!$A$3:$FB$285,69,FALSE)</f>
        <v>275</v>
      </c>
      <c r="BK283" s="27" t="str">
        <f>VLOOKUP($A283,'[1]Raw Data'!$A$3:$FB$285,70,FALSE)</f>
        <v/>
      </c>
      <c r="BL283" s="27" t="str">
        <f t="shared" si="38"/>
        <v/>
      </c>
      <c r="BM283" s="27" t="str">
        <f>VLOOKUP($A283,'[1]Raw Data'!$A$3:$FB$285,71,FALSE)</f>
        <v/>
      </c>
      <c r="BN283" s="27">
        <f>VLOOKUP($A283,'[1]Raw Data'!$A$3:$FB$285,72,FALSE)</f>
        <v>316</v>
      </c>
      <c r="BO283" s="27" t="str">
        <f>VLOOKUP($A283,'[1]Raw Data'!$A$3:$FB$285,73,FALSE)</f>
        <v/>
      </c>
      <c r="BP283" s="27" t="str">
        <f t="shared" si="39"/>
        <v/>
      </c>
      <c r="BQ283" s="27" t="str">
        <f>VLOOKUP($A283,'[1]Raw Data'!$A$3:$FB$285,74,FALSE)</f>
        <v/>
      </c>
      <c r="BR283" s="27" t="str">
        <f>VLOOKUP($A283,'[1]Raw Data'!$A$3:$FB$285,75,FALSE)</f>
        <v/>
      </c>
      <c r="BS283" s="27" t="str">
        <f>VLOOKUP($A283,'[1]Raw Data'!$A$3:$FB$285,76,FALSE)</f>
        <v/>
      </c>
      <c r="BT283" s="27" t="str">
        <f t="shared" si="40"/>
        <v/>
      </c>
      <c r="BU283" s="27" t="str">
        <f>VLOOKUP($A283,'[1]Raw Data'!$A$3:$FB$285,77,FALSE)</f>
        <v/>
      </c>
      <c r="BV283" s="27">
        <f>VLOOKUP($A283,'[1]Raw Data'!$A$3:$FB$285,78,FALSE)</f>
        <v>8690</v>
      </c>
      <c r="BW283" s="27" t="str">
        <f>VLOOKUP($A283,'[1]Raw Data'!$A$3:$FB$285,79,FALSE)</f>
        <v/>
      </c>
      <c r="BX283" s="27" t="str">
        <f t="shared" si="41"/>
        <v/>
      </c>
      <c r="BY283" s="27" t="str">
        <f>VLOOKUP($A283,'[1]Raw Data'!$A$3:$FB$285,80,FALSE)</f>
        <v/>
      </c>
      <c r="BZ283" s="27">
        <f>VLOOKUP($A283,'[1]Raw Data'!$A$3:$FB$285,81,FALSE)</f>
        <v>28306</v>
      </c>
      <c r="CA283" s="27" t="str">
        <f>VLOOKUP($A283,'[1]Raw Data'!$A$3:$FB$285,82,FALSE)</f>
        <v/>
      </c>
      <c r="CB283" s="27" t="str">
        <f t="shared" si="42"/>
        <v/>
      </c>
      <c r="CC283" s="27" t="str">
        <f>VLOOKUP($A283,'[1]Raw Data'!$A$3:$FB$285,83,FALSE)</f>
        <v/>
      </c>
      <c r="CD283" s="27">
        <f>VLOOKUP($A283,'[1]Raw Data'!$A$3:$FB$285,84,FALSE)</f>
        <v>356</v>
      </c>
      <c r="CE283" s="27" t="str">
        <f>VLOOKUP($A283,'[1]Raw Data'!$A$3:$FB$285,85,FALSE)</f>
        <v/>
      </c>
      <c r="CF283" s="27" t="str">
        <f t="shared" si="43"/>
        <v/>
      </c>
      <c r="CG283" s="27" t="str">
        <f>VLOOKUP($A283,'[1]Raw Data'!$A$3:$FB$285,86,FALSE)</f>
        <v/>
      </c>
      <c r="CH283" s="27">
        <f>VLOOKUP($A283,'[1]Raw Data'!$A$3:$FB$285,87,FALSE)</f>
        <v>56130</v>
      </c>
      <c r="CI283" s="27" t="str">
        <f>VLOOKUP($A283,'[1]Raw Data'!$A$3:$FB$285,88,FALSE)</f>
        <v/>
      </c>
      <c r="CJ283" s="27" t="str">
        <f t="shared" si="44"/>
        <v/>
      </c>
      <c r="CK283" s="27" t="str">
        <f>VLOOKUP($A283,'[1]Raw Data'!$A$3:$FB$285,89,FALSE)</f>
        <v/>
      </c>
      <c r="CL283" s="27" t="str">
        <f>VLOOKUP($A283,'[1]Raw Data'!$A$3:$FB$285,91,FALSE)</f>
        <v/>
      </c>
      <c r="CM283" s="27" t="str">
        <f>VLOOKUP($A283,'[1]Raw Data'!$A$3:$FB$285,93,FALSE)</f>
        <v/>
      </c>
      <c r="CN283" s="27" t="str">
        <f>VLOOKUP($A283,'[1]Raw Data'!$A$3:$FB$285,94,FALSE)</f>
        <v/>
      </c>
      <c r="CO283" s="27" t="str">
        <f>VLOOKUP($A283,'[1]Raw Data'!$A$3:$FB$285,95,FALSE)</f>
        <v/>
      </c>
      <c r="CP283" s="27" t="str">
        <f>VLOOKUP($A283,'[1]Raw Data'!$A$3:$FB$285,96,FALSE)</f>
        <v/>
      </c>
      <c r="CQ283" s="27" t="str">
        <f>VLOOKUP($A283,'[1]Raw Data'!$A$3:$FB$285,97,FALSE)</f>
        <v/>
      </c>
      <c r="CR283" s="27" t="str">
        <f>VLOOKUP($A283,'[1]Raw Data'!$A$3:$FB$285,98,FALSE)</f>
        <v/>
      </c>
      <c r="CS283" s="27" t="str">
        <f>VLOOKUP($A283,'[1]Raw Data'!$A$3:$FB$285,99,FALSE)</f>
        <v/>
      </c>
      <c r="CT283" s="27" t="str">
        <f>VLOOKUP($A283,'[1]Raw Data'!$A$3:$FB$285,101,FALSE)</f>
        <v/>
      </c>
      <c r="CV283" s="27" t="str">
        <f>VLOOKUP($A283,'[1]Raw Data'!$A$3:$FB$285,102,FALSE)</f>
        <v>Chairman</v>
      </c>
      <c r="CW283" s="27" t="s">
        <v>878</v>
      </c>
      <c r="CX283" s="27" t="str">
        <f>VLOOKUP($A283,'[1]Raw Data'!$A$3:$FB$285,103,FALSE)</f>
        <v/>
      </c>
      <c r="CY283" s="27" t="str">
        <f>VLOOKUP($A283,'[1]Raw Data'!$A$3:$FB$285,105,FALSE)</f>
        <v/>
      </c>
      <c r="DA283" s="27" t="str">
        <f>VLOOKUP($A283,'[1]Raw Data'!$A$3:$FB$285,106,FALSE)</f>
        <v>Deputy Chairman</v>
      </c>
      <c r="DB283" s="27" t="s">
        <v>879</v>
      </c>
      <c r="DC283" s="27" t="str">
        <f>VLOOKUP($A283,'[1]Raw Data'!$A$3:$FB$285,107,FALSE)</f>
        <v/>
      </c>
      <c r="DD283" s="27" t="str">
        <f>VLOOKUP($A283,'[1]Raw Data'!$A$3:$FB$285,109,FALSE)</f>
        <v/>
      </c>
      <c r="DF283" s="27" t="str">
        <f>VLOOKUP($A283,'[1]Raw Data'!$A$3:$FB$285,110,FALSE)</f>
        <v>Chief Adminstration Officer</v>
      </c>
      <c r="DG283" s="27" t="s">
        <v>880</v>
      </c>
      <c r="DH283" s="27" t="str">
        <f>VLOOKUP($A283,'[1]Raw Data'!$A$3:$FB$285,111,FALSE)</f>
        <v/>
      </c>
      <c r="DI283" s="27" t="str">
        <f>VLOOKUP($A283,'[1]Raw Data'!$A$3:$FB$285,121,FALSE)</f>
        <v/>
      </c>
      <c r="DK283" s="27" t="str">
        <f>VLOOKUP($A283,'[1]Raw Data'!$A$3:$FB$285,122,FALSE)</f>
        <v>Focal Person</v>
      </c>
      <c r="DL283" s="27" t="s">
        <v>881</v>
      </c>
      <c r="DM283" s="27" t="str">
        <f>VLOOKUP($A283,'[1]Raw Data'!$A$3:$FB$285,123,FALSE)</f>
        <v/>
      </c>
      <c r="DN283" s="27" t="str">
        <f>VLOOKUP($A283,'[1]Raw Data'!$A$3:$FB$285,113,FALSE)</f>
        <v/>
      </c>
      <c r="DP283" s="27" t="str">
        <f>VLOOKUP($A283,'[1]Raw Data'!$A$3:$FB$285,114,FALSE)</f>
        <v>NRA Chief-District</v>
      </c>
      <c r="DQ283" s="27" t="s">
        <v>882</v>
      </c>
      <c r="DR283" s="27" t="str">
        <f>VLOOKUP($A283,'[1]Raw Data'!$A$3:$FB$285,115,FALSE)</f>
        <v/>
      </c>
      <c r="DS283" s="27" t="str">
        <f>VLOOKUP($A283,'[1]Raw Data'!$A$3:$FB$285,117,FALSE)</f>
        <v/>
      </c>
      <c r="DU283" s="27" t="str">
        <f>VLOOKUP($A283,'[1]Raw Data'!$A$3:$FB$285,118,FALSE)</f>
        <v>DUDBC.DLPIU Chief</v>
      </c>
      <c r="DV283" s="27" t="s">
        <v>883</v>
      </c>
      <c r="DW283" s="27" t="str">
        <f>VLOOKUP($A283,'[1]Raw Data'!$A$3:$FB$285,119,FALSE)</f>
        <v/>
      </c>
      <c r="DX283" s="27" t="s">
        <v>339</v>
      </c>
      <c r="DY283" s="27" t="str">
        <f>VLOOKUP($A283,'[1]Raw Data'!$A$3:$FB$285,124,FALSE)</f>
        <v/>
      </c>
      <c r="DZ283" s="27" t="s">
        <v>884</v>
      </c>
      <c r="EA283" s="27" t="str">
        <f>VLOOKUP($A283,'[1]Raw Data'!$A$3:$FB$285,125,FALSE)</f>
        <v/>
      </c>
      <c r="EB283" s="27" t="s">
        <v>341</v>
      </c>
      <c r="EC283" s="27" t="str">
        <f>VLOOKUP($A283,'[1]Raw Data'!$A$3:$FB$285,126,FALSE)</f>
        <v/>
      </c>
      <c r="ED283" t="s">
        <v>478</v>
      </c>
      <c r="EE283" s="27" t="str">
        <f>VLOOKUP($A283,'[1]Raw Data'!$A$3:$FB$285,127,FALSE)</f>
        <v/>
      </c>
      <c r="EF283" s="27" t="s">
        <v>343</v>
      </c>
      <c r="EG283" s="27" t="str">
        <f>VLOOKUP($A283,'[1]Raw Data'!$A$3:$FB$285,128,FALSE)</f>
        <v/>
      </c>
      <c r="EH283" t="s">
        <v>344</v>
      </c>
      <c r="EI283" s="27" t="str">
        <f>VLOOKUP($A283,'[1]Raw Data'!$A$3:$FB$285,129,FALSE)</f>
        <v/>
      </c>
      <c r="EM283" s="27" t="str">
        <f>VLOOKUP($A283,'[1]Raw Data'!$A$3:$FB$285,130,FALSE)</f>
        <v/>
      </c>
      <c r="EN283" s="27" t="str">
        <f>VLOOKUP($A283,'[1]Raw Data'!$A$3:$FB$285,131,FALSE)</f>
        <v/>
      </c>
      <c r="EO283" s="27" t="str">
        <f>VLOOKUP($A283,'[1]Raw Data'!$A$3:$FB$285,132,FALSE)</f>
        <v/>
      </c>
      <c r="EP283" s="27" t="str">
        <f>VLOOKUP($A283,'[1]Raw Data'!$A$3:$FB$285,133,FALSE)</f>
        <v/>
      </c>
      <c r="EQ283" s="27" t="str">
        <f>VLOOKUP($A283,'[1]Raw Data'!$A$3:$FB$285,134,FALSE)</f>
        <v/>
      </c>
      <c r="ER283" s="27" t="str">
        <f>VLOOKUP($A283,'[1]Raw Data'!$A$3:$FB$285,135,FALSE)</f>
        <v/>
      </c>
      <c r="ES283" s="27" t="str">
        <f>VLOOKUP($A283,'[1]Raw Data'!$A$3:$FB$285,136,FALSE)</f>
        <v/>
      </c>
      <c r="ET283" s="27" t="str">
        <f>VLOOKUP($A283,'[1]Raw Data'!$A$3:$FB$285,137,FALSE)</f>
        <v/>
      </c>
      <c r="EU283" s="27" t="str">
        <f>VLOOKUP($A283,'[1]Raw Data'!$A$3:$FB$285,138,FALSE)</f>
        <v/>
      </c>
      <c r="EV283" s="27" t="str">
        <f>VLOOKUP($A283,'[1]Raw Data'!$A$3:$FB$285,139,FALSE)</f>
        <v/>
      </c>
      <c r="EW283" s="38">
        <f>VLOOKUP($A283,[1]Training!$A$2:$I$284,5,FALSE)</f>
        <v>18.846153846153847</v>
      </c>
      <c r="EX283" s="31">
        <f>VLOOKUP($A283,[1]Training!$A$2:$I$284,6,FALSE)</f>
        <v>50</v>
      </c>
      <c r="EY283" s="38">
        <f>VLOOKUP($A283,[1]Training!$A$2:$I$284,8,FALSE)</f>
        <v>22.272727272727273</v>
      </c>
      <c r="EZ283" s="31">
        <f>VLOOKUP($A283,[1]Training!$A$2:$I$284,9,FALSE)</f>
        <v>0</v>
      </c>
      <c r="FA283" s="27">
        <v>1</v>
      </c>
      <c r="FB283" s="27">
        <v>2</v>
      </c>
      <c r="FC283" s="27" t="str">
        <f>VLOOKUP($A283,'[1]Raw Data'!$A$3:$FB$285,148,FALSE)</f>
        <v/>
      </c>
      <c r="FE283" s="27" t="str">
        <f>VLOOKUP($A283,'[1]Raw Data'!$A$3:$FB$285,149,FALSE)</f>
        <v>District Coordinator</v>
      </c>
      <c r="FF283" s="27" t="s">
        <v>885</v>
      </c>
      <c r="FG283" s="27" t="str">
        <f>VLOOKUP($A283,'[1]Raw Data'!$A$3:$FB$285,150,FALSE)</f>
        <v/>
      </c>
      <c r="FH283" s="27" t="str">
        <f>VLOOKUP($A283,'[1]Raw Data'!$A$3:$FB$285,156,FALSE)</f>
        <v/>
      </c>
      <c r="FJ283" s="27" t="str">
        <f>VLOOKUP($A283,'[1]Raw Data'!$A$3:$FB$285,157,FALSE)</f>
        <v>District Technical Officer</v>
      </c>
      <c r="FK283" s="27" t="s">
        <v>886</v>
      </c>
      <c r="FL283" s="27" t="str">
        <f>VLOOKUP($A283,'[1]Raw Data'!$A$3:$FB$285,158,FALSE)</f>
        <v/>
      </c>
      <c r="FM283" s="27" t="str">
        <f>VLOOKUP($A283,'[1]Raw Data'!$A$3:$FB$285,152,FALSE)</f>
        <v/>
      </c>
      <c r="FO283" s="27" t="str">
        <f>VLOOKUP($A283,'[1]Raw Data'!$A$3:$FB$285,153,FALSE)</f>
        <v>DIstrict Information Management Officer</v>
      </c>
      <c r="FP283" s="27" t="s">
        <v>887</v>
      </c>
      <c r="FQ283" s="27" t="str">
        <f>VLOOKUP($A283,'[1]Raw Data'!$A$3:$FB$285,154,FALSE)</f>
        <v/>
      </c>
    </row>
    <row r="284" spans="1:173" ht="24" x14ac:dyDescent="0.45">
      <c r="A284" s="27">
        <v>51004</v>
      </c>
      <c r="B284" s="36" t="str">
        <f ca="1">IFERROR(__xludf.DUMMYFUNCTION("""COMPUTED_VALUE"""),"Panini Gaunpalika")</f>
        <v>Panini Gaunpalika</v>
      </c>
      <c r="C284" s="37" t="str">
        <f>VLOOKUP(A284,'[1]Palika and District in Nepali '!$D$1:$F$283,3,FALSE)</f>
        <v>पाणिनी  गाउपालिका</v>
      </c>
      <c r="D284" s="36" t="str">
        <f ca="1">IFERROR(__xludf.DUMMYFUNCTION("""COMPUTED_VALUE"""),"Arghakhanchi")</f>
        <v>Arghakhanchi</v>
      </c>
      <c r="E284" s="36"/>
      <c r="F284" s="27">
        <f>VLOOKUP(A284,'[1]Raw Data'!$A$3:$FB$285,4,FALSE)</f>
        <v>82</v>
      </c>
      <c r="G284" s="27">
        <f>VLOOKUP(A284,'[1]Raw Data'!$A$3:$FB$285,5,FALSE)</f>
        <v>249</v>
      </c>
      <c r="H284" s="27">
        <f>VLOOKUP(A284,'[1]Raw Data'!$A$3:$FB$285,6,FALSE)</f>
        <v>331</v>
      </c>
      <c r="I284" s="27">
        <f>VLOOKUP($A284,'[1]Raw Data'!$A$3:$FB$285,8,FALSE)</f>
        <v>1.21</v>
      </c>
      <c r="J284" s="27">
        <f>VLOOKUP($A284,'[1]Raw Data'!$A$3:$FB$285,9,FALSE)</f>
        <v>0.85</v>
      </c>
      <c r="K284" s="27">
        <f>VLOOKUP($A284,'[1]Raw Data'!$A$3:$FB$285,11,FALSE)</f>
        <v>97.89</v>
      </c>
      <c r="L284" s="27">
        <f>VLOOKUP($A284,'[1]Raw Data'!$A$3:$FB$285,12,FALSE)</f>
        <v>98</v>
      </c>
      <c r="M284" s="27">
        <f>VLOOKUP($A284,'[1]Raw Data'!$A$3:$FB$285,14,FALSE)</f>
        <v>0</v>
      </c>
      <c r="N284" s="27">
        <f>VLOOKUP($A284,'[1]Raw Data'!$A$3:$FB$285,15,FALSE)</f>
        <v>0.61</v>
      </c>
      <c r="O284" s="27">
        <f>VLOOKUP($A284,'[1]Raw Data'!$A$3:$FB$285,17,FALSE)</f>
        <v>0</v>
      </c>
      <c r="P284" s="27">
        <f>VLOOKUP($A284,'[1]Raw Data'!$A$3:$FB$285,18,FALSE)</f>
        <v>0.12</v>
      </c>
      <c r="Q284" s="27">
        <f>VLOOKUP($A284,'[1]Raw Data'!$A$3:$FB$285,20,FALSE)</f>
        <v>0.3</v>
      </c>
      <c r="R284" s="27">
        <f>VLOOKUP($A284,'[1]Raw Data'!$A$3:$FB$285,21,FALSE)</f>
        <v>0.12</v>
      </c>
      <c r="S284" s="27">
        <f>VLOOKUP($A284,'[1]Raw Data'!$A$3:$FB$285,23,FALSE)</f>
        <v>0</v>
      </c>
      <c r="T284" s="27">
        <f>VLOOKUP($A284,'[1]Raw Data'!$A$3:$FB$285,24,FALSE)</f>
        <v>0</v>
      </c>
      <c r="U284" s="27">
        <f>VLOOKUP($A284,'[1]Raw Data'!$A$3:$FB$285,26,FALSE)</f>
        <v>0.3</v>
      </c>
      <c r="V284" s="27">
        <f>VLOOKUP($A284,'[1]Raw Data'!$A$3:$FB$285,27,FALSE)</f>
        <v>0.06</v>
      </c>
      <c r="W284" s="27">
        <f>VLOOKUP($A284,'[1]Raw Data'!$A$3:$FB$285,29,FALSE)</f>
        <v>0</v>
      </c>
      <c r="X284" s="27">
        <f>VLOOKUP($A284,'[1]Raw Data'!$A$3:$FB$285,30,FALSE)</f>
        <v>0</v>
      </c>
      <c r="Y284" s="27">
        <f>VLOOKUP($A284,'[1]Raw Data'!$A$3:$FB$285,32,FALSE)</f>
        <v>0.3</v>
      </c>
      <c r="Z284" s="27">
        <f>VLOOKUP($A284,'[1]Raw Data'!$A$3:$FB$285,33,FALSE)</f>
        <v>0.06</v>
      </c>
      <c r="AA284" s="27">
        <f>VLOOKUP($A284,'[1]Raw Data'!$A$3:$FB$285,35,FALSE)</f>
        <v>0</v>
      </c>
      <c r="AB284" s="27">
        <f>VLOOKUP($A284,'[1]Raw Data'!$A$3:$FB$285,36,FALSE)</f>
        <v>0.18</v>
      </c>
      <c r="AC284" s="27">
        <f>VLOOKUP($A284,'[1]Raw Data'!$A$3:$FB$285,38,FALSE)</f>
        <v>0</v>
      </c>
      <c r="AD284" s="27">
        <f>VLOOKUP($A284,'[1]Raw Data'!$A$3:$FB$285,39,FALSE)</f>
        <v>0</v>
      </c>
      <c r="AE284" s="27">
        <f>VLOOKUP($A284,'[1]Raw Data'!$A$3:$FB$285,41,FALSE)</f>
        <v>0</v>
      </c>
      <c r="AF284" s="27">
        <f>VLOOKUP($A284,'[1]Raw Data'!$A$3:$FB$285,42,FALSE)</f>
        <v>0</v>
      </c>
      <c r="AG284" s="27">
        <f>VLOOKUP($A284,'[1]Raw Data'!$A$3:$FB$285,44,FALSE)</f>
        <v>0</v>
      </c>
      <c r="AH284" s="27">
        <f>VLOOKUP($A284,'[1]Raw Data'!$A$3:$FB$285,45,FALSE)</f>
        <v>0</v>
      </c>
      <c r="AI284" s="27">
        <f>VLOOKUP($A284,'[1]Raw Data'!$A$3:$FB$285,46,FALSE)</f>
        <v>241</v>
      </c>
      <c r="AJ284" s="27">
        <f>VLOOKUP($A284,'[1]Raw Data'!$A$3:$FB$285,47,FALSE)</f>
        <v>110</v>
      </c>
      <c r="AK284" s="27">
        <f>VLOOKUP($A284,'[1]Raw Data'!$A$3:$FB$285,48,FALSE)</f>
        <v>110</v>
      </c>
      <c r="AL284" s="27">
        <f>VLOOKUP($A284,'[1]Raw Data'!$A$3:$FB$285,49,FALSE)</f>
        <v>33</v>
      </c>
      <c r="AM284" s="27">
        <f>VLOOKUP($A284,'[1]Raw Data'!$A$3:$FB$285,50,FALSE)</f>
        <v>2</v>
      </c>
      <c r="AN284" s="27" t="str">
        <f>VLOOKUP($A284,'[1]Raw Data'!$A$3:$FB$285,51,FALSE)</f>
        <v/>
      </c>
      <c r="AO284" s="27" t="str">
        <f>VLOOKUP($A284,'[1]Raw Data'!$A$3:$FB$285,52,FALSE)</f>
        <v/>
      </c>
      <c r="AP284" s="27">
        <f>VLOOKUP($A284,'[1]Raw Data'!$A$3:$FB$285,53,FALSE)</f>
        <v>6</v>
      </c>
      <c r="AQ284" s="27" t="str">
        <f>VLOOKUP($A284,'[1]Raw Data'!$A$3:$FB$285,54,FALSE)</f>
        <v/>
      </c>
      <c r="AR284" s="27" t="str">
        <f>VLOOKUP($A284,'[1]Raw Data'!$A$3:$FB$285,55,FALSE)</f>
        <v/>
      </c>
      <c r="AS284" s="27" t="str">
        <f>VLOOKUP($A284,'[1]Raw Data'!$A$3:$FB$285,56,FALSE)</f>
        <v/>
      </c>
      <c r="AT284" s="27" t="str">
        <f>VLOOKUP($A284,'[1]Raw Data'!$A$3:$FB$285,57,FALSE)</f>
        <v/>
      </c>
      <c r="AU284" s="27" t="str">
        <f>VLOOKUP($A284,'[1]Raw Data'!$A$3:$FB$285,58,FALSE)</f>
        <v/>
      </c>
      <c r="AV284" s="27" t="str">
        <f>VLOOKUP($A284,'[1]Raw Data'!$A$3:$FB$285,59,FALSE)</f>
        <v/>
      </c>
      <c r="AW284" s="27" t="str">
        <f>VLOOKUP($A284,'[1]Raw Data'!$A$3:$FB$285,60,FALSE)</f>
        <v/>
      </c>
      <c r="AX284" s="27" t="str">
        <f>VLOOKUP(A284,'[1]PO''s List'!A282:E564,4,FALSE)</f>
        <v/>
      </c>
      <c r="AZ284" s="27" t="str">
        <f>VLOOKUP(A284,'[1]PO''s List'!$A$3:$E$285,5,FALSE)</f>
        <v/>
      </c>
      <c r="BB284" s="27">
        <f>VLOOKUP($A284,'[1]Raw Data'!$A$3:$FB$285,63,FALSE)</f>
        <v>3034</v>
      </c>
      <c r="BC284" s="27" t="str">
        <f>VLOOKUP($A284,'[1]Raw Data'!$A$3:$FB$285,64,FALSE)</f>
        <v/>
      </c>
      <c r="BD284" s="27" t="str">
        <f t="shared" si="36"/>
        <v/>
      </c>
      <c r="BE284" s="27" t="str">
        <f>VLOOKUP($A284,'[1]Raw Data'!$A$3:$FB$285,65,FALSE)</f>
        <v/>
      </c>
      <c r="BF284" s="27">
        <f>VLOOKUP($A284,'[1]Raw Data'!$A$3:$FB$285,66,FALSE)</f>
        <v>3229</v>
      </c>
      <c r="BG284" s="27" t="str">
        <f>VLOOKUP($A284,'[1]Raw Data'!$A$3:$FB$285,67,FALSE)</f>
        <v/>
      </c>
      <c r="BH284" s="27" t="str">
        <f t="shared" si="37"/>
        <v/>
      </c>
      <c r="BI284" s="27" t="str">
        <f>VLOOKUP($A284,'[1]Raw Data'!$A$3:$FB$285,68,FALSE)</f>
        <v/>
      </c>
      <c r="BJ284" s="27">
        <f>VLOOKUP($A284,'[1]Raw Data'!$A$3:$FB$285,69,FALSE)</f>
        <v>325</v>
      </c>
      <c r="BK284" s="27" t="str">
        <f>VLOOKUP($A284,'[1]Raw Data'!$A$3:$FB$285,70,FALSE)</f>
        <v/>
      </c>
      <c r="BL284" s="27" t="str">
        <f t="shared" si="38"/>
        <v/>
      </c>
      <c r="BM284" s="27" t="str">
        <f>VLOOKUP($A284,'[1]Raw Data'!$A$3:$FB$285,71,FALSE)</f>
        <v/>
      </c>
      <c r="BN284" s="27">
        <f>VLOOKUP($A284,'[1]Raw Data'!$A$3:$FB$285,72,FALSE)</f>
        <v>378</v>
      </c>
      <c r="BO284" s="27" t="str">
        <f>VLOOKUP($A284,'[1]Raw Data'!$A$3:$FB$285,73,FALSE)</f>
        <v/>
      </c>
      <c r="BP284" s="27" t="str">
        <f t="shared" si="39"/>
        <v/>
      </c>
      <c r="BQ284" s="27" t="str">
        <f>VLOOKUP($A284,'[1]Raw Data'!$A$3:$FB$285,74,FALSE)</f>
        <v/>
      </c>
      <c r="BR284" s="27" t="str">
        <f>VLOOKUP($A284,'[1]Raw Data'!$A$3:$FB$285,75,FALSE)</f>
        <v/>
      </c>
      <c r="BS284" s="27" t="str">
        <f>VLOOKUP($A284,'[1]Raw Data'!$A$3:$FB$285,76,FALSE)</f>
        <v/>
      </c>
      <c r="BT284" s="27" t="str">
        <f t="shared" si="40"/>
        <v/>
      </c>
      <c r="BU284" s="27" t="str">
        <f>VLOOKUP($A284,'[1]Raw Data'!$A$3:$FB$285,77,FALSE)</f>
        <v/>
      </c>
      <c r="BV284" s="27">
        <f>VLOOKUP($A284,'[1]Raw Data'!$A$3:$FB$285,78,FALSE)</f>
        <v>10581</v>
      </c>
      <c r="BW284" s="27" t="str">
        <f>VLOOKUP($A284,'[1]Raw Data'!$A$3:$FB$285,79,FALSE)</f>
        <v/>
      </c>
      <c r="BX284" s="27" t="str">
        <f t="shared" si="41"/>
        <v/>
      </c>
      <c r="BY284" s="27" t="str">
        <f>VLOOKUP($A284,'[1]Raw Data'!$A$3:$FB$285,80,FALSE)</f>
        <v/>
      </c>
      <c r="BZ284" s="27">
        <f>VLOOKUP($A284,'[1]Raw Data'!$A$3:$FB$285,81,FALSE)</f>
        <v>32573</v>
      </c>
      <c r="CA284" s="27" t="str">
        <f>VLOOKUP($A284,'[1]Raw Data'!$A$3:$FB$285,82,FALSE)</f>
        <v/>
      </c>
      <c r="CB284" s="27" t="str">
        <f t="shared" si="42"/>
        <v/>
      </c>
      <c r="CC284" s="27" t="str">
        <f>VLOOKUP($A284,'[1]Raw Data'!$A$3:$FB$285,83,FALSE)</f>
        <v/>
      </c>
      <c r="CD284" s="27">
        <f>VLOOKUP($A284,'[1]Raw Data'!$A$3:$FB$285,84,FALSE)</f>
        <v>432</v>
      </c>
      <c r="CE284" s="27" t="str">
        <f>VLOOKUP($A284,'[1]Raw Data'!$A$3:$FB$285,85,FALSE)</f>
        <v/>
      </c>
      <c r="CF284" s="27" t="str">
        <f t="shared" si="43"/>
        <v/>
      </c>
      <c r="CG284" s="27" t="str">
        <f>VLOOKUP($A284,'[1]Raw Data'!$A$3:$FB$285,86,FALSE)</f>
        <v/>
      </c>
      <c r="CH284" s="27">
        <f>VLOOKUP($A284,'[1]Raw Data'!$A$3:$FB$285,87,FALSE)</f>
        <v>6064</v>
      </c>
      <c r="CI284" s="27" t="str">
        <f>VLOOKUP($A284,'[1]Raw Data'!$A$3:$FB$285,88,FALSE)</f>
        <v/>
      </c>
      <c r="CJ284" s="27" t="str">
        <f t="shared" si="44"/>
        <v/>
      </c>
      <c r="CK284" s="27" t="str">
        <f>VLOOKUP($A284,'[1]Raw Data'!$A$3:$FB$285,89,FALSE)</f>
        <v/>
      </c>
      <c r="CL284" s="27" t="str">
        <f>VLOOKUP($A284,'[1]Raw Data'!$A$3:$FB$285,91,FALSE)</f>
        <v/>
      </c>
      <c r="CM284" s="27" t="str">
        <f>VLOOKUP($A284,'[1]Raw Data'!$A$3:$FB$285,93,FALSE)</f>
        <v/>
      </c>
      <c r="CN284" s="27" t="str">
        <f>VLOOKUP($A284,'[1]Raw Data'!$A$3:$FB$285,94,FALSE)</f>
        <v/>
      </c>
      <c r="CO284" s="27" t="str">
        <f>VLOOKUP($A284,'[1]Raw Data'!$A$3:$FB$285,95,FALSE)</f>
        <v/>
      </c>
      <c r="CP284" s="27" t="str">
        <f>VLOOKUP($A284,'[1]Raw Data'!$A$3:$FB$285,96,FALSE)</f>
        <v/>
      </c>
      <c r="CQ284" s="27" t="str">
        <f>VLOOKUP($A284,'[1]Raw Data'!$A$3:$FB$285,97,FALSE)</f>
        <v/>
      </c>
      <c r="CR284" s="27" t="str">
        <f>VLOOKUP($A284,'[1]Raw Data'!$A$3:$FB$285,98,FALSE)</f>
        <v/>
      </c>
      <c r="CS284" s="27" t="str">
        <f>VLOOKUP($A284,'[1]Raw Data'!$A$3:$FB$285,99,FALSE)</f>
        <v/>
      </c>
      <c r="CT284" s="27" t="str">
        <f>VLOOKUP($A284,'[1]Raw Data'!$A$3:$FB$285,101,FALSE)</f>
        <v/>
      </c>
      <c r="CV284" s="27" t="str">
        <f>VLOOKUP($A284,'[1]Raw Data'!$A$3:$FB$285,102,FALSE)</f>
        <v>Chairman</v>
      </c>
      <c r="CW284" s="27" t="s">
        <v>878</v>
      </c>
      <c r="CX284" s="27" t="str">
        <f>VLOOKUP($A284,'[1]Raw Data'!$A$3:$FB$285,103,FALSE)</f>
        <v/>
      </c>
      <c r="CY284" s="27" t="str">
        <f>VLOOKUP($A284,'[1]Raw Data'!$A$3:$FB$285,105,FALSE)</f>
        <v/>
      </c>
      <c r="DA284" s="27" t="str">
        <f>VLOOKUP($A284,'[1]Raw Data'!$A$3:$FB$285,106,FALSE)</f>
        <v>Deputy Chairman</v>
      </c>
      <c r="DB284" s="27" t="s">
        <v>879</v>
      </c>
      <c r="DC284" s="27" t="str">
        <f>VLOOKUP($A284,'[1]Raw Data'!$A$3:$FB$285,107,FALSE)</f>
        <v/>
      </c>
      <c r="DD284" s="27" t="str">
        <f>VLOOKUP($A284,'[1]Raw Data'!$A$3:$FB$285,109,FALSE)</f>
        <v/>
      </c>
      <c r="DF284" s="27" t="str">
        <f>VLOOKUP($A284,'[1]Raw Data'!$A$3:$FB$285,110,FALSE)</f>
        <v>Chief Adminstration Officer</v>
      </c>
      <c r="DG284" s="27" t="s">
        <v>880</v>
      </c>
      <c r="DH284" s="27" t="str">
        <f>VLOOKUP($A284,'[1]Raw Data'!$A$3:$FB$285,111,FALSE)</f>
        <v/>
      </c>
      <c r="DI284" s="27" t="str">
        <f>VLOOKUP($A284,'[1]Raw Data'!$A$3:$FB$285,121,FALSE)</f>
        <v/>
      </c>
      <c r="DK284" s="27" t="str">
        <f>VLOOKUP($A284,'[1]Raw Data'!$A$3:$FB$285,122,FALSE)</f>
        <v>Focal Person</v>
      </c>
      <c r="DL284" s="27" t="s">
        <v>881</v>
      </c>
      <c r="DM284" s="27" t="str">
        <f>VLOOKUP($A284,'[1]Raw Data'!$A$3:$FB$285,123,FALSE)</f>
        <v/>
      </c>
      <c r="DN284" s="27" t="str">
        <f>VLOOKUP($A284,'[1]Raw Data'!$A$3:$FB$285,113,FALSE)</f>
        <v/>
      </c>
      <c r="DP284" s="27" t="str">
        <f>VLOOKUP($A284,'[1]Raw Data'!$A$3:$FB$285,114,FALSE)</f>
        <v>NRA Chief-District</v>
      </c>
      <c r="DQ284" s="27" t="s">
        <v>882</v>
      </c>
      <c r="DR284" s="27" t="str">
        <f>VLOOKUP($A284,'[1]Raw Data'!$A$3:$FB$285,115,FALSE)</f>
        <v/>
      </c>
      <c r="DS284" s="27" t="str">
        <f>VLOOKUP($A284,'[1]Raw Data'!$A$3:$FB$285,117,FALSE)</f>
        <v/>
      </c>
      <c r="DU284" s="27" t="str">
        <f>VLOOKUP($A284,'[1]Raw Data'!$A$3:$FB$285,118,FALSE)</f>
        <v>DUDBC.DLPIU Chief</v>
      </c>
      <c r="DV284" s="27" t="s">
        <v>883</v>
      </c>
      <c r="DW284" s="27" t="str">
        <f>VLOOKUP($A284,'[1]Raw Data'!$A$3:$FB$285,119,FALSE)</f>
        <v/>
      </c>
      <c r="DX284" s="27" t="s">
        <v>339</v>
      </c>
      <c r="DY284" s="27" t="str">
        <f>VLOOKUP($A284,'[1]Raw Data'!$A$3:$FB$285,124,FALSE)</f>
        <v/>
      </c>
      <c r="DZ284" s="27" t="s">
        <v>884</v>
      </c>
      <c r="EA284" s="27" t="str">
        <f>VLOOKUP($A284,'[1]Raw Data'!$A$3:$FB$285,125,FALSE)</f>
        <v/>
      </c>
      <c r="EB284" s="27" t="s">
        <v>341</v>
      </c>
      <c r="EC284" s="27" t="str">
        <f>VLOOKUP($A284,'[1]Raw Data'!$A$3:$FB$285,126,FALSE)</f>
        <v/>
      </c>
      <c r="ED284" t="s">
        <v>478</v>
      </c>
      <c r="EE284" s="27" t="str">
        <f>VLOOKUP($A284,'[1]Raw Data'!$A$3:$FB$285,127,FALSE)</f>
        <v/>
      </c>
      <c r="EF284" s="27" t="s">
        <v>343</v>
      </c>
      <c r="EG284" s="27" t="str">
        <f>VLOOKUP($A284,'[1]Raw Data'!$A$3:$FB$285,128,FALSE)</f>
        <v/>
      </c>
      <c r="EH284" t="s">
        <v>344</v>
      </c>
      <c r="EI284" s="27" t="str">
        <f>VLOOKUP($A284,'[1]Raw Data'!$A$3:$FB$285,129,FALSE)</f>
        <v/>
      </c>
      <c r="EM284" s="27" t="str">
        <f>VLOOKUP($A284,'[1]Raw Data'!$A$3:$FB$285,130,FALSE)</f>
        <v/>
      </c>
      <c r="EN284" s="27" t="str">
        <f>VLOOKUP($A284,'[1]Raw Data'!$A$3:$FB$285,131,FALSE)</f>
        <v/>
      </c>
      <c r="EO284" s="27" t="str">
        <f>VLOOKUP($A284,'[1]Raw Data'!$A$3:$FB$285,132,FALSE)</f>
        <v/>
      </c>
      <c r="EP284" s="27" t="str">
        <f>VLOOKUP($A284,'[1]Raw Data'!$A$3:$FB$285,133,FALSE)</f>
        <v/>
      </c>
      <c r="EQ284" s="27" t="str">
        <f>VLOOKUP($A284,'[1]Raw Data'!$A$3:$FB$285,134,FALSE)</f>
        <v/>
      </c>
      <c r="ER284" s="27" t="str">
        <f>VLOOKUP($A284,'[1]Raw Data'!$A$3:$FB$285,135,FALSE)</f>
        <v/>
      </c>
      <c r="ES284" s="27" t="str">
        <f>VLOOKUP($A284,'[1]Raw Data'!$A$3:$FB$285,136,FALSE)</f>
        <v/>
      </c>
      <c r="ET284" s="27" t="str">
        <f>VLOOKUP($A284,'[1]Raw Data'!$A$3:$FB$285,137,FALSE)</f>
        <v/>
      </c>
      <c r="EU284" s="27" t="str">
        <f>VLOOKUP($A284,'[1]Raw Data'!$A$3:$FB$285,138,FALSE)</f>
        <v/>
      </c>
      <c r="EV284" s="27" t="str">
        <f>VLOOKUP($A284,'[1]Raw Data'!$A$3:$FB$285,139,FALSE)</f>
        <v/>
      </c>
      <c r="EW284" s="38">
        <f>VLOOKUP($A284,[1]Training!$A$2:$I$284,5,FALSE)</f>
        <v>18.53846153846154</v>
      </c>
      <c r="EX284" s="31">
        <f>VLOOKUP($A284,[1]Training!$A$2:$I$284,6,FALSE)</f>
        <v>100</v>
      </c>
      <c r="EY284" s="38">
        <f>VLOOKUP($A284,[1]Training!$A$2:$I$284,8,FALSE)</f>
        <v>21.90909090909091</v>
      </c>
      <c r="EZ284" s="31">
        <f>VLOOKUP($A284,[1]Training!$A$2:$I$284,9,FALSE)</f>
        <v>0</v>
      </c>
      <c r="FA284" s="27">
        <v>1</v>
      </c>
      <c r="FB284" s="27">
        <v>2</v>
      </c>
      <c r="FC284" s="27" t="str">
        <f>VLOOKUP($A284,'[1]Raw Data'!$A$3:$FB$285,148,FALSE)</f>
        <v/>
      </c>
      <c r="FE284" s="27" t="str">
        <f>VLOOKUP($A284,'[1]Raw Data'!$A$3:$FB$285,149,FALSE)</f>
        <v>District Coordinator</v>
      </c>
      <c r="FF284" s="27" t="s">
        <v>885</v>
      </c>
      <c r="FG284" s="27" t="str">
        <f>VLOOKUP($A284,'[1]Raw Data'!$A$3:$FB$285,150,FALSE)</f>
        <v/>
      </c>
      <c r="FH284" s="27" t="str">
        <f>VLOOKUP($A284,'[1]Raw Data'!$A$3:$FB$285,156,FALSE)</f>
        <v/>
      </c>
      <c r="FJ284" s="27" t="str">
        <f>VLOOKUP($A284,'[1]Raw Data'!$A$3:$FB$285,157,FALSE)</f>
        <v>District Technical Officer</v>
      </c>
      <c r="FK284" s="27" t="s">
        <v>886</v>
      </c>
      <c r="FL284" s="27" t="str">
        <f>VLOOKUP($A284,'[1]Raw Data'!$A$3:$FB$285,158,FALSE)</f>
        <v/>
      </c>
      <c r="FM284" s="27" t="str">
        <f>VLOOKUP($A284,'[1]Raw Data'!$A$3:$FB$285,152,FALSE)</f>
        <v/>
      </c>
      <c r="FO284" s="27" t="str">
        <f>VLOOKUP($A284,'[1]Raw Data'!$A$3:$FB$285,153,FALSE)</f>
        <v>DIstrict Information Management Officer</v>
      </c>
      <c r="FP284" s="27" t="s">
        <v>887</v>
      </c>
      <c r="FQ284" s="27" t="str">
        <f>VLOOKUP($A284,'[1]Raw Data'!$A$3:$FB$285,154,FALSE)</f>
        <v/>
      </c>
    </row>
    <row r="285" spans="1:173" ht="24" x14ac:dyDescent="0.45">
      <c r="A285" s="27">
        <v>51005</v>
      </c>
      <c r="B285" s="36" t="str">
        <f ca="1">IFERROR(__xludf.DUMMYFUNCTION("""COMPUTED_VALUE"""),"Sandhikharka Nagarpalika")</f>
        <v>Sandhikharka Nagarpalika</v>
      </c>
      <c r="C285" s="37" t="str">
        <f>VLOOKUP(A285,'[1]Palika and District in Nepali '!$D$1:$F$283,3,FALSE)</f>
        <v>सन्धिखर्क नगरपलिका</v>
      </c>
      <c r="D285" s="36" t="str">
        <f ca="1">IFERROR(__xludf.DUMMYFUNCTION("""COMPUTED_VALUE"""),"Arghakhanchi")</f>
        <v>Arghakhanchi</v>
      </c>
      <c r="E285" s="36"/>
      <c r="F285" s="27">
        <f>VLOOKUP(A285,'[1]Raw Data'!$A$3:$FB$285,4,FALSE)</f>
        <v>122</v>
      </c>
      <c r="G285" s="27">
        <f>VLOOKUP(A285,'[1]Raw Data'!$A$3:$FB$285,5,FALSE)</f>
        <v>85</v>
      </c>
      <c r="H285" s="27">
        <f>VLOOKUP(A285,'[1]Raw Data'!$A$3:$FB$285,6,FALSE)</f>
        <v>207</v>
      </c>
      <c r="I285" s="27">
        <f>VLOOKUP($A285,'[1]Raw Data'!$A$3:$FB$285,8,FALSE)</f>
        <v>1.45</v>
      </c>
      <c r="J285" s="27">
        <f>VLOOKUP($A285,'[1]Raw Data'!$A$3:$FB$285,9,FALSE)</f>
        <v>0.85</v>
      </c>
      <c r="K285" s="27">
        <f>VLOOKUP($A285,'[1]Raw Data'!$A$3:$FB$285,11,FALSE)</f>
        <v>97.1</v>
      </c>
      <c r="L285" s="27">
        <f>VLOOKUP($A285,'[1]Raw Data'!$A$3:$FB$285,12,FALSE)</f>
        <v>98</v>
      </c>
      <c r="M285" s="27">
        <f>VLOOKUP($A285,'[1]Raw Data'!$A$3:$FB$285,14,FALSE)</f>
        <v>0.97</v>
      </c>
      <c r="N285" s="27">
        <f>VLOOKUP($A285,'[1]Raw Data'!$A$3:$FB$285,15,FALSE)</f>
        <v>0.61</v>
      </c>
      <c r="O285" s="27">
        <f>VLOOKUP($A285,'[1]Raw Data'!$A$3:$FB$285,17,FALSE)</f>
        <v>0.48</v>
      </c>
      <c r="P285" s="27">
        <f>VLOOKUP($A285,'[1]Raw Data'!$A$3:$FB$285,18,FALSE)</f>
        <v>0.12</v>
      </c>
      <c r="Q285" s="27">
        <f>VLOOKUP($A285,'[1]Raw Data'!$A$3:$FB$285,20,FALSE)</f>
        <v>0</v>
      </c>
      <c r="R285" s="27">
        <f>VLOOKUP($A285,'[1]Raw Data'!$A$3:$FB$285,21,FALSE)</f>
        <v>0.12</v>
      </c>
      <c r="S285" s="27">
        <f>VLOOKUP($A285,'[1]Raw Data'!$A$3:$FB$285,23,FALSE)</f>
        <v>0</v>
      </c>
      <c r="T285" s="27">
        <f>VLOOKUP($A285,'[1]Raw Data'!$A$3:$FB$285,24,FALSE)</f>
        <v>0</v>
      </c>
      <c r="U285" s="27">
        <f>VLOOKUP($A285,'[1]Raw Data'!$A$3:$FB$285,26,FALSE)</f>
        <v>0</v>
      </c>
      <c r="V285" s="27">
        <f>VLOOKUP($A285,'[1]Raw Data'!$A$3:$FB$285,27,FALSE)</f>
        <v>0.06</v>
      </c>
      <c r="W285" s="27">
        <f>VLOOKUP($A285,'[1]Raw Data'!$A$3:$FB$285,29,FALSE)</f>
        <v>0</v>
      </c>
      <c r="X285" s="27">
        <f>VLOOKUP($A285,'[1]Raw Data'!$A$3:$FB$285,30,FALSE)</f>
        <v>0</v>
      </c>
      <c r="Y285" s="27">
        <f>VLOOKUP($A285,'[1]Raw Data'!$A$3:$FB$285,32,FALSE)</f>
        <v>0</v>
      </c>
      <c r="Z285" s="27">
        <f>VLOOKUP($A285,'[1]Raw Data'!$A$3:$FB$285,33,FALSE)</f>
        <v>0.06</v>
      </c>
      <c r="AA285" s="27">
        <f>VLOOKUP($A285,'[1]Raw Data'!$A$3:$FB$285,35,FALSE)</f>
        <v>0</v>
      </c>
      <c r="AB285" s="27">
        <f>VLOOKUP($A285,'[1]Raw Data'!$A$3:$FB$285,36,FALSE)</f>
        <v>0.18</v>
      </c>
      <c r="AC285" s="27">
        <f>VLOOKUP($A285,'[1]Raw Data'!$A$3:$FB$285,38,FALSE)</f>
        <v>0</v>
      </c>
      <c r="AD285" s="27">
        <f>VLOOKUP($A285,'[1]Raw Data'!$A$3:$FB$285,39,FALSE)</f>
        <v>0</v>
      </c>
      <c r="AE285" s="27">
        <f>VLOOKUP($A285,'[1]Raw Data'!$A$3:$FB$285,41,FALSE)</f>
        <v>0</v>
      </c>
      <c r="AF285" s="27">
        <f>VLOOKUP($A285,'[1]Raw Data'!$A$3:$FB$285,42,FALSE)</f>
        <v>0</v>
      </c>
      <c r="AG285" s="27">
        <f>VLOOKUP($A285,'[1]Raw Data'!$A$3:$FB$285,44,FALSE)</f>
        <v>0</v>
      </c>
      <c r="AH285" s="27">
        <f>VLOOKUP($A285,'[1]Raw Data'!$A$3:$FB$285,45,FALSE)</f>
        <v>0</v>
      </c>
      <c r="AI285" s="27">
        <f>VLOOKUP($A285,'[1]Raw Data'!$A$3:$FB$285,46,FALSE)</f>
        <v>65</v>
      </c>
      <c r="AJ285" s="27">
        <f>VLOOKUP($A285,'[1]Raw Data'!$A$3:$FB$285,47,FALSE)</f>
        <v>83</v>
      </c>
      <c r="AK285" s="27">
        <f>VLOOKUP($A285,'[1]Raw Data'!$A$3:$FB$285,48,FALSE)</f>
        <v>83</v>
      </c>
      <c r="AL285" s="27">
        <f>VLOOKUP($A285,'[1]Raw Data'!$A$3:$FB$285,49,FALSE)</f>
        <v>39</v>
      </c>
      <c r="AM285" s="27">
        <f>VLOOKUP($A285,'[1]Raw Data'!$A$3:$FB$285,50,FALSE)</f>
        <v>10</v>
      </c>
      <c r="AN285" s="27" t="str">
        <f>VLOOKUP($A285,'[1]Raw Data'!$A$3:$FB$285,51,FALSE)</f>
        <v/>
      </c>
      <c r="AO285" s="27" t="str">
        <f>VLOOKUP($A285,'[1]Raw Data'!$A$3:$FB$285,52,FALSE)</f>
        <v/>
      </c>
      <c r="AP285" s="27">
        <f>VLOOKUP($A285,'[1]Raw Data'!$A$3:$FB$285,53,FALSE)</f>
        <v>34</v>
      </c>
      <c r="AQ285" s="27" t="str">
        <f>VLOOKUP($A285,'[1]Raw Data'!$A$3:$FB$285,54,FALSE)</f>
        <v/>
      </c>
      <c r="AR285" s="27" t="str">
        <f>VLOOKUP($A285,'[1]Raw Data'!$A$3:$FB$285,55,FALSE)</f>
        <v/>
      </c>
      <c r="AS285" s="27" t="str">
        <f>VLOOKUP($A285,'[1]Raw Data'!$A$3:$FB$285,56,FALSE)</f>
        <v/>
      </c>
      <c r="AT285" s="27" t="str">
        <f>VLOOKUP($A285,'[1]Raw Data'!$A$3:$FB$285,57,FALSE)</f>
        <v/>
      </c>
      <c r="AU285" s="27" t="str">
        <f>VLOOKUP($A285,'[1]Raw Data'!$A$3:$FB$285,58,FALSE)</f>
        <v/>
      </c>
      <c r="AV285" s="27" t="str">
        <f>VLOOKUP($A285,'[1]Raw Data'!$A$3:$FB$285,59,FALSE)</f>
        <v/>
      </c>
      <c r="AW285" s="27" t="str">
        <f>VLOOKUP($A285,'[1]Raw Data'!$A$3:$FB$285,60,FALSE)</f>
        <v/>
      </c>
      <c r="AX285" s="27" t="str">
        <f>VLOOKUP(A285,'[1]PO''s List'!A283:E565,4,FALSE)</f>
        <v/>
      </c>
      <c r="AZ285" s="27" t="str">
        <f>VLOOKUP(A285,'[1]PO''s List'!$A$3:$E$285,5,FALSE)</f>
        <v/>
      </c>
      <c r="BB285" s="27">
        <f>VLOOKUP($A285,'[1]Raw Data'!$A$3:$FB$285,63,FALSE)</f>
        <v>2309</v>
      </c>
      <c r="BC285" s="27" t="str">
        <f>VLOOKUP($A285,'[1]Raw Data'!$A$3:$FB$285,64,FALSE)</f>
        <v/>
      </c>
      <c r="BD285" s="27" t="str">
        <f t="shared" si="36"/>
        <v/>
      </c>
      <c r="BE285" s="27" t="str">
        <f>VLOOKUP($A285,'[1]Raw Data'!$A$3:$FB$285,65,FALSE)</f>
        <v/>
      </c>
      <c r="BF285" s="27">
        <f>VLOOKUP($A285,'[1]Raw Data'!$A$3:$FB$285,66,FALSE)</f>
        <v>1889</v>
      </c>
      <c r="BG285" s="27" t="str">
        <f>VLOOKUP($A285,'[1]Raw Data'!$A$3:$FB$285,67,FALSE)</f>
        <v/>
      </c>
      <c r="BH285" s="27" t="str">
        <f t="shared" si="37"/>
        <v/>
      </c>
      <c r="BI285" s="27" t="str">
        <f>VLOOKUP($A285,'[1]Raw Data'!$A$3:$FB$285,68,FALSE)</f>
        <v/>
      </c>
      <c r="BJ285" s="27">
        <f>VLOOKUP($A285,'[1]Raw Data'!$A$3:$FB$285,69,FALSE)</f>
        <v>243</v>
      </c>
      <c r="BK285" s="27" t="str">
        <f>VLOOKUP($A285,'[1]Raw Data'!$A$3:$FB$285,70,FALSE)</f>
        <v/>
      </c>
      <c r="BL285" s="27" t="str">
        <f t="shared" si="38"/>
        <v/>
      </c>
      <c r="BM285" s="27" t="str">
        <f>VLOOKUP($A285,'[1]Raw Data'!$A$3:$FB$285,71,FALSE)</f>
        <v/>
      </c>
      <c r="BN285" s="27">
        <f>VLOOKUP($A285,'[1]Raw Data'!$A$3:$FB$285,72,FALSE)</f>
        <v>268</v>
      </c>
      <c r="BO285" s="27" t="str">
        <f>VLOOKUP($A285,'[1]Raw Data'!$A$3:$FB$285,73,FALSE)</f>
        <v/>
      </c>
      <c r="BP285" s="27" t="str">
        <f t="shared" si="39"/>
        <v/>
      </c>
      <c r="BQ285" s="27" t="str">
        <f>VLOOKUP($A285,'[1]Raw Data'!$A$3:$FB$285,74,FALSE)</f>
        <v/>
      </c>
      <c r="BR285" s="27" t="str">
        <f>VLOOKUP($A285,'[1]Raw Data'!$A$3:$FB$285,75,FALSE)</f>
        <v/>
      </c>
      <c r="BS285" s="27" t="str">
        <f>VLOOKUP($A285,'[1]Raw Data'!$A$3:$FB$285,76,FALSE)</f>
        <v/>
      </c>
      <c r="BT285" s="27" t="str">
        <f t="shared" si="40"/>
        <v/>
      </c>
      <c r="BU285" s="27" t="str">
        <f>VLOOKUP($A285,'[1]Raw Data'!$A$3:$FB$285,77,FALSE)</f>
        <v/>
      </c>
      <c r="BV285" s="27">
        <f>VLOOKUP($A285,'[1]Raw Data'!$A$3:$FB$285,78,FALSE)</f>
        <v>7058</v>
      </c>
      <c r="BW285" s="27" t="str">
        <f>VLOOKUP($A285,'[1]Raw Data'!$A$3:$FB$285,79,FALSE)</f>
        <v/>
      </c>
      <c r="BX285" s="27" t="str">
        <f t="shared" si="41"/>
        <v/>
      </c>
      <c r="BY285" s="27" t="str">
        <f>VLOOKUP($A285,'[1]Raw Data'!$A$3:$FB$285,80,FALSE)</f>
        <v/>
      </c>
      <c r="BZ285" s="27">
        <f>VLOOKUP($A285,'[1]Raw Data'!$A$3:$FB$285,81,FALSE)</f>
        <v>26709</v>
      </c>
      <c r="CA285" s="27" t="str">
        <f>VLOOKUP($A285,'[1]Raw Data'!$A$3:$FB$285,82,FALSE)</f>
        <v/>
      </c>
      <c r="CB285" s="27" t="str">
        <f t="shared" si="42"/>
        <v/>
      </c>
      <c r="CC285" s="27" t="str">
        <f>VLOOKUP($A285,'[1]Raw Data'!$A$3:$FB$285,83,FALSE)</f>
        <v/>
      </c>
      <c r="CD285" s="27">
        <f>VLOOKUP($A285,'[1]Raw Data'!$A$3:$FB$285,84,FALSE)</f>
        <v>292</v>
      </c>
      <c r="CE285" s="27" t="str">
        <f>VLOOKUP($A285,'[1]Raw Data'!$A$3:$FB$285,85,FALSE)</f>
        <v/>
      </c>
      <c r="CF285" s="27" t="str">
        <f t="shared" si="43"/>
        <v/>
      </c>
      <c r="CG285" s="27" t="str">
        <f>VLOOKUP($A285,'[1]Raw Data'!$A$3:$FB$285,86,FALSE)</f>
        <v/>
      </c>
      <c r="CH285" s="27">
        <f>VLOOKUP($A285,'[1]Raw Data'!$A$3:$FB$285,87,FALSE)</f>
        <v>168089</v>
      </c>
      <c r="CI285" s="27" t="str">
        <f>VLOOKUP($A285,'[1]Raw Data'!$A$3:$FB$285,88,FALSE)</f>
        <v/>
      </c>
      <c r="CJ285" s="27" t="str">
        <f t="shared" si="44"/>
        <v/>
      </c>
      <c r="CK285" s="27" t="str">
        <f>VLOOKUP($A285,'[1]Raw Data'!$A$3:$FB$285,89,FALSE)</f>
        <v/>
      </c>
      <c r="CL285" s="27" t="str">
        <f>VLOOKUP($A285,'[1]Raw Data'!$A$3:$FB$285,91,FALSE)</f>
        <v/>
      </c>
      <c r="CM285" s="27" t="str">
        <f>VLOOKUP($A285,'[1]Raw Data'!$A$3:$FB$285,93,FALSE)</f>
        <v/>
      </c>
      <c r="CN285" s="27" t="str">
        <f>VLOOKUP($A285,'[1]Raw Data'!$A$3:$FB$285,94,FALSE)</f>
        <v/>
      </c>
      <c r="CO285" s="27" t="str">
        <f>VLOOKUP($A285,'[1]Raw Data'!$A$3:$FB$285,95,FALSE)</f>
        <v/>
      </c>
      <c r="CP285" s="27" t="str">
        <f>VLOOKUP($A285,'[1]Raw Data'!$A$3:$FB$285,96,FALSE)</f>
        <v/>
      </c>
      <c r="CQ285" s="27" t="str">
        <f>VLOOKUP($A285,'[1]Raw Data'!$A$3:$FB$285,97,FALSE)</f>
        <v/>
      </c>
      <c r="CR285" s="27" t="str">
        <f>VLOOKUP($A285,'[1]Raw Data'!$A$3:$FB$285,98,FALSE)</f>
        <v/>
      </c>
      <c r="CS285" s="27" t="str">
        <f>VLOOKUP($A285,'[1]Raw Data'!$A$3:$FB$285,99,FALSE)</f>
        <v/>
      </c>
      <c r="CT285" s="27" t="str">
        <f>VLOOKUP($A285,'[1]Raw Data'!$A$3:$FB$285,101,FALSE)</f>
        <v/>
      </c>
      <c r="CV285" s="27" t="str">
        <f>VLOOKUP($A285,'[1]Raw Data'!$A$3:$FB$285,102,FALSE)</f>
        <v>Mayor</v>
      </c>
      <c r="CW285" s="27" t="s">
        <v>834</v>
      </c>
      <c r="CX285" s="27" t="str">
        <f>VLOOKUP($A285,'[1]Raw Data'!$A$3:$FB$285,103,FALSE)</f>
        <v/>
      </c>
      <c r="CY285" s="27" t="str">
        <f>VLOOKUP($A285,'[1]Raw Data'!$A$3:$FB$285,105,FALSE)</f>
        <v/>
      </c>
      <c r="DA285" s="27" t="str">
        <f>VLOOKUP($A285,'[1]Raw Data'!$A$3:$FB$285,106,FALSE)</f>
        <v>Deputy Mayor</v>
      </c>
      <c r="DB285" s="27" t="s">
        <v>888</v>
      </c>
      <c r="DC285" s="27" t="str">
        <f>VLOOKUP($A285,'[1]Raw Data'!$A$3:$FB$285,107,FALSE)</f>
        <v/>
      </c>
      <c r="DD285" s="27" t="str">
        <f>VLOOKUP($A285,'[1]Raw Data'!$A$3:$FB$285,109,FALSE)</f>
        <v/>
      </c>
      <c r="DF285" s="27" t="str">
        <f>VLOOKUP($A285,'[1]Raw Data'!$A$3:$FB$285,110,FALSE)</f>
        <v>Chief Adminstration Officer</v>
      </c>
      <c r="DG285" s="27" t="s">
        <v>880</v>
      </c>
      <c r="DH285" s="27" t="str">
        <f>VLOOKUP($A285,'[1]Raw Data'!$A$3:$FB$285,111,FALSE)</f>
        <v/>
      </c>
      <c r="DI285" s="27" t="str">
        <f>VLOOKUP($A285,'[1]Raw Data'!$A$3:$FB$285,121,FALSE)</f>
        <v/>
      </c>
      <c r="DK285" s="27" t="str">
        <f>VLOOKUP($A285,'[1]Raw Data'!$A$3:$FB$285,122,FALSE)</f>
        <v>Focal Person</v>
      </c>
      <c r="DL285" s="27" t="s">
        <v>881</v>
      </c>
      <c r="DM285" s="27" t="str">
        <f>VLOOKUP($A285,'[1]Raw Data'!$A$3:$FB$285,123,FALSE)</f>
        <v/>
      </c>
      <c r="DN285" s="27" t="str">
        <f>VLOOKUP($A285,'[1]Raw Data'!$A$3:$FB$285,113,FALSE)</f>
        <v/>
      </c>
      <c r="DP285" s="27" t="str">
        <f>VLOOKUP($A285,'[1]Raw Data'!$A$3:$FB$285,114,FALSE)</f>
        <v>NRA Chief-District</v>
      </c>
      <c r="DQ285" s="27" t="s">
        <v>882</v>
      </c>
      <c r="DR285" s="27" t="str">
        <f>VLOOKUP($A285,'[1]Raw Data'!$A$3:$FB$285,115,FALSE)</f>
        <v/>
      </c>
      <c r="DS285" s="27" t="str">
        <f>VLOOKUP($A285,'[1]Raw Data'!$A$3:$FB$285,117,FALSE)</f>
        <v/>
      </c>
      <c r="DU285" s="27" t="str">
        <f>VLOOKUP($A285,'[1]Raw Data'!$A$3:$FB$285,118,FALSE)</f>
        <v>DUDBC.DLPIU Chief</v>
      </c>
      <c r="DV285" s="27" t="s">
        <v>883</v>
      </c>
      <c r="DW285" s="27" t="str">
        <f>VLOOKUP($A285,'[1]Raw Data'!$A$3:$FB$285,119,FALSE)</f>
        <v/>
      </c>
      <c r="DX285" s="27" t="s">
        <v>339</v>
      </c>
      <c r="DY285" s="27" t="str">
        <f>VLOOKUP($A285,'[1]Raw Data'!$A$3:$FB$285,124,FALSE)</f>
        <v/>
      </c>
      <c r="DZ285" s="27" t="s">
        <v>884</v>
      </c>
      <c r="EA285" s="27" t="str">
        <f>VLOOKUP($A285,'[1]Raw Data'!$A$3:$FB$285,125,FALSE)</f>
        <v/>
      </c>
      <c r="EB285" s="27" t="s">
        <v>341</v>
      </c>
      <c r="EC285" s="27" t="str">
        <f>VLOOKUP($A285,'[1]Raw Data'!$A$3:$FB$285,126,FALSE)</f>
        <v/>
      </c>
      <c r="ED285" t="s">
        <v>478</v>
      </c>
      <c r="EE285" s="27" t="str">
        <f>VLOOKUP($A285,'[1]Raw Data'!$A$3:$FB$285,127,FALSE)</f>
        <v/>
      </c>
      <c r="EF285" s="27" t="s">
        <v>343</v>
      </c>
      <c r="EG285" s="27" t="str">
        <f>VLOOKUP($A285,'[1]Raw Data'!$A$3:$FB$285,128,FALSE)</f>
        <v/>
      </c>
      <c r="EH285" t="s">
        <v>344</v>
      </c>
      <c r="EI285" s="27" t="str">
        <f>VLOOKUP($A285,'[1]Raw Data'!$A$3:$FB$285,129,FALSE)</f>
        <v/>
      </c>
      <c r="EM285" s="27" t="str">
        <f>VLOOKUP($A285,'[1]Raw Data'!$A$3:$FB$285,130,FALSE)</f>
        <v/>
      </c>
      <c r="EN285" s="27" t="str">
        <f>VLOOKUP($A285,'[1]Raw Data'!$A$3:$FB$285,131,FALSE)</f>
        <v/>
      </c>
      <c r="EO285" s="27" t="str">
        <f>VLOOKUP($A285,'[1]Raw Data'!$A$3:$FB$285,132,FALSE)</f>
        <v/>
      </c>
      <c r="EP285" s="27" t="str">
        <f>VLOOKUP($A285,'[1]Raw Data'!$A$3:$FB$285,133,FALSE)</f>
        <v/>
      </c>
      <c r="EQ285" s="27" t="str">
        <f>VLOOKUP($A285,'[1]Raw Data'!$A$3:$FB$285,134,FALSE)</f>
        <v/>
      </c>
      <c r="ER285" s="27" t="str">
        <f>VLOOKUP($A285,'[1]Raw Data'!$A$3:$FB$285,135,FALSE)</f>
        <v/>
      </c>
      <c r="ES285" s="27" t="str">
        <f>VLOOKUP($A285,'[1]Raw Data'!$A$3:$FB$285,136,FALSE)</f>
        <v/>
      </c>
      <c r="ET285" s="27" t="str">
        <f>VLOOKUP($A285,'[1]Raw Data'!$A$3:$FB$285,137,FALSE)</f>
        <v/>
      </c>
      <c r="EU285" s="27" t="str">
        <f>VLOOKUP($A285,'[1]Raw Data'!$A$3:$FB$285,138,FALSE)</f>
        <v/>
      </c>
      <c r="EV285" s="27" t="str">
        <f>VLOOKUP($A285,'[1]Raw Data'!$A$3:$FB$285,139,FALSE)</f>
        <v/>
      </c>
      <c r="EW285" s="38">
        <f>VLOOKUP($A285,[1]Training!$A$2:$I$284,5,FALSE)</f>
        <v>5</v>
      </c>
      <c r="EX285" s="31">
        <f>VLOOKUP($A285,[1]Training!$A$2:$I$284,6,FALSE)</f>
        <v>100</v>
      </c>
      <c r="EY285" s="38">
        <f>VLOOKUP($A285,[1]Training!$A$2:$I$284,8,FALSE)</f>
        <v>5.9090909090909092</v>
      </c>
      <c r="EZ285" s="31">
        <f>VLOOKUP($A285,[1]Training!$A$2:$I$284,9,FALSE)</f>
        <v>0</v>
      </c>
      <c r="FA285" s="27">
        <v>1</v>
      </c>
      <c r="FB285" s="27">
        <v>2</v>
      </c>
      <c r="FC285" s="27" t="str">
        <f>VLOOKUP($A285,'[1]Raw Data'!$A$3:$FB$285,148,FALSE)</f>
        <v/>
      </c>
      <c r="FE285" s="27" t="str">
        <f>VLOOKUP($A285,'[1]Raw Data'!$A$3:$FB$285,149,FALSE)</f>
        <v>District Coordinator</v>
      </c>
      <c r="FF285" s="27" t="s">
        <v>885</v>
      </c>
      <c r="FG285" s="27" t="str">
        <f>VLOOKUP($A285,'[1]Raw Data'!$A$3:$FB$285,150,FALSE)</f>
        <v/>
      </c>
      <c r="FH285" s="27" t="str">
        <f>VLOOKUP($A285,'[1]Raw Data'!$A$3:$FB$285,156,FALSE)</f>
        <v/>
      </c>
      <c r="FJ285" s="27" t="str">
        <f>VLOOKUP($A285,'[1]Raw Data'!$A$3:$FB$285,157,FALSE)</f>
        <v>District Technical Officer</v>
      </c>
      <c r="FK285" s="27" t="s">
        <v>886</v>
      </c>
      <c r="FL285" s="27" t="str">
        <f>VLOOKUP($A285,'[1]Raw Data'!$A$3:$FB$285,158,FALSE)</f>
        <v/>
      </c>
      <c r="FM285" s="27" t="str">
        <f>VLOOKUP($A285,'[1]Raw Data'!$A$3:$FB$285,152,FALSE)</f>
        <v/>
      </c>
      <c r="FO285" s="27" t="str">
        <f>VLOOKUP($A285,'[1]Raw Data'!$A$3:$FB$285,153,FALSE)</f>
        <v>DIstrict Information Management Officer</v>
      </c>
      <c r="FP285" s="27" t="s">
        <v>887</v>
      </c>
      <c r="FQ285" s="27" t="str">
        <f>VLOOKUP($A285,'[1]Raw Data'!$A$3:$FB$285,154,FALSE)</f>
        <v/>
      </c>
    </row>
    <row r="286" spans="1:173" ht="24" x14ac:dyDescent="0.45">
      <c r="A286" s="27">
        <v>51006</v>
      </c>
      <c r="B286" s="36" t="str">
        <f ca="1">IFERROR(__xludf.DUMMYFUNCTION("""COMPUTED_VALUE"""),"Sitganga Nagarpalika")</f>
        <v>Sitganga Nagarpalika</v>
      </c>
      <c r="C286" s="37" t="str">
        <f>VLOOKUP(A286,'[1]Palika and District in Nepali '!$D$1:$F$283,3,FALSE)</f>
        <v>सितगंगा नगरपालिका</v>
      </c>
      <c r="D286" s="36" t="str">
        <f ca="1">IFERROR(__xludf.DUMMYFUNCTION("""COMPUTED_VALUE"""),"Arghakhanchi")</f>
        <v>Arghakhanchi</v>
      </c>
      <c r="E286" s="36"/>
      <c r="F286" s="27">
        <f>VLOOKUP(A286,'[1]Raw Data'!$A$3:$FB$285,4,FALSE)</f>
        <v>31</v>
      </c>
      <c r="G286" s="27">
        <f>VLOOKUP(A286,'[1]Raw Data'!$A$3:$FB$285,5,FALSE)</f>
        <v>146</v>
      </c>
      <c r="H286" s="27">
        <f>VLOOKUP(A286,'[1]Raw Data'!$A$3:$FB$285,6,FALSE)</f>
        <v>177</v>
      </c>
      <c r="I286" s="27">
        <f>VLOOKUP($A286,'[1]Raw Data'!$A$3:$FB$285,8,FALSE)</f>
        <v>2.82</v>
      </c>
      <c r="J286" s="27">
        <f>VLOOKUP($A286,'[1]Raw Data'!$A$3:$FB$285,9,FALSE)</f>
        <v>0.85</v>
      </c>
      <c r="K286" s="27">
        <f>VLOOKUP($A286,'[1]Raw Data'!$A$3:$FB$285,11,FALSE)</f>
        <v>90.4</v>
      </c>
      <c r="L286" s="27">
        <f>VLOOKUP($A286,'[1]Raw Data'!$A$3:$FB$285,12,FALSE)</f>
        <v>98</v>
      </c>
      <c r="M286" s="27">
        <f>VLOOKUP($A286,'[1]Raw Data'!$A$3:$FB$285,14,FALSE)</f>
        <v>4.5199999999999996</v>
      </c>
      <c r="N286" s="27">
        <f>VLOOKUP($A286,'[1]Raw Data'!$A$3:$FB$285,15,FALSE)</f>
        <v>0.61</v>
      </c>
      <c r="O286" s="27">
        <f>VLOOKUP($A286,'[1]Raw Data'!$A$3:$FB$285,17,FALSE)</f>
        <v>0.56000000000000005</v>
      </c>
      <c r="P286" s="27">
        <f>VLOOKUP($A286,'[1]Raw Data'!$A$3:$FB$285,18,FALSE)</f>
        <v>0.12</v>
      </c>
      <c r="Q286" s="27">
        <f>VLOOKUP($A286,'[1]Raw Data'!$A$3:$FB$285,20,FALSE)</f>
        <v>0.56000000000000005</v>
      </c>
      <c r="R286" s="27">
        <f>VLOOKUP($A286,'[1]Raw Data'!$A$3:$FB$285,21,FALSE)</f>
        <v>0.12</v>
      </c>
      <c r="S286" s="27">
        <f>VLOOKUP($A286,'[1]Raw Data'!$A$3:$FB$285,23,FALSE)</f>
        <v>0</v>
      </c>
      <c r="T286" s="27">
        <f>VLOOKUP($A286,'[1]Raw Data'!$A$3:$FB$285,24,FALSE)</f>
        <v>0</v>
      </c>
      <c r="U286" s="27">
        <f>VLOOKUP($A286,'[1]Raw Data'!$A$3:$FB$285,26,FALSE)</f>
        <v>0</v>
      </c>
      <c r="V286" s="27">
        <f>VLOOKUP($A286,'[1]Raw Data'!$A$3:$FB$285,27,FALSE)</f>
        <v>0.06</v>
      </c>
      <c r="W286" s="27">
        <f>VLOOKUP($A286,'[1]Raw Data'!$A$3:$FB$285,29,FALSE)</f>
        <v>0</v>
      </c>
      <c r="X286" s="27">
        <f>VLOOKUP($A286,'[1]Raw Data'!$A$3:$FB$285,30,FALSE)</f>
        <v>0</v>
      </c>
      <c r="Y286" s="27">
        <f>VLOOKUP($A286,'[1]Raw Data'!$A$3:$FB$285,32,FALSE)</f>
        <v>0</v>
      </c>
      <c r="Z286" s="27">
        <f>VLOOKUP($A286,'[1]Raw Data'!$A$3:$FB$285,33,FALSE)</f>
        <v>0.06</v>
      </c>
      <c r="AA286" s="27">
        <f>VLOOKUP($A286,'[1]Raw Data'!$A$3:$FB$285,35,FALSE)</f>
        <v>1.1299999999999999</v>
      </c>
      <c r="AB286" s="27">
        <f>VLOOKUP($A286,'[1]Raw Data'!$A$3:$FB$285,36,FALSE)</f>
        <v>0.18</v>
      </c>
      <c r="AC286" s="27">
        <f>VLOOKUP($A286,'[1]Raw Data'!$A$3:$FB$285,38,FALSE)</f>
        <v>0</v>
      </c>
      <c r="AD286" s="27">
        <f>VLOOKUP($A286,'[1]Raw Data'!$A$3:$FB$285,39,FALSE)</f>
        <v>0</v>
      </c>
      <c r="AE286" s="27">
        <f>VLOOKUP($A286,'[1]Raw Data'!$A$3:$FB$285,41,FALSE)</f>
        <v>0</v>
      </c>
      <c r="AF286" s="27">
        <f>VLOOKUP($A286,'[1]Raw Data'!$A$3:$FB$285,42,FALSE)</f>
        <v>0</v>
      </c>
      <c r="AG286" s="27">
        <f>VLOOKUP($A286,'[1]Raw Data'!$A$3:$FB$285,44,FALSE)</f>
        <v>0</v>
      </c>
      <c r="AH286" s="27">
        <f>VLOOKUP($A286,'[1]Raw Data'!$A$3:$FB$285,45,FALSE)</f>
        <v>0</v>
      </c>
      <c r="AI286" s="27">
        <f>VLOOKUP($A286,'[1]Raw Data'!$A$3:$FB$285,46,FALSE)</f>
        <v>139</v>
      </c>
      <c r="AJ286" s="27">
        <f>VLOOKUP($A286,'[1]Raw Data'!$A$3:$FB$285,47,FALSE)</f>
        <v>77</v>
      </c>
      <c r="AK286" s="27">
        <f>VLOOKUP($A286,'[1]Raw Data'!$A$3:$FB$285,48,FALSE)</f>
        <v>77</v>
      </c>
      <c r="AL286" s="27">
        <f>VLOOKUP($A286,'[1]Raw Data'!$A$3:$FB$285,49,FALSE)</f>
        <v>43</v>
      </c>
      <c r="AM286" s="27">
        <f>VLOOKUP($A286,'[1]Raw Data'!$A$3:$FB$285,50,FALSE)</f>
        <v>0</v>
      </c>
      <c r="AN286" s="27" t="str">
        <f>VLOOKUP($A286,'[1]Raw Data'!$A$3:$FB$285,51,FALSE)</f>
        <v/>
      </c>
      <c r="AO286" s="27" t="str">
        <f>VLOOKUP($A286,'[1]Raw Data'!$A$3:$FB$285,52,FALSE)</f>
        <v/>
      </c>
      <c r="AP286" s="27">
        <f>VLOOKUP($A286,'[1]Raw Data'!$A$3:$FB$285,53,FALSE)</f>
        <v>6</v>
      </c>
      <c r="AQ286" s="27" t="str">
        <f>VLOOKUP($A286,'[1]Raw Data'!$A$3:$FB$285,54,FALSE)</f>
        <v/>
      </c>
      <c r="AR286" s="27" t="str">
        <f>VLOOKUP($A286,'[1]Raw Data'!$A$3:$FB$285,55,FALSE)</f>
        <v/>
      </c>
      <c r="AS286" s="27" t="str">
        <f>VLOOKUP($A286,'[1]Raw Data'!$A$3:$FB$285,56,FALSE)</f>
        <v/>
      </c>
      <c r="AT286" s="27" t="str">
        <f>VLOOKUP($A286,'[1]Raw Data'!$A$3:$FB$285,57,FALSE)</f>
        <v/>
      </c>
      <c r="AU286" s="27" t="str">
        <f>VLOOKUP($A286,'[1]Raw Data'!$A$3:$FB$285,58,FALSE)</f>
        <v/>
      </c>
      <c r="AV286" s="27" t="str">
        <f>VLOOKUP($A286,'[1]Raw Data'!$A$3:$FB$285,59,FALSE)</f>
        <v/>
      </c>
      <c r="AW286" s="27" t="str">
        <f>VLOOKUP($A286,'[1]Raw Data'!$A$3:$FB$285,60,FALSE)</f>
        <v/>
      </c>
      <c r="AX286" s="27" t="str">
        <f>VLOOKUP(A286,'[1]PO''s List'!A284:E566,4,FALSE)</f>
        <v/>
      </c>
      <c r="AZ286" s="27" t="str">
        <f>VLOOKUP(A286,'[1]PO''s List'!$A$3:$E$285,5,FALSE)</f>
        <v/>
      </c>
      <c r="BB286" s="27">
        <f>VLOOKUP($A286,'[1]Raw Data'!$A$3:$FB$285,63,FALSE)</f>
        <v>2318</v>
      </c>
      <c r="BC286" s="27" t="str">
        <f>VLOOKUP($A286,'[1]Raw Data'!$A$3:$FB$285,64,FALSE)</f>
        <v/>
      </c>
      <c r="BD286" s="27" t="str">
        <f t="shared" si="36"/>
        <v/>
      </c>
      <c r="BE286" s="27" t="str">
        <f>VLOOKUP($A286,'[1]Raw Data'!$A$3:$FB$285,65,FALSE)</f>
        <v/>
      </c>
      <c r="BF286" s="27">
        <f>VLOOKUP($A286,'[1]Raw Data'!$A$3:$FB$285,66,FALSE)</f>
        <v>2274</v>
      </c>
      <c r="BG286" s="27" t="str">
        <f>VLOOKUP($A286,'[1]Raw Data'!$A$3:$FB$285,67,FALSE)</f>
        <v/>
      </c>
      <c r="BH286" s="27" t="str">
        <f t="shared" si="37"/>
        <v/>
      </c>
      <c r="BI286" s="27" t="str">
        <f>VLOOKUP($A286,'[1]Raw Data'!$A$3:$FB$285,68,FALSE)</f>
        <v/>
      </c>
      <c r="BJ286" s="27">
        <f>VLOOKUP($A286,'[1]Raw Data'!$A$3:$FB$285,69,FALSE)</f>
        <v>246</v>
      </c>
      <c r="BK286" s="27" t="str">
        <f>VLOOKUP($A286,'[1]Raw Data'!$A$3:$FB$285,70,FALSE)</f>
        <v/>
      </c>
      <c r="BL286" s="27" t="str">
        <f t="shared" si="38"/>
        <v/>
      </c>
      <c r="BM286" s="27" t="str">
        <f>VLOOKUP($A286,'[1]Raw Data'!$A$3:$FB$285,71,FALSE)</f>
        <v/>
      </c>
      <c r="BN286" s="27">
        <f>VLOOKUP($A286,'[1]Raw Data'!$A$3:$FB$285,72,FALSE)</f>
        <v>281</v>
      </c>
      <c r="BO286" s="27" t="str">
        <f>VLOOKUP($A286,'[1]Raw Data'!$A$3:$FB$285,73,FALSE)</f>
        <v/>
      </c>
      <c r="BP286" s="27" t="str">
        <f t="shared" si="39"/>
        <v/>
      </c>
      <c r="BQ286" s="27" t="str">
        <f>VLOOKUP($A286,'[1]Raw Data'!$A$3:$FB$285,74,FALSE)</f>
        <v/>
      </c>
      <c r="BR286" s="27" t="str">
        <f>VLOOKUP($A286,'[1]Raw Data'!$A$3:$FB$285,75,FALSE)</f>
        <v/>
      </c>
      <c r="BS286" s="27" t="str">
        <f>VLOOKUP($A286,'[1]Raw Data'!$A$3:$FB$285,76,FALSE)</f>
        <v/>
      </c>
      <c r="BT286" s="27" t="str">
        <f t="shared" si="40"/>
        <v/>
      </c>
      <c r="BU286" s="27" t="str">
        <f>VLOOKUP($A286,'[1]Raw Data'!$A$3:$FB$285,77,FALSE)</f>
        <v/>
      </c>
      <c r="BV286" s="27">
        <f>VLOOKUP($A286,'[1]Raw Data'!$A$3:$FB$285,78,FALSE)</f>
        <v>7496</v>
      </c>
      <c r="BW286" s="27" t="str">
        <f>VLOOKUP($A286,'[1]Raw Data'!$A$3:$FB$285,79,FALSE)</f>
        <v/>
      </c>
      <c r="BX286" s="27" t="str">
        <f t="shared" si="41"/>
        <v/>
      </c>
      <c r="BY286" s="27" t="str">
        <f>VLOOKUP($A286,'[1]Raw Data'!$A$3:$FB$285,80,FALSE)</f>
        <v/>
      </c>
      <c r="BZ286" s="27">
        <f>VLOOKUP($A286,'[1]Raw Data'!$A$3:$FB$285,81,FALSE)</f>
        <v>25210</v>
      </c>
      <c r="CA286" s="27" t="str">
        <f>VLOOKUP($A286,'[1]Raw Data'!$A$3:$FB$285,82,FALSE)</f>
        <v/>
      </c>
      <c r="CB286" s="27" t="str">
        <f t="shared" si="42"/>
        <v/>
      </c>
      <c r="CC286" s="27" t="str">
        <f>VLOOKUP($A286,'[1]Raw Data'!$A$3:$FB$285,83,FALSE)</f>
        <v/>
      </c>
      <c r="CD286" s="27">
        <f>VLOOKUP($A286,'[1]Raw Data'!$A$3:$FB$285,84,FALSE)</f>
        <v>306</v>
      </c>
      <c r="CE286" s="27" t="str">
        <f>VLOOKUP($A286,'[1]Raw Data'!$A$3:$FB$285,85,FALSE)</f>
        <v/>
      </c>
      <c r="CF286" s="27" t="str">
        <f t="shared" si="43"/>
        <v/>
      </c>
      <c r="CG286" s="27" t="str">
        <f>VLOOKUP($A286,'[1]Raw Data'!$A$3:$FB$285,86,FALSE)</f>
        <v/>
      </c>
      <c r="CH286" s="27">
        <f>VLOOKUP($A286,'[1]Raw Data'!$A$3:$FB$285,87,FALSE)</f>
        <v>22156</v>
      </c>
      <c r="CI286" s="27" t="str">
        <f>VLOOKUP($A286,'[1]Raw Data'!$A$3:$FB$285,88,FALSE)</f>
        <v/>
      </c>
      <c r="CJ286" s="27" t="str">
        <f t="shared" si="44"/>
        <v/>
      </c>
      <c r="CK286" s="27" t="str">
        <f>VLOOKUP($A286,'[1]Raw Data'!$A$3:$FB$285,89,FALSE)</f>
        <v/>
      </c>
      <c r="CL286" s="27" t="str">
        <f>VLOOKUP($A286,'[1]Raw Data'!$A$3:$FB$285,91,FALSE)</f>
        <v/>
      </c>
      <c r="CM286" s="27" t="str">
        <f>VLOOKUP($A286,'[1]Raw Data'!$A$3:$FB$285,93,FALSE)</f>
        <v/>
      </c>
      <c r="CN286" s="27" t="str">
        <f>VLOOKUP($A286,'[1]Raw Data'!$A$3:$FB$285,94,FALSE)</f>
        <v/>
      </c>
      <c r="CO286" s="27" t="str">
        <f>VLOOKUP($A286,'[1]Raw Data'!$A$3:$FB$285,95,FALSE)</f>
        <v/>
      </c>
      <c r="CP286" s="27" t="str">
        <f>VLOOKUP($A286,'[1]Raw Data'!$A$3:$FB$285,96,FALSE)</f>
        <v/>
      </c>
      <c r="CQ286" s="27" t="str">
        <f>VLOOKUP($A286,'[1]Raw Data'!$A$3:$FB$285,97,FALSE)</f>
        <v/>
      </c>
      <c r="CR286" s="27" t="str">
        <f>VLOOKUP($A286,'[1]Raw Data'!$A$3:$FB$285,98,FALSE)</f>
        <v/>
      </c>
      <c r="CS286" s="27" t="str">
        <f>VLOOKUP($A286,'[1]Raw Data'!$A$3:$FB$285,99,FALSE)</f>
        <v/>
      </c>
      <c r="CT286" s="27" t="str">
        <f>VLOOKUP($A286,'[1]Raw Data'!$A$3:$FB$285,101,FALSE)</f>
        <v/>
      </c>
      <c r="CV286" s="27" t="str">
        <f>VLOOKUP($A286,'[1]Raw Data'!$A$3:$FB$285,102,FALSE)</f>
        <v>Mayor</v>
      </c>
      <c r="CW286" s="27" t="s">
        <v>834</v>
      </c>
      <c r="CX286" s="27" t="str">
        <f>VLOOKUP($A286,'[1]Raw Data'!$A$3:$FB$285,103,FALSE)</f>
        <v/>
      </c>
      <c r="CY286" s="27" t="str">
        <f>VLOOKUP($A286,'[1]Raw Data'!$A$3:$FB$285,105,FALSE)</f>
        <v/>
      </c>
      <c r="DA286" s="27" t="str">
        <f>VLOOKUP($A286,'[1]Raw Data'!$A$3:$FB$285,106,FALSE)</f>
        <v>Deputy Mayor</v>
      </c>
      <c r="DB286" s="27" t="s">
        <v>888</v>
      </c>
      <c r="DC286" s="27" t="str">
        <f>VLOOKUP($A286,'[1]Raw Data'!$A$3:$FB$285,107,FALSE)</f>
        <v/>
      </c>
      <c r="DD286" s="27" t="str">
        <f>VLOOKUP($A286,'[1]Raw Data'!$A$3:$FB$285,109,FALSE)</f>
        <v/>
      </c>
      <c r="DF286" s="27" t="str">
        <f>VLOOKUP($A286,'[1]Raw Data'!$A$3:$FB$285,110,FALSE)</f>
        <v>Chief Adminstration Officer</v>
      </c>
      <c r="DG286" s="27" t="s">
        <v>880</v>
      </c>
      <c r="DH286" s="27" t="str">
        <f>VLOOKUP($A286,'[1]Raw Data'!$A$3:$FB$285,111,FALSE)</f>
        <v/>
      </c>
      <c r="DI286" s="27" t="str">
        <f>VLOOKUP($A286,'[1]Raw Data'!$A$3:$FB$285,121,FALSE)</f>
        <v/>
      </c>
      <c r="DK286" s="27" t="str">
        <f>VLOOKUP($A286,'[1]Raw Data'!$A$3:$FB$285,122,FALSE)</f>
        <v>Focal Person</v>
      </c>
      <c r="DL286" s="27" t="s">
        <v>881</v>
      </c>
      <c r="DM286" s="27" t="str">
        <f>VLOOKUP($A286,'[1]Raw Data'!$A$3:$FB$285,123,FALSE)</f>
        <v/>
      </c>
      <c r="DN286" s="27" t="str">
        <f>VLOOKUP($A286,'[1]Raw Data'!$A$3:$FB$285,113,FALSE)</f>
        <v/>
      </c>
      <c r="DP286" s="27" t="str">
        <f>VLOOKUP($A286,'[1]Raw Data'!$A$3:$FB$285,114,FALSE)</f>
        <v>NRA Chief-District</v>
      </c>
      <c r="DQ286" s="27" t="s">
        <v>882</v>
      </c>
      <c r="DR286" s="27" t="str">
        <f>VLOOKUP($A286,'[1]Raw Data'!$A$3:$FB$285,115,FALSE)</f>
        <v/>
      </c>
      <c r="DS286" s="27" t="str">
        <f>VLOOKUP($A286,'[1]Raw Data'!$A$3:$FB$285,117,FALSE)</f>
        <v/>
      </c>
      <c r="DU286" s="27" t="str">
        <f>VLOOKUP($A286,'[1]Raw Data'!$A$3:$FB$285,118,FALSE)</f>
        <v>DUDBC.DLPIU Chief</v>
      </c>
      <c r="DV286" s="27" t="s">
        <v>883</v>
      </c>
      <c r="DW286" s="27" t="str">
        <f>VLOOKUP($A286,'[1]Raw Data'!$A$3:$FB$285,119,FALSE)</f>
        <v/>
      </c>
      <c r="DX286" s="27" t="s">
        <v>339</v>
      </c>
      <c r="DY286" s="27" t="str">
        <f>VLOOKUP($A286,'[1]Raw Data'!$A$3:$FB$285,124,FALSE)</f>
        <v/>
      </c>
      <c r="DZ286" s="27" t="s">
        <v>884</v>
      </c>
      <c r="EA286" s="27" t="str">
        <f>VLOOKUP($A286,'[1]Raw Data'!$A$3:$FB$285,125,FALSE)</f>
        <v/>
      </c>
      <c r="EB286" s="27" t="s">
        <v>341</v>
      </c>
      <c r="EC286" s="27" t="str">
        <f>VLOOKUP($A286,'[1]Raw Data'!$A$3:$FB$285,126,FALSE)</f>
        <v/>
      </c>
      <c r="ED286" t="s">
        <v>478</v>
      </c>
      <c r="EE286" s="27" t="str">
        <f>VLOOKUP($A286,'[1]Raw Data'!$A$3:$FB$285,127,FALSE)</f>
        <v/>
      </c>
      <c r="EF286" s="27" t="s">
        <v>343</v>
      </c>
      <c r="EG286" s="27" t="str">
        <f>VLOOKUP($A286,'[1]Raw Data'!$A$3:$FB$285,128,FALSE)</f>
        <v/>
      </c>
      <c r="EH286" t="s">
        <v>344</v>
      </c>
      <c r="EI286" s="27" t="str">
        <f>VLOOKUP($A286,'[1]Raw Data'!$A$3:$FB$285,129,FALSE)</f>
        <v/>
      </c>
      <c r="EM286" s="27" t="str">
        <f>VLOOKUP($A286,'[1]Raw Data'!$A$3:$FB$285,130,FALSE)</f>
        <v/>
      </c>
      <c r="EN286" s="27" t="str">
        <f>VLOOKUP($A286,'[1]Raw Data'!$A$3:$FB$285,131,FALSE)</f>
        <v/>
      </c>
      <c r="EO286" s="27" t="str">
        <f>VLOOKUP($A286,'[1]Raw Data'!$A$3:$FB$285,132,FALSE)</f>
        <v/>
      </c>
      <c r="EP286" s="27" t="str">
        <f>VLOOKUP($A286,'[1]Raw Data'!$A$3:$FB$285,133,FALSE)</f>
        <v/>
      </c>
      <c r="EQ286" s="27" t="str">
        <f>VLOOKUP($A286,'[1]Raw Data'!$A$3:$FB$285,134,FALSE)</f>
        <v/>
      </c>
      <c r="ER286" s="27" t="str">
        <f>VLOOKUP($A286,'[1]Raw Data'!$A$3:$FB$285,135,FALSE)</f>
        <v/>
      </c>
      <c r="ES286" s="27" t="str">
        <f>VLOOKUP($A286,'[1]Raw Data'!$A$3:$FB$285,136,FALSE)</f>
        <v/>
      </c>
      <c r="ET286" s="27" t="str">
        <f>VLOOKUP($A286,'[1]Raw Data'!$A$3:$FB$285,137,FALSE)</f>
        <v/>
      </c>
      <c r="EU286" s="27" t="str">
        <f>VLOOKUP($A286,'[1]Raw Data'!$A$3:$FB$285,138,FALSE)</f>
        <v/>
      </c>
      <c r="EV286" s="27" t="str">
        <f>VLOOKUP($A286,'[1]Raw Data'!$A$3:$FB$285,139,FALSE)</f>
        <v/>
      </c>
      <c r="EW286" s="38">
        <f>VLOOKUP($A286,[1]Training!$A$2:$I$284,5,FALSE)</f>
        <v>10.692307692307692</v>
      </c>
      <c r="EX286" s="31">
        <f>VLOOKUP($A286,[1]Training!$A$2:$I$284,6,FALSE)</f>
        <v>50</v>
      </c>
      <c r="EY286" s="38">
        <f>VLOOKUP($A286,[1]Training!$A$2:$I$284,8,FALSE)</f>
        <v>12.636363636363637</v>
      </c>
      <c r="EZ286" s="31">
        <f>VLOOKUP($A286,[1]Training!$A$2:$I$284,9,FALSE)</f>
        <v>0</v>
      </c>
      <c r="FA286" s="27">
        <v>1</v>
      </c>
      <c r="FB286" s="27">
        <v>2</v>
      </c>
      <c r="FC286" s="27" t="str">
        <f>VLOOKUP($A286,'[1]Raw Data'!$A$3:$FB$285,148,FALSE)</f>
        <v/>
      </c>
      <c r="FE286" s="27" t="str">
        <f>VLOOKUP($A286,'[1]Raw Data'!$A$3:$FB$285,149,FALSE)</f>
        <v>District Coordinator</v>
      </c>
      <c r="FF286" s="27" t="s">
        <v>885</v>
      </c>
      <c r="FG286" s="27" t="str">
        <f>VLOOKUP($A286,'[1]Raw Data'!$A$3:$FB$285,150,FALSE)</f>
        <v/>
      </c>
      <c r="FH286" s="27" t="str">
        <f>VLOOKUP($A286,'[1]Raw Data'!$A$3:$FB$285,156,FALSE)</f>
        <v/>
      </c>
      <c r="FJ286" s="27" t="str">
        <f>VLOOKUP($A286,'[1]Raw Data'!$A$3:$FB$285,157,FALSE)</f>
        <v>District Technical Officer</v>
      </c>
      <c r="FK286" s="27" t="s">
        <v>886</v>
      </c>
      <c r="FL286" s="27" t="str">
        <f>VLOOKUP($A286,'[1]Raw Data'!$A$3:$FB$285,158,FALSE)</f>
        <v/>
      </c>
      <c r="FM286" s="27" t="str">
        <f>VLOOKUP($A286,'[1]Raw Data'!$A$3:$FB$285,152,FALSE)</f>
        <v/>
      </c>
      <c r="FO286" s="27" t="str">
        <f>VLOOKUP($A286,'[1]Raw Data'!$A$3:$FB$285,153,FALSE)</f>
        <v>DIstrict Information Management Officer</v>
      </c>
      <c r="FP286" s="27" t="s">
        <v>887</v>
      </c>
      <c r="FQ286" s="27" t="str">
        <f>VLOOKUP($A286,'[1]Raw Data'!$A$3:$FB$285,154,FALSE)</f>
        <v/>
      </c>
    </row>
    <row r="293" spans="50:50" x14ac:dyDescent="0.2">
      <c r="AX293" s="40"/>
    </row>
  </sheetData>
  <autoFilter ref="C4:FQ4" xr:uid="{00000000-0009-0000-0000-000002000000}"/>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4"/>
  <sheetViews>
    <sheetView workbookViewId="0">
      <selection activeCell="A2" sqref="A2"/>
    </sheetView>
  </sheetViews>
  <sheetFormatPr baseColWidth="10" defaultColWidth="11" defaultRowHeight="16" x14ac:dyDescent="0.2"/>
  <sheetData>
    <row r="1" spans="1:34" x14ac:dyDescent="0.2">
      <c r="A1" t="s">
        <v>517</v>
      </c>
      <c r="B1" t="s">
        <v>797</v>
      </c>
      <c r="C1" t="s">
        <v>798</v>
      </c>
      <c r="D1" t="s">
        <v>799</v>
      </c>
      <c r="E1" t="s">
        <v>800</v>
      </c>
      <c r="F1" t="s">
        <v>801</v>
      </c>
      <c r="G1" t="s">
        <v>802</v>
      </c>
      <c r="H1" t="s">
        <v>803</v>
      </c>
      <c r="I1" t="s">
        <v>804</v>
      </c>
      <c r="J1" t="s">
        <v>805</v>
      </c>
      <c r="K1" t="s">
        <v>806</v>
      </c>
      <c r="L1" t="s">
        <v>807</v>
      </c>
      <c r="M1" t="s">
        <v>808</v>
      </c>
      <c r="N1" t="s">
        <v>809</v>
      </c>
      <c r="O1" t="s">
        <v>810</v>
      </c>
      <c r="P1" t="s">
        <v>811</v>
      </c>
      <c r="Q1" t="s">
        <v>812</v>
      </c>
      <c r="R1" t="s">
        <v>813</v>
      </c>
      <c r="S1" t="s">
        <v>814</v>
      </c>
      <c r="T1" t="s">
        <v>815</v>
      </c>
      <c r="U1" t="s">
        <v>816</v>
      </c>
      <c r="V1" t="s">
        <v>817</v>
      </c>
      <c r="W1" t="s">
        <v>818</v>
      </c>
      <c r="X1" t="s">
        <v>819</v>
      </c>
      <c r="Y1" t="s">
        <v>820</v>
      </c>
      <c r="Z1" t="s">
        <v>821</v>
      </c>
      <c r="AA1" t="s">
        <v>822</v>
      </c>
      <c r="AB1" t="s">
        <v>823</v>
      </c>
      <c r="AC1" t="s">
        <v>824</v>
      </c>
      <c r="AD1" t="s">
        <v>825</v>
      </c>
      <c r="AE1" t="s">
        <v>826</v>
      </c>
      <c r="AF1" t="s">
        <v>827</v>
      </c>
      <c r="AG1" t="s">
        <v>828</v>
      </c>
      <c r="AH1" t="s">
        <v>829</v>
      </c>
    </row>
    <row r="2" spans="1:34" x14ac:dyDescent="0.2">
      <c r="A2" s="1" t="s">
        <v>110</v>
      </c>
      <c r="B2" s="1"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64</v>
      </c>
      <c r="S2" s="1" t="s">
        <v>65</v>
      </c>
      <c r="T2" s="1" t="s">
        <v>66</v>
      </c>
      <c r="U2" s="1" t="s">
        <v>67</v>
      </c>
      <c r="V2" s="1" t="s">
        <v>68</v>
      </c>
      <c r="W2" s="1" t="s">
        <v>69</v>
      </c>
      <c r="X2" s="1" t="s">
        <v>70</v>
      </c>
      <c r="Y2" s="1" t="s">
        <v>71</v>
      </c>
      <c r="Z2" s="1" t="s">
        <v>72</v>
      </c>
      <c r="AA2" s="1" t="s">
        <v>73</v>
      </c>
      <c r="AB2" s="1" t="s">
        <v>74</v>
      </c>
      <c r="AC2" s="1" t="s">
        <v>75</v>
      </c>
      <c r="AD2" s="1" t="s">
        <v>76</v>
      </c>
      <c r="AE2" s="1" t="s">
        <v>77</v>
      </c>
      <c r="AF2" s="1" t="s">
        <v>78</v>
      </c>
      <c r="AG2" s="1" t="s">
        <v>79</v>
      </c>
      <c r="AH2" s="1" t="s">
        <v>80</v>
      </c>
    </row>
    <row r="3" spans="1:34" x14ac:dyDescent="0.2">
      <c r="A3" s="28">
        <v>7001</v>
      </c>
      <c r="B3" s="17">
        <v>0</v>
      </c>
      <c r="C3" s="17">
        <v>0</v>
      </c>
      <c r="D3" s="17">
        <v>0</v>
      </c>
      <c r="E3" s="17">
        <v>0</v>
      </c>
      <c r="F3" s="17">
        <v>0</v>
      </c>
      <c r="G3" s="17">
        <v>0</v>
      </c>
      <c r="H3" s="17">
        <v>0</v>
      </c>
      <c r="I3" s="17">
        <v>0</v>
      </c>
      <c r="J3" s="17">
        <v>0</v>
      </c>
      <c r="K3" s="17">
        <v>0</v>
      </c>
      <c r="L3" s="17">
        <v>0</v>
      </c>
      <c r="M3" s="17">
        <v>0</v>
      </c>
      <c r="N3" s="17">
        <v>0</v>
      </c>
      <c r="O3" s="17">
        <v>0</v>
      </c>
      <c r="P3" s="17">
        <v>0</v>
      </c>
      <c r="Q3" s="17">
        <v>0</v>
      </c>
      <c r="R3" s="17">
        <v>0</v>
      </c>
      <c r="S3" s="17">
        <v>0</v>
      </c>
      <c r="T3" s="17">
        <v>0</v>
      </c>
      <c r="U3" s="17">
        <v>0</v>
      </c>
      <c r="V3" s="17">
        <v>0</v>
      </c>
      <c r="W3" s="17">
        <v>0</v>
      </c>
      <c r="X3" s="17">
        <v>0</v>
      </c>
      <c r="Y3" s="17">
        <v>0</v>
      </c>
      <c r="Z3" s="17">
        <v>0</v>
      </c>
      <c r="AA3" s="17">
        <v>0</v>
      </c>
      <c r="AB3" s="17">
        <v>0</v>
      </c>
      <c r="AC3" s="17">
        <v>0</v>
      </c>
      <c r="AD3" s="17">
        <v>0</v>
      </c>
      <c r="AE3" s="17">
        <v>0</v>
      </c>
      <c r="AF3" s="17">
        <v>0</v>
      </c>
      <c r="AG3" s="17">
        <v>0</v>
      </c>
      <c r="AH3" s="17">
        <v>0</v>
      </c>
    </row>
    <row r="4" spans="1:34" x14ac:dyDescent="0.2">
      <c r="A4" s="28">
        <v>7002</v>
      </c>
      <c r="B4" s="17">
        <v>0</v>
      </c>
      <c r="C4" s="17">
        <v>0</v>
      </c>
      <c r="D4" s="17">
        <v>0</v>
      </c>
      <c r="E4" s="17">
        <v>0</v>
      </c>
      <c r="F4" s="17">
        <v>0</v>
      </c>
      <c r="G4" s="17">
        <v>0</v>
      </c>
      <c r="H4" s="17">
        <v>0</v>
      </c>
      <c r="I4" s="17">
        <v>0</v>
      </c>
      <c r="J4" s="17">
        <v>0</v>
      </c>
      <c r="K4" s="17">
        <v>0</v>
      </c>
      <c r="L4" s="17">
        <v>0</v>
      </c>
      <c r="M4" s="17">
        <v>0</v>
      </c>
      <c r="N4" s="17">
        <v>0</v>
      </c>
      <c r="O4" s="17">
        <v>0</v>
      </c>
      <c r="P4" s="17">
        <v>0</v>
      </c>
      <c r="Q4" s="17">
        <v>0</v>
      </c>
      <c r="R4" s="17">
        <v>0</v>
      </c>
      <c r="S4" s="17">
        <v>0</v>
      </c>
      <c r="T4" s="17">
        <v>0</v>
      </c>
      <c r="U4" s="17">
        <v>0</v>
      </c>
      <c r="V4" s="17">
        <v>0</v>
      </c>
      <c r="W4" s="17">
        <v>0</v>
      </c>
      <c r="X4" s="17">
        <v>0</v>
      </c>
      <c r="Y4" s="17">
        <v>0</v>
      </c>
      <c r="Z4" s="17">
        <v>0</v>
      </c>
      <c r="AA4" s="17">
        <v>0</v>
      </c>
      <c r="AB4" s="17">
        <v>0</v>
      </c>
      <c r="AC4" s="17">
        <v>0</v>
      </c>
      <c r="AD4" s="17">
        <v>0</v>
      </c>
      <c r="AE4" s="17">
        <v>0</v>
      </c>
      <c r="AF4" s="17">
        <v>0</v>
      </c>
      <c r="AG4" s="17">
        <v>0</v>
      </c>
      <c r="AH4" s="17">
        <v>0</v>
      </c>
    </row>
    <row r="5" spans="1:34" x14ac:dyDescent="0.2">
      <c r="A5" s="28">
        <v>7003</v>
      </c>
      <c r="B5" s="17">
        <v>0</v>
      </c>
      <c r="C5" s="17">
        <v>0</v>
      </c>
      <c r="D5" s="17">
        <v>0</v>
      </c>
      <c r="E5" s="17">
        <v>0</v>
      </c>
      <c r="F5" s="17">
        <v>0</v>
      </c>
      <c r="G5" s="17">
        <v>0</v>
      </c>
      <c r="H5" s="17">
        <v>0</v>
      </c>
      <c r="I5" s="17">
        <v>0</v>
      </c>
      <c r="J5" s="17">
        <v>0</v>
      </c>
      <c r="K5" s="17">
        <v>0</v>
      </c>
      <c r="L5" s="17">
        <v>0</v>
      </c>
      <c r="M5" s="17">
        <v>0</v>
      </c>
      <c r="N5" s="17">
        <v>0</v>
      </c>
      <c r="O5" s="17">
        <v>0</v>
      </c>
      <c r="P5" s="17">
        <v>0</v>
      </c>
      <c r="Q5" s="17">
        <v>0</v>
      </c>
      <c r="R5" s="17">
        <v>0</v>
      </c>
      <c r="S5" s="17">
        <v>0</v>
      </c>
      <c r="T5" s="17">
        <v>0</v>
      </c>
      <c r="U5" s="17">
        <v>0</v>
      </c>
      <c r="V5" s="17">
        <v>0</v>
      </c>
      <c r="W5" s="17">
        <v>0</v>
      </c>
      <c r="X5" s="17">
        <v>0</v>
      </c>
      <c r="Y5" s="17">
        <v>0</v>
      </c>
      <c r="Z5" s="17">
        <v>0</v>
      </c>
      <c r="AA5" s="17">
        <v>0</v>
      </c>
      <c r="AB5" s="17">
        <v>0</v>
      </c>
      <c r="AC5" s="17">
        <v>0</v>
      </c>
      <c r="AD5" s="17">
        <v>0</v>
      </c>
      <c r="AE5" s="17">
        <v>0</v>
      </c>
      <c r="AF5" s="17">
        <v>0</v>
      </c>
      <c r="AG5" s="17">
        <v>0</v>
      </c>
      <c r="AH5" s="17">
        <v>0</v>
      </c>
    </row>
    <row r="6" spans="1:34" x14ac:dyDescent="0.2">
      <c r="A6" s="28">
        <v>7004</v>
      </c>
      <c r="B6" s="17">
        <v>0</v>
      </c>
      <c r="C6" s="17">
        <v>0</v>
      </c>
      <c r="D6" s="17">
        <v>0</v>
      </c>
      <c r="E6" s="17">
        <v>0</v>
      </c>
      <c r="F6" s="17">
        <v>0</v>
      </c>
      <c r="G6" s="17">
        <v>0</v>
      </c>
      <c r="H6" s="17">
        <v>0</v>
      </c>
      <c r="I6" s="17">
        <v>0</v>
      </c>
      <c r="J6" s="17">
        <v>0</v>
      </c>
      <c r="K6" s="17">
        <v>0</v>
      </c>
      <c r="L6" s="17">
        <v>0</v>
      </c>
      <c r="M6" s="17">
        <v>0</v>
      </c>
      <c r="N6" s="17">
        <v>0</v>
      </c>
      <c r="O6" s="17">
        <v>0</v>
      </c>
      <c r="P6" s="17">
        <v>0</v>
      </c>
      <c r="Q6" s="17">
        <v>0</v>
      </c>
      <c r="R6" s="17">
        <v>0</v>
      </c>
      <c r="S6" s="17">
        <v>0</v>
      </c>
      <c r="T6" s="17">
        <v>0</v>
      </c>
      <c r="U6" s="17">
        <v>0</v>
      </c>
      <c r="V6" s="17">
        <v>0</v>
      </c>
      <c r="W6" s="17">
        <v>0</v>
      </c>
      <c r="X6" s="17">
        <v>0</v>
      </c>
      <c r="Y6" s="17">
        <v>0</v>
      </c>
      <c r="Z6" s="17">
        <v>0</v>
      </c>
      <c r="AA6" s="17">
        <v>0</v>
      </c>
      <c r="AB6" s="17">
        <v>0</v>
      </c>
      <c r="AC6" s="17">
        <v>0</v>
      </c>
      <c r="AD6" s="17">
        <v>0</v>
      </c>
      <c r="AE6" s="17">
        <v>0</v>
      </c>
      <c r="AF6" s="17">
        <v>0</v>
      </c>
      <c r="AG6" s="17">
        <v>0</v>
      </c>
      <c r="AH6" s="17">
        <v>0</v>
      </c>
    </row>
    <row r="7" spans="1:34" x14ac:dyDescent="0.2">
      <c r="A7" s="28">
        <v>7005</v>
      </c>
      <c r="B7" s="17">
        <v>0</v>
      </c>
      <c r="C7" s="17">
        <v>0</v>
      </c>
      <c r="D7" s="17">
        <v>0</v>
      </c>
      <c r="E7" s="17">
        <v>0</v>
      </c>
      <c r="F7" s="17">
        <v>0</v>
      </c>
      <c r="G7" s="17">
        <v>0</v>
      </c>
      <c r="H7" s="17">
        <v>0</v>
      </c>
      <c r="I7" s="17">
        <v>0</v>
      </c>
      <c r="J7" s="17">
        <v>0</v>
      </c>
      <c r="K7" s="17">
        <v>0</v>
      </c>
      <c r="L7" s="17">
        <v>0</v>
      </c>
      <c r="M7" s="17">
        <v>0</v>
      </c>
      <c r="N7" s="17">
        <v>0</v>
      </c>
      <c r="O7" s="17">
        <v>0</v>
      </c>
      <c r="P7" s="17">
        <v>0</v>
      </c>
      <c r="Q7" s="17">
        <v>0</v>
      </c>
      <c r="R7" s="17">
        <v>0</v>
      </c>
      <c r="S7" s="17">
        <v>0</v>
      </c>
      <c r="T7" s="17">
        <v>0</v>
      </c>
      <c r="U7" s="17">
        <v>0</v>
      </c>
      <c r="V7" s="17">
        <v>0</v>
      </c>
      <c r="W7" s="17">
        <v>0</v>
      </c>
      <c r="X7" s="17">
        <v>0</v>
      </c>
      <c r="Y7" s="17">
        <v>0</v>
      </c>
      <c r="Z7" s="17">
        <v>0</v>
      </c>
      <c r="AA7" s="17">
        <v>0</v>
      </c>
      <c r="AB7" s="17">
        <v>0</v>
      </c>
      <c r="AC7" s="17">
        <v>0</v>
      </c>
      <c r="AD7" s="17">
        <v>0</v>
      </c>
      <c r="AE7" s="17">
        <v>0</v>
      </c>
      <c r="AF7" s="17">
        <v>0</v>
      </c>
      <c r="AG7" s="17">
        <v>0</v>
      </c>
      <c r="AH7" s="17">
        <v>0</v>
      </c>
    </row>
    <row r="8" spans="1:34" x14ac:dyDescent="0.2">
      <c r="A8" s="28">
        <v>7006</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17">
        <v>0</v>
      </c>
      <c r="AE8" s="17">
        <v>0</v>
      </c>
      <c r="AF8" s="17">
        <v>0</v>
      </c>
      <c r="AG8" s="17">
        <v>0</v>
      </c>
      <c r="AH8" s="17">
        <v>0</v>
      </c>
    </row>
    <row r="9" spans="1:34" x14ac:dyDescent="0.2">
      <c r="A9" s="28">
        <v>7007</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0</v>
      </c>
      <c r="V9" s="17">
        <v>0</v>
      </c>
      <c r="W9" s="17">
        <v>0</v>
      </c>
      <c r="X9" s="17">
        <v>0</v>
      </c>
      <c r="Y9" s="17">
        <v>0</v>
      </c>
      <c r="Z9" s="17">
        <v>0</v>
      </c>
      <c r="AA9" s="17">
        <v>0</v>
      </c>
      <c r="AB9" s="17">
        <v>0</v>
      </c>
      <c r="AC9" s="17">
        <v>0</v>
      </c>
      <c r="AD9" s="17">
        <v>0</v>
      </c>
      <c r="AE9" s="17">
        <v>0</v>
      </c>
      <c r="AF9" s="17">
        <v>0</v>
      </c>
      <c r="AG9" s="17">
        <v>0</v>
      </c>
      <c r="AH9" s="17">
        <v>0</v>
      </c>
    </row>
    <row r="10" spans="1:34" x14ac:dyDescent="0.2">
      <c r="A10" s="28">
        <v>9001</v>
      </c>
      <c r="B10" s="17">
        <v>0</v>
      </c>
      <c r="C10" s="17">
        <v>0</v>
      </c>
      <c r="D10" s="17">
        <v>0</v>
      </c>
      <c r="E10" s="17">
        <v>0</v>
      </c>
      <c r="F10" s="17">
        <v>0</v>
      </c>
      <c r="G10" s="17">
        <v>0</v>
      </c>
      <c r="H10" s="17">
        <v>0</v>
      </c>
      <c r="I10" s="17">
        <v>0</v>
      </c>
      <c r="J10" s="17">
        <v>0</v>
      </c>
      <c r="K10" s="17">
        <v>0</v>
      </c>
      <c r="L10" s="17">
        <v>0</v>
      </c>
      <c r="M10" s="17">
        <v>0</v>
      </c>
      <c r="N10" s="17">
        <v>0</v>
      </c>
      <c r="O10" s="17">
        <v>0</v>
      </c>
      <c r="P10" s="17">
        <v>0</v>
      </c>
      <c r="Q10" s="17">
        <v>0</v>
      </c>
      <c r="R10" s="17">
        <v>0</v>
      </c>
      <c r="S10" s="17">
        <v>0</v>
      </c>
      <c r="T10" s="17">
        <v>0</v>
      </c>
      <c r="U10" s="17">
        <v>0</v>
      </c>
      <c r="V10" s="17">
        <v>0</v>
      </c>
      <c r="W10" s="17">
        <v>0</v>
      </c>
      <c r="X10" s="17">
        <v>0</v>
      </c>
      <c r="Y10" s="17">
        <v>0</v>
      </c>
      <c r="Z10" s="17">
        <v>0</v>
      </c>
      <c r="AA10" s="17">
        <v>0</v>
      </c>
      <c r="AB10" s="17">
        <v>0</v>
      </c>
      <c r="AC10" s="17">
        <v>0</v>
      </c>
      <c r="AD10" s="17">
        <v>0</v>
      </c>
      <c r="AE10" s="17">
        <v>0</v>
      </c>
      <c r="AF10" s="17">
        <v>0</v>
      </c>
      <c r="AG10" s="17">
        <v>0</v>
      </c>
      <c r="AH10" s="17">
        <v>0</v>
      </c>
    </row>
    <row r="11" spans="1:34" x14ac:dyDescent="0.2">
      <c r="A11" s="28">
        <v>9002</v>
      </c>
      <c r="B11" s="17">
        <v>0</v>
      </c>
      <c r="C11" s="17">
        <v>0</v>
      </c>
      <c r="D11" s="17">
        <v>0</v>
      </c>
      <c r="E11" s="17">
        <v>0</v>
      </c>
      <c r="F11" s="17">
        <v>0</v>
      </c>
      <c r="G11" s="17">
        <v>0</v>
      </c>
      <c r="H11" s="17">
        <v>0</v>
      </c>
      <c r="I11" s="17">
        <v>0</v>
      </c>
      <c r="J11" s="17">
        <v>0</v>
      </c>
      <c r="K11" s="17">
        <v>0</v>
      </c>
      <c r="L11" s="17">
        <v>0</v>
      </c>
      <c r="M11" s="17">
        <v>0</v>
      </c>
      <c r="N11" s="17">
        <v>0</v>
      </c>
      <c r="O11" s="17">
        <v>0</v>
      </c>
      <c r="P11" s="17">
        <v>0</v>
      </c>
      <c r="Q11" s="17">
        <v>0</v>
      </c>
      <c r="R11" s="17">
        <v>0</v>
      </c>
      <c r="S11" s="17">
        <v>0</v>
      </c>
      <c r="T11" s="17">
        <v>0</v>
      </c>
      <c r="U11" s="17">
        <v>0</v>
      </c>
      <c r="V11" s="17">
        <v>0</v>
      </c>
      <c r="W11" s="17">
        <v>0</v>
      </c>
      <c r="X11" s="17">
        <v>0</v>
      </c>
      <c r="Y11" s="17">
        <v>0</v>
      </c>
      <c r="Z11" s="17">
        <v>0</v>
      </c>
      <c r="AA11" s="17">
        <v>0</v>
      </c>
      <c r="AB11" s="17">
        <v>0</v>
      </c>
      <c r="AC11" s="17">
        <v>0</v>
      </c>
      <c r="AD11" s="17">
        <v>0</v>
      </c>
      <c r="AE11" s="17">
        <v>0</v>
      </c>
      <c r="AF11" s="17">
        <v>0</v>
      </c>
      <c r="AG11" s="17">
        <v>0</v>
      </c>
      <c r="AH11" s="17">
        <v>0</v>
      </c>
    </row>
    <row r="12" spans="1:34" x14ac:dyDescent="0.2">
      <c r="A12" s="28">
        <v>9003</v>
      </c>
      <c r="B12" s="17">
        <v>0</v>
      </c>
      <c r="C12" s="17">
        <v>0</v>
      </c>
      <c r="D12" s="17">
        <v>0</v>
      </c>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row>
    <row r="13" spans="1:34" x14ac:dyDescent="0.2">
      <c r="A13" s="28">
        <v>9004</v>
      </c>
      <c r="B13" s="17">
        <v>0</v>
      </c>
      <c r="C13" s="17">
        <v>0</v>
      </c>
      <c r="D13" s="17">
        <v>0</v>
      </c>
      <c r="E13" s="17">
        <v>0</v>
      </c>
      <c r="F13" s="17">
        <v>0</v>
      </c>
      <c r="G13" s="17">
        <v>0</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0</v>
      </c>
      <c r="AG13" s="17">
        <v>0</v>
      </c>
      <c r="AH13" s="17">
        <v>0</v>
      </c>
    </row>
    <row r="14" spans="1:34" x14ac:dyDescent="0.2">
      <c r="A14" s="28">
        <v>9005</v>
      </c>
      <c r="B14" s="17">
        <v>0</v>
      </c>
      <c r="C14" s="17">
        <v>0</v>
      </c>
      <c r="D14" s="17">
        <v>0</v>
      </c>
      <c r="E14" s="17">
        <v>0</v>
      </c>
      <c r="F14" s="17">
        <v>0</v>
      </c>
      <c r="G14" s="17">
        <v>0</v>
      </c>
      <c r="H14" s="17">
        <v>0</v>
      </c>
      <c r="I14" s="17">
        <v>0</v>
      </c>
      <c r="J14" s="17">
        <v>0</v>
      </c>
      <c r="K14" s="17">
        <v>0</v>
      </c>
      <c r="L14" s="17">
        <v>0</v>
      </c>
      <c r="M14" s="17">
        <v>0</v>
      </c>
      <c r="N14" s="17">
        <v>0</v>
      </c>
      <c r="O14" s="17">
        <v>0</v>
      </c>
      <c r="P14" s="17">
        <v>0</v>
      </c>
      <c r="Q14" s="17">
        <v>0</v>
      </c>
      <c r="R14" s="17">
        <v>0</v>
      </c>
      <c r="S14" s="17">
        <v>0</v>
      </c>
      <c r="T14" s="17">
        <v>0</v>
      </c>
      <c r="U14" s="17">
        <v>0</v>
      </c>
      <c r="V14" s="17">
        <v>0</v>
      </c>
      <c r="W14" s="17">
        <v>0</v>
      </c>
      <c r="X14" s="17">
        <v>0</v>
      </c>
      <c r="Y14" s="17">
        <v>0</v>
      </c>
      <c r="Z14" s="17">
        <v>0</v>
      </c>
      <c r="AA14" s="17">
        <v>0</v>
      </c>
      <c r="AB14" s="17">
        <v>0</v>
      </c>
      <c r="AC14" s="17">
        <v>0</v>
      </c>
      <c r="AD14" s="17">
        <v>0</v>
      </c>
      <c r="AE14" s="17">
        <v>0</v>
      </c>
      <c r="AF14" s="17">
        <v>0</v>
      </c>
      <c r="AG14" s="17">
        <v>0</v>
      </c>
      <c r="AH14" s="17">
        <v>0</v>
      </c>
    </row>
    <row r="15" spans="1:34" x14ac:dyDescent="0.2">
      <c r="A15" s="28">
        <v>9006</v>
      </c>
      <c r="B15">
        <v>0</v>
      </c>
      <c r="C15">
        <v>0</v>
      </c>
      <c r="D15">
        <v>0</v>
      </c>
      <c r="E15">
        <v>0</v>
      </c>
      <c r="F15">
        <v>0</v>
      </c>
      <c r="G15">
        <v>0</v>
      </c>
      <c r="H15">
        <v>0</v>
      </c>
      <c r="I15">
        <v>0</v>
      </c>
      <c r="J15">
        <v>0</v>
      </c>
      <c r="K15" s="17">
        <v>0</v>
      </c>
      <c r="L15" s="17">
        <v>0</v>
      </c>
      <c r="M15" s="17">
        <v>0</v>
      </c>
      <c r="N15" s="17">
        <v>0</v>
      </c>
      <c r="O15" s="17">
        <v>0</v>
      </c>
      <c r="P15" s="17">
        <v>0</v>
      </c>
      <c r="Q15" s="17">
        <v>0</v>
      </c>
      <c r="R15" s="17">
        <v>0</v>
      </c>
      <c r="S15" s="17">
        <v>0</v>
      </c>
      <c r="T15" s="17">
        <v>0</v>
      </c>
      <c r="U15" s="17">
        <v>0</v>
      </c>
      <c r="V15" s="17">
        <v>0</v>
      </c>
      <c r="W15" s="17">
        <v>0</v>
      </c>
      <c r="X15" s="17">
        <v>0</v>
      </c>
      <c r="Y15" s="17">
        <v>0</v>
      </c>
      <c r="Z15" s="17">
        <v>0</v>
      </c>
      <c r="AA15" s="17">
        <v>0</v>
      </c>
      <c r="AB15" s="17">
        <v>0</v>
      </c>
      <c r="AC15" s="17">
        <v>0</v>
      </c>
      <c r="AD15" s="17">
        <v>0</v>
      </c>
      <c r="AE15" s="17">
        <v>0</v>
      </c>
      <c r="AF15" s="17">
        <v>0</v>
      </c>
      <c r="AG15" s="17">
        <v>0</v>
      </c>
      <c r="AH15" s="17">
        <v>0</v>
      </c>
    </row>
    <row r="16" spans="1:34" x14ac:dyDescent="0.2">
      <c r="A16" s="28">
        <v>9007</v>
      </c>
      <c r="B16">
        <v>0</v>
      </c>
      <c r="C16">
        <v>0</v>
      </c>
      <c r="D16">
        <v>0</v>
      </c>
      <c r="E16">
        <v>0</v>
      </c>
      <c r="F16">
        <v>0</v>
      </c>
      <c r="G16">
        <v>0</v>
      </c>
      <c r="H16">
        <v>0</v>
      </c>
      <c r="I16">
        <v>0</v>
      </c>
      <c r="J16">
        <v>0</v>
      </c>
      <c r="K16" s="17">
        <v>0</v>
      </c>
      <c r="L16" s="17">
        <v>0</v>
      </c>
      <c r="M16" s="17">
        <v>0</v>
      </c>
      <c r="N16" s="17">
        <v>0</v>
      </c>
      <c r="O16" s="17">
        <v>0</v>
      </c>
      <c r="P16" s="17">
        <v>0</v>
      </c>
      <c r="Q16" s="17">
        <v>0</v>
      </c>
      <c r="R16" s="17">
        <v>0</v>
      </c>
      <c r="S16" s="17">
        <v>0</v>
      </c>
      <c r="T16" s="17">
        <v>0</v>
      </c>
      <c r="U16" s="17">
        <v>0</v>
      </c>
      <c r="V16" s="17">
        <v>0</v>
      </c>
      <c r="W16" s="17">
        <v>0</v>
      </c>
      <c r="X16" s="17">
        <v>0</v>
      </c>
      <c r="Y16" s="17">
        <v>0</v>
      </c>
      <c r="Z16" s="17">
        <v>0</v>
      </c>
      <c r="AA16" s="17">
        <v>0</v>
      </c>
      <c r="AB16" s="17">
        <v>0</v>
      </c>
      <c r="AC16" s="17">
        <v>0</v>
      </c>
      <c r="AD16" s="17">
        <v>0</v>
      </c>
      <c r="AE16" s="17">
        <v>0</v>
      </c>
      <c r="AF16" s="17">
        <v>0</v>
      </c>
      <c r="AG16" s="17">
        <v>0</v>
      </c>
      <c r="AH16" s="17">
        <v>0</v>
      </c>
    </row>
    <row r="17" spans="1:34" x14ac:dyDescent="0.2">
      <c r="A17" s="28">
        <v>9008</v>
      </c>
      <c r="B17">
        <v>0</v>
      </c>
      <c r="C17">
        <v>0</v>
      </c>
      <c r="D17">
        <v>0</v>
      </c>
      <c r="E17">
        <v>0</v>
      </c>
      <c r="F17">
        <v>0</v>
      </c>
      <c r="G17">
        <v>0</v>
      </c>
      <c r="H17">
        <v>0</v>
      </c>
      <c r="I17">
        <v>0</v>
      </c>
      <c r="J17">
        <v>0</v>
      </c>
      <c r="K17" s="17">
        <v>0</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row>
    <row r="18" spans="1:34" x14ac:dyDescent="0.2">
      <c r="A18" s="28">
        <v>9009</v>
      </c>
      <c r="B18">
        <v>0</v>
      </c>
      <c r="C18">
        <v>0</v>
      </c>
      <c r="D18">
        <v>0</v>
      </c>
      <c r="E18">
        <v>0</v>
      </c>
      <c r="F18">
        <v>0</v>
      </c>
      <c r="G18">
        <v>0</v>
      </c>
      <c r="H18">
        <v>0</v>
      </c>
      <c r="I18">
        <v>0</v>
      </c>
      <c r="J18">
        <v>0</v>
      </c>
      <c r="K18" s="17">
        <v>0</v>
      </c>
      <c r="L18" s="17">
        <v>0</v>
      </c>
      <c r="M18" s="17">
        <v>0</v>
      </c>
      <c r="N18" s="17">
        <v>0</v>
      </c>
      <c r="O18" s="17">
        <v>0</v>
      </c>
      <c r="P18" s="17">
        <v>0</v>
      </c>
      <c r="Q18" s="17">
        <v>0</v>
      </c>
      <c r="R18" s="17">
        <v>0</v>
      </c>
      <c r="S18" s="17">
        <v>0</v>
      </c>
      <c r="T18" s="17">
        <v>0</v>
      </c>
      <c r="U18" s="17">
        <v>0</v>
      </c>
      <c r="V18" s="17">
        <v>0</v>
      </c>
      <c r="W18" s="17">
        <v>0</v>
      </c>
      <c r="X18" s="17">
        <v>0</v>
      </c>
      <c r="Y18" s="17">
        <v>0</v>
      </c>
      <c r="Z18" s="17">
        <v>0</v>
      </c>
      <c r="AA18" s="17">
        <v>0</v>
      </c>
      <c r="AB18" s="17">
        <v>0</v>
      </c>
      <c r="AC18" s="17">
        <v>0</v>
      </c>
      <c r="AD18" s="17">
        <v>0</v>
      </c>
      <c r="AE18" s="17">
        <v>0</v>
      </c>
      <c r="AF18" s="17">
        <v>0</v>
      </c>
      <c r="AG18" s="17">
        <v>0</v>
      </c>
      <c r="AH18" s="17">
        <v>0</v>
      </c>
    </row>
    <row r="19" spans="1:34" x14ac:dyDescent="0.2">
      <c r="A19" s="28">
        <v>9010</v>
      </c>
      <c r="B19">
        <v>0</v>
      </c>
      <c r="C19">
        <v>0</v>
      </c>
      <c r="D19">
        <v>0</v>
      </c>
      <c r="E19">
        <v>0</v>
      </c>
      <c r="F19">
        <v>0</v>
      </c>
      <c r="G19">
        <v>0</v>
      </c>
      <c r="H19">
        <v>0</v>
      </c>
      <c r="I19">
        <v>0</v>
      </c>
      <c r="J19">
        <v>0</v>
      </c>
      <c r="K19" s="17">
        <v>0</v>
      </c>
      <c r="L19" s="17">
        <v>0</v>
      </c>
      <c r="M19" s="17">
        <v>0</v>
      </c>
      <c r="N19" s="17">
        <v>0</v>
      </c>
      <c r="O19" s="17">
        <v>0</v>
      </c>
      <c r="P19" s="17">
        <v>0</v>
      </c>
      <c r="Q19" s="17">
        <v>0</v>
      </c>
      <c r="R19" s="17">
        <v>0</v>
      </c>
      <c r="S19" s="17">
        <v>0</v>
      </c>
      <c r="T19" s="17">
        <v>0</v>
      </c>
      <c r="U19" s="17">
        <v>0</v>
      </c>
      <c r="V19" s="17">
        <v>0</v>
      </c>
      <c r="W19" s="17">
        <v>0</v>
      </c>
      <c r="X19" s="17">
        <v>0</v>
      </c>
      <c r="Y19" s="17">
        <v>0</v>
      </c>
      <c r="Z19" s="17">
        <v>0</v>
      </c>
      <c r="AA19" s="17">
        <v>0</v>
      </c>
      <c r="AB19" s="17">
        <v>0</v>
      </c>
      <c r="AC19" s="17">
        <v>0</v>
      </c>
      <c r="AD19" s="17">
        <v>0</v>
      </c>
      <c r="AE19" s="17">
        <v>0</v>
      </c>
      <c r="AF19" s="17">
        <v>0</v>
      </c>
      <c r="AG19" s="17">
        <v>0</v>
      </c>
      <c r="AH19" s="17">
        <v>0</v>
      </c>
    </row>
    <row r="20" spans="1:34" x14ac:dyDescent="0.2">
      <c r="A20" s="28">
        <v>10001</v>
      </c>
      <c r="B20">
        <v>0</v>
      </c>
      <c r="C20">
        <v>0</v>
      </c>
      <c r="D20">
        <v>0</v>
      </c>
      <c r="E20">
        <v>0</v>
      </c>
      <c r="F20">
        <v>0</v>
      </c>
      <c r="G20">
        <v>0</v>
      </c>
      <c r="H20">
        <v>0</v>
      </c>
      <c r="I20">
        <v>0</v>
      </c>
      <c r="J20">
        <v>0</v>
      </c>
      <c r="K20">
        <v>0</v>
      </c>
      <c r="L20" s="17">
        <v>0</v>
      </c>
      <c r="M20" s="17">
        <v>0</v>
      </c>
      <c r="N20" s="17">
        <v>0</v>
      </c>
      <c r="O20" s="17">
        <v>0</v>
      </c>
      <c r="P20" s="17">
        <v>0</v>
      </c>
      <c r="Q20" s="17">
        <v>0</v>
      </c>
      <c r="R20" s="17">
        <v>0</v>
      </c>
      <c r="S20" s="17">
        <v>0</v>
      </c>
      <c r="T20" s="17">
        <v>0</v>
      </c>
      <c r="U20" s="17">
        <v>0</v>
      </c>
      <c r="V20" s="17">
        <v>0</v>
      </c>
      <c r="W20" s="17">
        <v>0</v>
      </c>
      <c r="X20" s="17">
        <v>0</v>
      </c>
      <c r="Y20" s="17">
        <v>0</v>
      </c>
      <c r="Z20" s="17">
        <v>0</v>
      </c>
      <c r="AA20" s="17">
        <v>0</v>
      </c>
      <c r="AB20" s="17">
        <v>0</v>
      </c>
      <c r="AC20" s="17">
        <v>0</v>
      </c>
      <c r="AD20" s="17">
        <v>0</v>
      </c>
      <c r="AE20" s="17">
        <v>0</v>
      </c>
      <c r="AF20" s="17">
        <v>0</v>
      </c>
      <c r="AG20" s="17">
        <v>0</v>
      </c>
      <c r="AH20" s="17">
        <v>0</v>
      </c>
    </row>
    <row r="21" spans="1:34" x14ac:dyDescent="0.2">
      <c r="A21" s="28">
        <v>10002</v>
      </c>
      <c r="B21">
        <v>0</v>
      </c>
      <c r="C21">
        <v>0</v>
      </c>
      <c r="D21">
        <v>0</v>
      </c>
      <c r="E21">
        <v>0</v>
      </c>
      <c r="F21">
        <v>0</v>
      </c>
      <c r="G21">
        <v>0</v>
      </c>
      <c r="H21">
        <v>0</v>
      </c>
      <c r="I21">
        <v>0</v>
      </c>
      <c r="J21">
        <v>0</v>
      </c>
      <c r="K21">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7">
        <v>0</v>
      </c>
      <c r="AE21" s="17">
        <v>0</v>
      </c>
      <c r="AF21" s="17">
        <v>0</v>
      </c>
      <c r="AG21" s="17">
        <v>0</v>
      </c>
      <c r="AH21" s="17">
        <v>0</v>
      </c>
    </row>
    <row r="22" spans="1:34" x14ac:dyDescent="0.2">
      <c r="A22" s="28">
        <v>10003</v>
      </c>
      <c r="B22">
        <v>0</v>
      </c>
      <c r="C22">
        <v>0</v>
      </c>
      <c r="D22">
        <v>0</v>
      </c>
      <c r="E22">
        <v>0</v>
      </c>
      <c r="F22">
        <v>0</v>
      </c>
      <c r="G22">
        <v>0</v>
      </c>
      <c r="H22">
        <v>0</v>
      </c>
      <c r="I22">
        <v>0</v>
      </c>
      <c r="J22">
        <v>0</v>
      </c>
      <c r="K22">
        <v>0</v>
      </c>
      <c r="L22">
        <v>0</v>
      </c>
      <c r="M22">
        <v>0</v>
      </c>
      <c r="N22" s="17">
        <v>0</v>
      </c>
      <c r="O22" s="17">
        <v>0</v>
      </c>
      <c r="P22" s="17">
        <v>0</v>
      </c>
      <c r="Q22" s="17">
        <v>0</v>
      </c>
      <c r="R22" s="17">
        <v>0</v>
      </c>
      <c r="S22" s="17">
        <v>0</v>
      </c>
      <c r="T22" s="17">
        <v>0</v>
      </c>
      <c r="U22" s="17">
        <v>0</v>
      </c>
      <c r="V22" s="17">
        <v>0</v>
      </c>
      <c r="W22" s="17">
        <v>0</v>
      </c>
      <c r="X22" s="17">
        <v>0</v>
      </c>
      <c r="Y22" s="17">
        <v>0</v>
      </c>
      <c r="Z22" s="17">
        <v>0</v>
      </c>
      <c r="AA22" s="17">
        <v>0</v>
      </c>
      <c r="AB22" s="17">
        <v>0</v>
      </c>
      <c r="AC22" s="17">
        <v>0</v>
      </c>
      <c r="AD22" s="17">
        <v>0</v>
      </c>
      <c r="AE22" s="17">
        <v>0</v>
      </c>
      <c r="AF22" s="17">
        <v>0</v>
      </c>
      <c r="AG22" s="17">
        <v>0</v>
      </c>
      <c r="AH22" s="17">
        <v>0</v>
      </c>
    </row>
    <row r="23" spans="1:34" x14ac:dyDescent="0.2">
      <c r="A23" s="28">
        <v>10004</v>
      </c>
      <c r="B23">
        <v>0</v>
      </c>
      <c r="C23">
        <v>0</v>
      </c>
      <c r="D23">
        <v>0</v>
      </c>
      <c r="E23">
        <v>0</v>
      </c>
      <c r="F23">
        <v>0</v>
      </c>
      <c r="G23">
        <v>0</v>
      </c>
      <c r="H23">
        <v>0</v>
      </c>
      <c r="I23">
        <v>0</v>
      </c>
      <c r="J23">
        <v>0</v>
      </c>
      <c r="K23">
        <v>0</v>
      </c>
      <c r="L23">
        <v>0</v>
      </c>
      <c r="M23">
        <v>0</v>
      </c>
      <c r="N23" s="17">
        <v>0</v>
      </c>
      <c r="O23" s="17">
        <v>0</v>
      </c>
      <c r="P23" s="17">
        <v>0</v>
      </c>
      <c r="Q23" s="17">
        <v>0</v>
      </c>
      <c r="R23" s="17">
        <v>0</v>
      </c>
      <c r="S23" s="17">
        <v>0</v>
      </c>
      <c r="T23" s="17">
        <v>0</v>
      </c>
      <c r="U23" s="17">
        <v>0</v>
      </c>
      <c r="V23" s="17">
        <v>0</v>
      </c>
      <c r="W23" s="17">
        <v>0</v>
      </c>
      <c r="X23" s="17">
        <v>0</v>
      </c>
      <c r="Y23" s="17">
        <v>0</v>
      </c>
      <c r="Z23" s="17">
        <v>0</v>
      </c>
      <c r="AA23" s="17">
        <v>0</v>
      </c>
      <c r="AB23" s="17">
        <v>0</v>
      </c>
      <c r="AC23" s="17">
        <v>0</v>
      </c>
      <c r="AD23" s="17">
        <v>0</v>
      </c>
      <c r="AE23" s="17">
        <v>0</v>
      </c>
      <c r="AF23" s="17">
        <v>0</v>
      </c>
      <c r="AG23" s="17">
        <v>0</v>
      </c>
      <c r="AH23" s="17">
        <v>0</v>
      </c>
    </row>
    <row r="24" spans="1:34" x14ac:dyDescent="0.2">
      <c r="A24" s="28">
        <v>10005</v>
      </c>
      <c r="B24">
        <v>0</v>
      </c>
      <c r="C24">
        <v>0</v>
      </c>
      <c r="D24">
        <v>0</v>
      </c>
      <c r="E24">
        <v>0</v>
      </c>
      <c r="F24">
        <v>0</v>
      </c>
      <c r="G24">
        <v>0</v>
      </c>
      <c r="H24">
        <v>0</v>
      </c>
      <c r="I24">
        <v>0</v>
      </c>
      <c r="J24">
        <v>0</v>
      </c>
      <c r="K24">
        <v>0</v>
      </c>
      <c r="L24">
        <v>0</v>
      </c>
      <c r="M24">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v>
      </c>
      <c r="AG24" s="17">
        <v>0</v>
      </c>
      <c r="AH24" s="17">
        <v>0</v>
      </c>
    </row>
    <row r="25" spans="1:34" x14ac:dyDescent="0.2">
      <c r="A25" s="28">
        <v>10006</v>
      </c>
      <c r="B25">
        <v>0</v>
      </c>
      <c r="C25">
        <v>0</v>
      </c>
      <c r="D25">
        <v>0</v>
      </c>
      <c r="E25">
        <v>0</v>
      </c>
      <c r="F25">
        <v>0</v>
      </c>
      <c r="G25">
        <v>0</v>
      </c>
      <c r="H25">
        <v>0</v>
      </c>
      <c r="I25">
        <v>0</v>
      </c>
      <c r="J25">
        <v>0</v>
      </c>
      <c r="K25">
        <v>0</v>
      </c>
      <c r="L25">
        <v>0</v>
      </c>
      <c r="M25">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row>
    <row r="26" spans="1:34" x14ac:dyDescent="0.2">
      <c r="A26" s="28">
        <v>10007</v>
      </c>
      <c r="B26">
        <v>0</v>
      </c>
      <c r="C26">
        <v>0</v>
      </c>
      <c r="D26">
        <v>0</v>
      </c>
      <c r="E26">
        <v>0</v>
      </c>
      <c r="F26">
        <v>0</v>
      </c>
      <c r="G26">
        <v>0</v>
      </c>
      <c r="H26">
        <v>0</v>
      </c>
      <c r="I26">
        <v>0</v>
      </c>
      <c r="J26">
        <v>0</v>
      </c>
      <c r="K26">
        <v>0</v>
      </c>
      <c r="L26">
        <v>0</v>
      </c>
      <c r="M26">
        <v>0</v>
      </c>
      <c r="N26" s="17">
        <v>0</v>
      </c>
      <c r="O26" s="17">
        <v>0</v>
      </c>
      <c r="P26" s="17">
        <v>0</v>
      </c>
      <c r="Q26" s="17">
        <v>0</v>
      </c>
      <c r="R26" s="17">
        <v>0</v>
      </c>
      <c r="S26" s="17">
        <v>0</v>
      </c>
      <c r="T26" s="17">
        <v>0</v>
      </c>
      <c r="U26" s="17">
        <v>0</v>
      </c>
      <c r="V26" s="17">
        <v>0</v>
      </c>
      <c r="W26" s="17">
        <v>0</v>
      </c>
      <c r="X26" s="17">
        <v>0</v>
      </c>
      <c r="Y26" s="17">
        <v>0</v>
      </c>
      <c r="Z26" s="17">
        <v>0</v>
      </c>
      <c r="AA26" s="17">
        <v>0</v>
      </c>
      <c r="AB26" s="17">
        <v>0</v>
      </c>
      <c r="AC26" s="17">
        <v>0</v>
      </c>
      <c r="AD26" s="17">
        <v>0</v>
      </c>
      <c r="AE26" s="17">
        <v>0</v>
      </c>
      <c r="AF26" s="17">
        <v>0</v>
      </c>
      <c r="AG26" s="17">
        <v>0</v>
      </c>
      <c r="AH26" s="17">
        <v>0</v>
      </c>
    </row>
    <row r="27" spans="1:34" x14ac:dyDescent="0.2">
      <c r="A27" s="28">
        <v>10008</v>
      </c>
      <c r="B27">
        <v>0</v>
      </c>
      <c r="C27">
        <v>0</v>
      </c>
      <c r="D27">
        <v>0</v>
      </c>
      <c r="E27">
        <v>0</v>
      </c>
      <c r="F27">
        <v>0</v>
      </c>
      <c r="G27">
        <v>0</v>
      </c>
      <c r="H27">
        <v>0</v>
      </c>
      <c r="I27">
        <v>0</v>
      </c>
      <c r="J27">
        <v>0</v>
      </c>
      <c r="K27">
        <v>0</v>
      </c>
      <c r="L27">
        <v>0</v>
      </c>
      <c r="M27">
        <v>0</v>
      </c>
      <c r="N27">
        <v>0</v>
      </c>
      <c r="O27">
        <v>0</v>
      </c>
      <c r="P27" s="17">
        <v>0</v>
      </c>
      <c r="Q27" s="17">
        <v>0</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row>
    <row r="28" spans="1:34" x14ac:dyDescent="0.2">
      <c r="A28" s="28">
        <v>10009</v>
      </c>
      <c r="B28">
        <v>0</v>
      </c>
      <c r="C28">
        <v>0</v>
      </c>
      <c r="D28">
        <v>0</v>
      </c>
      <c r="E28">
        <v>0</v>
      </c>
      <c r="F28">
        <v>0</v>
      </c>
      <c r="G28">
        <v>0</v>
      </c>
      <c r="H28">
        <v>0</v>
      </c>
      <c r="I28">
        <v>0</v>
      </c>
      <c r="J28">
        <v>0</v>
      </c>
      <c r="K28">
        <v>0</v>
      </c>
      <c r="L28">
        <v>0</v>
      </c>
      <c r="M28">
        <v>0</v>
      </c>
      <c r="N28">
        <v>0</v>
      </c>
      <c r="O28">
        <v>0</v>
      </c>
      <c r="P28" s="17">
        <v>0</v>
      </c>
      <c r="Q28" s="17">
        <v>0</v>
      </c>
      <c r="R28" s="17">
        <v>0</v>
      </c>
      <c r="S28" s="17">
        <v>0</v>
      </c>
      <c r="T28" s="17">
        <v>0</v>
      </c>
      <c r="U28" s="17">
        <v>0</v>
      </c>
      <c r="V28" s="17">
        <v>0</v>
      </c>
      <c r="W28" s="17">
        <v>0</v>
      </c>
      <c r="X28" s="17">
        <v>0</v>
      </c>
      <c r="Y28" s="17">
        <v>0</v>
      </c>
      <c r="Z28" s="17">
        <v>0</v>
      </c>
      <c r="AA28" s="17">
        <v>0</v>
      </c>
      <c r="AB28" s="17">
        <v>0</v>
      </c>
      <c r="AC28" s="17">
        <v>0</v>
      </c>
      <c r="AD28" s="17">
        <v>0</v>
      </c>
      <c r="AE28" s="17">
        <v>0</v>
      </c>
      <c r="AF28" s="17">
        <v>0</v>
      </c>
      <c r="AG28" s="17">
        <v>0</v>
      </c>
      <c r="AH28" s="17">
        <v>0</v>
      </c>
    </row>
    <row r="29" spans="1:34" x14ac:dyDescent="0.2">
      <c r="A29" s="28">
        <v>11001</v>
      </c>
      <c r="B29">
        <v>0</v>
      </c>
      <c r="C29">
        <v>0</v>
      </c>
      <c r="D29">
        <v>0</v>
      </c>
      <c r="E29">
        <v>0</v>
      </c>
      <c r="F29">
        <v>0</v>
      </c>
      <c r="G29">
        <v>0</v>
      </c>
      <c r="H29">
        <v>0</v>
      </c>
      <c r="I29">
        <v>0</v>
      </c>
      <c r="J29">
        <v>0</v>
      </c>
      <c r="K29">
        <v>0</v>
      </c>
      <c r="L29">
        <v>0</v>
      </c>
      <c r="M29">
        <v>0</v>
      </c>
      <c r="N29">
        <v>0</v>
      </c>
      <c r="O29">
        <v>0</v>
      </c>
      <c r="P29" s="17">
        <v>0</v>
      </c>
      <c r="Q29" s="17">
        <v>0</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row>
    <row r="30" spans="1:34" x14ac:dyDescent="0.2">
      <c r="A30" s="28">
        <v>11002</v>
      </c>
      <c r="B30">
        <v>0</v>
      </c>
      <c r="C30">
        <v>0</v>
      </c>
      <c r="D30">
        <v>0</v>
      </c>
      <c r="E30">
        <v>0</v>
      </c>
      <c r="F30">
        <v>0</v>
      </c>
      <c r="G30">
        <v>0</v>
      </c>
      <c r="H30">
        <v>0</v>
      </c>
      <c r="I30">
        <v>0</v>
      </c>
      <c r="J30">
        <v>0</v>
      </c>
      <c r="K30">
        <v>0</v>
      </c>
      <c r="L30">
        <v>0</v>
      </c>
      <c r="M30">
        <v>0</v>
      </c>
      <c r="N30">
        <v>0</v>
      </c>
      <c r="O30">
        <v>0</v>
      </c>
      <c r="P30" s="17">
        <v>0</v>
      </c>
      <c r="Q30" s="17">
        <v>0</v>
      </c>
      <c r="R30" s="17">
        <v>0</v>
      </c>
      <c r="S30" s="17">
        <v>0</v>
      </c>
      <c r="T30" s="17">
        <v>0</v>
      </c>
      <c r="U30" s="17">
        <v>0</v>
      </c>
      <c r="V30" s="17">
        <v>0</v>
      </c>
      <c r="W30" s="17">
        <v>0</v>
      </c>
      <c r="X30" s="17">
        <v>0</v>
      </c>
      <c r="Y30" s="17">
        <v>0</v>
      </c>
      <c r="Z30" s="17">
        <v>0</v>
      </c>
      <c r="AA30" s="17">
        <v>0</v>
      </c>
      <c r="AB30" s="17">
        <v>0</v>
      </c>
      <c r="AC30" s="17">
        <v>0</v>
      </c>
      <c r="AD30" s="17">
        <v>0</v>
      </c>
      <c r="AE30" s="17">
        <v>0</v>
      </c>
      <c r="AF30" s="17">
        <v>0</v>
      </c>
      <c r="AG30" s="17">
        <v>0</v>
      </c>
      <c r="AH30" s="17">
        <v>0</v>
      </c>
    </row>
    <row r="31" spans="1:34" x14ac:dyDescent="0.2">
      <c r="A31" s="28">
        <v>11003</v>
      </c>
      <c r="B31">
        <v>0</v>
      </c>
      <c r="C31">
        <v>0</v>
      </c>
      <c r="D31">
        <v>0</v>
      </c>
      <c r="E31">
        <v>0</v>
      </c>
      <c r="F31">
        <v>0</v>
      </c>
      <c r="G31">
        <v>0</v>
      </c>
      <c r="H31">
        <v>0</v>
      </c>
      <c r="I31">
        <v>0</v>
      </c>
      <c r="J31">
        <v>0</v>
      </c>
      <c r="K31">
        <v>0</v>
      </c>
      <c r="L31">
        <v>0</v>
      </c>
      <c r="M31">
        <v>0</v>
      </c>
      <c r="N31">
        <v>0</v>
      </c>
      <c r="O31">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row>
    <row r="32" spans="1:34" x14ac:dyDescent="0.2">
      <c r="A32" s="28">
        <v>11004</v>
      </c>
      <c r="B32">
        <v>0</v>
      </c>
      <c r="C32">
        <v>0</v>
      </c>
      <c r="D32">
        <v>0</v>
      </c>
      <c r="E32">
        <v>0</v>
      </c>
      <c r="F32">
        <v>0</v>
      </c>
      <c r="G32">
        <v>0</v>
      </c>
      <c r="H32">
        <v>0</v>
      </c>
      <c r="I32">
        <v>0</v>
      </c>
      <c r="J32">
        <v>0</v>
      </c>
      <c r="K32">
        <v>0</v>
      </c>
      <c r="L32">
        <v>0</v>
      </c>
      <c r="M32">
        <v>0</v>
      </c>
      <c r="N32">
        <v>0</v>
      </c>
      <c r="O32">
        <v>0</v>
      </c>
      <c r="P32" s="17">
        <v>0</v>
      </c>
      <c r="Q32" s="17">
        <v>0</v>
      </c>
      <c r="R32" s="17">
        <v>0</v>
      </c>
      <c r="S32" s="17">
        <v>0</v>
      </c>
      <c r="T32" s="17">
        <v>0</v>
      </c>
      <c r="U32" s="17">
        <v>0</v>
      </c>
      <c r="V32" s="17">
        <v>0</v>
      </c>
      <c r="W32" s="17">
        <v>0</v>
      </c>
      <c r="X32" s="17">
        <v>0</v>
      </c>
      <c r="Y32" s="17">
        <v>0</v>
      </c>
      <c r="Z32" s="17">
        <v>0</v>
      </c>
      <c r="AA32" s="17">
        <v>0</v>
      </c>
      <c r="AB32" s="17">
        <v>0</v>
      </c>
      <c r="AC32" s="17">
        <v>0</v>
      </c>
      <c r="AD32" s="17">
        <v>0</v>
      </c>
      <c r="AE32" s="17">
        <v>0</v>
      </c>
      <c r="AF32" s="17">
        <v>0</v>
      </c>
      <c r="AG32" s="17">
        <v>0</v>
      </c>
      <c r="AH32" s="17">
        <v>0</v>
      </c>
    </row>
    <row r="33" spans="1:34" x14ac:dyDescent="0.2">
      <c r="A33" s="28">
        <v>11005</v>
      </c>
      <c r="B33">
        <v>0</v>
      </c>
      <c r="C33">
        <v>0</v>
      </c>
      <c r="D33">
        <v>0</v>
      </c>
      <c r="E33">
        <v>0</v>
      </c>
      <c r="F33">
        <v>0</v>
      </c>
      <c r="G33">
        <v>0</v>
      </c>
      <c r="H33">
        <v>0</v>
      </c>
      <c r="I33">
        <v>0</v>
      </c>
      <c r="J33">
        <v>0</v>
      </c>
      <c r="K33">
        <v>0</v>
      </c>
      <c r="L33">
        <v>0</v>
      </c>
      <c r="M33">
        <v>0</v>
      </c>
      <c r="N33">
        <v>0</v>
      </c>
      <c r="O33">
        <v>0</v>
      </c>
      <c r="P33" s="17">
        <v>0</v>
      </c>
      <c r="Q33" s="17">
        <v>0</v>
      </c>
      <c r="R33" s="17">
        <v>0</v>
      </c>
      <c r="S33" s="17">
        <v>0</v>
      </c>
      <c r="T33" s="17">
        <v>0</v>
      </c>
      <c r="U33" s="17">
        <v>0</v>
      </c>
      <c r="V33" s="17">
        <v>0</v>
      </c>
      <c r="W33" s="17">
        <v>0</v>
      </c>
      <c r="X33" s="17">
        <v>0</v>
      </c>
      <c r="Y33" s="17">
        <v>0</v>
      </c>
      <c r="Z33" s="17">
        <v>0</v>
      </c>
      <c r="AA33" s="17">
        <v>0</v>
      </c>
      <c r="AB33" s="17">
        <v>0</v>
      </c>
      <c r="AC33" s="17">
        <v>0</v>
      </c>
      <c r="AD33" s="17">
        <v>0</v>
      </c>
      <c r="AE33" s="17">
        <v>0</v>
      </c>
      <c r="AF33" s="17">
        <v>0</v>
      </c>
      <c r="AG33" s="17">
        <v>0</v>
      </c>
      <c r="AH33" s="17">
        <v>0</v>
      </c>
    </row>
    <row r="34" spans="1:34" x14ac:dyDescent="0.2">
      <c r="A34" s="28">
        <v>11006</v>
      </c>
      <c r="B34">
        <v>0</v>
      </c>
      <c r="C34">
        <v>0</v>
      </c>
      <c r="D34">
        <v>0</v>
      </c>
      <c r="E34">
        <v>0</v>
      </c>
      <c r="F34">
        <v>0</v>
      </c>
      <c r="G34">
        <v>0</v>
      </c>
      <c r="H34">
        <v>0</v>
      </c>
      <c r="I34">
        <v>0</v>
      </c>
      <c r="J34">
        <v>0</v>
      </c>
      <c r="K34">
        <v>0</v>
      </c>
      <c r="L34">
        <v>0</v>
      </c>
      <c r="M34">
        <v>0</v>
      </c>
      <c r="N34">
        <v>0</v>
      </c>
      <c r="O34">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row>
    <row r="35" spans="1:34" x14ac:dyDescent="0.2">
      <c r="A35" s="28">
        <v>11007</v>
      </c>
      <c r="B35">
        <v>0</v>
      </c>
      <c r="C35">
        <v>0</v>
      </c>
      <c r="D35">
        <v>0</v>
      </c>
      <c r="E35">
        <v>0</v>
      </c>
      <c r="F35">
        <v>0</v>
      </c>
      <c r="G35">
        <v>0</v>
      </c>
      <c r="H35">
        <v>0</v>
      </c>
      <c r="I35">
        <v>0</v>
      </c>
      <c r="J35">
        <v>0</v>
      </c>
      <c r="K35">
        <v>0</v>
      </c>
      <c r="L35">
        <v>0</v>
      </c>
      <c r="M35">
        <v>0</v>
      </c>
      <c r="N35">
        <v>0</v>
      </c>
      <c r="O35">
        <v>0</v>
      </c>
      <c r="P35" s="17">
        <v>0</v>
      </c>
      <c r="Q35" s="17">
        <v>0</v>
      </c>
      <c r="R35" s="17">
        <v>0</v>
      </c>
      <c r="S35" s="17">
        <v>0</v>
      </c>
      <c r="T35" s="17">
        <v>0</v>
      </c>
      <c r="U35" s="17">
        <v>0</v>
      </c>
      <c r="V35" s="17">
        <v>0</v>
      </c>
      <c r="W35" s="17">
        <v>0</v>
      </c>
      <c r="X35" s="17">
        <v>0</v>
      </c>
      <c r="Y35" s="17">
        <v>0</v>
      </c>
      <c r="Z35" s="17">
        <v>0</v>
      </c>
      <c r="AA35" s="17">
        <v>0</v>
      </c>
      <c r="AB35" s="17">
        <v>0</v>
      </c>
      <c r="AC35" s="17">
        <v>0</v>
      </c>
      <c r="AD35" s="17">
        <v>0</v>
      </c>
      <c r="AE35" s="17">
        <v>0</v>
      </c>
      <c r="AF35" s="17">
        <v>0</v>
      </c>
      <c r="AG35" s="17">
        <v>0</v>
      </c>
      <c r="AH35" s="17">
        <v>0</v>
      </c>
    </row>
    <row r="36" spans="1:34" x14ac:dyDescent="0.2">
      <c r="A36" s="28">
        <v>11008</v>
      </c>
      <c r="B36">
        <v>0</v>
      </c>
      <c r="C36">
        <v>0</v>
      </c>
      <c r="D36">
        <v>0</v>
      </c>
      <c r="E36">
        <v>0</v>
      </c>
      <c r="F36">
        <v>0</v>
      </c>
      <c r="G36">
        <v>0</v>
      </c>
      <c r="H36">
        <v>0</v>
      </c>
      <c r="I36">
        <v>0</v>
      </c>
      <c r="J36">
        <v>0</v>
      </c>
      <c r="K36">
        <v>0</v>
      </c>
      <c r="L36">
        <v>0</v>
      </c>
      <c r="M36">
        <v>0</v>
      </c>
      <c r="N36">
        <v>0</v>
      </c>
      <c r="O36">
        <v>0</v>
      </c>
      <c r="P36" s="17">
        <v>0</v>
      </c>
      <c r="Q36" s="17">
        <v>0</v>
      </c>
      <c r="R36" s="17">
        <v>0</v>
      </c>
      <c r="S36" s="17">
        <v>0</v>
      </c>
      <c r="T36" s="17">
        <v>0</v>
      </c>
      <c r="U36" s="17">
        <v>0</v>
      </c>
      <c r="V36" s="17">
        <v>0</v>
      </c>
      <c r="W36" s="17">
        <v>0</v>
      </c>
      <c r="X36" s="17">
        <v>0</v>
      </c>
      <c r="Y36" s="17">
        <v>0</v>
      </c>
      <c r="Z36" s="17">
        <v>0</v>
      </c>
      <c r="AA36" s="17">
        <v>0</v>
      </c>
      <c r="AB36" s="17">
        <v>0</v>
      </c>
      <c r="AC36" s="17">
        <v>0</v>
      </c>
      <c r="AD36" s="17">
        <v>0</v>
      </c>
      <c r="AE36" s="17">
        <v>0</v>
      </c>
      <c r="AF36" s="17">
        <v>0</v>
      </c>
      <c r="AG36" s="17">
        <v>0</v>
      </c>
      <c r="AH36" s="17">
        <v>0</v>
      </c>
    </row>
    <row r="37" spans="1:34" x14ac:dyDescent="0.2">
      <c r="A37" s="28">
        <v>12001</v>
      </c>
      <c r="B37">
        <v>2</v>
      </c>
      <c r="C37">
        <v>1</v>
      </c>
      <c r="D37">
        <v>1</v>
      </c>
      <c r="E37">
        <v>3</v>
      </c>
      <c r="F37">
        <v>1</v>
      </c>
      <c r="G37">
        <v>4</v>
      </c>
      <c r="H37">
        <v>4</v>
      </c>
      <c r="I37">
        <v>3</v>
      </c>
      <c r="J37">
        <v>2</v>
      </c>
      <c r="K37">
        <v>5</v>
      </c>
      <c r="L37">
        <v>0</v>
      </c>
      <c r="M37">
        <v>0</v>
      </c>
      <c r="N37">
        <v>0</v>
      </c>
      <c r="O37">
        <v>0</v>
      </c>
      <c r="P37" s="17">
        <v>0</v>
      </c>
      <c r="Q37" s="17">
        <v>0</v>
      </c>
      <c r="R37" s="17">
        <v>0</v>
      </c>
      <c r="S37" s="17">
        <v>0</v>
      </c>
      <c r="T37" s="17">
        <v>0</v>
      </c>
      <c r="U37" s="17">
        <v>0</v>
      </c>
      <c r="V37" s="17">
        <v>0</v>
      </c>
      <c r="W37" s="17">
        <v>0</v>
      </c>
      <c r="X37" s="17">
        <v>0</v>
      </c>
      <c r="Y37" s="17">
        <v>0</v>
      </c>
      <c r="Z37" s="17">
        <v>0</v>
      </c>
      <c r="AA37" s="17">
        <v>0</v>
      </c>
      <c r="AB37" s="17">
        <v>0</v>
      </c>
      <c r="AC37" s="17">
        <v>0</v>
      </c>
      <c r="AD37" s="17">
        <v>0</v>
      </c>
      <c r="AE37" s="17">
        <v>0</v>
      </c>
      <c r="AF37" s="17">
        <v>0</v>
      </c>
      <c r="AG37" s="17">
        <v>0</v>
      </c>
      <c r="AH37" s="17">
        <v>0</v>
      </c>
    </row>
    <row r="38" spans="1:34" x14ac:dyDescent="0.2">
      <c r="A38" s="28">
        <v>12002</v>
      </c>
      <c r="B38">
        <v>0</v>
      </c>
      <c r="C38">
        <v>0</v>
      </c>
      <c r="D38">
        <v>0</v>
      </c>
      <c r="E38">
        <v>0</v>
      </c>
      <c r="F38">
        <v>1</v>
      </c>
      <c r="G38">
        <v>1</v>
      </c>
      <c r="H38">
        <v>1</v>
      </c>
      <c r="I38">
        <v>0</v>
      </c>
      <c r="J38">
        <v>0</v>
      </c>
      <c r="K38">
        <v>0</v>
      </c>
      <c r="L38">
        <v>0</v>
      </c>
      <c r="M38">
        <v>0</v>
      </c>
      <c r="N38">
        <v>0</v>
      </c>
      <c r="O38">
        <v>0</v>
      </c>
      <c r="P38" s="17">
        <v>0</v>
      </c>
      <c r="Q38" s="17">
        <v>0</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row>
    <row r="39" spans="1:34" x14ac:dyDescent="0.2">
      <c r="A39" s="28">
        <v>12003</v>
      </c>
      <c r="B39">
        <v>4</v>
      </c>
      <c r="C39">
        <v>3</v>
      </c>
      <c r="D39">
        <v>4</v>
      </c>
      <c r="E39">
        <v>1</v>
      </c>
      <c r="F39">
        <v>2</v>
      </c>
      <c r="G39">
        <v>3</v>
      </c>
      <c r="H39">
        <v>2</v>
      </c>
      <c r="I39">
        <v>1</v>
      </c>
      <c r="J39">
        <v>0</v>
      </c>
      <c r="K39">
        <v>0</v>
      </c>
      <c r="L39">
        <v>0</v>
      </c>
      <c r="M39">
        <v>0</v>
      </c>
      <c r="N39">
        <v>0</v>
      </c>
      <c r="O39">
        <v>0</v>
      </c>
      <c r="P39" s="17">
        <v>0</v>
      </c>
      <c r="Q39" s="17">
        <v>0</v>
      </c>
      <c r="R39" s="17">
        <v>0</v>
      </c>
      <c r="S39" s="17">
        <v>0</v>
      </c>
      <c r="T39" s="17">
        <v>0</v>
      </c>
      <c r="U39" s="17">
        <v>0</v>
      </c>
      <c r="V39" s="17">
        <v>0</v>
      </c>
      <c r="W39" s="17">
        <v>0</v>
      </c>
      <c r="X39" s="17">
        <v>0</v>
      </c>
      <c r="Y39" s="17">
        <v>0</v>
      </c>
      <c r="Z39" s="17">
        <v>0</v>
      </c>
      <c r="AA39" s="17">
        <v>0</v>
      </c>
      <c r="AB39" s="17">
        <v>0</v>
      </c>
      <c r="AC39" s="17">
        <v>0</v>
      </c>
      <c r="AD39" s="17">
        <v>0</v>
      </c>
      <c r="AE39" s="17">
        <v>0</v>
      </c>
      <c r="AF39" s="17">
        <v>0</v>
      </c>
      <c r="AG39" s="17">
        <v>0</v>
      </c>
      <c r="AH39" s="17">
        <v>0</v>
      </c>
    </row>
    <row r="40" spans="1:34" x14ac:dyDescent="0.2">
      <c r="A40" s="28">
        <v>12004</v>
      </c>
      <c r="B40">
        <v>4</v>
      </c>
      <c r="C40">
        <v>5</v>
      </c>
      <c r="D40">
        <v>3</v>
      </c>
      <c r="E40">
        <v>0</v>
      </c>
      <c r="F40">
        <v>2</v>
      </c>
      <c r="G40">
        <v>2</v>
      </c>
      <c r="H40">
        <v>1</v>
      </c>
      <c r="I40">
        <v>2</v>
      </c>
      <c r="J40">
        <v>4</v>
      </c>
      <c r="K40">
        <v>0</v>
      </c>
      <c r="L40">
        <v>0</v>
      </c>
      <c r="M40">
        <v>0</v>
      </c>
      <c r="N40">
        <v>0</v>
      </c>
      <c r="O40">
        <v>0</v>
      </c>
      <c r="P40" s="17">
        <v>0</v>
      </c>
      <c r="Q40" s="17">
        <v>0</v>
      </c>
      <c r="R40" s="17">
        <v>0</v>
      </c>
      <c r="S40" s="17">
        <v>0</v>
      </c>
      <c r="T40" s="17">
        <v>0</v>
      </c>
      <c r="U40" s="17">
        <v>0</v>
      </c>
      <c r="V40" s="17">
        <v>0</v>
      </c>
      <c r="W40" s="17">
        <v>0</v>
      </c>
      <c r="X40" s="17">
        <v>0</v>
      </c>
      <c r="Y40" s="17">
        <v>0</v>
      </c>
      <c r="Z40" s="17">
        <v>0</v>
      </c>
      <c r="AA40" s="17">
        <v>0</v>
      </c>
      <c r="AB40" s="17">
        <v>0</v>
      </c>
      <c r="AC40" s="17">
        <v>0</v>
      </c>
      <c r="AD40" s="17">
        <v>0</v>
      </c>
      <c r="AE40" s="17">
        <v>0</v>
      </c>
      <c r="AF40" s="17">
        <v>0</v>
      </c>
      <c r="AG40" s="17">
        <v>0</v>
      </c>
      <c r="AH40" s="17">
        <v>0</v>
      </c>
    </row>
    <row r="41" spans="1:34" x14ac:dyDescent="0.2">
      <c r="A41" s="28">
        <v>12005</v>
      </c>
      <c r="B41">
        <v>1</v>
      </c>
      <c r="C41">
        <v>0</v>
      </c>
      <c r="D41">
        <v>1</v>
      </c>
      <c r="E41">
        <v>1</v>
      </c>
      <c r="F41">
        <v>1</v>
      </c>
      <c r="G41">
        <v>1</v>
      </c>
      <c r="H41">
        <v>2</v>
      </c>
      <c r="I41">
        <v>2</v>
      </c>
      <c r="J41">
        <v>2</v>
      </c>
      <c r="K41">
        <v>0</v>
      </c>
      <c r="L41">
        <v>0</v>
      </c>
      <c r="M41">
        <v>0</v>
      </c>
      <c r="N41">
        <v>0</v>
      </c>
      <c r="O41">
        <v>0</v>
      </c>
      <c r="P41" s="17">
        <v>0</v>
      </c>
      <c r="Q41" s="17">
        <v>0</v>
      </c>
      <c r="R41" s="17">
        <v>0</v>
      </c>
      <c r="S41" s="17">
        <v>0</v>
      </c>
      <c r="T41" s="17">
        <v>0</v>
      </c>
      <c r="U41" s="17">
        <v>0</v>
      </c>
      <c r="V41" s="17">
        <v>0</v>
      </c>
      <c r="W41" s="17">
        <v>0</v>
      </c>
      <c r="X41" s="17">
        <v>0</v>
      </c>
      <c r="Y41" s="17">
        <v>0</v>
      </c>
      <c r="Z41" s="17">
        <v>0</v>
      </c>
      <c r="AA41" s="17">
        <v>0</v>
      </c>
      <c r="AB41" s="17">
        <v>0</v>
      </c>
      <c r="AC41" s="17">
        <v>0</v>
      </c>
      <c r="AD41" s="17">
        <v>0</v>
      </c>
      <c r="AE41" s="17">
        <v>0</v>
      </c>
      <c r="AF41" s="17">
        <v>0</v>
      </c>
      <c r="AG41" s="17">
        <v>0</v>
      </c>
      <c r="AH41" s="17">
        <v>0</v>
      </c>
    </row>
    <row r="42" spans="1:34" x14ac:dyDescent="0.2">
      <c r="A42" s="28">
        <v>12006</v>
      </c>
      <c r="B42">
        <v>0</v>
      </c>
      <c r="C42">
        <v>1</v>
      </c>
      <c r="D42">
        <v>3</v>
      </c>
      <c r="E42">
        <v>2</v>
      </c>
      <c r="F42">
        <v>4</v>
      </c>
      <c r="G42">
        <v>3</v>
      </c>
      <c r="H42">
        <v>0</v>
      </c>
      <c r="I42">
        <v>0</v>
      </c>
      <c r="J42">
        <v>0</v>
      </c>
      <c r="K42">
        <v>0</v>
      </c>
      <c r="L42">
        <v>0</v>
      </c>
      <c r="M42">
        <v>0</v>
      </c>
      <c r="N42">
        <v>0</v>
      </c>
      <c r="O42">
        <v>0</v>
      </c>
      <c r="P42" s="17">
        <v>0</v>
      </c>
      <c r="Q42" s="17">
        <v>0</v>
      </c>
      <c r="R42" s="17">
        <v>0</v>
      </c>
      <c r="S42" s="17">
        <v>0</v>
      </c>
      <c r="T42" s="17">
        <v>0</v>
      </c>
      <c r="U42" s="17">
        <v>0</v>
      </c>
      <c r="V42" s="17">
        <v>0</v>
      </c>
      <c r="W42" s="17">
        <v>0</v>
      </c>
      <c r="X42" s="17">
        <v>0</v>
      </c>
      <c r="Y42" s="17">
        <v>0</v>
      </c>
      <c r="Z42" s="17">
        <v>0</v>
      </c>
      <c r="AA42" s="17">
        <v>0</v>
      </c>
      <c r="AB42" s="17">
        <v>0</v>
      </c>
      <c r="AC42" s="17">
        <v>0</v>
      </c>
      <c r="AD42" s="17">
        <v>0</v>
      </c>
      <c r="AE42" s="17">
        <v>0</v>
      </c>
      <c r="AF42" s="17">
        <v>0</v>
      </c>
      <c r="AG42" s="17">
        <v>0</v>
      </c>
      <c r="AH42" s="17">
        <v>0</v>
      </c>
    </row>
    <row r="43" spans="1:34" x14ac:dyDescent="0.2">
      <c r="A43" s="28">
        <v>12007</v>
      </c>
      <c r="B43">
        <v>0</v>
      </c>
      <c r="C43">
        <v>0</v>
      </c>
      <c r="D43">
        <v>0</v>
      </c>
      <c r="E43">
        <v>0</v>
      </c>
      <c r="F43">
        <v>2</v>
      </c>
      <c r="G43">
        <v>0</v>
      </c>
      <c r="H43">
        <v>1</v>
      </c>
      <c r="I43">
        <v>0</v>
      </c>
      <c r="J43">
        <v>1</v>
      </c>
      <c r="K43">
        <v>1</v>
      </c>
      <c r="L43">
        <v>1</v>
      </c>
      <c r="M43">
        <v>1</v>
      </c>
      <c r="N43">
        <v>0</v>
      </c>
      <c r="O43">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row>
    <row r="44" spans="1:34" x14ac:dyDescent="0.2">
      <c r="A44" s="28">
        <v>12008</v>
      </c>
      <c r="B44">
        <v>0</v>
      </c>
      <c r="C44">
        <v>0</v>
      </c>
      <c r="D44">
        <v>0</v>
      </c>
      <c r="E44">
        <v>0</v>
      </c>
      <c r="F44">
        <v>3</v>
      </c>
      <c r="G44">
        <v>3</v>
      </c>
      <c r="H44">
        <v>1</v>
      </c>
      <c r="I44">
        <v>2</v>
      </c>
      <c r="J44">
        <v>2</v>
      </c>
      <c r="K44">
        <v>2</v>
      </c>
      <c r="L44">
        <v>0</v>
      </c>
      <c r="M44">
        <v>0</v>
      </c>
      <c r="N44">
        <v>0</v>
      </c>
      <c r="O44">
        <v>0</v>
      </c>
      <c r="P44" s="17">
        <v>0</v>
      </c>
      <c r="Q44" s="17">
        <v>0</v>
      </c>
      <c r="R44" s="17">
        <v>0</v>
      </c>
      <c r="S44" s="17">
        <v>0</v>
      </c>
      <c r="T44" s="17">
        <v>0</v>
      </c>
      <c r="U44" s="17">
        <v>0</v>
      </c>
      <c r="V44" s="17">
        <v>0</v>
      </c>
      <c r="W44" s="17">
        <v>0</v>
      </c>
      <c r="X44" s="17">
        <v>0</v>
      </c>
      <c r="Y44" s="17">
        <v>0</v>
      </c>
      <c r="Z44" s="17">
        <v>0</v>
      </c>
      <c r="AA44" s="17">
        <v>0</v>
      </c>
      <c r="AB44" s="17">
        <v>0</v>
      </c>
      <c r="AC44" s="17">
        <v>0</v>
      </c>
      <c r="AD44" s="17">
        <v>0</v>
      </c>
      <c r="AE44" s="17">
        <v>0</v>
      </c>
      <c r="AF44" s="17">
        <v>0</v>
      </c>
      <c r="AG44" s="17">
        <v>0</v>
      </c>
      <c r="AH44" s="17">
        <v>0</v>
      </c>
    </row>
    <row r="45" spans="1:34" x14ac:dyDescent="0.2">
      <c r="A45" s="28">
        <v>13001</v>
      </c>
      <c r="B45">
        <v>0</v>
      </c>
      <c r="C45">
        <v>0</v>
      </c>
      <c r="D45">
        <v>0</v>
      </c>
      <c r="E45">
        <v>0</v>
      </c>
      <c r="F45">
        <v>0</v>
      </c>
      <c r="G45">
        <v>0</v>
      </c>
      <c r="H45">
        <v>0</v>
      </c>
      <c r="I45">
        <v>0</v>
      </c>
      <c r="J45">
        <v>0</v>
      </c>
      <c r="K45">
        <v>0</v>
      </c>
      <c r="L45">
        <v>0</v>
      </c>
      <c r="M45">
        <v>0</v>
      </c>
      <c r="N45">
        <v>0</v>
      </c>
      <c r="O45">
        <v>0</v>
      </c>
      <c r="P45" s="17">
        <v>0</v>
      </c>
      <c r="Q45" s="17">
        <v>0</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row>
    <row r="46" spans="1:34" x14ac:dyDescent="0.2">
      <c r="A46" s="28">
        <v>13002</v>
      </c>
      <c r="B46">
        <v>0</v>
      </c>
      <c r="C46">
        <v>0</v>
      </c>
      <c r="D46">
        <v>0</v>
      </c>
      <c r="E46">
        <v>0</v>
      </c>
      <c r="F46">
        <v>0</v>
      </c>
      <c r="G46">
        <v>0</v>
      </c>
      <c r="H46">
        <v>0</v>
      </c>
      <c r="I46">
        <v>0</v>
      </c>
      <c r="J46">
        <v>0</v>
      </c>
      <c r="K46">
        <v>0</v>
      </c>
      <c r="L46">
        <v>0</v>
      </c>
      <c r="M46">
        <v>0</v>
      </c>
      <c r="N46">
        <v>0</v>
      </c>
      <c r="O46">
        <v>0</v>
      </c>
      <c r="P46" s="17">
        <v>0</v>
      </c>
      <c r="Q46" s="17">
        <v>0</v>
      </c>
      <c r="R46" s="17">
        <v>0</v>
      </c>
      <c r="S46" s="17">
        <v>0</v>
      </c>
      <c r="T46" s="17">
        <v>0</v>
      </c>
      <c r="U46" s="17">
        <v>0</v>
      </c>
      <c r="V46" s="17">
        <v>0</v>
      </c>
      <c r="W46" s="17">
        <v>0</v>
      </c>
      <c r="X46" s="17">
        <v>0</v>
      </c>
      <c r="Y46" s="17">
        <v>0</v>
      </c>
      <c r="Z46" s="17">
        <v>0</v>
      </c>
      <c r="AA46" s="17">
        <v>0</v>
      </c>
      <c r="AB46" s="17">
        <v>0</v>
      </c>
      <c r="AC46" s="17">
        <v>0</v>
      </c>
      <c r="AD46" s="17">
        <v>0</v>
      </c>
      <c r="AE46" s="17">
        <v>0</v>
      </c>
      <c r="AF46" s="17">
        <v>0</v>
      </c>
      <c r="AG46" s="17">
        <v>0</v>
      </c>
      <c r="AH46" s="17">
        <v>0</v>
      </c>
    </row>
    <row r="47" spans="1:34" x14ac:dyDescent="0.2">
      <c r="A47" s="28">
        <v>13003</v>
      </c>
      <c r="B47">
        <v>0</v>
      </c>
      <c r="C47">
        <v>0</v>
      </c>
      <c r="D47">
        <v>0</v>
      </c>
      <c r="E47">
        <v>0</v>
      </c>
      <c r="F47">
        <v>0</v>
      </c>
      <c r="G47">
        <v>0</v>
      </c>
      <c r="H47">
        <v>0</v>
      </c>
      <c r="I47">
        <v>0</v>
      </c>
      <c r="J47">
        <v>0</v>
      </c>
      <c r="K47">
        <v>0</v>
      </c>
      <c r="L47">
        <v>0</v>
      </c>
      <c r="M47">
        <v>0</v>
      </c>
      <c r="N47">
        <v>0</v>
      </c>
      <c r="O47">
        <v>0</v>
      </c>
      <c r="P47" s="17">
        <v>0</v>
      </c>
      <c r="Q47" s="17">
        <v>0</v>
      </c>
      <c r="R47" s="17">
        <v>0</v>
      </c>
      <c r="S47" s="17">
        <v>0</v>
      </c>
      <c r="T47" s="17">
        <v>0</v>
      </c>
      <c r="U47" s="17">
        <v>0</v>
      </c>
      <c r="V47" s="17">
        <v>0</v>
      </c>
      <c r="W47" s="17">
        <v>0</v>
      </c>
      <c r="X47" s="17">
        <v>0</v>
      </c>
      <c r="Y47" s="17">
        <v>0</v>
      </c>
      <c r="Z47" s="17">
        <v>0</v>
      </c>
      <c r="AA47" s="17">
        <v>0</v>
      </c>
      <c r="AB47" s="17">
        <v>0</v>
      </c>
      <c r="AC47" s="17">
        <v>0</v>
      </c>
      <c r="AD47" s="17">
        <v>0</v>
      </c>
      <c r="AE47" s="17">
        <v>0</v>
      </c>
      <c r="AF47" s="17">
        <v>0</v>
      </c>
      <c r="AG47" s="17">
        <v>0</v>
      </c>
      <c r="AH47" s="17">
        <v>0</v>
      </c>
    </row>
    <row r="48" spans="1:34" x14ac:dyDescent="0.2">
      <c r="A48" s="28">
        <v>13004</v>
      </c>
      <c r="B48">
        <v>0</v>
      </c>
      <c r="C48">
        <v>0</v>
      </c>
      <c r="D48">
        <v>0</v>
      </c>
      <c r="E48">
        <v>0</v>
      </c>
      <c r="F48">
        <v>0</v>
      </c>
      <c r="G48">
        <v>0</v>
      </c>
      <c r="H48">
        <v>0</v>
      </c>
      <c r="I48">
        <v>0</v>
      </c>
      <c r="J48">
        <v>0</v>
      </c>
      <c r="K48">
        <v>0</v>
      </c>
      <c r="L48">
        <v>0</v>
      </c>
      <c r="M48">
        <v>0</v>
      </c>
      <c r="N48">
        <v>0</v>
      </c>
      <c r="O48">
        <v>0</v>
      </c>
      <c r="P48" s="17">
        <v>0</v>
      </c>
      <c r="Q48" s="17">
        <v>0</v>
      </c>
      <c r="R48" s="17">
        <v>0</v>
      </c>
      <c r="S48" s="17">
        <v>0</v>
      </c>
      <c r="T48" s="17">
        <v>0</v>
      </c>
      <c r="U48" s="17">
        <v>0</v>
      </c>
      <c r="V48" s="17">
        <v>0</v>
      </c>
      <c r="W48" s="17">
        <v>0</v>
      </c>
      <c r="X48" s="17">
        <v>0</v>
      </c>
      <c r="Y48" s="17">
        <v>0</v>
      </c>
      <c r="Z48" s="17">
        <v>0</v>
      </c>
      <c r="AA48" s="17">
        <v>0</v>
      </c>
      <c r="AB48" s="17">
        <v>0</v>
      </c>
      <c r="AC48" s="17">
        <v>0</v>
      </c>
      <c r="AD48" s="17">
        <v>0</v>
      </c>
      <c r="AE48" s="17">
        <v>0</v>
      </c>
      <c r="AF48" s="17">
        <v>0</v>
      </c>
      <c r="AG48" s="17">
        <v>0</v>
      </c>
      <c r="AH48" s="17">
        <v>0</v>
      </c>
    </row>
    <row r="49" spans="1:34" x14ac:dyDescent="0.2">
      <c r="A49" s="28">
        <v>13005</v>
      </c>
      <c r="B49">
        <v>0</v>
      </c>
      <c r="C49">
        <v>0</v>
      </c>
      <c r="D49">
        <v>0</v>
      </c>
      <c r="E49">
        <v>0</v>
      </c>
      <c r="F49">
        <v>0</v>
      </c>
      <c r="G49">
        <v>0</v>
      </c>
      <c r="H49">
        <v>0</v>
      </c>
      <c r="I49">
        <v>0</v>
      </c>
      <c r="J49">
        <v>0</v>
      </c>
      <c r="K49">
        <v>0</v>
      </c>
      <c r="L49">
        <v>0</v>
      </c>
      <c r="M49">
        <v>0</v>
      </c>
      <c r="N49">
        <v>0</v>
      </c>
      <c r="O49">
        <v>0</v>
      </c>
      <c r="P49" s="17">
        <v>0</v>
      </c>
      <c r="Q49" s="17">
        <v>0</v>
      </c>
      <c r="R49" s="17">
        <v>0</v>
      </c>
      <c r="S49" s="17">
        <v>0</v>
      </c>
      <c r="T49" s="17">
        <v>0</v>
      </c>
      <c r="U49" s="17">
        <v>0</v>
      </c>
      <c r="V49" s="17">
        <v>0</v>
      </c>
      <c r="W49" s="17">
        <v>0</v>
      </c>
      <c r="X49" s="17">
        <v>0</v>
      </c>
      <c r="Y49" s="17">
        <v>0</v>
      </c>
      <c r="Z49" s="17">
        <v>0</v>
      </c>
      <c r="AA49" s="17">
        <v>0</v>
      </c>
      <c r="AB49" s="17">
        <v>0</v>
      </c>
      <c r="AC49" s="17">
        <v>0</v>
      </c>
      <c r="AD49" s="17">
        <v>0</v>
      </c>
      <c r="AE49" s="17">
        <v>0</v>
      </c>
      <c r="AF49" s="17">
        <v>0</v>
      </c>
      <c r="AG49" s="17">
        <v>0</v>
      </c>
      <c r="AH49" s="17">
        <v>0</v>
      </c>
    </row>
    <row r="50" spans="1:34" x14ac:dyDescent="0.2">
      <c r="A50" s="28">
        <v>13006</v>
      </c>
      <c r="B50">
        <v>0</v>
      </c>
      <c r="C50">
        <v>0</v>
      </c>
      <c r="D50">
        <v>0</v>
      </c>
      <c r="E50">
        <v>0</v>
      </c>
      <c r="F50">
        <v>0</v>
      </c>
      <c r="G50">
        <v>0</v>
      </c>
      <c r="H50">
        <v>0</v>
      </c>
      <c r="I50">
        <v>0</v>
      </c>
      <c r="J50">
        <v>0</v>
      </c>
      <c r="K50">
        <v>0</v>
      </c>
      <c r="L50">
        <v>0</v>
      </c>
      <c r="M50">
        <v>0</v>
      </c>
      <c r="N50">
        <v>0</v>
      </c>
      <c r="O50">
        <v>0</v>
      </c>
      <c r="P50" s="17">
        <v>0</v>
      </c>
      <c r="Q50" s="17">
        <v>0</v>
      </c>
      <c r="R50" s="17">
        <v>0</v>
      </c>
      <c r="S50" s="17">
        <v>0</v>
      </c>
      <c r="T50" s="17">
        <v>0</v>
      </c>
      <c r="U50" s="17">
        <v>0</v>
      </c>
      <c r="V50" s="17">
        <v>0</v>
      </c>
      <c r="W50" s="17">
        <v>0</v>
      </c>
      <c r="X50" s="17">
        <v>0</v>
      </c>
      <c r="Y50" s="17">
        <v>0</v>
      </c>
      <c r="Z50" s="17">
        <v>0</v>
      </c>
      <c r="AA50" s="17">
        <v>0</v>
      </c>
      <c r="AB50" s="17">
        <v>0</v>
      </c>
      <c r="AC50" s="17">
        <v>0</v>
      </c>
      <c r="AD50" s="17">
        <v>0</v>
      </c>
      <c r="AE50" s="17">
        <v>0</v>
      </c>
      <c r="AF50" s="17">
        <v>0</v>
      </c>
      <c r="AG50" s="17">
        <v>0</v>
      </c>
      <c r="AH50" s="17">
        <v>0</v>
      </c>
    </row>
    <row r="51" spans="1:34" x14ac:dyDescent="0.2">
      <c r="A51" s="28">
        <v>13007</v>
      </c>
      <c r="B51">
        <v>0</v>
      </c>
      <c r="C51">
        <v>0</v>
      </c>
      <c r="D51">
        <v>0</v>
      </c>
      <c r="E51">
        <v>0</v>
      </c>
      <c r="F51">
        <v>0</v>
      </c>
      <c r="G51">
        <v>0</v>
      </c>
      <c r="H51">
        <v>0</v>
      </c>
      <c r="I51">
        <v>0</v>
      </c>
      <c r="J51">
        <v>0</v>
      </c>
      <c r="K51">
        <v>0</v>
      </c>
      <c r="L51">
        <v>0</v>
      </c>
      <c r="M51">
        <v>0</v>
      </c>
      <c r="N51">
        <v>0</v>
      </c>
      <c r="O51">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row>
    <row r="52" spans="1:34" x14ac:dyDescent="0.2">
      <c r="A52" s="28">
        <v>13008</v>
      </c>
      <c r="B52">
        <v>0</v>
      </c>
      <c r="C52">
        <v>0</v>
      </c>
      <c r="D52">
        <v>0</v>
      </c>
      <c r="E52">
        <v>0</v>
      </c>
      <c r="F52">
        <v>0</v>
      </c>
      <c r="G52">
        <v>0</v>
      </c>
      <c r="H52">
        <v>0</v>
      </c>
      <c r="I52">
        <v>0</v>
      </c>
      <c r="J52">
        <v>0</v>
      </c>
      <c r="K52">
        <v>0</v>
      </c>
      <c r="L52">
        <v>0</v>
      </c>
      <c r="M52">
        <v>0</v>
      </c>
      <c r="N52">
        <v>0</v>
      </c>
      <c r="O52">
        <v>0</v>
      </c>
      <c r="P52" s="17">
        <v>0</v>
      </c>
      <c r="Q52" s="17">
        <v>0</v>
      </c>
      <c r="R52" s="17">
        <v>0</v>
      </c>
      <c r="S52" s="17">
        <v>0</v>
      </c>
      <c r="T52" s="17">
        <v>0</v>
      </c>
      <c r="U52" s="17">
        <v>0</v>
      </c>
      <c r="V52" s="17">
        <v>0</v>
      </c>
      <c r="W52" s="17">
        <v>0</v>
      </c>
      <c r="X52" s="17">
        <v>0</v>
      </c>
      <c r="Y52" s="17">
        <v>0</v>
      </c>
      <c r="Z52" s="17">
        <v>0</v>
      </c>
      <c r="AA52" s="17">
        <v>0</v>
      </c>
      <c r="AB52" s="17">
        <v>0</v>
      </c>
      <c r="AC52" s="17">
        <v>0</v>
      </c>
      <c r="AD52" s="17">
        <v>0</v>
      </c>
      <c r="AE52" s="17">
        <v>0</v>
      </c>
      <c r="AF52" s="17">
        <v>0</v>
      </c>
      <c r="AG52" s="17">
        <v>0</v>
      </c>
      <c r="AH52" s="17">
        <v>0</v>
      </c>
    </row>
    <row r="53" spans="1:34" x14ac:dyDescent="0.2">
      <c r="A53" s="28">
        <v>13009</v>
      </c>
      <c r="B53">
        <v>0</v>
      </c>
      <c r="C53">
        <v>0</v>
      </c>
      <c r="D53">
        <v>0</v>
      </c>
      <c r="E53">
        <v>0</v>
      </c>
      <c r="F53">
        <v>0</v>
      </c>
      <c r="G53">
        <v>0</v>
      </c>
      <c r="H53">
        <v>0</v>
      </c>
      <c r="I53">
        <v>0</v>
      </c>
      <c r="J53">
        <v>0</v>
      </c>
      <c r="K53">
        <v>0</v>
      </c>
      <c r="L53">
        <v>0</v>
      </c>
      <c r="M53">
        <v>0</v>
      </c>
      <c r="N53">
        <v>0</v>
      </c>
      <c r="O53">
        <v>0</v>
      </c>
      <c r="P53">
        <v>0</v>
      </c>
      <c r="Q53" s="17">
        <v>0</v>
      </c>
      <c r="R53" s="17">
        <v>0</v>
      </c>
      <c r="S53" s="17">
        <v>0</v>
      </c>
      <c r="T53" s="17">
        <v>0</v>
      </c>
      <c r="U53" s="17">
        <v>0</v>
      </c>
      <c r="V53" s="17">
        <v>0</v>
      </c>
      <c r="W53" s="17">
        <v>0</v>
      </c>
      <c r="X53" s="17">
        <v>0</v>
      </c>
      <c r="Y53" s="17">
        <v>0</v>
      </c>
      <c r="Z53" s="17">
        <v>0</v>
      </c>
      <c r="AA53" s="17">
        <v>0</v>
      </c>
      <c r="AB53" s="17">
        <v>0</v>
      </c>
      <c r="AC53" s="17">
        <v>0</v>
      </c>
      <c r="AD53" s="17">
        <v>0</v>
      </c>
      <c r="AE53" s="17">
        <v>0</v>
      </c>
      <c r="AF53" s="17">
        <v>0</v>
      </c>
      <c r="AG53" s="17">
        <v>0</v>
      </c>
      <c r="AH53" s="17">
        <v>0</v>
      </c>
    </row>
    <row r="54" spans="1:34" x14ac:dyDescent="0.2">
      <c r="A54" s="28">
        <v>13010</v>
      </c>
      <c r="B54">
        <v>0</v>
      </c>
      <c r="C54">
        <v>0</v>
      </c>
      <c r="D54">
        <v>0</v>
      </c>
      <c r="E54">
        <v>0</v>
      </c>
      <c r="F54">
        <v>0</v>
      </c>
      <c r="G54">
        <v>0</v>
      </c>
      <c r="H54">
        <v>0</v>
      </c>
      <c r="I54">
        <v>0</v>
      </c>
      <c r="J54">
        <v>0</v>
      </c>
      <c r="K54">
        <v>0</v>
      </c>
      <c r="L54">
        <v>0</v>
      </c>
      <c r="M54">
        <v>0</v>
      </c>
      <c r="N54">
        <v>0</v>
      </c>
      <c r="O54">
        <v>0</v>
      </c>
      <c r="P54">
        <v>0</v>
      </c>
      <c r="Q54" s="17">
        <v>0</v>
      </c>
      <c r="R54" s="17">
        <v>0</v>
      </c>
      <c r="S54" s="17">
        <v>0</v>
      </c>
      <c r="T54" s="17">
        <v>0</v>
      </c>
      <c r="U54" s="17">
        <v>0</v>
      </c>
      <c r="V54" s="17">
        <v>0</v>
      </c>
      <c r="W54" s="17">
        <v>0</v>
      </c>
      <c r="X54" s="17">
        <v>0</v>
      </c>
      <c r="Y54" s="17">
        <v>0</v>
      </c>
      <c r="Z54" s="17">
        <v>0</v>
      </c>
      <c r="AA54" s="17">
        <v>0</v>
      </c>
      <c r="AB54" s="17">
        <v>0</v>
      </c>
      <c r="AC54" s="17">
        <v>0</v>
      </c>
      <c r="AD54" s="17">
        <v>0</v>
      </c>
      <c r="AE54" s="17">
        <v>0</v>
      </c>
      <c r="AF54" s="17">
        <v>0</v>
      </c>
      <c r="AG54" s="17">
        <v>0</v>
      </c>
      <c r="AH54" s="17">
        <v>0</v>
      </c>
    </row>
    <row r="55" spans="1:34" x14ac:dyDescent="0.2">
      <c r="A55" s="28">
        <v>20001</v>
      </c>
      <c r="B55">
        <v>0</v>
      </c>
      <c r="C55">
        <v>0</v>
      </c>
      <c r="D55">
        <v>0</v>
      </c>
      <c r="E55">
        <v>0</v>
      </c>
      <c r="F55">
        <v>0</v>
      </c>
      <c r="G55">
        <v>0</v>
      </c>
      <c r="H55">
        <v>0</v>
      </c>
      <c r="I55">
        <v>0</v>
      </c>
      <c r="J55">
        <v>0</v>
      </c>
      <c r="K55">
        <v>0</v>
      </c>
      <c r="L55">
        <v>0</v>
      </c>
      <c r="M55">
        <v>0</v>
      </c>
      <c r="N55">
        <v>0</v>
      </c>
      <c r="O55">
        <v>0</v>
      </c>
      <c r="P55">
        <v>0</v>
      </c>
      <c r="Q55" s="17">
        <v>0</v>
      </c>
      <c r="R55" s="17">
        <v>0</v>
      </c>
      <c r="S55" s="17">
        <v>0</v>
      </c>
      <c r="T55" s="17">
        <v>0</v>
      </c>
      <c r="U55" s="17">
        <v>0</v>
      </c>
      <c r="V55" s="17">
        <v>0</v>
      </c>
      <c r="W55" s="17">
        <v>0</v>
      </c>
      <c r="X55" s="17">
        <v>0</v>
      </c>
      <c r="Y55" s="17">
        <v>0</v>
      </c>
      <c r="Z55" s="17">
        <v>0</v>
      </c>
      <c r="AA55" s="17">
        <v>0</v>
      </c>
      <c r="AB55" s="17">
        <v>0</v>
      </c>
      <c r="AC55" s="17">
        <v>0</v>
      </c>
      <c r="AD55" s="17">
        <v>0</v>
      </c>
      <c r="AE55" s="17">
        <v>0</v>
      </c>
      <c r="AF55" s="17">
        <v>0</v>
      </c>
      <c r="AG55" s="17">
        <v>0</v>
      </c>
      <c r="AH55" s="17">
        <v>0</v>
      </c>
    </row>
    <row r="56" spans="1:34" x14ac:dyDescent="0.2">
      <c r="A56" s="28">
        <v>20002</v>
      </c>
      <c r="B56">
        <v>2</v>
      </c>
      <c r="C56">
        <v>2</v>
      </c>
      <c r="D56">
        <v>1</v>
      </c>
      <c r="E56">
        <v>2</v>
      </c>
      <c r="F56">
        <v>3</v>
      </c>
      <c r="G56">
        <v>0</v>
      </c>
      <c r="H56">
        <v>0</v>
      </c>
      <c r="I56">
        <v>0</v>
      </c>
      <c r="J56">
        <v>0</v>
      </c>
      <c r="K56">
        <v>0</v>
      </c>
      <c r="L56">
        <v>0</v>
      </c>
      <c r="M56">
        <v>0</v>
      </c>
      <c r="N56">
        <v>0</v>
      </c>
      <c r="O56">
        <v>0</v>
      </c>
      <c r="P56">
        <v>0</v>
      </c>
      <c r="Q56" s="17">
        <v>0</v>
      </c>
      <c r="R56" s="17">
        <v>0</v>
      </c>
      <c r="S56" s="17">
        <v>0</v>
      </c>
      <c r="T56" s="17">
        <v>0</v>
      </c>
      <c r="U56" s="17">
        <v>0</v>
      </c>
      <c r="V56" s="17">
        <v>0</v>
      </c>
      <c r="W56" s="17">
        <v>0</v>
      </c>
      <c r="X56" s="17">
        <v>0</v>
      </c>
      <c r="Y56" s="17">
        <v>0</v>
      </c>
      <c r="Z56" s="17">
        <v>0</v>
      </c>
      <c r="AA56" s="17">
        <v>0</v>
      </c>
      <c r="AB56" s="17">
        <v>0</v>
      </c>
      <c r="AC56" s="17">
        <v>0</v>
      </c>
      <c r="AD56" s="17">
        <v>0</v>
      </c>
      <c r="AE56" s="17">
        <v>0</v>
      </c>
      <c r="AF56" s="17">
        <v>0</v>
      </c>
      <c r="AG56" s="17">
        <v>0</v>
      </c>
      <c r="AH56" s="17">
        <v>0</v>
      </c>
    </row>
    <row r="57" spans="1:34" x14ac:dyDescent="0.2">
      <c r="A57" s="28">
        <v>20003</v>
      </c>
      <c r="B57">
        <v>4</v>
      </c>
      <c r="C57">
        <v>3</v>
      </c>
      <c r="D57">
        <v>2</v>
      </c>
      <c r="E57">
        <v>2</v>
      </c>
      <c r="F57">
        <v>3</v>
      </c>
      <c r="G57">
        <v>1</v>
      </c>
      <c r="H57">
        <v>3</v>
      </c>
      <c r="I57">
        <v>0</v>
      </c>
      <c r="J57">
        <v>0</v>
      </c>
      <c r="K57">
        <v>0</v>
      </c>
      <c r="L57">
        <v>0</v>
      </c>
      <c r="M57">
        <v>0</v>
      </c>
      <c r="N57">
        <v>0</v>
      </c>
      <c r="O57">
        <v>0</v>
      </c>
      <c r="P57">
        <v>0</v>
      </c>
      <c r="Q57" s="17">
        <v>0</v>
      </c>
      <c r="R57" s="17">
        <v>0</v>
      </c>
      <c r="S57" s="17">
        <v>0</v>
      </c>
      <c r="T57" s="17">
        <v>0</v>
      </c>
      <c r="U57" s="17">
        <v>0</v>
      </c>
      <c r="V57" s="17">
        <v>0</v>
      </c>
      <c r="W57" s="17">
        <v>0</v>
      </c>
      <c r="X57" s="17">
        <v>0</v>
      </c>
      <c r="Y57" s="17">
        <v>0</v>
      </c>
      <c r="Z57" s="17">
        <v>0</v>
      </c>
      <c r="AA57" s="17">
        <v>0</v>
      </c>
      <c r="AB57" s="17">
        <v>0</v>
      </c>
      <c r="AC57" s="17">
        <v>0</v>
      </c>
      <c r="AD57" s="17">
        <v>0</v>
      </c>
      <c r="AE57" s="17">
        <v>0</v>
      </c>
      <c r="AF57" s="17">
        <v>0</v>
      </c>
      <c r="AG57" s="17">
        <v>0</v>
      </c>
      <c r="AH57" s="17">
        <v>0</v>
      </c>
    </row>
    <row r="58" spans="1:34" x14ac:dyDescent="0.2">
      <c r="A58" s="28">
        <v>20004</v>
      </c>
      <c r="B58">
        <v>1</v>
      </c>
      <c r="C58">
        <v>2</v>
      </c>
      <c r="D58">
        <v>1</v>
      </c>
      <c r="E58">
        <v>2</v>
      </c>
      <c r="F58">
        <v>2</v>
      </c>
      <c r="G58">
        <v>1</v>
      </c>
      <c r="H58">
        <v>1</v>
      </c>
      <c r="I58">
        <v>2</v>
      </c>
      <c r="J58">
        <v>0</v>
      </c>
      <c r="K58">
        <v>0</v>
      </c>
      <c r="L58">
        <v>0</v>
      </c>
      <c r="M58">
        <v>0</v>
      </c>
      <c r="N58">
        <v>0</v>
      </c>
      <c r="O58">
        <v>0</v>
      </c>
      <c r="P58">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row>
    <row r="59" spans="1:34" x14ac:dyDescent="0.2">
      <c r="A59" s="28">
        <v>20005</v>
      </c>
      <c r="B59">
        <v>1</v>
      </c>
      <c r="C59">
        <v>2</v>
      </c>
      <c r="D59">
        <v>1</v>
      </c>
      <c r="E59">
        <v>1</v>
      </c>
      <c r="F59">
        <v>1</v>
      </c>
      <c r="G59">
        <v>1</v>
      </c>
      <c r="H59">
        <v>1</v>
      </c>
      <c r="I59">
        <v>1</v>
      </c>
      <c r="J59">
        <v>1</v>
      </c>
      <c r="K59">
        <v>2</v>
      </c>
      <c r="L59">
        <v>1</v>
      </c>
      <c r="M59">
        <v>1</v>
      </c>
      <c r="N59">
        <v>0</v>
      </c>
      <c r="O59">
        <v>0</v>
      </c>
      <c r="P59">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row>
    <row r="60" spans="1:34" x14ac:dyDescent="0.2">
      <c r="A60" s="28">
        <v>20006</v>
      </c>
      <c r="B60">
        <v>3</v>
      </c>
      <c r="C60">
        <v>3</v>
      </c>
      <c r="D60">
        <v>1</v>
      </c>
      <c r="E60">
        <v>1</v>
      </c>
      <c r="F60">
        <v>1</v>
      </c>
      <c r="G60">
        <v>4</v>
      </c>
      <c r="H60">
        <v>0</v>
      </c>
      <c r="I60">
        <v>2</v>
      </c>
      <c r="J60">
        <v>0</v>
      </c>
      <c r="K60">
        <v>0</v>
      </c>
      <c r="L60">
        <v>0</v>
      </c>
      <c r="M60">
        <v>0</v>
      </c>
      <c r="N60">
        <v>0</v>
      </c>
      <c r="O60">
        <v>0</v>
      </c>
      <c r="P60">
        <v>0</v>
      </c>
      <c r="Q60" s="17">
        <v>0</v>
      </c>
      <c r="R60" s="17">
        <v>0</v>
      </c>
      <c r="S60" s="17">
        <v>0</v>
      </c>
      <c r="T60" s="17">
        <v>0</v>
      </c>
      <c r="U60" s="17">
        <v>0</v>
      </c>
      <c r="V60" s="17">
        <v>0</v>
      </c>
      <c r="W60" s="17">
        <v>0</v>
      </c>
      <c r="X60" s="17">
        <v>0</v>
      </c>
      <c r="Y60" s="17">
        <v>0</v>
      </c>
      <c r="Z60" s="17">
        <v>0</v>
      </c>
      <c r="AA60" s="17">
        <v>0</v>
      </c>
      <c r="AB60" s="17">
        <v>0</v>
      </c>
      <c r="AC60" s="17">
        <v>0</v>
      </c>
      <c r="AD60" s="17">
        <v>0</v>
      </c>
      <c r="AE60" s="17">
        <v>0</v>
      </c>
      <c r="AF60" s="17">
        <v>0</v>
      </c>
      <c r="AG60" s="17">
        <v>0</v>
      </c>
      <c r="AH60" s="17">
        <v>0</v>
      </c>
    </row>
    <row r="61" spans="1:34" x14ac:dyDescent="0.2">
      <c r="A61" s="28">
        <v>20007</v>
      </c>
      <c r="B61">
        <v>2</v>
      </c>
      <c r="C61">
        <v>2</v>
      </c>
      <c r="D61">
        <v>2</v>
      </c>
      <c r="E61">
        <v>2</v>
      </c>
      <c r="F61">
        <v>2</v>
      </c>
      <c r="G61">
        <v>2</v>
      </c>
      <c r="H61">
        <v>0</v>
      </c>
      <c r="I61">
        <v>0</v>
      </c>
      <c r="J61">
        <v>0</v>
      </c>
      <c r="K61">
        <v>0</v>
      </c>
      <c r="L61">
        <v>0</v>
      </c>
      <c r="M61">
        <v>0</v>
      </c>
      <c r="N61">
        <v>0</v>
      </c>
      <c r="O61">
        <v>0</v>
      </c>
      <c r="P61">
        <v>0</v>
      </c>
      <c r="Q61" s="17">
        <v>0</v>
      </c>
      <c r="R61" s="17">
        <v>0</v>
      </c>
      <c r="S61" s="17">
        <v>0</v>
      </c>
      <c r="T61" s="17">
        <v>0</v>
      </c>
      <c r="U61" s="17">
        <v>0</v>
      </c>
      <c r="V61" s="17">
        <v>0</v>
      </c>
      <c r="W61" s="17">
        <v>0</v>
      </c>
      <c r="X61" s="17">
        <v>0</v>
      </c>
      <c r="Y61" s="17">
        <v>0</v>
      </c>
      <c r="Z61" s="17">
        <v>0</v>
      </c>
      <c r="AA61" s="17">
        <v>0</v>
      </c>
      <c r="AB61" s="17">
        <v>0</v>
      </c>
      <c r="AC61" s="17">
        <v>0</v>
      </c>
      <c r="AD61" s="17">
        <v>0</v>
      </c>
      <c r="AE61" s="17">
        <v>0</v>
      </c>
      <c r="AF61" s="17">
        <v>0</v>
      </c>
      <c r="AG61" s="17">
        <v>0</v>
      </c>
      <c r="AH61" s="17">
        <v>0</v>
      </c>
    </row>
    <row r="62" spans="1:34" x14ac:dyDescent="0.2">
      <c r="A62" s="28">
        <v>20008</v>
      </c>
      <c r="B62">
        <v>2</v>
      </c>
      <c r="C62">
        <v>1</v>
      </c>
      <c r="D62">
        <v>4</v>
      </c>
      <c r="E62">
        <v>3</v>
      </c>
      <c r="F62">
        <v>1</v>
      </c>
      <c r="G62">
        <v>3</v>
      </c>
      <c r="H62">
        <v>2</v>
      </c>
      <c r="I62">
        <v>0</v>
      </c>
      <c r="J62">
        <v>0</v>
      </c>
      <c r="K62">
        <v>0</v>
      </c>
      <c r="L62">
        <v>0</v>
      </c>
      <c r="M62">
        <v>0</v>
      </c>
      <c r="N62">
        <v>0</v>
      </c>
      <c r="O62">
        <v>0</v>
      </c>
      <c r="P62">
        <v>0</v>
      </c>
      <c r="Q62" s="17">
        <v>0</v>
      </c>
      <c r="R62" s="17">
        <v>0</v>
      </c>
      <c r="S62" s="17">
        <v>0</v>
      </c>
      <c r="T62" s="17">
        <v>0</v>
      </c>
      <c r="U62" s="17">
        <v>0</v>
      </c>
      <c r="V62" s="17">
        <v>0</v>
      </c>
      <c r="W62" s="17">
        <v>0</v>
      </c>
      <c r="X62" s="17">
        <v>0</v>
      </c>
      <c r="Y62" s="17">
        <v>0</v>
      </c>
      <c r="Z62" s="17">
        <v>0</v>
      </c>
      <c r="AA62" s="17">
        <v>0</v>
      </c>
      <c r="AB62" s="17">
        <v>0</v>
      </c>
      <c r="AC62" s="17">
        <v>0</v>
      </c>
      <c r="AD62" s="17">
        <v>0</v>
      </c>
      <c r="AE62" s="17">
        <v>0</v>
      </c>
      <c r="AF62" s="17">
        <v>0</v>
      </c>
      <c r="AG62" s="17">
        <v>0</v>
      </c>
      <c r="AH62" s="17">
        <v>0</v>
      </c>
    </row>
    <row r="63" spans="1:34" x14ac:dyDescent="0.2">
      <c r="A63" s="28">
        <v>20009</v>
      </c>
      <c r="B63">
        <v>0</v>
      </c>
      <c r="C63">
        <v>0</v>
      </c>
      <c r="D63">
        <v>0</v>
      </c>
      <c r="E63">
        <v>0</v>
      </c>
      <c r="F63">
        <v>0</v>
      </c>
      <c r="G63">
        <v>0</v>
      </c>
      <c r="H63">
        <v>2</v>
      </c>
      <c r="I63">
        <v>1</v>
      </c>
      <c r="J63">
        <v>0</v>
      </c>
      <c r="K63">
        <v>0</v>
      </c>
      <c r="L63">
        <v>0</v>
      </c>
      <c r="M63">
        <v>0</v>
      </c>
      <c r="N63">
        <v>0</v>
      </c>
      <c r="O63">
        <v>0</v>
      </c>
      <c r="P63">
        <v>0</v>
      </c>
      <c r="Q63" s="17">
        <v>0</v>
      </c>
      <c r="R63" s="17">
        <v>0</v>
      </c>
      <c r="S63" s="17">
        <v>0</v>
      </c>
      <c r="T63" s="17">
        <v>0</v>
      </c>
      <c r="U63" s="17">
        <v>0</v>
      </c>
      <c r="V63" s="17">
        <v>0</v>
      </c>
      <c r="W63" s="17">
        <v>0</v>
      </c>
      <c r="X63" s="17">
        <v>0</v>
      </c>
      <c r="Y63" s="17">
        <v>0</v>
      </c>
      <c r="Z63" s="17">
        <v>0</v>
      </c>
      <c r="AA63" s="17">
        <v>0</v>
      </c>
      <c r="AB63" s="17">
        <v>0</v>
      </c>
      <c r="AC63" s="17">
        <v>0</v>
      </c>
      <c r="AD63" s="17">
        <v>0</v>
      </c>
      <c r="AE63" s="17">
        <v>0</v>
      </c>
      <c r="AF63" s="17">
        <v>0</v>
      </c>
      <c r="AG63" s="17">
        <v>0</v>
      </c>
      <c r="AH63" s="17">
        <v>0</v>
      </c>
    </row>
    <row r="64" spans="1:34" x14ac:dyDescent="0.2">
      <c r="A64" s="28">
        <v>21001</v>
      </c>
      <c r="B64">
        <v>1</v>
      </c>
      <c r="C64">
        <v>2</v>
      </c>
      <c r="D64">
        <v>3</v>
      </c>
      <c r="E64">
        <v>1</v>
      </c>
      <c r="F64">
        <v>3</v>
      </c>
      <c r="G64">
        <v>2</v>
      </c>
      <c r="H64">
        <v>3</v>
      </c>
      <c r="I64">
        <v>0</v>
      </c>
      <c r="J64">
        <v>0</v>
      </c>
      <c r="K64">
        <v>0</v>
      </c>
      <c r="L64">
        <v>0</v>
      </c>
      <c r="M64">
        <v>0</v>
      </c>
      <c r="N64">
        <v>0</v>
      </c>
      <c r="O64">
        <v>0</v>
      </c>
      <c r="P64">
        <v>0</v>
      </c>
      <c r="Q64" s="17">
        <v>0</v>
      </c>
      <c r="R64" s="17">
        <v>0</v>
      </c>
      <c r="S64" s="17">
        <v>0</v>
      </c>
      <c r="T64" s="17">
        <v>0</v>
      </c>
      <c r="U64" s="17">
        <v>0</v>
      </c>
      <c r="V64" s="17">
        <v>0</v>
      </c>
      <c r="W64" s="17">
        <v>0</v>
      </c>
      <c r="X64" s="17">
        <v>0</v>
      </c>
      <c r="Y64" s="17">
        <v>0</v>
      </c>
      <c r="Z64" s="17">
        <v>0</v>
      </c>
      <c r="AA64" s="17">
        <v>0</v>
      </c>
      <c r="AB64" s="17">
        <v>0</v>
      </c>
      <c r="AC64" s="17">
        <v>0</v>
      </c>
      <c r="AD64" s="17">
        <v>0</v>
      </c>
      <c r="AE64" s="17">
        <v>0</v>
      </c>
      <c r="AF64" s="17">
        <v>0</v>
      </c>
      <c r="AG64" s="17">
        <v>0</v>
      </c>
      <c r="AH64" s="17">
        <v>0</v>
      </c>
    </row>
    <row r="65" spans="1:34" x14ac:dyDescent="0.2">
      <c r="A65" s="28">
        <v>21002</v>
      </c>
      <c r="B65">
        <v>2</v>
      </c>
      <c r="C65">
        <v>2</v>
      </c>
      <c r="D65">
        <v>1</v>
      </c>
      <c r="E65">
        <v>1</v>
      </c>
      <c r="F65">
        <v>1</v>
      </c>
      <c r="G65">
        <v>1</v>
      </c>
      <c r="H65">
        <v>0</v>
      </c>
      <c r="I65">
        <v>0</v>
      </c>
      <c r="J65">
        <v>0</v>
      </c>
      <c r="K65">
        <v>0</v>
      </c>
      <c r="L65">
        <v>0</v>
      </c>
      <c r="M65">
        <v>0</v>
      </c>
      <c r="N65">
        <v>0</v>
      </c>
      <c r="O65">
        <v>0</v>
      </c>
      <c r="P65">
        <v>0</v>
      </c>
      <c r="Q65" s="17">
        <v>0</v>
      </c>
      <c r="R65" s="17">
        <v>0</v>
      </c>
      <c r="S65" s="17">
        <v>0</v>
      </c>
      <c r="T65" s="17">
        <v>0</v>
      </c>
      <c r="U65" s="17">
        <v>0</v>
      </c>
      <c r="V65" s="17">
        <v>0</v>
      </c>
      <c r="W65" s="17">
        <v>0</v>
      </c>
      <c r="X65" s="17">
        <v>0</v>
      </c>
      <c r="Y65" s="17">
        <v>0</v>
      </c>
      <c r="Z65" s="17">
        <v>0</v>
      </c>
      <c r="AA65" s="17">
        <v>0</v>
      </c>
      <c r="AB65" s="17">
        <v>0</v>
      </c>
      <c r="AC65" s="17">
        <v>0</v>
      </c>
      <c r="AD65" s="17">
        <v>0</v>
      </c>
      <c r="AE65" s="17">
        <v>0</v>
      </c>
      <c r="AF65" s="17">
        <v>0</v>
      </c>
      <c r="AG65" s="17">
        <v>0</v>
      </c>
      <c r="AH65" s="17">
        <v>0</v>
      </c>
    </row>
    <row r="66" spans="1:34" x14ac:dyDescent="0.2">
      <c r="A66" s="28">
        <v>21003</v>
      </c>
      <c r="B66">
        <v>2</v>
      </c>
      <c r="C66">
        <v>1</v>
      </c>
      <c r="D66">
        <v>2</v>
      </c>
      <c r="E66">
        <v>1</v>
      </c>
      <c r="F66">
        <v>1</v>
      </c>
      <c r="G66">
        <v>2</v>
      </c>
      <c r="H66">
        <v>2</v>
      </c>
      <c r="I66">
        <v>0</v>
      </c>
      <c r="J66">
        <v>1</v>
      </c>
      <c r="K66">
        <v>0</v>
      </c>
      <c r="L66">
        <v>0</v>
      </c>
      <c r="M66">
        <v>0</v>
      </c>
      <c r="N66">
        <v>0</v>
      </c>
      <c r="O66">
        <v>0</v>
      </c>
      <c r="P66">
        <v>0</v>
      </c>
      <c r="Q66" s="17">
        <v>0</v>
      </c>
      <c r="R66" s="17">
        <v>0</v>
      </c>
      <c r="S66" s="17">
        <v>0</v>
      </c>
      <c r="T66" s="17">
        <v>0</v>
      </c>
      <c r="U66" s="17">
        <v>0</v>
      </c>
      <c r="V66" s="17">
        <v>0</v>
      </c>
      <c r="W66" s="17">
        <v>0</v>
      </c>
      <c r="X66" s="17">
        <v>0</v>
      </c>
      <c r="Y66" s="17">
        <v>0</v>
      </c>
      <c r="Z66" s="17">
        <v>0</v>
      </c>
      <c r="AA66" s="17">
        <v>0</v>
      </c>
      <c r="AB66" s="17">
        <v>0</v>
      </c>
      <c r="AC66" s="17">
        <v>0</v>
      </c>
      <c r="AD66" s="17">
        <v>0</v>
      </c>
      <c r="AE66" s="17">
        <v>0</v>
      </c>
      <c r="AF66" s="17">
        <v>0</v>
      </c>
      <c r="AG66" s="17">
        <v>0</v>
      </c>
      <c r="AH66" s="17">
        <v>0</v>
      </c>
    </row>
    <row r="67" spans="1:34" x14ac:dyDescent="0.2">
      <c r="A67" s="28">
        <v>21004</v>
      </c>
      <c r="B67">
        <v>1</v>
      </c>
      <c r="C67">
        <v>3</v>
      </c>
      <c r="D67">
        <v>6</v>
      </c>
      <c r="E67">
        <v>5</v>
      </c>
      <c r="F67">
        <v>2</v>
      </c>
      <c r="G67">
        <v>2</v>
      </c>
      <c r="H67">
        <v>2</v>
      </c>
      <c r="I67">
        <v>0</v>
      </c>
      <c r="J67">
        <v>0</v>
      </c>
      <c r="K67">
        <v>0</v>
      </c>
      <c r="L67">
        <v>0</v>
      </c>
      <c r="M67">
        <v>0</v>
      </c>
      <c r="N67">
        <v>0</v>
      </c>
      <c r="O67">
        <v>0</v>
      </c>
      <c r="P67">
        <v>0</v>
      </c>
      <c r="Q67" s="17">
        <v>0</v>
      </c>
      <c r="R67" s="17">
        <v>0</v>
      </c>
      <c r="S67" s="17">
        <v>0</v>
      </c>
      <c r="T67" s="17">
        <v>0</v>
      </c>
      <c r="U67" s="17">
        <v>0</v>
      </c>
      <c r="V67" s="17">
        <v>0</v>
      </c>
      <c r="W67" s="17">
        <v>0</v>
      </c>
      <c r="X67" s="17">
        <v>0</v>
      </c>
      <c r="Y67" s="17">
        <v>0</v>
      </c>
      <c r="Z67" s="17">
        <v>0</v>
      </c>
      <c r="AA67" s="17">
        <v>0</v>
      </c>
      <c r="AB67" s="17">
        <v>0</v>
      </c>
      <c r="AC67" s="17">
        <v>0</v>
      </c>
      <c r="AD67" s="17">
        <v>0</v>
      </c>
      <c r="AE67" s="17">
        <v>0</v>
      </c>
      <c r="AF67" s="17">
        <v>0</v>
      </c>
      <c r="AG67" s="17">
        <v>0</v>
      </c>
      <c r="AH67" s="17">
        <v>0</v>
      </c>
    </row>
    <row r="68" spans="1:34" x14ac:dyDescent="0.2">
      <c r="A68" s="28">
        <v>21005</v>
      </c>
      <c r="B68">
        <v>3</v>
      </c>
      <c r="C68">
        <v>1</v>
      </c>
      <c r="D68">
        <v>1</v>
      </c>
      <c r="E68">
        <v>1</v>
      </c>
      <c r="F68">
        <v>1</v>
      </c>
      <c r="G68">
        <v>1</v>
      </c>
      <c r="H68">
        <v>3</v>
      </c>
      <c r="I68">
        <v>3</v>
      </c>
      <c r="J68">
        <v>2</v>
      </c>
      <c r="K68">
        <v>0</v>
      </c>
      <c r="L68">
        <v>2</v>
      </c>
      <c r="M68">
        <v>2</v>
      </c>
      <c r="N68">
        <v>1</v>
      </c>
      <c r="O68">
        <v>1</v>
      </c>
      <c r="P68">
        <v>0</v>
      </c>
      <c r="Q68" s="17">
        <v>0</v>
      </c>
      <c r="R68" s="17">
        <v>0</v>
      </c>
      <c r="S68" s="17">
        <v>0</v>
      </c>
      <c r="T68" s="17">
        <v>0</v>
      </c>
      <c r="U68" s="17">
        <v>0</v>
      </c>
      <c r="V68" s="17">
        <v>0</v>
      </c>
      <c r="W68" s="17">
        <v>0</v>
      </c>
      <c r="X68" s="17">
        <v>0</v>
      </c>
      <c r="Y68" s="17">
        <v>0</v>
      </c>
      <c r="Z68" s="17">
        <v>0</v>
      </c>
      <c r="AA68" s="17">
        <v>0</v>
      </c>
      <c r="AB68" s="17">
        <v>0</v>
      </c>
      <c r="AC68" s="17">
        <v>0</v>
      </c>
      <c r="AD68" s="17">
        <v>0</v>
      </c>
      <c r="AE68" s="17">
        <v>0</v>
      </c>
      <c r="AF68" s="17">
        <v>0</v>
      </c>
      <c r="AG68" s="17">
        <v>0</v>
      </c>
      <c r="AH68" s="17">
        <v>0</v>
      </c>
    </row>
    <row r="69" spans="1:34" x14ac:dyDescent="0.2">
      <c r="A69" s="28">
        <v>21006</v>
      </c>
      <c r="B69">
        <v>0</v>
      </c>
      <c r="C69">
        <v>0</v>
      </c>
      <c r="D69">
        <v>2</v>
      </c>
      <c r="E69">
        <v>1</v>
      </c>
      <c r="F69">
        <v>3</v>
      </c>
      <c r="G69">
        <v>1</v>
      </c>
      <c r="H69">
        <v>1</v>
      </c>
      <c r="I69">
        <v>0</v>
      </c>
      <c r="J69">
        <v>0</v>
      </c>
      <c r="K69">
        <v>0</v>
      </c>
      <c r="L69">
        <v>0</v>
      </c>
      <c r="M69">
        <v>0</v>
      </c>
      <c r="N69">
        <v>0</v>
      </c>
      <c r="O69">
        <v>0</v>
      </c>
      <c r="P69">
        <v>0</v>
      </c>
      <c r="Q69" s="17">
        <v>0</v>
      </c>
      <c r="R69" s="17">
        <v>0</v>
      </c>
      <c r="S69" s="17">
        <v>0</v>
      </c>
      <c r="T69" s="17">
        <v>0</v>
      </c>
      <c r="U69" s="17">
        <v>0</v>
      </c>
      <c r="V69" s="17">
        <v>0</v>
      </c>
      <c r="W69" s="17">
        <v>0</v>
      </c>
      <c r="X69" s="17">
        <v>0</v>
      </c>
      <c r="Y69" s="17">
        <v>0</v>
      </c>
      <c r="Z69" s="17">
        <v>0</v>
      </c>
      <c r="AA69" s="17">
        <v>0</v>
      </c>
      <c r="AB69" s="17">
        <v>0</v>
      </c>
      <c r="AC69" s="17">
        <v>0</v>
      </c>
      <c r="AD69" s="17">
        <v>0</v>
      </c>
      <c r="AE69" s="17">
        <v>0</v>
      </c>
      <c r="AF69" s="17">
        <v>0</v>
      </c>
      <c r="AG69" s="17">
        <v>0</v>
      </c>
      <c r="AH69" s="17">
        <v>0</v>
      </c>
    </row>
    <row r="70" spans="1:34" x14ac:dyDescent="0.2">
      <c r="A70" s="28">
        <v>21007</v>
      </c>
      <c r="B70">
        <v>2</v>
      </c>
      <c r="C70">
        <v>2</v>
      </c>
      <c r="D70">
        <v>2</v>
      </c>
      <c r="E70">
        <v>1</v>
      </c>
      <c r="F70">
        <v>1</v>
      </c>
      <c r="G70">
        <v>0</v>
      </c>
      <c r="H70">
        <v>0</v>
      </c>
      <c r="I70">
        <v>0</v>
      </c>
      <c r="J70">
        <v>0</v>
      </c>
      <c r="K70">
        <v>0</v>
      </c>
      <c r="L70">
        <v>0</v>
      </c>
      <c r="M70">
        <v>0</v>
      </c>
      <c r="N70">
        <v>0</v>
      </c>
      <c r="O70">
        <v>0</v>
      </c>
      <c r="P70">
        <v>0</v>
      </c>
      <c r="Q70" s="17">
        <v>0</v>
      </c>
      <c r="R70" s="17">
        <v>0</v>
      </c>
      <c r="S70" s="17">
        <v>0</v>
      </c>
      <c r="T70" s="17">
        <v>0</v>
      </c>
      <c r="U70" s="17">
        <v>0</v>
      </c>
      <c r="V70" s="17">
        <v>0</v>
      </c>
      <c r="W70" s="17">
        <v>0</v>
      </c>
      <c r="X70" s="17">
        <v>0</v>
      </c>
      <c r="Y70" s="17">
        <v>0</v>
      </c>
      <c r="Z70" s="17">
        <v>0</v>
      </c>
      <c r="AA70" s="17">
        <v>0</v>
      </c>
      <c r="AB70" s="17">
        <v>0</v>
      </c>
      <c r="AC70" s="17">
        <v>0</v>
      </c>
      <c r="AD70" s="17">
        <v>0</v>
      </c>
      <c r="AE70" s="17">
        <v>0</v>
      </c>
      <c r="AF70" s="17">
        <v>0</v>
      </c>
      <c r="AG70" s="17">
        <v>0</v>
      </c>
      <c r="AH70" s="17">
        <v>0</v>
      </c>
    </row>
    <row r="71" spans="1:34" x14ac:dyDescent="0.2">
      <c r="A71" s="28">
        <v>21008</v>
      </c>
      <c r="B71">
        <v>1</v>
      </c>
      <c r="C71">
        <v>2</v>
      </c>
      <c r="D71">
        <v>2</v>
      </c>
      <c r="E71">
        <v>1</v>
      </c>
      <c r="F71">
        <v>2</v>
      </c>
      <c r="G71">
        <v>2</v>
      </c>
      <c r="H71">
        <v>1</v>
      </c>
      <c r="I71">
        <v>0</v>
      </c>
      <c r="J71">
        <v>0</v>
      </c>
      <c r="K71">
        <v>0</v>
      </c>
      <c r="L71">
        <v>0</v>
      </c>
      <c r="M71">
        <v>0</v>
      </c>
      <c r="N71">
        <v>0</v>
      </c>
      <c r="O71">
        <v>0</v>
      </c>
      <c r="P71">
        <v>0</v>
      </c>
      <c r="Q71" s="17">
        <v>0</v>
      </c>
      <c r="R71" s="17">
        <v>0</v>
      </c>
      <c r="S71" s="17">
        <v>0</v>
      </c>
      <c r="T71" s="17">
        <v>0</v>
      </c>
      <c r="U71" s="17">
        <v>0</v>
      </c>
      <c r="V71" s="17">
        <v>0</v>
      </c>
      <c r="W71" s="17">
        <v>0</v>
      </c>
      <c r="X71" s="17">
        <v>0</v>
      </c>
      <c r="Y71" s="17">
        <v>0</v>
      </c>
      <c r="Z71" s="17">
        <v>0</v>
      </c>
      <c r="AA71" s="17">
        <v>0</v>
      </c>
      <c r="AB71" s="17">
        <v>0</v>
      </c>
      <c r="AC71" s="17">
        <v>0</v>
      </c>
      <c r="AD71" s="17">
        <v>0</v>
      </c>
      <c r="AE71" s="17">
        <v>0</v>
      </c>
      <c r="AF71" s="17">
        <v>0</v>
      </c>
      <c r="AG71" s="17">
        <v>0</v>
      </c>
      <c r="AH71" s="17">
        <v>0</v>
      </c>
    </row>
    <row r="72" spans="1:34" x14ac:dyDescent="0.2">
      <c r="A72" s="28">
        <v>22001</v>
      </c>
      <c r="B72">
        <v>2</v>
      </c>
      <c r="C72">
        <v>2</v>
      </c>
      <c r="D72">
        <v>2</v>
      </c>
      <c r="E72">
        <v>3</v>
      </c>
      <c r="F72">
        <v>4</v>
      </c>
      <c r="G72">
        <v>3</v>
      </c>
      <c r="H72">
        <v>4</v>
      </c>
      <c r="I72">
        <v>4</v>
      </c>
      <c r="J72">
        <v>0</v>
      </c>
      <c r="K72">
        <v>0</v>
      </c>
      <c r="L72">
        <v>0</v>
      </c>
      <c r="M72">
        <v>0</v>
      </c>
      <c r="N72">
        <v>0</v>
      </c>
      <c r="O72">
        <v>0</v>
      </c>
      <c r="P72">
        <v>0</v>
      </c>
      <c r="Q72" s="17">
        <v>0</v>
      </c>
      <c r="R72" s="17">
        <v>0</v>
      </c>
      <c r="S72" s="17">
        <v>0</v>
      </c>
      <c r="T72" s="17">
        <v>0</v>
      </c>
      <c r="U72" s="17">
        <v>0</v>
      </c>
      <c r="V72" s="17">
        <v>0</v>
      </c>
      <c r="W72" s="17">
        <v>0</v>
      </c>
      <c r="X72" s="17">
        <v>0</v>
      </c>
      <c r="Y72" s="17">
        <v>0</v>
      </c>
      <c r="Z72" s="17">
        <v>0</v>
      </c>
      <c r="AA72" s="17">
        <v>0</v>
      </c>
      <c r="AB72" s="17">
        <v>0</v>
      </c>
      <c r="AC72" s="17">
        <v>0</v>
      </c>
      <c r="AD72" s="17">
        <v>0</v>
      </c>
      <c r="AE72" s="17">
        <v>0</v>
      </c>
      <c r="AF72" s="17">
        <v>0</v>
      </c>
      <c r="AG72" s="17">
        <v>0</v>
      </c>
      <c r="AH72" s="17">
        <v>0</v>
      </c>
    </row>
    <row r="73" spans="1:34" x14ac:dyDescent="0.2">
      <c r="A73" s="28">
        <v>22002</v>
      </c>
      <c r="B73">
        <v>3</v>
      </c>
      <c r="C73">
        <v>5</v>
      </c>
      <c r="D73">
        <v>5</v>
      </c>
      <c r="E73">
        <v>5</v>
      </c>
      <c r="F73">
        <v>5</v>
      </c>
      <c r="G73">
        <v>5</v>
      </c>
      <c r="H73">
        <v>4</v>
      </c>
      <c r="I73">
        <v>2</v>
      </c>
      <c r="J73">
        <v>3</v>
      </c>
      <c r="K73">
        <v>0</v>
      </c>
      <c r="L73">
        <v>0</v>
      </c>
      <c r="M73">
        <v>0</v>
      </c>
      <c r="N73">
        <v>0</v>
      </c>
      <c r="O73">
        <v>0</v>
      </c>
      <c r="P73">
        <v>0</v>
      </c>
      <c r="Q73" s="17">
        <v>0</v>
      </c>
      <c r="R73" s="17">
        <v>0</v>
      </c>
      <c r="S73" s="17">
        <v>0</v>
      </c>
      <c r="T73" s="17">
        <v>0</v>
      </c>
      <c r="U73" s="17">
        <v>0</v>
      </c>
      <c r="V73" s="17">
        <v>0</v>
      </c>
      <c r="W73" s="17">
        <v>0</v>
      </c>
      <c r="X73" s="17">
        <v>0</v>
      </c>
      <c r="Y73" s="17">
        <v>0</v>
      </c>
      <c r="Z73" s="17">
        <v>0</v>
      </c>
      <c r="AA73" s="17">
        <v>0</v>
      </c>
      <c r="AB73" s="17">
        <v>0</v>
      </c>
      <c r="AC73" s="17">
        <v>0</v>
      </c>
      <c r="AD73" s="17">
        <v>0</v>
      </c>
      <c r="AE73" s="17">
        <v>0</v>
      </c>
      <c r="AF73" s="17">
        <v>0</v>
      </c>
      <c r="AG73" s="17">
        <v>0</v>
      </c>
      <c r="AH73" s="17">
        <v>0</v>
      </c>
    </row>
    <row r="74" spans="1:34" x14ac:dyDescent="0.2">
      <c r="A74" s="28">
        <v>22003</v>
      </c>
      <c r="B74">
        <v>2</v>
      </c>
      <c r="C74">
        <v>7</v>
      </c>
      <c r="D74">
        <v>7</v>
      </c>
      <c r="E74">
        <v>6</v>
      </c>
      <c r="F74">
        <v>5</v>
      </c>
      <c r="G74">
        <v>6</v>
      </c>
      <c r="H74">
        <v>5</v>
      </c>
      <c r="I74">
        <v>3</v>
      </c>
      <c r="J74">
        <v>0</v>
      </c>
      <c r="K74">
        <v>0</v>
      </c>
      <c r="L74">
        <v>0</v>
      </c>
      <c r="M74">
        <v>0</v>
      </c>
      <c r="N74">
        <v>0</v>
      </c>
      <c r="O74">
        <v>0</v>
      </c>
      <c r="P74">
        <v>0</v>
      </c>
      <c r="Q74" s="17">
        <v>0</v>
      </c>
      <c r="R74" s="17">
        <v>0</v>
      </c>
      <c r="S74" s="17">
        <v>0</v>
      </c>
      <c r="T74" s="17">
        <v>0</v>
      </c>
      <c r="U74" s="17">
        <v>0</v>
      </c>
      <c r="V74" s="17">
        <v>0</v>
      </c>
      <c r="W74" s="17">
        <v>0</v>
      </c>
      <c r="X74" s="17">
        <v>0</v>
      </c>
      <c r="Y74" s="17">
        <v>0</v>
      </c>
      <c r="Z74" s="17">
        <v>0</v>
      </c>
      <c r="AA74" s="17">
        <v>0</v>
      </c>
      <c r="AB74" s="17">
        <v>0</v>
      </c>
      <c r="AC74" s="17">
        <v>0</v>
      </c>
      <c r="AD74" s="17">
        <v>0</v>
      </c>
      <c r="AE74" s="17">
        <v>0</v>
      </c>
      <c r="AF74" s="17">
        <v>0</v>
      </c>
      <c r="AG74" s="17">
        <v>0</v>
      </c>
      <c r="AH74" s="17">
        <v>0</v>
      </c>
    </row>
    <row r="75" spans="1:34" x14ac:dyDescent="0.2">
      <c r="A75" s="28">
        <v>22004</v>
      </c>
      <c r="B75">
        <v>3</v>
      </c>
      <c r="C75">
        <v>2</v>
      </c>
      <c r="D75">
        <v>2</v>
      </c>
      <c r="E75">
        <v>2</v>
      </c>
      <c r="F75">
        <v>3</v>
      </c>
      <c r="G75">
        <v>2</v>
      </c>
      <c r="H75">
        <v>2</v>
      </c>
      <c r="I75">
        <v>2</v>
      </c>
      <c r="J75">
        <v>2</v>
      </c>
      <c r="K75">
        <v>0</v>
      </c>
      <c r="L75">
        <v>0</v>
      </c>
      <c r="M75">
        <v>0</v>
      </c>
      <c r="N75">
        <v>0</v>
      </c>
      <c r="O75">
        <v>0</v>
      </c>
      <c r="P75">
        <v>0</v>
      </c>
      <c r="Q75" s="17">
        <v>0</v>
      </c>
      <c r="R75" s="17">
        <v>0</v>
      </c>
      <c r="S75" s="17">
        <v>0</v>
      </c>
      <c r="T75" s="17">
        <v>0</v>
      </c>
      <c r="U75" s="17">
        <v>0</v>
      </c>
      <c r="V75" s="17">
        <v>0</v>
      </c>
      <c r="W75" s="17">
        <v>0</v>
      </c>
      <c r="X75" s="17">
        <v>0</v>
      </c>
      <c r="Y75" s="17">
        <v>0</v>
      </c>
      <c r="Z75" s="17">
        <v>0</v>
      </c>
      <c r="AA75" s="17">
        <v>0</v>
      </c>
      <c r="AB75" s="17">
        <v>0</v>
      </c>
      <c r="AC75" s="17">
        <v>0</v>
      </c>
      <c r="AD75" s="17">
        <v>0</v>
      </c>
      <c r="AE75" s="17">
        <v>0</v>
      </c>
      <c r="AF75" s="17">
        <v>0</v>
      </c>
      <c r="AG75" s="17">
        <v>0</v>
      </c>
      <c r="AH75" s="17">
        <v>0</v>
      </c>
    </row>
    <row r="76" spans="1:34" x14ac:dyDescent="0.2">
      <c r="A76" s="28">
        <v>22005</v>
      </c>
      <c r="B76">
        <v>2</v>
      </c>
      <c r="C76">
        <v>2</v>
      </c>
      <c r="D76">
        <v>2</v>
      </c>
      <c r="E76">
        <v>2</v>
      </c>
      <c r="F76">
        <v>2</v>
      </c>
      <c r="G76">
        <v>2</v>
      </c>
      <c r="H76">
        <v>1</v>
      </c>
      <c r="I76">
        <v>1</v>
      </c>
      <c r="J76">
        <v>0</v>
      </c>
      <c r="K76">
        <v>0</v>
      </c>
      <c r="L76">
        <v>0</v>
      </c>
      <c r="M76">
        <v>0</v>
      </c>
      <c r="N76">
        <v>0</v>
      </c>
      <c r="O76">
        <v>0</v>
      </c>
      <c r="P76">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row>
    <row r="77" spans="1:34" x14ac:dyDescent="0.2">
      <c r="A77" s="28">
        <v>22006</v>
      </c>
      <c r="B77">
        <v>3</v>
      </c>
      <c r="C77">
        <v>5</v>
      </c>
      <c r="D77">
        <v>5</v>
      </c>
      <c r="E77">
        <v>5</v>
      </c>
      <c r="F77">
        <v>1</v>
      </c>
      <c r="G77">
        <v>2</v>
      </c>
      <c r="H77">
        <v>1</v>
      </c>
      <c r="I77">
        <v>1</v>
      </c>
      <c r="J77">
        <v>2</v>
      </c>
      <c r="K77">
        <v>0</v>
      </c>
      <c r="L77">
        <v>0</v>
      </c>
      <c r="M77">
        <v>0</v>
      </c>
      <c r="N77">
        <v>0</v>
      </c>
      <c r="O77">
        <v>0</v>
      </c>
      <c r="P77">
        <v>0</v>
      </c>
      <c r="Q77" s="17">
        <v>0</v>
      </c>
      <c r="R77" s="17">
        <v>0</v>
      </c>
      <c r="S77" s="17">
        <v>0</v>
      </c>
      <c r="T77" s="17">
        <v>0</v>
      </c>
      <c r="U77" s="17">
        <v>0</v>
      </c>
      <c r="V77" s="17">
        <v>0</v>
      </c>
      <c r="W77" s="17">
        <v>0</v>
      </c>
      <c r="X77" s="17">
        <v>0</v>
      </c>
      <c r="Y77" s="17">
        <v>0</v>
      </c>
      <c r="Z77" s="17">
        <v>0</v>
      </c>
      <c r="AA77" s="17">
        <v>0</v>
      </c>
      <c r="AB77" s="17">
        <v>0</v>
      </c>
      <c r="AC77" s="17">
        <v>0</v>
      </c>
      <c r="AD77" s="17">
        <v>0</v>
      </c>
      <c r="AE77" s="17">
        <v>0</v>
      </c>
      <c r="AF77" s="17">
        <v>0</v>
      </c>
      <c r="AG77" s="17">
        <v>0</v>
      </c>
      <c r="AH77" s="17">
        <v>0</v>
      </c>
    </row>
    <row r="78" spans="1:34" x14ac:dyDescent="0.2">
      <c r="A78" s="28">
        <v>22007</v>
      </c>
      <c r="B78">
        <v>1</v>
      </c>
      <c r="C78">
        <v>2</v>
      </c>
      <c r="D78">
        <v>1</v>
      </c>
      <c r="E78">
        <v>2</v>
      </c>
      <c r="F78">
        <v>1</v>
      </c>
      <c r="G78">
        <v>2</v>
      </c>
      <c r="H78">
        <v>2</v>
      </c>
      <c r="I78">
        <v>0</v>
      </c>
      <c r="J78">
        <v>0</v>
      </c>
      <c r="K78">
        <v>0</v>
      </c>
      <c r="L78">
        <v>0</v>
      </c>
      <c r="M78">
        <v>0</v>
      </c>
      <c r="N78">
        <v>0</v>
      </c>
      <c r="O78">
        <v>0</v>
      </c>
      <c r="P78">
        <v>0</v>
      </c>
      <c r="Q78" s="17">
        <v>0</v>
      </c>
      <c r="R78" s="17">
        <v>0</v>
      </c>
      <c r="S78" s="17">
        <v>0</v>
      </c>
      <c r="T78" s="17">
        <v>0</v>
      </c>
      <c r="U78" s="17">
        <v>0</v>
      </c>
      <c r="V78" s="17">
        <v>0</v>
      </c>
      <c r="W78" s="17">
        <v>0</v>
      </c>
      <c r="X78" s="17">
        <v>0</v>
      </c>
      <c r="Y78" s="17">
        <v>0</v>
      </c>
      <c r="Z78" s="17">
        <v>0</v>
      </c>
      <c r="AA78" s="17">
        <v>0</v>
      </c>
      <c r="AB78" s="17">
        <v>0</v>
      </c>
      <c r="AC78" s="17">
        <v>0</v>
      </c>
      <c r="AD78" s="17">
        <v>0</v>
      </c>
      <c r="AE78" s="17">
        <v>0</v>
      </c>
      <c r="AF78" s="17">
        <v>0</v>
      </c>
      <c r="AG78" s="17">
        <v>0</v>
      </c>
      <c r="AH78" s="17">
        <v>0</v>
      </c>
    </row>
    <row r="79" spans="1:34" x14ac:dyDescent="0.2">
      <c r="A79" s="28">
        <v>22008</v>
      </c>
      <c r="B79">
        <v>3</v>
      </c>
      <c r="C79">
        <v>3</v>
      </c>
      <c r="D79">
        <v>5</v>
      </c>
      <c r="E79">
        <v>6</v>
      </c>
      <c r="F79">
        <v>5</v>
      </c>
      <c r="G79">
        <v>2</v>
      </c>
      <c r="H79">
        <v>3</v>
      </c>
      <c r="I79">
        <v>2</v>
      </c>
      <c r="J79">
        <v>0</v>
      </c>
      <c r="K79">
        <v>0</v>
      </c>
      <c r="L79">
        <v>0</v>
      </c>
      <c r="M79">
        <v>0</v>
      </c>
      <c r="N79">
        <v>0</v>
      </c>
      <c r="O79">
        <v>0</v>
      </c>
      <c r="P79">
        <v>0</v>
      </c>
      <c r="Q79" s="17">
        <v>0</v>
      </c>
      <c r="R79" s="17">
        <v>0</v>
      </c>
      <c r="S79" s="17">
        <v>0</v>
      </c>
      <c r="T79" s="17">
        <v>0</v>
      </c>
      <c r="U79" s="17">
        <v>0</v>
      </c>
      <c r="V79" s="17">
        <v>0</v>
      </c>
      <c r="W79" s="17">
        <v>0</v>
      </c>
      <c r="X79" s="17">
        <v>0</v>
      </c>
      <c r="Y79" s="17">
        <v>0</v>
      </c>
      <c r="Z79" s="17">
        <v>0</v>
      </c>
      <c r="AA79" s="17">
        <v>0</v>
      </c>
      <c r="AB79" s="17">
        <v>0</v>
      </c>
      <c r="AC79" s="17">
        <v>0</v>
      </c>
      <c r="AD79" s="17">
        <v>0</v>
      </c>
      <c r="AE79" s="17">
        <v>0</v>
      </c>
      <c r="AF79" s="17">
        <v>0</v>
      </c>
      <c r="AG79" s="17">
        <v>0</v>
      </c>
      <c r="AH79" s="17">
        <v>0</v>
      </c>
    </row>
    <row r="80" spans="1:34" x14ac:dyDescent="0.2">
      <c r="A80" s="28">
        <v>22009</v>
      </c>
      <c r="B80">
        <v>5</v>
      </c>
      <c r="C80">
        <v>5</v>
      </c>
      <c r="D80">
        <v>5</v>
      </c>
      <c r="E80">
        <v>5</v>
      </c>
      <c r="F80">
        <v>2</v>
      </c>
      <c r="G80">
        <v>6</v>
      </c>
      <c r="H80">
        <v>3</v>
      </c>
      <c r="I80">
        <v>0</v>
      </c>
      <c r="J80">
        <v>0</v>
      </c>
      <c r="K80">
        <v>0</v>
      </c>
      <c r="L80">
        <v>0</v>
      </c>
      <c r="M80">
        <v>0</v>
      </c>
      <c r="N80">
        <v>0</v>
      </c>
      <c r="O80">
        <v>0</v>
      </c>
      <c r="P80">
        <v>0</v>
      </c>
      <c r="Q80" s="17">
        <v>0</v>
      </c>
      <c r="R80" s="17">
        <v>0</v>
      </c>
      <c r="S80" s="17">
        <v>0</v>
      </c>
      <c r="T80" s="17">
        <v>0</v>
      </c>
      <c r="U80" s="17">
        <v>0</v>
      </c>
      <c r="V80" s="17">
        <v>0</v>
      </c>
      <c r="W80" s="17">
        <v>0</v>
      </c>
      <c r="X80" s="17">
        <v>0</v>
      </c>
      <c r="Y80" s="17">
        <v>0</v>
      </c>
      <c r="Z80" s="17">
        <v>0</v>
      </c>
      <c r="AA80" s="17">
        <v>0</v>
      </c>
      <c r="AB80" s="17">
        <v>0</v>
      </c>
      <c r="AC80" s="17">
        <v>0</v>
      </c>
      <c r="AD80" s="17">
        <v>0</v>
      </c>
      <c r="AE80" s="17">
        <v>0</v>
      </c>
      <c r="AF80" s="17">
        <v>0</v>
      </c>
      <c r="AG80" s="17">
        <v>0</v>
      </c>
      <c r="AH80" s="17">
        <v>0</v>
      </c>
    </row>
    <row r="81" spans="1:34" x14ac:dyDescent="0.2">
      <c r="A81" s="28">
        <v>23001</v>
      </c>
      <c r="B81">
        <v>1</v>
      </c>
      <c r="C81">
        <v>3</v>
      </c>
      <c r="D81">
        <v>2</v>
      </c>
      <c r="E81">
        <v>4</v>
      </c>
      <c r="F81">
        <v>6</v>
      </c>
      <c r="G81">
        <v>2</v>
      </c>
      <c r="H81">
        <v>4</v>
      </c>
      <c r="I81">
        <v>2</v>
      </c>
      <c r="J81">
        <v>0</v>
      </c>
      <c r="K81">
        <v>0</v>
      </c>
      <c r="L81">
        <v>0</v>
      </c>
      <c r="M81">
        <v>0</v>
      </c>
      <c r="N81">
        <v>0</v>
      </c>
      <c r="O81">
        <v>0</v>
      </c>
      <c r="P81">
        <v>0</v>
      </c>
      <c r="Q81" s="17">
        <v>0</v>
      </c>
      <c r="R81" s="17">
        <v>0</v>
      </c>
      <c r="S81" s="17">
        <v>0</v>
      </c>
      <c r="T81" s="17">
        <v>0</v>
      </c>
      <c r="U81" s="17">
        <v>0</v>
      </c>
      <c r="V81" s="17">
        <v>0</v>
      </c>
      <c r="W81" s="17">
        <v>0</v>
      </c>
      <c r="X81" s="17">
        <v>0</v>
      </c>
      <c r="Y81" s="17">
        <v>0</v>
      </c>
      <c r="Z81" s="17">
        <v>0</v>
      </c>
      <c r="AA81" s="17">
        <v>0</v>
      </c>
      <c r="AB81" s="17">
        <v>0</v>
      </c>
      <c r="AC81" s="17">
        <v>0</v>
      </c>
      <c r="AD81" s="17">
        <v>0</v>
      </c>
      <c r="AE81" s="17">
        <v>0</v>
      </c>
      <c r="AF81" s="17">
        <v>0</v>
      </c>
      <c r="AG81" s="17">
        <v>0</v>
      </c>
      <c r="AH81" s="17">
        <v>0</v>
      </c>
    </row>
    <row r="82" spans="1:34" x14ac:dyDescent="0.2">
      <c r="A82" s="28">
        <v>23002</v>
      </c>
      <c r="B82">
        <v>0</v>
      </c>
      <c r="C82">
        <v>5</v>
      </c>
      <c r="D82">
        <v>3</v>
      </c>
      <c r="E82">
        <v>6</v>
      </c>
      <c r="F82">
        <v>2</v>
      </c>
      <c r="G82">
        <v>4</v>
      </c>
      <c r="H82">
        <v>3</v>
      </c>
      <c r="I82">
        <v>5</v>
      </c>
      <c r="J82">
        <v>6</v>
      </c>
      <c r="K82">
        <v>0</v>
      </c>
      <c r="L82">
        <v>0</v>
      </c>
      <c r="M82">
        <v>0</v>
      </c>
      <c r="N82">
        <v>0</v>
      </c>
      <c r="O82">
        <v>0</v>
      </c>
      <c r="P82">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row>
    <row r="83" spans="1:34" x14ac:dyDescent="0.2">
      <c r="A83" s="28">
        <v>23003</v>
      </c>
      <c r="B83">
        <v>4</v>
      </c>
      <c r="C83">
        <v>0</v>
      </c>
      <c r="D83">
        <v>2</v>
      </c>
      <c r="E83">
        <v>3</v>
      </c>
      <c r="F83">
        <v>4</v>
      </c>
      <c r="G83">
        <v>0</v>
      </c>
      <c r="H83">
        <v>0</v>
      </c>
      <c r="I83">
        <v>0</v>
      </c>
      <c r="J83">
        <v>0</v>
      </c>
      <c r="K83">
        <v>0</v>
      </c>
      <c r="L83">
        <v>0</v>
      </c>
      <c r="M83">
        <v>0</v>
      </c>
      <c r="N83">
        <v>0</v>
      </c>
      <c r="O83">
        <v>0</v>
      </c>
      <c r="P83">
        <v>0</v>
      </c>
      <c r="Q83" s="17">
        <v>0</v>
      </c>
      <c r="R83" s="17">
        <v>0</v>
      </c>
      <c r="S83" s="17">
        <v>0</v>
      </c>
      <c r="T83" s="17">
        <v>0</v>
      </c>
      <c r="U83" s="17">
        <v>0</v>
      </c>
      <c r="V83" s="17">
        <v>0</v>
      </c>
      <c r="W83" s="17">
        <v>0</v>
      </c>
      <c r="X83" s="17">
        <v>0</v>
      </c>
      <c r="Y83" s="17">
        <v>0</v>
      </c>
      <c r="Z83" s="17">
        <v>0</v>
      </c>
      <c r="AA83" s="17">
        <v>0</v>
      </c>
      <c r="AB83" s="17">
        <v>0</v>
      </c>
      <c r="AC83" s="17">
        <v>0</v>
      </c>
      <c r="AD83" s="17">
        <v>0</v>
      </c>
      <c r="AE83" s="17">
        <v>0</v>
      </c>
      <c r="AF83" s="17">
        <v>0</v>
      </c>
      <c r="AG83" s="17">
        <v>0</v>
      </c>
      <c r="AH83" s="17">
        <v>0</v>
      </c>
    </row>
    <row r="84" spans="1:34" x14ac:dyDescent="0.2">
      <c r="A84" s="28">
        <v>23004</v>
      </c>
      <c r="B84">
        <v>4</v>
      </c>
      <c r="C84">
        <v>2</v>
      </c>
      <c r="D84">
        <v>4</v>
      </c>
      <c r="E84">
        <v>4</v>
      </c>
      <c r="F84">
        <v>2</v>
      </c>
      <c r="G84">
        <v>3</v>
      </c>
      <c r="H84">
        <v>6</v>
      </c>
      <c r="I84">
        <v>7</v>
      </c>
      <c r="J84">
        <v>5</v>
      </c>
      <c r="K84">
        <v>2</v>
      </c>
      <c r="L84">
        <v>3</v>
      </c>
      <c r="M84">
        <v>4</v>
      </c>
      <c r="N84">
        <v>5</v>
      </c>
      <c r="O84">
        <v>2</v>
      </c>
      <c r="P84">
        <v>0</v>
      </c>
      <c r="Q84" s="17">
        <v>0</v>
      </c>
      <c r="R84" s="17">
        <v>0</v>
      </c>
      <c r="S84" s="17">
        <v>0</v>
      </c>
      <c r="T84" s="17">
        <v>0</v>
      </c>
      <c r="U84" s="17">
        <v>0</v>
      </c>
      <c r="V84" s="17">
        <v>0</v>
      </c>
      <c r="W84" s="17">
        <v>0</v>
      </c>
      <c r="X84" s="17">
        <v>0</v>
      </c>
      <c r="Y84" s="17">
        <v>0</v>
      </c>
      <c r="Z84" s="17">
        <v>0</v>
      </c>
      <c r="AA84" s="17">
        <v>0</v>
      </c>
      <c r="AB84" s="17">
        <v>0</v>
      </c>
      <c r="AC84" s="17">
        <v>0</v>
      </c>
      <c r="AD84" s="17">
        <v>0</v>
      </c>
      <c r="AE84" s="17">
        <v>0</v>
      </c>
      <c r="AF84" s="17">
        <v>0</v>
      </c>
      <c r="AG84" s="17">
        <v>0</v>
      </c>
      <c r="AH84" s="17">
        <v>0</v>
      </c>
    </row>
    <row r="85" spans="1:34" x14ac:dyDescent="0.2">
      <c r="A85" s="28">
        <v>23005</v>
      </c>
      <c r="B85">
        <v>4</v>
      </c>
      <c r="C85">
        <v>5</v>
      </c>
      <c r="D85">
        <v>2</v>
      </c>
      <c r="E85">
        <v>2</v>
      </c>
      <c r="F85">
        <v>3</v>
      </c>
      <c r="G85">
        <v>2</v>
      </c>
      <c r="H85">
        <v>3</v>
      </c>
      <c r="I85">
        <v>0</v>
      </c>
      <c r="J85">
        <v>0</v>
      </c>
      <c r="K85">
        <v>0</v>
      </c>
      <c r="L85">
        <v>0</v>
      </c>
      <c r="M85">
        <v>0</v>
      </c>
      <c r="N85">
        <v>0</v>
      </c>
      <c r="O85">
        <v>0</v>
      </c>
      <c r="P85">
        <v>0</v>
      </c>
      <c r="Q85" s="17">
        <v>0</v>
      </c>
      <c r="R85" s="17">
        <v>0</v>
      </c>
      <c r="S85" s="17">
        <v>0</v>
      </c>
      <c r="T85" s="17">
        <v>0</v>
      </c>
      <c r="U85" s="17">
        <v>0</v>
      </c>
      <c r="V85" s="17">
        <v>0</v>
      </c>
      <c r="W85" s="17">
        <v>0</v>
      </c>
      <c r="X85" s="17">
        <v>0</v>
      </c>
      <c r="Y85" s="17">
        <v>0</v>
      </c>
      <c r="Z85" s="17">
        <v>0</v>
      </c>
      <c r="AA85" s="17">
        <v>0</v>
      </c>
      <c r="AB85" s="17">
        <v>0</v>
      </c>
      <c r="AC85" s="17">
        <v>0</v>
      </c>
      <c r="AD85" s="17">
        <v>0</v>
      </c>
      <c r="AE85" s="17">
        <v>0</v>
      </c>
      <c r="AF85" s="17">
        <v>0</v>
      </c>
      <c r="AG85" s="17">
        <v>0</v>
      </c>
      <c r="AH85" s="17">
        <v>0</v>
      </c>
    </row>
    <row r="86" spans="1:34" x14ac:dyDescent="0.2">
      <c r="A86" s="28">
        <v>23006</v>
      </c>
      <c r="B86">
        <v>2</v>
      </c>
      <c r="C86">
        <v>2</v>
      </c>
      <c r="D86">
        <v>5</v>
      </c>
      <c r="E86">
        <v>4</v>
      </c>
      <c r="F86">
        <v>2</v>
      </c>
      <c r="G86">
        <v>5</v>
      </c>
      <c r="H86">
        <v>2</v>
      </c>
      <c r="I86">
        <v>5</v>
      </c>
      <c r="J86">
        <v>3</v>
      </c>
      <c r="K86">
        <v>6</v>
      </c>
      <c r="L86">
        <v>3</v>
      </c>
      <c r="M86">
        <v>1</v>
      </c>
      <c r="N86">
        <v>0</v>
      </c>
      <c r="O86">
        <v>0</v>
      </c>
      <c r="P86">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row>
    <row r="87" spans="1:34" x14ac:dyDescent="0.2">
      <c r="A87" s="28">
        <v>23007</v>
      </c>
      <c r="B87">
        <v>1</v>
      </c>
      <c r="C87">
        <v>6</v>
      </c>
      <c r="D87">
        <v>6</v>
      </c>
      <c r="E87">
        <v>4</v>
      </c>
      <c r="F87">
        <v>5</v>
      </c>
      <c r="G87">
        <v>0</v>
      </c>
      <c r="H87">
        <v>5</v>
      </c>
      <c r="I87">
        <v>0</v>
      </c>
      <c r="J87">
        <v>0</v>
      </c>
      <c r="K87">
        <v>0</v>
      </c>
      <c r="L87">
        <v>0</v>
      </c>
      <c r="M87">
        <v>0</v>
      </c>
      <c r="N87">
        <v>0</v>
      </c>
      <c r="O87">
        <v>0</v>
      </c>
      <c r="P87">
        <v>0</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7">
        <v>0</v>
      </c>
      <c r="AH87" s="17">
        <v>0</v>
      </c>
    </row>
    <row r="88" spans="1:34" x14ac:dyDescent="0.2">
      <c r="A88" s="28">
        <v>23008</v>
      </c>
      <c r="B88">
        <v>3</v>
      </c>
      <c r="C88">
        <v>0</v>
      </c>
      <c r="D88">
        <v>4</v>
      </c>
      <c r="E88">
        <v>3</v>
      </c>
      <c r="F88">
        <v>2</v>
      </c>
      <c r="G88">
        <v>2</v>
      </c>
      <c r="H88">
        <v>2</v>
      </c>
      <c r="I88">
        <v>0</v>
      </c>
      <c r="J88">
        <v>0</v>
      </c>
      <c r="K88">
        <v>0</v>
      </c>
      <c r="L88">
        <v>0</v>
      </c>
      <c r="M88">
        <v>0</v>
      </c>
      <c r="N88">
        <v>0</v>
      </c>
      <c r="O88">
        <v>0</v>
      </c>
      <c r="P88">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row>
    <row r="89" spans="1:34" x14ac:dyDescent="0.2">
      <c r="A89" s="28">
        <v>23009</v>
      </c>
      <c r="B89">
        <v>2</v>
      </c>
      <c r="C89">
        <v>3</v>
      </c>
      <c r="D89">
        <v>5</v>
      </c>
      <c r="E89">
        <v>6</v>
      </c>
      <c r="F89">
        <v>3</v>
      </c>
      <c r="G89">
        <v>2</v>
      </c>
      <c r="H89">
        <v>6</v>
      </c>
      <c r="I89">
        <v>7</v>
      </c>
      <c r="J89">
        <v>2</v>
      </c>
      <c r="K89">
        <v>5</v>
      </c>
      <c r="L89">
        <v>4</v>
      </c>
      <c r="M89">
        <v>4</v>
      </c>
      <c r="N89">
        <v>4</v>
      </c>
      <c r="O89">
        <v>0</v>
      </c>
      <c r="P89">
        <v>0</v>
      </c>
      <c r="Q89" s="17">
        <v>0</v>
      </c>
      <c r="R89" s="17">
        <v>0</v>
      </c>
      <c r="S89" s="17">
        <v>0</v>
      </c>
      <c r="T89" s="17">
        <v>0</v>
      </c>
      <c r="U89" s="17">
        <v>0</v>
      </c>
      <c r="V89" s="17">
        <v>0</v>
      </c>
      <c r="W89" s="17">
        <v>0</v>
      </c>
      <c r="X89" s="17">
        <v>0</v>
      </c>
      <c r="Y89" s="17">
        <v>0</v>
      </c>
      <c r="Z89" s="17">
        <v>0</v>
      </c>
      <c r="AA89" s="17">
        <v>0</v>
      </c>
      <c r="AB89" s="17">
        <v>0</v>
      </c>
      <c r="AC89" s="17">
        <v>0</v>
      </c>
      <c r="AD89" s="17">
        <v>0</v>
      </c>
      <c r="AE89" s="17">
        <v>0</v>
      </c>
      <c r="AF89" s="17">
        <v>0</v>
      </c>
      <c r="AG89" s="17">
        <v>0</v>
      </c>
      <c r="AH89" s="17">
        <v>0</v>
      </c>
    </row>
    <row r="90" spans="1:34" x14ac:dyDescent="0.2">
      <c r="A90" s="28">
        <v>23010</v>
      </c>
      <c r="B90">
        <v>5</v>
      </c>
      <c r="C90">
        <v>5</v>
      </c>
      <c r="D90">
        <v>5</v>
      </c>
      <c r="E90">
        <v>4</v>
      </c>
      <c r="F90">
        <v>3</v>
      </c>
      <c r="G90">
        <v>4</v>
      </c>
      <c r="H90">
        <v>2</v>
      </c>
      <c r="I90">
        <v>5</v>
      </c>
      <c r="J90">
        <v>0</v>
      </c>
      <c r="K90">
        <v>0</v>
      </c>
      <c r="L90">
        <v>0</v>
      </c>
      <c r="M90">
        <v>0</v>
      </c>
      <c r="N90">
        <v>0</v>
      </c>
      <c r="O90">
        <v>0</v>
      </c>
      <c r="P90">
        <v>0</v>
      </c>
      <c r="Q90" s="17">
        <v>0</v>
      </c>
      <c r="R90" s="17">
        <v>0</v>
      </c>
      <c r="S90" s="17">
        <v>0</v>
      </c>
      <c r="T90" s="17">
        <v>0</v>
      </c>
      <c r="U90" s="17">
        <v>0</v>
      </c>
      <c r="V90" s="17">
        <v>0</v>
      </c>
      <c r="W90" s="17">
        <v>0</v>
      </c>
      <c r="X90" s="17">
        <v>0</v>
      </c>
      <c r="Y90" s="17">
        <v>0</v>
      </c>
      <c r="Z90" s="17">
        <v>0</v>
      </c>
      <c r="AA90" s="17">
        <v>0</v>
      </c>
      <c r="AB90" s="17">
        <v>0</v>
      </c>
      <c r="AC90" s="17">
        <v>0</v>
      </c>
      <c r="AD90" s="17">
        <v>0</v>
      </c>
      <c r="AE90" s="17">
        <v>0</v>
      </c>
      <c r="AF90" s="17">
        <v>0</v>
      </c>
      <c r="AG90" s="17">
        <v>0</v>
      </c>
      <c r="AH90" s="17">
        <v>0</v>
      </c>
    </row>
    <row r="91" spans="1:34" x14ac:dyDescent="0.2">
      <c r="A91" s="28">
        <v>23011</v>
      </c>
      <c r="B91">
        <v>5</v>
      </c>
      <c r="C91">
        <v>4</v>
      </c>
      <c r="D91">
        <v>6</v>
      </c>
      <c r="E91">
        <v>1</v>
      </c>
      <c r="F91">
        <v>3</v>
      </c>
      <c r="G91">
        <v>1</v>
      </c>
      <c r="H91">
        <v>2</v>
      </c>
      <c r="I91">
        <v>0</v>
      </c>
      <c r="J91">
        <v>0</v>
      </c>
      <c r="K91">
        <v>0</v>
      </c>
      <c r="L91">
        <v>0</v>
      </c>
      <c r="M91">
        <v>0</v>
      </c>
      <c r="N91">
        <v>0</v>
      </c>
      <c r="O91">
        <v>0</v>
      </c>
      <c r="P91">
        <v>0</v>
      </c>
      <c r="Q91" s="17">
        <v>0</v>
      </c>
      <c r="R91" s="17">
        <v>0</v>
      </c>
      <c r="S91" s="17">
        <v>0</v>
      </c>
      <c r="T91" s="17">
        <v>0</v>
      </c>
      <c r="U91" s="17">
        <v>0</v>
      </c>
      <c r="V91" s="17">
        <v>0</v>
      </c>
      <c r="W91" s="17">
        <v>0</v>
      </c>
      <c r="X91" s="17">
        <v>0</v>
      </c>
      <c r="Y91" s="17">
        <v>0</v>
      </c>
      <c r="Z91" s="17">
        <v>0</v>
      </c>
      <c r="AA91" s="17">
        <v>0</v>
      </c>
      <c r="AB91" s="17">
        <v>0</v>
      </c>
      <c r="AC91" s="17">
        <v>0</v>
      </c>
      <c r="AD91" s="17">
        <v>0</v>
      </c>
      <c r="AE91" s="17">
        <v>0</v>
      </c>
      <c r="AF91" s="17">
        <v>0</v>
      </c>
      <c r="AG91" s="17">
        <v>0</v>
      </c>
      <c r="AH91" s="17">
        <v>0</v>
      </c>
    </row>
    <row r="92" spans="1:34" x14ac:dyDescent="0.2">
      <c r="A92" s="28">
        <v>23012</v>
      </c>
      <c r="B92">
        <v>3</v>
      </c>
      <c r="C92">
        <v>2</v>
      </c>
      <c r="D92">
        <v>4</v>
      </c>
      <c r="E92">
        <v>2</v>
      </c>
      <c r="F92">
        <v>3</v>
      </c>
      <c r="G92">
        <v>1</v>
      </c>
      <c r="H92">
        <v>0</v>
      </c>
      <c r="I92">
        <v>0</v>
      </c>
      <c r="J92">
        <v>0</v>
      </c>
      <c r="K92">
        <v>0</v>
      </c>
      <c r="L92">
        <v>0</v>
      </c>
      <c r="M92">
        <v>0</v>
      </c>
      <c r="N92">
        <v>0</v>
      </c>
      <c r="O92">
        <v>0</v>
      </c>
      <c r="P92">
        <v>0</v>
      </c>
      <c r="Q92" s="17">
        <v>0</v>
      </c>
      <c r="R92" s="17">
        <v>0</v>
      </c>
      <c r="S92" s="17">
        <v>0</v>
      </c>
      <c r="T92" s="17">
        <v>0</v>
      </c>
      <c r="U92" s="17">
        <v>0</v>
      </c>
      <c r="V92" s="17">
        <v>0</v>
      </c>
      <c r="W92" s="17">
        <v>0</v>
      </c>
      <c r="X92" s="17">
        <v>0</v>
      </c>
      <c r="Y92" s="17">
        <v>0</v>
      </c>
      <c r="Z92" s="17">
        <v>0</v>
      </c>
      <c r="AA92" s="17">
        <v>0</v>
      </c>
      <c r="AB92" s="17">
        <v>0</v>
      </c>
      <c r="AC92" s="17">
        <v>0</v>
      </c>
      <c r="AD92" s="17">
        <v>0</v>
      </c>
      <c r="AE92" s="17">
        <v>0</v>
      </c>
      <c r="AF92" s="17">
        <v>0</v>
      </c>
      <c r="AG92" s="17">
        <v>0</v>
      </c>
      <c r="AH92" s="17">
        <v>0</v>
      </c>
    </row>
    <row r="93" spans="1:34" x14ac:dyDescent="0.2">
      <c r="A93" s="28">
        <v>24001</v>
      </c>
      <c r="B93">
        <v>0</v>
      </c>
      <c r="C93">
        <v>0</v>
      </c>
      <c r="D93">
        <v>1</v>
      </c>
      <c r="E93">
        <v>0</v>
      </c>
      <c r="F93">
        <v>1</v>
      </c>
      <c r="G93">
        <v>0</v>
      </c>
      <c r="H93">
        <v>0</v>
      </c>
      <c r="I93">
        <v>0</v>
      </c>
      <c r="J93">
        <v>1</v>
      </c>
      <c r="K93">
        <v>0</v>
      </c>
      <c r="L93">
        <v>0</v>
      </c>
      <c r="M93">
        <v>0</v>
      </c>
      <c r="N93">
        <v>0</v>
      </c>
      <c r="O93">
        <v>0</v>
      </c>
      <c r="P93">
        <v>0</v>
      </c>
      <c r="Q93" s="17">
        <v>0</v>
      </c>
      <c r="R93" s="17">
        <v>0</v>
      </c>
      <c r="S93" s="17">
        <v>0</v>
      </c>
      <c r="T93" s="17">
        <v>0</v>
      </c>
      <c r="U93" s="17">
        <v>0</v>
      </c>
      <c r="V93" s="17">
        <v>0</v>
      </c>
      <c r="W93" s="17">
        <v>0</v>
      </c>
      <c r="X93" s="17">
        <v>0</v>
      </c>
      <c r="Y93" s="17">
        <v>0</v>
      </c>
      <c r="Z93" s="17">
        <v>0</v>
      </c>
      <c r="AA93" s="17">
        <v>0</v>
      </c>
      <c r="AB93" s="17">
        <v>0</v>
      </c>
      <c r="AC93" s="17">
        <v>0</v>
      </c>
      <c r="AD93" s="17">
        <v>0</v>
      </c>
      <c r="AE93" s="17">
        <v>0</v>
      </c>
      <c r="AF93" s="17">
        <v>0</v>
      </c>
      <c r="AG93" s="17">
        <v>0</v>
      </c>
      <c r="AH93" s="17">
        <v>0</v>
      </c>
    </row>
    <row r="94" spans="1:34" x14ac:dyDescent="0.2">
      <c r="A94" s="28">
        <v>24002</v>
      </c>
      <c r="B94">
        <v>3</v>
      </c>
      <c r="C94">
        <v>1</v>
      </c>
      <c r="D94">
        <v>2</v>
      </c>
      <c r="E94">
        <v>2</v>
      </c>
      <c r="F94">
        <v>2</v>
      </c>
      <c r="G94">
        <v>2</v>
      </c>
      <c r="H94">
        <v>0</v>
      </c>
      <c r="I94">
        <v>0</v>
      </c>
      <c r="J94">
        <v>0</v>
      </c>
      <c r="K94">
        <v>0</v>
      </c>
      <c r="L94">
        <v>0</v>
      </c>
      <c r="M94">
        <v>0</v>
      </c>
      <c r="N94">
        <v>0</v>
      </c>
      <c r="O94">
        <v>0</v>
      </c>
      <c r="P94">
        <v>0</v>
      </c>
      <c r="Q94" s="17">
        <v>0</v>
      </c>
      <c r="R94" s="17">
        <v>0</v>
      </c>
      <c r="S94" s="17">
        <v>0</v>
      </c>
      <c r="T94" s="17">
        <v>0</v>
      </c>
      <c r="U94" s="17">
        <v>0</v>
      </c>
      <c r="V94" s="17">
        <v>0</v>
      </c>
      <c r="W94" s="17">
        <v>0</v>
      </c>
      <c r="X94" s="17">
        <v>0</v>
      </c>
      <c r="Y94" s="17">
        <v>0</v>
      </c>
      <c r="Z94" s="17">
        <v>0</v>
      </c>
      <c r="AA94" s="17">
        <v>0</v>
      </c>
      <c r="AB94" s="17">
        <v>0</v>
      </c>
      <c r="AC94" s="17">
        <v>0</v>
      </c>
      <c r="AD94" s="17">
        <v>0</v>
      </c>
      <c r="AE94" s="17">
        <v>0</v>
      </c>
      <c r="AF94" s="17">
        <v>0</v>
      </c>
      <c r="AG94" s="17">
        <v>0</v>
      </c>
      <c r="AH94" s="17">
        <v>0</v>
      </c>
    </row>
    <row r="95" spans="1:34" x14ac:dyDescent="0.2">
      <c r="A95" s="28">
        <v>24003</v>
      </c>
      <c r="B95">
        <v>1</v>
      </c>
      <c r="C95">
        <v>3</v>
      </c>
      <c r="D95">
        <v>2</v>
      </c>
      <c r="E95">
        <v>2</v>
      </c>
      <c r="F95">
        <v>1</v>
      </c>
      <c r="G95">
        <v>1</v>
      </c>
      <c r="H95">
        <v>2</v>
      </c>
      <c r="I95">
        <v>2</v>
      </c>
      <c r="J95">
        <v>0</v>
      </c>
      <c r="K95">
        <v>2</v>
      </c>
      <c r="L95">
        <v>0</v>
      </c>
      <c r="M95">
        <v>0</v>
      </c>
      <c r="N95">
        <v>0</v>
      </c>
      <c r="O95">
        <v>0</v>
      </c>
      <c r="P95">
        <v>0</v>
      </c>
      <c r="Q95" s="17">
        <v>0</v>
      </c>
      <c r="R95" s="17">
        <v>0</v>
      </c>
      <c r="S95" s="17">
        <v>0</v>
      </c>
      <c r="T95" s="17">
        <v>0</v>
      </c>
      <c r="U95" s="17">
        <v>0</v>
      </c>
      <c r="V95" s="17">
        <v>0</v>
      </c>
      <c r="W95" s="17">
        <v>0</v>
      </c>
      <c r="X95" s="17">
        <v>0</v>
      </c>
      <c r="Y95" s="17">
        <v>0</v>
      </c>
      <c r="Z95" s="17">
        <v>0</v>
      </c>
      <c r="AA95" s="17">
        <v>0</v>
      </c>
      <c r="AB95" s="17">
        <v>0</v>
      </c>
      <c r="AC95" s="17">
        <v>0</v>
      </c>
      <c r="AD95" s="17">
        <v>0</v>
      </c>
      <c r="AE95" s="17">
        <v>0</v>
      </c>
      <c r="AF95" s="17">
        <v>0</v>
      </c>
      <c r="AG95" s="17">
        <v>0</v>
      </c>
      <c r="AH95" s="17">
        <v>0</v>
      </c>
    </row>
    <row r="96" spans="1:34" x14ac:dyDescent="0.2">
      <c r="A96" s="28">
        <v>24004</v>
      </c>
      <c r="B96">
        <v>1</v>
      </c>
      <c r="C96">
        <v>1</v>
      </c>
      <c r="D96">
        <v>0</v>
      </c>
      <c r="E96">
        <v>0</v>
      </c>
      <c r="F96">
        <v>1</v>
      </c>
      <c r="G96">
        <v>0</v>
      </c>
      <c r="H96">
        <v>0</v>
      </c>
      <c r="I96">
        <v>1</v>
      </c>
      <c r="J96">
        <v>0</v>
      </c>
      <c r="K96">
        <v>0</v>
      </c>
      <c r="L96">
        <v>0</v>
      </c>
      <c r="M96">
        <v>0</v>
      </c>
      <c r="N96">
        <v>0</v>
      </c>
      <c r="O96">
        <v>0</v>
      </c>
      <c r="P96">
        <v>0</v>
      </c>
      <c r="Q96" s="17">
        <v>0</v>
      </c>
      <c r="R96" s="17">
        <v>0</v>
      </c>
      <c r="S96" s="17">
        <v>0</v>
      </c>
      <c r="T96" s="17">
        <v>0</v>
      </c>
      <c r="U96" s="17">
        <v>0</v>
      </c>
      <c r="V96" s="17">
        <v>0</v>
      </c>
      <c r="W96" s="17">
        <v>0</v>
      </c>
      <c r="X96" s="17">
        <v>0</v>
      </c>
      <c r="Y96" s="17">
        <v>0</v>
      </c>
      <c r="Z96" s="17">
        <v>0</v>
      </c>
      <c r="AA96" s="17">
        <v>0</v>
      </c>
      <c r="AB96" s="17">
        <v>0</v>
      </c>
      <c r="AC96" s="17">
        <v>0</v>
      </c>
      <c r="AD96" s="17">
        <v>0</v>
      </c>
      <c r="AE96" s="17">
        <v>0</v>
      </c>
      <c r="AF96" s="17">
        <v>0</v>
      </c>
      <c r="AG96" s="17">
        <v>0</v>
      </c>
      <c r="AH96" s="17">
        <v>0</v>
      </c>
    </row>
    <row r="97" spans="1:34" x14ac:dyDescent="0.2">
      <c r="A97" s="28">
        <v>24005</v>
      </c>
      <c r="B97">
        <v>2</v>
      </c>
      <c r="C97">
        <v>2</v>
      </c>
      <c r="D97">
        <v>0</v>
      </c>
      <c r="E97">
        <v>0</v>
      </c>
      <c r="F97">
        <v>0</v>
      </c>
      <c r="G97">
        <v>0</v>
      </c>
      <c r="H97">
        <v>0</v>
      </c>
      <c r="I97">
        <v>0</v>
      </c>
      <c r="J97">
        <v>0</v>
      </c>
      <c r="K97">
        <v>0</v>
      </c>
      <c r="L97">
        <v>0</v>
      </c>
      <c r="M97">
        <v>0</v>
      </c>
      <c r="N97">
        <v>0</v>
      </c>
      <c r="O97">
        <v>0</v>
      </c>
      <c r="P97">
        <v>0</v>
      </c>
      <c r="Q97" s="17">
        <v>0</v>
      </c>
      <c r="R97" s="17">
        <v>0</v>
      </c>
      <c r="S97" s="17">
        <v>0</v>
      </c>
      <c r="T97" s="17">
        <v>0</v>
      </c>
      <c r="U97" s="17">
        <v>0</v>
      </c>
      <c r="V97" s="17">
        <v>0</v>
      </c>
      <c r="W97" s="17">
        <v>0</v>
      </c>
      <c r="X97" s="17">
        <v>0</v>
      </c>
      <c r="Y97" s="17">
        <v>0</v>
      </c>
      <c r="Z97" s="17">
        <v>0</v>
      </c>
      <c r="AA97" s="17">
        <v>0</v>
      </c>
      <c r="AB97" s="17">
        <v>0</v>
      </c>
      <c r="AC97" s="17">
        <v>0</v>
      </c>
      <c r="AD97" s="17">
        <v>0</v>
      </c>
      <c r="AE97" s="17">
        <v>0</v>
      </c>
      <c r="AF97" s="17">
        <v>0</v>
      </c>
      <c r="AG97" s="17">
        <v>0</v>
      </c>
      <c r="AH97" s="17">
        <v>0</v>
      </c>
    </row>
    <row r="98" spans="1:34" x14ac:dyDescent="0.2">
      <c r="A98" s="28">
        <v>24006</v>
      </c>
      <c r="B98">
        <v>1</v>
      </c>
      <c r="C98">
        <v>3</v>
      </c>
      <c r="D98">
        <v>2</v>
      </c>
      <c r="E98">
        <v>2</v>
      </c>
      <c r="F98">
        <v>2</v>
      </c>
      <c r="G98">
        <v>2</v>
      </c>
      <c r="H98">
        <v>3</v>
      </c>
      <c r="I98">
        <v>0</v>
      </c>
      <c r="J98">
        <v>0</v>
      </c>
      <c r="K98">
        <v>0</v>
      </c>
      <c r="L98">
        <v>0</v>
      </c>
      <c r="M98">
        <v>0</v>
      </c>
      <c r="N98">
        <v>0</v>
      </c>
      <c r="O98">
        <v>0</v>
      </c>
      <c r="P98">
        <v>0</v>
      </c>
      <c r="Q98" s="17">
        <v>0</v>
      </c>
      <c r="R98" s="17">
        <v>0</v>
      </c>
      <c r="S98" s="17">
        <v>0</v>
      </c>
      <c r="T98" s="17">
        <v>0</v>
      </c>
      <c r="U98" s="17">
        <v>0</v>
      </c>
      <c r="V98" s="17">
        <v>0</v>
      </c>
      <c r="W98" s="17">
        <v>0</v>
      </c>
      <c r="X98" s="17">
        <v>0</v>
      </c>
      <c r="Y98" s="17">
        <v>0</v>
      </c>
      <c r="Z98" s="17">
        <v>0</v>
      </c>
      <c r="AA98" s="17">
        <v>0</v>
      </c>
      <c r="AB98" s="17">
        <v>0</v>
      </c>
      <c r="AC98" s="17">
        <v>0</v>
      </c>
      <c r="AD98" s="17">
        <v>0</v>
      </c>
      <c r="AE98" s="17">
        <v>0</v>
      </c>
      <c r="AF98" s="17">
        <v>0</v>
      </c>
      <c r="AG98" s="17">
        <v>0</v>
      </c>
      <c r="AH98" s="17">
        <v>0</v>
      </c>
    </row>
    <row r="99" spans="1:34" x14ac:dyDescent="0.2">
      <c r="A99" s="28">
        <v>24007</v>
      </c>
      <c r="B99">
        <v>2</v>
      </c>
      <c r="C99">
        <v>2</v>
      </c>
      <c r="D99">
        <v>2</v>
      </c>
      <c r="E99">
        <v>2</v>
      </c>
      <c r="F99">
        <v>2</v>
      </c>
      <c r="G99">
        <v>3</v>
      </c>
      <c r="H99">
        <v>2</v>
      </c>
      <c r="I99">
        <v>2</v>
      </c>
      <c r="J99">
        <v>0</v>
      </c>
      <c r="K99">
        <v>0</v>
      </c>
      <c r="L99">
        <v>0</v>
      </c>
      <c r="M99">
        <v>0</v>
      </c>
      <c r="N99">
        <v>0</v>
      </c>
      <c r="O99">
        <v>0</v>
      </c>
      <c r="P99">
        <v>0</v>
      </c>
      <c r="Q99" s="17">
        <v>0</v>
      </c>
      <c r="R99" s="17">
        <v>0</v>
      </c>
      <c r="S99" s="17">
        <v>0</v>
      </c>
      <c r="T99" s="17">
        <v>0</v>
      </c>
      <c r="U99" s="17">
        <v>0</v>
      </c>
      <c r="V99" s="17">
        <v>0</v>
      </c>
      <c r="W99" s="17">
        <v>0</v>
      </c>
      <c r="X99" s="17">
        <v>0</v>
      </c>
      <c r="Y99" s="17">
        <v>0</v>
      </c>
      <c r="Z99" s="17">
        <v>0</v>
      </c>
      <c r="AA99" s="17">
        <v>0</v>
      </c>
      <c r="AB99" s="17">
        <v>0</v>
      </c>
      <c r="AC99" s="17">
        <v>0</v>
      </c>
      <c r="AD99" s="17">
        <v>0</v>
      </c>
      <c r="AE99" s="17">
        <v>0</v>
      </c>
      <c r="AF99" s="17">
        <v>0</v>
      </c>
      <c r="AG99" s="17">
        <v>0</v>
      </c>
      <c r="AH99" s="17">
        <v>0</v>
      </c>
    </row>
    <row r="100" spans="1:34" x14ac:dyDescent="0.2">
      <c r="A100" s="28">
        <v>24008</v>
      </c>
      <c r="B100">
        <v>1</v>
      </c>
      <c r="C100">
        <v>1</v>
      </c>
      <c r="D100">
        <v>1</v>
      </c>
      <c r="E100">
        <v>0</v>
      </c>
      <c r="F100">
        <v>1</v>
      </c>
      <c r="G100">
        <v>1</v>
      </c>
      <c r="H100">
        <v>0</v>
      </c>
      <c r="I100">
        <v>0</v>
      </c>
      <c r="J100">
        <v>5</v>
      </c>
      <c r="K100">
        <v>0</v>
      </c>
      <c r="L100">
        <v>2</v>
      </c>
      <c r="M100">
        <v>0</v>
      </c>
      <c r="N100">
        <v>0</v>
      </c>
      <c r="O100">
        <v>0</v>
      </c>
      <c r="P100">
        <v>0</v>
      </c>
      <c r="Q100" s="17">
        <v>0</v>
      </c>
      <c r="R100" s="17">
        <v>0</v>
      </c>
      <c r="S100" s="17">
        <v>0</v>
      </c>
      <c r="T100" s="17">
        <v>0</v>
      </c>
      <c r="U100" s="17">
        <v>0</v>
      </c>
      <c r="V100" s="17">
        <v>0</v>
      </c>
      <c r="W100" s="17">
        <v>0</v>
      </c>
      <c r="X100" s="17">
        <v>0</v>
      </c>
      <c r="Y100" s="17">
        <v>0</v>
      </c>
      <c r="Z100" s="17">
        <v>0</v>
      </c>
      <c r="AA100" s="17">
        <v>0</v>
      </c>
      <c r="AB100" s="17">
        <v>0</v>
      </c>
      <c r="AC100" s="17">
        <v>0</v>
      </c>
      <c r="AD100" s="17">
        <v>0</v>
      </c>
      <c r="AE100" s="17">
        <v>0</v>
      </c>
      <c r="AF100" s="17">
        <v>0</v>
      </c>
      <c r="AG100" s="17">
        <v>0</v>
      </c>
      <c r="AH100" s="17">
        <v>0</v>
      </c>
    </row>
    <row r="101" spans="1:34" x14ac:dyDescent="0.2">
      <c r="A101" s="28">
        <v>24009</v>
      </c>
      <c r="B101">
        <v>2</v>
      </c>
      <c r="C101">
        <v>1</v>
      </c>
      <c r="D101">
        <v>1</v>
      </c>
      <c r="E101">
        <v>2</v>
      </c>
      <c r="F101">
        <v>1</v>
      </c>
      <c r="G101">
        <v>1</v>
      </c>
      <c r="H101">
        <v>2</v>
      </c>
      <c r="I101">
        <v>0</v>
      </c>
      <c r="J101">
        <v>0</v>
      </c>
      <c r="K101">
        <v>1</v>
      </c>
      <c r="L101">
        <v>0</v>
      </c>
      <c r="M101">
        <v>0</v>
      </c>
      <c r="N101">
        <v>0</v>
      </c>
      <c r="O101">
        <v>0</v>
      </c>
      <c r="P101">
        <v>0</v>
      </c>
      <c r="Q101" s="17">
        <v>0</v>
      </c>
      <c r="R101" s="17">
        <v>0</v>
      </c>
      <c r="S101" s="17">
        <v>0</v>
      </c>
      <c r="T101" s="17">
        <v>0</v>
      </c>
      <c r="U101" s="17">
        <v>0</v>
      </c>
      <c r="V101" s="17">
        <v>0</v>
      </c>
      <c r="W101" s="17">
        <v>0</v>
      </c>
      <c r="X101" s="17">
        <v>0</v>
      </c>
      <c r="Y101" s="17">
        <v>0</v>
      </c>
      <c r="Z101" s="17">
        <v>0</v>
      </c>
      <c r="AA101" s="17">
        <v>0</v>
      </c>
      <c r="AB101" s="17">
        <v>0</v>
      </c>
      <c r="AC101" s="17">
        <v>0</v>
      </c>
      <c r="AD101" s="17">
        <v>0</v>
      </c>
      <c r="AE101" s="17">
        <v>0</v>
      </c>
      <c r="AF101" s="17">
        <v>0</v>
      </c>
      <c r="AG101" s="17">
        <v>0</v>
      </c>
      <c r="AH101" s="17">
        <v>0</v>
      </c>
    </row>
    <row r="102" spans="1:34" x14ac:dyDescent="0.2">
      <c r="A102" s="28">
        <v>24010</v>
      </c>
      <c r="B102">
        <v>2</v>
      </c>
      <c r="C102">
        <v>1</v>
      </c>
      <c r="D102">
        <v>1</v>
      </c>
      <c r="E102">
        <v>0</v>
      </c>
      <c r="F102">
        <v>0</v>
      </c>
      <c r="G102">
        <v>0</v>
      </c>
      <c r="H102">
        <v>0</v>
      </c>
      <c r="I102">
        <v>0</v>
      </c>
      <c r="J102">
        <v>0</v>
      </c>
      <c r="K102">
        <v>0</v>
      </c>
      <c r="L102">
        <v>5</v>
      </c>
      <c r="M102">
        <v>0</v>
      </c>
      <c r="N102">
        <v>0</v>
      </c>
      <c r="O102">
        <v>0</v>
      </c>
      <c r="P102">
        <v>0</v>
      </c>
      <c r="Q102" s="17">
        <v>0</v>
      </c>
      <c r="R102" s="17">
        <v>0</v>
      </c>
      <c r="S102" s="17">
        <v>0</v>
      </c>
      <c r="T102" s="17">
        <v>0</v>
      </c>
      <c r="U102" s="17">
        <v>0</v>
      </c>
      <c r="V102" s="17">
        <v>0</v>
      </c>
      <c r="W102" s="17">
        <v>0</v>
      </c>
      <c r="X102" s="17">
        <v>0</v>
      </c>
      <c r="Y102" s="17">
        <v>0</v>
      </c>
      <c r="Z102" s="17">
        <v>0</v>
      </c>
      <c r="AA102" s="17">
        <v>0</v>
      </c>
      <c r="AB102" s="17">
        <v>0</v>
      </c>
      <c r="AC102" s="17">
        <v>0</v>
      </c>
      <c r="AD102" s="17">
        <v>0</v>
      </c>
      <c r="AE102" s="17">
        <v>0</v>
      </c>
      <c r="AF102" s="17">
        <v>0</v>
      </c>
      <c r="AG102" s="17">
        <v>0</v>
      </c>
      <c r="AH102" s="17">
        <v>0</v>
      </c>
    </row>
    <row r="103" spans="1:34" x14ac:dyDescent="0.2">
      <c r="A103" s="28">
        <v>24011</v>
      </c>
      <c r="B103">
        <v>0</v>
      </c>
      <c r="C103">
        <v>0</v>
      </c>
      <c r="D103">
        <v>4</v>
      </c>
      <c r="E103">
        <v>5</v>
      </c>
      <c r="F103">
        <v>3</v>
      </c>
      <c r="G103">
        <v>4</v>
      </c>
      <c r="H103">
        <v>1</v>
      </c>
      <c r="I103">
        <v>0</v>
      </c>
      <c r="J103">
        <v>0</v>
      </c>
      <c r="K103">
        <v>0</v>
      </c>
      <c r="L103">
        <v>1</v>
      </c>
      <c r="M103">
        <v>1</v>
      </c>
      <c r="N103">
        <v>2</v>
      </c>
      <c r="O103">
        <v>0</v>
      </c>
      <c r="P103">
        <v>0</v>
      </c>
      <c r="Q103" s="17">
        <v>0</v>
      </c>
      <c r="R103" s="17">
        <v>0</v>
      </c>
      <c r="S103" s="17">
        <v>0</v>
      </c>
      <c r="T103" s="17">
        <v>0</v>
      </c>
      <c r="U103" s="17">
        <v>0</v>
      </c>
      <c r="V103" s="17">
        <v>0</v>
      </c>
      <c r="W103" s="17">
        <v>0</v>
      </c>
      <c r="X103" s="17">
        <v>0</v>
      </c>
      <c r="Y103" s="17">
        <v>0</v>
      </c>
      <c r="Z103" s="17">
        <v>0</v>
      </c>
      <c r="AA103" s="17">
        <v>0</v>
      </c>
      <c r="AB103" s="17">
        <v>0</v>
      </c>
      <c r="AC103" s="17">
        <v>0</v>
      </c>
      <c r="AD103" s="17">
        <v>0</v>
      </c>
      <c r="AE103" s="17">
        <v>0</v>
      </c>
      <c r="AF103" s="17">
        <v>0</v>
      </c>
      <c r="AG103" s="17">
        <v>0</v>
      </c>
      <c r="AH103" s="17">
        <v>0</v>
      </c>
    </row>
    <row r="104" spans="1:34" x14ac:dyDescent="0.2">
      <c r="A104" s="28">
        <v>24012</v>
      </c>
      <c r="B104">
        <v>1</v>
      </c>
      <c r="C104">
        <v>0</v>
      </c>
      <c r="D104">
        <v>1</v>
      </c>
      <c r="E104">
        <v>1</v>
      </c>
      <c r="F104">
        <v>2</v>
      </c>
      <c r="G104">
        <v>2</v>
      </c>
      <c r="H104">
        <v>1</v>
      </c>
      <c r="I104">
        <v>2</v>
      </c>
      <c r="J104">
        <v>2</v>
      </c>
      <c r="K104">
        <v>3</v>
      </c>
      <c r="L104">
        <v>2</v>
      </c>
      <c r="M104">
        <v>2</v>
      </c>
      <c r="N104">
        <v>0</v>
      </c>
      <c r="O104">
        <v>0</v>
      </c>
      <c r="P104">
        <v>0</v>
      </c>
      <c r="Q104" s="17">
        <v>0</v>
      </c>
      <c r="R104" s="17">
        <v>0</v>
      </c>
      <c r="S104" s="17">
        <v>0</v>
      </c>
      <c r="T104" s="17">
        <v>0</v>
      </c>
      <c r="U104" s="17">
        <v>0</v>
      </c>
      <c r="V104" s="17">
        <v>0</v>
      </c>
      <c r="W104" s="17">
        <v>0</v>
      </c>
      <c r="X104" s="17">
        <v>0</v>
      </c>
      <c r="Y104" s="17">
        <v>0</v>
      </c>
      <c r="Z104" s="17">
        <v>0</v>
      </c>
      <c r="AA104" s="17">
        <v>0</v>
      </c>
      <c r="AB104" s="17">
        <v>0</v>
      </c>
      <c r="AC104" s="17">
        <v>0</v>
      </c>
      <c r="AD104" s="17">
        <v>0</v>
      </c>
      <c r="AE104" s="17">
        <v>0</v>
      </c>
      <c r="AF104" s="17">
        <v>0</v>
      </c>
      <c r="AG104" s="17">
        <v>0</v>
      </c>
      <c r="AH104" s="17">
        <v>0</v>
      </c>
    </row>
    <row r="105" spans="1:34" x14ac:dyDescent="0.2">
      <c r="A105" s="28">
        <v>24013</v>
      </c>
      <c r="B105">
        <v>1</v>
      </c>
      <c r="C105">
        <v>0</v>
      </c>
      <c r="D105">
        <v>2</v>
      </c>
      <c r="E105">
        <v>2</v>
      </c>
      <c r="F105">
        <v>0</v>
      </c>
      <c r="G105">
        <v>0</v>
      </c>
      <c r="H105">
        <v>1</v>
      </c>
      <c r="I105">
        <v>0</v>
      </c>
      <c r="J105">
        <v>0</v>
      </c>
      <c r="K105">
        <v>0</v>
      </c>
      <c r="L105">
        <v>0</v>
      </c>
      <c r="M105">
        <v>0</v>
      </c>
      <c r="N105">
        <v>0</v>
      </c>
      <c r="O105">
        <v>0</v>
      </c>
      <c r="P105">
        <v>0</v>
      </c>
      <c r="Q105" s="17">
        <v>0</v>
      </c>
      <c r="R105" s="17">
        <v>0</v>
      </c>
      <c r="S105" s="17">
        <v>0</v>
      </c>
      <c r="T105" s="17">
        <v>0</v>
      </c>
      <c r="U105" s="17">
        <v>0</v>
      </c>
      <c r="V105" s="17">
        <v>0</v>
      </c>
      <c r="W105" s="17">
        <v>0</v>
      </c>
      <c r="X105" s="17">
        <v>0</v>
      </c>
      <c r="Y105" s="17">
        <v>0</v>
      </c>
      <c r="Z105" s="17">
        <v>0</v>
      </c>
      <c r="AA105" s="17">
        <v>0</v>
      </c>
      <c r="AB105" s="17">
        <v>0</v>
      </c>
      <c r="AC105" s="17">
        <v>0</v>
      </c>
      <c r="AD105" s="17">
        <v>0</v>
      </c>
      <c r="AE105" s="17">
        <v>0</v>
      </c>
      <c r="AF105" s="17">
        <v>0</v>
      </c>
      <c r="AG105" s="17">
        <v>0</v>
      </c>
      <c r="AH105" s="17">
        <v>0</v>
      </c>
    </row>
    <row r="106" spans="1:34" x14ac:dyDescent="0.2">
      <c r="A106" s="28">
        <v>25001</v>
      </c>
      <c r="B106">
        <v>2</v>
      </c>
      <c r="C106">
        <v>0</v>
      </c>
      <c r="D106">
        <v>1</v>
      </c>
      <c r="E106">
        <v>1</v>
      </c>
      <c r="F106">
        <v>1</v>
      </c>
      <c r="G106">
        <v>2</v>
      </c>
      <c r="H106">
        <v>3</v>
      </c>
      <c r="I106">
        <v>0</v>
      </c>
      <c r="J106">
        <v>0</v>
      </c>
      <c r="K106">
        <v>0</v>
      </c>
      <c r="L106">
        <v>0</v>
      </c>
      <c r="M106">
        <v>0</v>
      </c>
      <c r="N106">
        <v>0</v>
      </c>
      <c r="O106">
        <v>0</v>
      </c>
      <c r="P106">
        <v>0</v>
      </c>
      <c r="Q106" s="17">
        <v>0</v>
      </c>
      <c r="R106" s="17">
        <v>0</v>
      </c>
      <c r="S106" s="17">
        <v>0</v>
      </c>
      <c r="T106" s="17">
        <v>0</v>
      </c>
      <c r="U106" s="17">
        <v>0</v>
      </c>
      <c r="V106" s="17">
        <v>0</v>
      </c>
      <c r="W106" s="17">
        <v>0</v>
      </c>
      <c r="X106" s="17">
        <v>0</v>
      </c>
      <c r="Y106" s="17">
        <v>0</v>
      </c>
      <c r="Z106" s="17">
        <v>0</v>
      </c>
      <c r="AA106" s="17">
        <v>0</v>
      </c>
      <c r="AB106" s="17">
        <v>0</v>
      </c>
      <c r="AC106" s="17">
        <v>0</v>
      </c>
      <c r="AD106" s="17">
        <v>0</v>
      </c>
      <c r="AE106" s="17">
        <v>0</v>
      </c>
      <c r="AF106" s="17">
        <v>0</v>
      </c>
      <c r="AG106" s="17">
        <v>0</v>
      </c>
      <c r="AH106" s="17">
        <v>0</v>
      </c>
    </row>
    <row r="107" spans="1:34" x14ac:dyDescent="0.2">
      <c r="A107" s="28">
        <v>25002</v>
      </c>
      <c r="B107">
        <v>0</v>
      </c>
      <c r="C107">
        <v>1</v>
      </c>
      <c r="D107">
        <v>1</v>
      </c>
      <c r="E107">
        <v>0</v>
      </c>
      <c r="F107">
        <v>2</v>
      </c>
      <c r="G107">
        <v>0</v>
      </c>
      <c r="H107">
        <v>0</v>
      </c>
      <c r="I107">
        <v>0</v>
      </c>
      <c r="J107">
        <v>1</v>
      </c>
      <c r="K107">
        <v>2</v>
      </c>
      <c r="L107">
        <v>0</v>
      </c>
      <c r="M107">
        <v>3</v>
      </c>
      <c r="N107">
        <v>1</v>
      </c>
      <c r="O107">
        <v>0</v>
      </c>
      <c r="P107">
        <v>0</v>
      </c>
      <c r="Q107" s="17">
        <v>0</v>
      </c>
      <c r="R107" s="17">
        <v>0</v>
      </c>
      <c r="S107" s="17">
        <v>0</v>
      </c>
      <c r="T107" s="17">
        <v>0</v>
      </c>
      <c r="U107" s="17">
        <v>0</v>
      </c>
      <c r="V107" s="17">
        <v>0</v>
      </c>
      <c r="W107" s="17">
        <v>0</v>
      </c>
      <c r="X107" s="17">
        <v>0</v>
      </c>
      <c r="Y107" s="17">
        <v>0</v>
      </c>
      <c r="Z107" s="17">
        <v>0</v>
      </c>
      <c r="AA107" s="17">
        <v>0</v>
      </c>
      <c r="AB107" s="17">
        <v>0</v>
      </c>
      <c r="AC107" s="17">
        <v>0</v>
      </c>
      <c r="AD107" s="17">
        <v>0</v>
      </c>
      <c r="AE107" s="17">
        <v>0</v>
      </c>
      <c r="AF107" s="17">
        <v>0</v>
      </c>
      <c r="AG107" s="17">
        <v>0</v>
      </c>
      <c r="AH107" s="17">
        <v>0</v>
      </c>
    </row>
    <row r="108" spans="1:34" x14ac:dyDescent="0.2">
      <c r="A108" s="28">
        <v>25003</v>
      </c>
      <c r="B108">
        <v>3</v>
      </c>
      <c r="C108">
        <v>0</v>
      </c>
      <c r="D108">
        <v>4</v>
      </c>
      <c r="E108">
        <v>0</v>
      </c>
      <c r="F108">
        <v>1</v>
      </c>
      <c r="G108">
        <v>0</v>
      </c>
      <c r="H108">
        <v>0</v>
      </c>
      <c r="I108">
        <v>0</v>
      </c>
      <c r="J108">
        <v>0</v>
      </c>
      <c r="K108">
        <v>0</v>
      </c>
      <c r="L108">
        <v>0</v>
      </c>
      <c r="M108">
        <v>0</v>
      </c>
      <c r="N108">
        <v>0</v>
      </c>
      <c r="O108">
        <v>0</v>
      </c>
      <c r="P108">
        <v>0</v>
      </c>
      <c r="Q108" s="17">
        <v>0</v>
      </c>
      <c r="R108" s="17">
        <v>0</v>
      </c>
      <c r="S108" s="17">
        <v>0</v>
      </c>
      <c r="T108" s="17">
        <v>0</v>
      </c>
      <c r="U108" s="17">
        <v>0</v>
      </c>
      <c r="V108" s="17">
        <v>0</v>
      </c>
      <c r="W108" s="17">
        <v>0</v>
      </c>
      <c r="X108" s="17">
        <v>0</v>
      </c>
      <c r="Y108" s="17">
        <v>0</v>
      </c>
      <c r="Z108" s="17">
        <v>0</v>
      </c>
      <c r="AA108" s="17">
        <v>0</v>
      </c>
      <c r="AB108" s="17">
        <v>0</v>
      </c>
      <c r="AC108" s="17">
        <v>0</v>
      </c>
      <c r="AD108" s="17">
        <v>0</v>
      </c>
      <c r="AE108" s="17">
        <v>0</v>
      </c>
      <c r="AF108" s="17">
        <v>0</v>
      </c>
      <c r="AG108" s="17">
        <v>0</v>
      </c>
      <c r="AH108" s="17">
        <v>0</v>
      </c>
    </row>
    <row r="109" spans="1:34" x14ac:dyDescent="0.2">
      <c r="A109" s="28">
        <v>25004</v>
      </c>
      <c r="B109">
        <v>0</v>
      </c>
      <c r="C109">
        <v>0</v>
      </c>
      <c r="D109">
        <v>0</v>
      </c>
      <c r="E109">
        <v>0</v>
      </c>
      <c r="F109">
        <v>0</v>
      </c>
      <c r="G109">
        <v>0</v>
      </c>
      <c r="H109">
        <v>0</v>
      </c>
      <c r="I109">
        <v>0</v>
      </c>
      <c r="J109">
        <v>1</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s="17">
        <v>0</v>
      </c>
      <c r="AF109" s="17">
        <v>0</v>
      </c>
      <c r="AG109" s="17">
        <v>0</v>
      </c>
      <c r="AH109" s="17">
        <v>0</v>
      </c>
    </row>
    <row r="110" spans="1:34" x14ac:dyDescent="0.2">
      <c r="A110" s="28">
        <v>25005</v>
      </c>
      <c r="B110">
        <v>0</v>
      </c>
      <c r="C110">
        <v>1</v>
      </c>
      <c r="D110">
        <v>1</v>
      </c>
      <c r="E110">
        <v>3</v>
      </c>
      <c r="F110">
        <v>1</v>
      </c>
      <c r="G110">
        <v>3</v>
      </c>
      <c r="H110">
        <v>0</v>
      </c>
      <c r="I110">
        <v>3</v>
      </c>
      <c r="J110">
        <v>4</v>
      </c>
      <c r="K110">
        <v>4</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s="17">
        <v>0</v>
      </c>
      <c r="AF110" s="17">
        <v>0</v>
      </c>
      <c r="AG110" s="17">
        <v>0</v>
      </c>
      <c r="AH110" s="17">
        <v>0</v>
      </c>
    </row>
    <row r="111" spans="1:34" x14ac:dyDescent="0.2">
      <c r="A111" s="28">
        <v>25006</v>
      </c>
      <c r="B111">
        <v>0</v>
      </c>
      <c r="C111">
        <v>0</v>
      </c>
      <c r="D111">
        <v>1</v>
      </c>
      <c r="E111">
        <v>0</v>
      </c>
      <c r="F111">
        <v>0</v>
      </c>
      <c r="G111">
        <v>2</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s="17">
        <v>0</v>
      </c>
      <c r="AF111" s="17">
        <v>0</v>
      </c>
      <c r="AG111" s="17">
        <v>0</v>
      </c>
      <c r="AH111" s="17">
        <v>0</v>
      </c>
    </row>
    <row r="112" spans="1:34" x14ac:dyDescent="0.2">
      <c r="A112" s="28">
        <v>26001</v>
      </c>
      <c r="B112">
        <v>0</v>
      </c>
      <c r="C112">
        <v>1</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s="17">
        <v>0</v>
      </c>
      <c r="AF112" s="17">
        <v>0</v>
      </c>
      <c r="AG112" s="17">
        <v>0</v>
      </c>
      <c r="AH112" s="17">
        <v>0</v>
      </c>
    </row>
    <row r="113" spans="1:34" x14ac:dyDescent="0.2">
      <c r="A113" s="28">
        <v>26002</v>
      </c>
      <c r="B113">
        <v>0</v>
      </c>
      <c r="C113">
        <v>0</v>
      </c>
      <c r="D113">
        <v>0</v>
      </c>
      <c r="E113">
        <v>0</v>
      </c>
      <c r="F113">
        <v>1</v>
      </c>
      <c r="G113">
        <v>2</v>
      </c>
      <c r="H113">
        <v>3</v>
      </c>
      <c r="I113">
        <v>3</v>
      </c>
      <c r="J113">
        <v>2</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s="17">
        <v>0</v>
      </c>
      <c r="AF113" s="17">
        <v>0</v>
      </c>
      <c r="AG113" s="17">
        <v>0</v>
      </c>
      <c r="AH113" s="17">
        <v>0</v>
      </c>
    </row>
    <row r="114" spans="1:34" x14ac:dyDescent="0.2">
      <c r="A114" s="28">
        <v>26003</v>
      </c>
      <c r="B114">
        <v>0</v>
      </c>
      <c r="C114">
        <v>0</v>
      </c>
      <c r="D114">
        <v>0</v>
      </c>
      <c r="E114">
        <v>0</v>
      </c>
      <c r="F114">
        <v>0</v>
      </c>
      <c r="G114">
        <v>1</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s="17">
        <v>0</v>
      </c>
      <c r="AF114" s="17">
        <v>0</v>
      </c>
      <c r="AG114" s="17">
        <v>0</v>
      </c>
      <c r="AH114" s="17">
        <v>0</v>
      </c>
    </row>
    <row r="115" spans="1:34" x14ac:dyDescent="0.2">
      <c r="A115" s="28">
        <v>26004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s="17">
        <v>0</v>
      </c>
      <c r="AF115" s="17">
        <v>0</v>
      </c>
      <c r="AG115" s="17">
        <v>0</v>
      </c>
      <c r="AH115" s="17">
        <v>0</v>
      </c>
    </row>
    <row r="116" spans="1:34" x14ac:dyDescent="0.2">
      <c r="A116" s="28">
        <v>27001</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s="17">
        <v>0</v>
      </c>
      <c r="AF116" s="17">
        <v>0</v>
      </c>
      <c r="AG116" s="17">
        <v>0</v>
      </c>
      <c r="AH116" s="17">
        <v>0</v>
      </c>
    </row>
    <row r="117" spans="1:34" x14ac:dyDescent="0.2">
      <c r="A117" s="28">
        <v>27002</v>
      </c>
      <c r="B117">
        <v>1</v>
      </c>
      <c r="C117">
        <v>1</v>
      </c>
      <c r="D117">
        <v>0</v>
      </c>
      <c r="E117">
        <v>1</v>
      </c>
      <c r="F117">
        <v>2</v>
      </c>
      <c r="G117">
        <v>1</v>
      </c>
      <c r="H117">
        <v>1</v>
      </c>
      <c r="I117">
        <v>0</v>
      </c>
      <c r="J117">
        <v>4</v>
      </c>
      <c r="K117">
        <v>1</v>
      </c>
      <c r="L117">
        <v>1</v>
      </c>
      <c r="M117">
        <v>3</v>
      </c>
      <c r="N117">
        <v>1</v>
      </c>
      <c r="O117">
        <v>0</v>
      </c>
      <c r="P117">
        <v>0</v>
      </c>
      <c r="Q117">
        <v>0</v>
      </c>
      <c r="R117">
        <v>0</v>
      </c>
      <c r="S117">
        <v>0</v>
      </c>
      <c r="T117">
        <v>0</v>
      </c>
      <c r="U117">
        <v>0</v>
      </c>
      <c r="V117">
        <v>0</v>
      </c>
      <c r="W117">
        <v>0</v>
      </c>
      <c r="X117">
        <v>0</v>
      </c>
      <c r="Y117">
        <v>0</v>
      </c>
      <c r="Z117">
        <v>0</v>
      </c>
      <c r="AA117">
        <v>0</v>
      </c>
      <c r="AB117">
        <v>0</v>
      </c>
      <c r="AC117">
        <v>0</v>
      </c>
      <c r="AD117">
        <v>0</v>
      </c>
      <c r="AE117" s="17">
        <v>0</v>
      </c>
      <c r="AF117" s="17">
        <v>0</v>
      </c>
      <c r="AG117" s="17">
        <v>0</v>
      </c>
      <c r="AH117" s="17">
        <v>0</v>
      </c>
    </row>
    <row r="118" spans="1:34" x14ac:dyDescent="0.2">
      <c r="A118" s="28">
        <v>27003</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s="17">
        <v>0</v>
      </c>
      <c r="AF118" s="17">
        <v>0</v>
      </c>
      <c r="AG118" s="17">
        <v>0</v>
      </c>
      <c r="AH118" s="17">
        <v>0</v>
      </c>
    </row>
    <row r="119" spans="1:34" x14ac:dyDescent="0.2">
      <c r="A119" s="28">
        <v>27004</v>
      </c>
      <c r="B119">
        <v>1</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17">
        <v>0</v>
      </c>
      <c r="AF119" s="17">
        <v>0</v>
      </c>
      <c r="AG119" s="17">
        <v>0</v>
      </c>
      <c r="AH119" s="17">
        <v>0</v>
      </c>
    </row>
    <row r="120" spans="1:34" x14ac:dyDescent="0.2">
      <c r="A120" s="28">
        <v>27005</v>
      </c>
      <c r="B120">
        <v>3</v>
      </c>
      <c r="C120">
        <v>2</v>
      </c>
      <c r="D120">
        <v>2</v>
      </c>
      <c r="E120">
        <v>2</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s="17">
        <v>0</v>
      </c>
      <c r="AF120" s="17">
        <v>0</v>
      </c>
      <c r="AG120" s="17">
        <v>0</v>
      </c>
      <c r="AH120" s="17">
        <v>0</v>
      </c>
    </row>
    <row r="121" spans="1:34" x14ac:dyDescent="0.2">
      <c r="A121" s="28">
        <v>27006</v>
      </c>
      <c r="B121">
        <v>0</v>
      </c>
      <c r="C121">
        <v>0</v>
      </c>
      <c r="D121">
        <v>0</v>
      </c>
      <c r="E121">
        <v>0</v>
      </c>
      <c r="F121">
        <v>0</v>
      </c>
      <c r="G121">
        <v>0</v>
      </c>
      <c r="H121">
        <v>0</v>
      </c>
      <c r="I121">
        <v>0</v>
      </c>
      <c r="J121">
        <v>0</v>
      </c>
      <c r="K121">
        <v>0</v>
      </c>
      <c r="L121">
        <v>0</v>
      </c>
      <c r="M121">
        <v>0</v>
      </c>
      <c r="N121">
        <v>0</v>
      </c>
      <c r="O121">
        <v>0</v>
      </c>
      <c r="P121">
        <v>0</v>
      </c>
      <c r="Q121">
        <v>0</v>
      </c>
      <c r="R121">
        <v>1</v>
      </c>
      <c r="S121">
        <v>0</v>
      </c>
      <c r="T121">
        <v>0</v>
      </c>
      <c r="U121">
        <v>0</v>
      </c>
      <c r="V121">
        <v>0</v>
      </c>
      <c r="W121">
        <v>0</v>
      </c>
      <c r="X121">
        <v>0</v>
      </c>
      <c r="Y121">
        <v>0</v>
      </c>
      <c r="Z121">
        <v>0</v>
      </c>
      <c r="AA121">
        <v>0</v>
      </c>
      <c r="AB121">
        <v>0</v>
      </c>
      <c r="AC121">
        <v>0</v>
      </c>
      <c r="AD121">
        <v>0</v>
      </c>
      <c r="AE121">
        <v>0</v>
      </c>
      <c r="AF121">
        <v>0</v>
      </c>
      <c r="AG121">
        <v>0</v>
      </c>
      <c r="AH121" s="17">
        <v>0</v>
      </c>
    </row>
    <row r="122" spans="1:34" x14ac:dyDescent="0.2">
      <c r="A122" s="28">
        <v>27007</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s="17">
        <v>0</v>
      </c>
    </row>
    <row r="123" spans="1:34" x14ac:dyDescent="0.2">
      <c r="A123" s="28">
        <v>27008</v>
      </c>
      <c r="B123">
        <v>0</v>
      </c>
      <c r="C123">
        <v>1</v>
      </c>
      <c r="D123">
        <v>2</v>
      </c>
      <c r="E123">
        <v>0</v>
      </c>
      <c r="F123">
        <v>1</v>
      </c>
      <c r="G123">
        <v>1</v>
      </c>
      <c r="H123">
        <v>2</v>
      </c>
      <c r="I123">
        <v>1</v>
      </c>
      <c r="J123">
        <v>1</v>
      </c>
      <c r="K123">
        <v>1</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s="17">
        <v>0</v>
      </c>
    </row>
    <row r="124" spans="1:34" x14ac:dyDescent="0.2">
      <c r="A124" s="28">
        <v>27009</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s="17">
        <v>0</v>
      </c>
    </row>
    <row r="125" spans="1:34" x14ac:dyDescent="0.2">
      <c r="A125" s="28">
        <v>27010</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s="17">
        <v>0</v>
      </c>
    </row>
    <row r="126" spans="1:34" x14ac:dyDescent="0.2">
      <c r="A126" s="28">
        <v>27011</v>
      </c>
      <c r="B126">
        <v>0</v>
      </c>
      <c r="C126">
        <v>1</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s="17">
        <v>0</v>
      </c>
    </row>
    <row r="127" spans="1:34" x14ac:dyDescent="0.2">
      <c r="A127" s="28">
        <v>28001</v>
      </c>
      <c r="B127">
        <v>2</v>
      </c>
      <c r="C127">
        <v>1</v>
      </c>
      <c r="D127">
        <v>1</v>
      </c>
      <c r="E127">
        <v>1</v>
      </c>
      <c r="F127">
        <v>1</v>
      </c>
      <c r="G127">
        <v>1</v>
      </c>
      <c r="H127">
        <v>1</v>
      </c>
      <c r="I127">
        <v>1</v>
      </c>
      <c r="J127">
        <v>1</v>
      </c>
      <c r="K127">
        <v>2</v>
      </c>
      <c r="L127">
        <v>1</v>
      </c>
      <c r="M127">
        <v>2</v>
      </c>
      <c r="N127">
        <v>2</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s="17">
        <v>0</v>
      </c>
    </row>
    <row r="128" spans="1:34" x14ac:dyDescent="0.2">
      <c r="A128" s="28">
        <v>28002</v>
      </c>
      <c r="B128">
        <v>5</v>
      </c>
      <c r="C128">
        <v>5</v>
      </c>
      <c r="D128">
        <v>2</v>
      </c>
      <c r="E128">
        <v>5</v>
      </c>
      <c r="F128">
        <v>5</v>
      </c>
      <c r="G128">
        <v>6</v>
      </c>
      <c r="H128">
        <v>2</v>
      </c>
      <c r="I128">
        <v>5</v>
      </c>
      <c r="J128">
        <v>5</v>
      </c>
      <c r="K128">
        <v>2</v>
      </c>
      <c r="L128">
        <v>1</v>
      </c>
      <c r="M128">
        <v>2</v>
      </c>
      <c r="N128">
        <v>2</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s="17">
        <v>0</v>
      </c>
    </row>
    <row r="129" spans="1:34" x14ac:dyDescent="0.2">
      <c r="A129" s="28">
        <v>28003</v>
      </c>
      <c r="B129">
        <v>3</v>
      </c>
      <c r="C129">
        <v>5</v>
      </c>
      <c r="D129">
        <v>6</v>
      </c>
      <c r="E129">
        <v>4</v>
      </c>
      <c r="F129">
        <v>2</v>
      </c>
      <c r="G129">
        <v>6</v>
      </c>
      <c r="H129">
        <v>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s="17">
        <v>0</v>
      </c>
    </row>
    <row r="130" spans="1:34" x14ac:dyDescent="0.2">
      <c r="A130" s="28">
        <v>28004</v>
      </c>
      <c r="B130">
        <v>1</v>
      </c>
      <c r="C130">
        <v>1</v>
      </c>
      <c r="D130">
        <v>0</v>
      </c>
      <c r="E130">
        <v>2</v>
      </c>
      <c r="F130">
        <v>1</v>
      </c>
      <c r="G130">
        <v>2</v>
      </c>
      <c r="H130">
        <v>5</v>
      </c>
      <c r="I130">
        <v>5</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s="17">
        <v>0</v>
      </c>
    </row>
    <row r="131" spans="1:34" x14ac:dyDescent="0.2">
      <c r="A131" s="28">
        <v>28005</v>
      </c>
      <c r="B131">
        <v>5</v>
      </c>
      <c r="C131">
        <v>2</v>
      </c>
      <c r="D131">
        <v>5</v>
      </c>
      <c r="E131">
        <v>4</v>
      </c>
      <c r="F131">
        <v>7</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s="17">
        <v>0</v>
      </c>
    </row>
    <row r="132" spans="1:34" x14ac:dyDescent="0.2">
      <c r="A132" s="28">
        <v>28006</v>
      </c>
      <c r="B132">
        <v>1</v>
      </c>
      <c r="C132">
        <v>1</v>
      </c>
      <c r="D132">
        <v>2</v>
      </c>
      <c r="E132">
        <v>1</v>
      </c>
      <c r="F132">
        <v>5</v>
      </c>
      <c r="G132">
        <v>5</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s="17">
        <v>0</v>
      </c>
    </row>
    <row r="133" spans="1:34" x14ac:dyDescent="0.2">
      <c r="A133" s="28">
        <v>28007</v>
      </c>
      <c r="B133">
        <v>2</v>
      </c>
      <c r="C133">
        <v>1</v>
      </c>
      <c r="D133">
        <v>2</v>
      </c>
      <c r="E133">
        <v>3</v>
      </c>
      <c r="F133">
        <v>2</v>
      </c>
      <c r="G133">
        <v>4</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s="17">
        <v>0</v>
      </c>
    </row>
    <row r="134" spans="1:34" x14ac:dyDescent="0.2">
      <c r="A134" s="28">
        <v>28008</v>
      </c>
      <c r="B134">
        <v>6</v>
      </c>
      <c r="C134">
        <v>1</v>
      </c>
      <c r="D134">
        <v>3</v>
      </c>
      <c r="E134">
        <v>4</v>
      </c>
      <c r="F134">
        <v>1</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s="17">
        <v>0</v>
      </c>
    </row>
    <row r="135" spans="1:34" x14ac:dyDescent="0.2">
      <c r="A135" s="28">
        <v>28009</v>
      </c>
      <c r="B135">
        <v>5</v>
      </c>
      <c r="C135">
        <v>6</v>
      </c>
      <c r="D135">
        <v>5</v>
      </c>
      <c r="E135">
        <v>6</v>
      </c>
      <c r="F135">
        <v>5</v>
      </c>
      <c r="G135">
        <v>5</v>
      </c>
      <c r="H135">
        <v>2</v>
      </c>
      <c r="I135">
        <v>6</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s="17">
        <v>0</v>
      </c>
    </row>
    <row r="136" spans="1:34" x14ac:dyDescent="0.2">
      <c r="A136" s="28">
        <v>28010</v>
      </c>
      <c r="B136">
        <v>3</v>
      </c>
      <c r="C136">
        <v>1</v>
      </c>
      <c r="D136">
        <v>3</v>
      </c>
      <c r="E136">
        <v>1</v>
      </c>
      <c r="F136">
        <v>1</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s="17">
        <v>0</v>
      </c>
    </row>
    <row r="137" spans="1:34" x14ac:dyDescent="0.2">
      <c r="A137" s="28">
        <v>28011</v>
      </c>
      <c r="B137">
        <v>2</v>
      </c>
      <c r="C137">
        <v>3</v>
      </c>
      <c r="D137">
        <v>3</v>
      </c>
      <c r="E137">
        <v>4</v>
      </c>
      <c r="F137">
        <v>1</v>
      </c>
      <c r="G137">
        <v>2</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s="17">
        <v>0</v>
      </c>
    </row>
    <row r="138" spans="1:34" x14ac:dyDescent="0.2">
      <c r="A138" s="28">
        <v>28012</v>
      </c>
      <c r="B138">
        <v>7</v>
      </c>
      <c r="C138">
        <v>5</v>
      </c>
      <c r="D138">
        <v>4</v>
      </c>
      <c r="E138">
        <v>3</v>
      </c>
      <c r="F138">
        <v>6</v>
      </c>
      <c r="G138">
        <v>5</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s="17">
        <v>0</v>
      </c>
    </row>
    <row r="139" spans="1:34" x14ac:dyDescent="0.2">
      <c r="A139" s="28">
        <v>29001</v>
      </c>
      <c r="B139">
        <v>2</v>
      </c>
      <c r="C139">
        <v>1</v>
      </c>
      <c r="D139">
        <v>2</v>
      </c>
      <c r="E139">
        <v>5</v>
      </c>
      <c r="F139">
        <v>6</v>
      </c>
      <c r="G139">
        <v>6</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s="17">
        <v>0</v>
      </c>
    </row>
    <row r="140" spans="1:34" x14ac:dyDescent="0.2">
      <c r="A140" s="28">
        <v>29002</v>
      </c>
      <c r="B140">
        <v>5</v>
      </c>
      <c r="C140">
        <v>4</v>
      </c>
      <c r="D140">
        <v>6</v>
      </c>
      <c r="E140">
        <v>4</v>
      </c>
      <c r="F140">
        <v>3</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s="17">
        <v>0</v>
      </c>
    </row>
    <row r="141" spans="1:34" x14ac:dyDescent="0.2">
      <c r="A141" s="28">
        <v>29003</v>
      </c>
      <c r="B141">
        <v>5</v>
      </c>
      <c r="C141">
        <v>2</v>
      </c>
      <c r="D141">
        <v>4</v>
      </c>
      <c r="E141">
        <v>3</v>
      </c>
      <c r="F141">
        <v>6</v>
      </c>
      <c r="G141">
        <v>2</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s="17">
        <v>0</v>
      </c>
    </row>
    <row r="142" spans="1:34" x14ac:dyDescent="0.2">
      <c r="A142" s="28">
        <v>29004</v>
      </c>
      <c r="B142">
        <v>4</v>
      </c>
      <c r="C142">
        <v>5</v>
      </c>
      <c r="D142">
        <v>6</v>
      </c>
      <c r="E142">
        <v>5</v>
      </c>
      <c r="F142">
        <v>1</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s="17">
        <v>0</v>
      </c>
    </row>
    <row r="143" spans="1:34" x14ac:dyDescent="0.2">
      <c r="A143" s="28">
        <v>29005</v>
      </c>
      <c r="B143">
        <v>4</v>
      </c>
      <c r="C143">
        <v>7</v>
      </c>
      <c r="D143">
        <v>6</v>
      </c>
      <c r="E143">
        <v>4</v>
      </c>
      <c r="F143">
        <v>6</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s="17">
        <v>0</v>
      </c>
    </row>
    <row r="144" spans="1:34" x14ac:dyDescent="0.2">
      <c r="A144" s="28">
        <v>30001</v>
      </c>
      <c r="B144">
        <v>2</v>
      </c>
      <c r="C144">
        <v>2</v>
      </c>
      <c r="D144">
        <v>1</v>
      </c>
      <c r="E144">
        <v>1</v>
      </c>
      <c r="F144">
        <v>4</v>
      </c>
      <c r="G144">
        <v>2</v>
      </c>
      <c r="H144">
        <v>3</v>
      </c>
      <c r="I144">
        <v>5</v>
      </c>
      <c r="J144">
        <v>2</v>
      </c>
      <c r="K144">
        <v>2</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s="17">
        <v>0</v>
      </c>
    </row>
    <row r="145" spans="1:34" x14ac:dyDescent="0.2">
      <c r="A145" s="28">
        <v>30002</v>
      </c>
      <c r="B145">
        <v>1</v>
      </c>
      <c r="C145">
        <v>1</v>
      </c>
      <c r="D145">
        <v>1</v>
      </c>
      <c r="E145">
        <v>1</v>
      </c>
      <c r="F145">
        <v>1</v>
      </c>
      <c r="G145">
        <v>1</v>
      </c>
      <c r="H145">
        <v>1</v>
      </c>
      <c r="I145">
        <v>1</v>
      </c>
      <c r="J145">
        <v>1</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s="17">
        <v>0</v>
      </c>
    </row>
    <row r="146" spans="1:34" x14ac:dyDescent="0.2">
      <c r="A146" s="28">
        <v>30003</v>
      </c>
      <c r="B146">
        <v>2</v>
      </c>
      <c r="C146">
        <v>1</v>
      </c>
      <c r="D146">
        <v>4</v>
      </c>
      <c r="E146">
        <v>1</v>
      </c>
      <c r="F146">
        <v>2</v>
      </c>
      <c r="G146">
        <v>4</v>
      </c>
      <c r="H146">
        <v>1</v>
      </c>
      <c r="I146">
        <v>4</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s="17">
        <v>0</v>
      </c>
    </row>
    <row r="147" spans="1:34" x14ac:dyDescent="0.2">
      <c r="A147" s="28">
        <v>30004</v>
      </c>
      <c r="B147">
        <v>5</v>
      </c>
      <c r="C147">
        <v>6</v>
      </c>
      <c r="D147">
        <v>5</v>
      </c>
      <c r="E147">
        <v>1</v>
      </c>
      <c r="F147">
        <v>1</v>
      </c>
      <c r="G147">
        <v>1</v>
      </c>
      <c r="H147">
        <v>3</v>
      </c>
      <c r="I147">
        <v>1</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s="17">
        <v>0</v>
      </c>
    </row>
    <row r="148" spans="1:34" x14ac:dyDescent="0.2">
      <c r="A148" s="28">
        <v>30005</v>
      </c>
      <c r="B148">
        <v>2</v>
      </c>
      <c r="C148">
        <v>2</v>
      </c>
      <c r="D148">
        <v>2</v>
      </c>
      <c r="E148">
        <v>1</v>
      </c>
      <c r="F148">
        <v>3</v>
      </c>
      <c r="G148">
        <v>3</v>
      </c>
      <c r="H148">
        <v>4</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s="17">
        <v>0</v>
      </c>
    </row>
    <row r="149" spans="1:34" x14ac:dyDescent="0.2">
      <c r="A149" s="28">
        <v>30006</v>
      </c>
      <c r="B149">
        <v>4</v>
      </c>
      <c r="C149">
        <v>4</v>
      </c>
      <c r="D149">
        <v>4</v>
      </c>
      <c r="E149">
        <v>4</v>
      </c>
      <c r="F149">
        <v>2</v>
      </c>
      <c r="G149">
        <v>2</v>
      </c>
      <c r="H149">
        <v>2</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s="17">
        <v>0</v>
      </c>
    </row>
    <row r="150" spans="1:34" x14ac:dyDescent="0.2">
      <c r="A150" s="28">
        <v>30007</v>
      </c>
      <c r="B150">
        <v>2</v>
      </c>
      <c r="C150">
        <v>2</v>
      </c>
      <c r="D150">
        <v>5</v>
      </c>
      <c r="E150">
        <v>5</v>
      </c>
      <c r="F150">
        <v>5</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s="17">
        <v>0</v>
      </c>
    </row>
    <row r="151" spans="1:34" x14ac:dyDescent="0.2">
      <c r="A151" s="28">
        <v>30008</v>
      </c>
      <c r="B151">
        <v>5</v>
      </c>
      <c r="C151">
        <v>5</v>
      </c>
      <c r="D151">
        <v>6</v>
      </c>
      <c r="E151">
        <v>3</v>
      </c>
      <c r="F151">
        <v>3</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s="17">
        <v>0</v>
      </c>
    </row>
    <row r="152" spans="1:34" x14ac:dyDescent="0.2">
      <c r="A152" s="28">
        <v>30009</v>
      </c>
      <c r="B152">
        <v>5</v>
      </c>
      <c r="C152">
        <v>5</v>
      </c>
      <c r="D152">
        <v>5</v>
      </c>
      <c r="E152">
        <v>5</v>
      </c>
      <c r="F152">
        <v>6</v>
      </c>
      <c r="G152">
        <v>5</v>
      </c>
      <c r="H152">
        <v>5</v>
      </c>
      <c r="I152">
        <v>5</v>
      </c>
      <c r="J152">
        <v>5</v>
      </c>
      <c r="K152">
        <v>5</v>
      </c>
      <c r="L152">
        <v>5</v>
      </c>
      <c r="M152">
        <v>5</v>
      </c>
      <c r="N152">
        <v>5</v>
      </c>
      <c r="O152">
        <v>5</v>
      </c>
      <c r="P152">
        <v>0</v>
      </c>
      <c r="Q152">
        <v>0</v>
      </c>
      <c r="R152">
        <v>0</v>
      </c>
      <c r="S152">
        <v>0</v>
      </c>
      <c r="T152">
        <v>0</v>
      </c>
      <c r="U152">
        <v>0</v>
      </c>
      <c r="V152">
        <v>0</v>
      </c>
      <c r="W152">
        <v>0</v>
      </c>
      <c r="X152">
        <v>0</v>
      </c>
      <c r="Y152">
        <v>0</v>
      </c>
      <c r="Z152">
        <v>0</v>
      </c>
      <c r="AA152">
        <v>0</v>
      </c>
      <c r="AB152">
        <v>0</v>
      </c>
      <c r="AC152">
        <v>0</v>
      </c>
      <c r="AD152">
        <v>0</v>
      </c>
      <c r="AE152">
        <v>0</v>
      </c>
      <c r="AF152">
        <v>0</v>
      </c>
      <c r="AG152">
        <v>0</v>
      </c>
      <c r="AH152" s="17">
        <v>0</v>
      </c>
    </row>
    <row r="153" spans="1:34" x14ac:dyDescent="0.2">
      <c r="A153" s="28">
        <v>30010</v>
      </c>
      <c r="B153">
        <v>6</v>
      </c>
      <c r="C153">
        <v>6</v>
      </c>
      <c r="D153">
        <v>6</v>
      </c>
      <c r="E153">
        <v>6</v>
      </c>
      <c r="F153">
        <v>2</v>
      </c>
      <c r="G153">
        <v>2</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s="17">
        <v>0</v>
      </c>
    </row>
    <row r="154" spans="1:34" x14ac:dyDescent="0.2">
      <c r="A154" s="28">
        <v>30011</v>
      </c>
      <c r="B154">
        <v>5</v>
      </c>
      <c r="C154">
        <v>5</v>
      </c>
      <c r="D154">
        <v>2</v>
      </c>
      <c r="E154">
        <v>1</v>
      </c>
      <c r="F154">
        <v>5</v>
      </c>
      <c r="G154">
        <v>5</v>
      </c>
      <c r="H154">
        <v>5</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s="17">
        <v>0</v>
      </c>
    </row>
    <row r="155" spans="1:34" x14ac:dyDescent="0.2">
      <c r="A155" s="28">
        <v>30012</v>
      </c>
      <c r="B155">
        <v>1</v>
      </c>
      <c r="C155">
        <v>1</v>
      </c>
      <c r="D155">
        <v>1</v>
      </c>
      <c r="E155">
        <v>1</v>
      </c>
      <c r="F155">
        <v>1</v>
      </c>
      <c r="G155">
        <v>1</v>
      </c>
      <c r="H155">
        <v>1</v>
      </c>
      <c r="I155">
        <v>1</v>
      </c>
      <c r="J155">
        <v>1</v>
      </c>
      <c r="K155">
        <v>1</v>
      </c>
      <c r="L155">
        <v>1</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s="17">
        <v>0</v>
      </c>
    </row>
    <row r="156" spans="1:34" x14ac:dyDescent="0.2">
      <c r="A156" s="28">
        <v>30013</v>
      </c>
      <c r="B156">
        <v>4</v>
      </c>
      <c r="C156">
        <v>4</v>
      </c>
      <c r="D156">
        <v>4</v>
      </c>
      <c r="E156">
        <v>1</v>
      </c>
      <c r="F156">
        <v>3</v>
      </c>
      <c r="G156">
        <v>3</v>
      </c>
      <c r="H156">
        <v>4</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s="17">
        <v>0</v>
      </c>
    </row>
    <row r="157" spans="1:34" x14ac:dyDescent="0.2">
      <c r="A157" s="28">
        <v>31001</v>
      </c>
      <c r="B157">
        <v>2</v>
      </c>
      <c r="C157">
        <v>2</v>
      </c>
      <c r="D157">
        <v>1</v>
      </c>
      <c r="E157">
        <v>2</v>
      </c>
      <c r="F157">
        <v>2</v>
      </c>
      <c r="G157">
        <v>1</v>
      </c>
      <c r="H157">
        <v>1</v>
      </c>
      <c r="I157">
        <v>2</v>
      </c>
      <c r="J157">
        <v>5</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s="17">
        <v>0</v>
      </c>
    </row>
    <row r="158" spans="1:34" x14ac:dyDescent="0.2">
      <c r="A158" s="28">
        <v>31002</v>
      </c>
      <c r="B158">
        <v>0</v>
      </c>
      <c r="C158">
        <v>1</v>
      </c>
      <c r="D158">
        <v>2</v>
      </c>
      <c r="E158">
        <v>2</v>
      </c>
      <c r="F158">
        <v>2</v>
      </c>
      <c r="G158">
        <v>2</v>
      </c>
      <c r="H158">
        <v>2</v>
      </c>
      <c r="I158">
        <v>3</v>
      </c>
      <c r="J158">
        <v>3</v>
      </c>
      <c r="K158">
        <v>5</v>
      </c>
      <c r="L158">
        <v>3</v>
      </c>
      <c r="M158">
        <v>3</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s="17">
        <v>0</v>
      </c>
    </row>
    <row r="159" spans="1:34" x14ac:dyDescent="0.2">
      <c r="A159" s="28">
        <v>31003</v>
      </c>
      <c r="B159">
        <v>2</v>
      </c>
      <c r="C159">
        <v>2</v>
      </c>
      <c r="D159">
        <v>2</v>
      </c>
      <c r="E159">
        <v>2</v>
      </c>
      <c r="F159">
        <v>2</v>
      </c>
      <c r="G159">
        <v>2</v>
      </c>
      <c r="H159">
        <v>4</v>
      </c>
      <c r="I159">
        <v>4</v>
      </c>
      <c r="J159">
        <v>3</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s="17">
        <v>0</v>
      </c>
    </row>
    <row r="160" spans="1:34" x14ac:dyDescent="0.2">
      <c r="A160" s="28">
        <v>31004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s="17">
        <v>0</v>
      </c>
    </row>
    <row r="161" spans="1:34" x14ac:dyDescent="0.2">
      <c r="A161" s="28">
        <v>31005</v>
      </c>
      <c r="B161">
        <v>5</v>
      </c>
      <c r="C161">
        <v>5</v>
      </c>
      <c r="D161">
        <v>5</v>
      </c>
      <c r="E161">
        <v>4</v>
      </c>
      <c r="F161">
        <v>3</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s="17">
        <v>0</v>
      </c>
    </row>
    <row r="162" spans="1:34" x14ac:dyDescent="0.2">
      <c r="A162" s="28">
        <v>31006</v>
      </c>
      <c r="B162">
        <v>3</v>
      </c>
      <c r="C162">
        <v>2</v>
      </c>
      <c r="D162">
        <v>2</v>
      </c>
      <c r="E162">
        <v>2</v>
      </c>
      <c r="F162">
        <v>3</v>
      </c>
      <c r="G162">
        <v>3</v>
      </c>
      <c r="H162">
        <v>2</v>
      </c>
      <c r="I162">
        <v>2</v>
      </c>
      <c r="J162">
        <v>1</v>
      </c>
      <c r="K162">
        <v>2</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s="17">
        <v>0</v>
      </c>
    </row>
    <row r="163" spans="1:34" x14ac:dyDescent="0.2">
      <c r="A163" s="28">
        <v>31007</v>
      </c>
      <c r="B163">
        <v>4</v>
      </c>
      <c r="C163">
        <v>4</v>
      </c>
      <c r="D163">
        <v>4</v>
      </c>
      <c r="E163">
        <v>4</v>
      </c>
      <c r="F163">
        <v>4</v>
      </c>
      <c r="G163">
        <v>2</v>
      </c>
      <c r="H163">
        <v>4</v>
      </c>
      <c r="I163">
        <v>4</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s="17">
        <v>0</v>
      </c>
    </row>
    <row r="164" spans="1:34" x14ac:dyDescent="0.2">
      <c r="A164" s="28">
        <v>31008</v>
      </c>
      <c r="B164">
        <v>0</v>
      </c>
      <c r="C164">
        <v>0</v>
      </c>
      <c r="D164">
        <v>0</v>
      </c>
      <c r="E164">
        <v>0</v>
      </c>
      <c r="F164">
        <v>0</v>
      </c>
      <c r="G164">
        <v>1</v>
      </c>
      <c r="H164">
        <v>1</v>
      </c>
      <c r="I164">
        <v>1</v>
      </c>
      <c r="J164">
        <v>2</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s="17">
        <v>0</v>
      </c>
    </row>
    <row r="165" spans="1:34" x14ac:dyDescent="0.2">
      <c r="A165" s="28">
        <v>31009</v>
      </c>
      <c r="B165">
        <v>2</v>
      </c>
      <c r="C165">
        <v>2</v>
      </c>
      <c r="D165">
        <v>2</v>
      </c>
      <c r="E165">
        <v>2</v>
      </c>
      <c r="F165">
        <v>2</v>
      </c>
      <c r="G165">
        <v>2</v>
      </c>
      <c r="H165">
        <v>1</v>
      </c>
      <c r="I165">
        <v>2</v>
      </c>
      <c r="J165">
        <v>3</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s="17">
        <v>0</v>
      </c>
    </row>
    <row r="166" spans="1:34" x14ac:dyDescent="0.2">
      <c r="A166" s="28">
        <v>31010</v>
      </c>
      <c r="B166">
        <v>3</v>
      </c>
      <c r="C166">
        <v>0</v>
      </c>
      <c r="D166">
        <v>0</v>
      </c>
      <c r="E166">
        <v>3</v>
      </c>
      <c r="F166">
        <v>3</v>
      </c>
      <c r="G166">
        <v>3</v>
      </c>
      <c r="H166">
        <v>5</v>
      </c>
      <c r="I166">
        <v>5</v>
      </c>
      <c r="J166">
        <v>5</v>
      </c>
      <c r="K166">
        <v>3</v>
      </c>
      <c r="L166">
        <v>5</v>
      </c>
      <c r="M166">
        <v>5</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s="17">
        <v>0</v>
      </c>
    </row>
    <row r="167" spans="1:34" x14ac:dyDescent="0.2">
      <c r="A167" s="28">
        <v>35001</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s="17">
        <v>0</v>
      </c>
    </row>
    <row r="168" spans="1:34" x14ac:dyDescent="0.2">
      <c r="A168" s="28">
        <v>35002</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s="17">
        <v>0</v>
      </c>
    </row>
    <row r="169" spans="1:34" x14ac:dyDescent="0.2">
      <c r="A169" s="28">
        <v>35003</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s="17">
        <v>0</v>
      </c>
    </row>
    <row r="170" spans="1:34" x14ac:dyDescent="0.2">
      <c r="A170" s="28">
        <v>35004</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s="17">
        <v>0</v>
      </c>
    </row>
    <row r="171" spans="1:34" x14ac:dyDescent="0.2">
      <c r="A171" s="28">
        <v>35005</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s="17">
        <v>0</v>
      </c>
    </row>
    <row r="172" spans="1:34" x14ac:dyDescent="0.2">
      <c r="A172" s="28">
        <v>35006</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s="17">
        <v>0</v>
      </c>
    </row>
    <row r="173" spans="1:34" x14ac:dyDescent="0.2">
      <c r="A173" s="28">
        <v>35007</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s="17">
        <v>0</v>
      </c>
    </row>
    <row r="174" spans="1:34" x14ac:dyDescent="0.2">
      <c r="A174" s="28">
        <v>36001</v>
      </c>
      <c r="B174">
        <v>5</v>
      </c>
      <c r="C174">
        <v>4</v>
      </c>
      <c r="D174">
        <v>5</v>
      </c>
      <c r="E174">
        <v>5</v>
      </c>
      <c r="F174">
        <v>6</v>
      </c>
      <c r="G174">
        <v>6</v>
      </c>
      <c r="H174">
        <v>5</v>
      </c>
      <c r="I174">
        <v>6</v>
      </c>
      <c r="J174">
        <v>6</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s="17">
        <v>0</v>
      </c>
    </row>
    <row r="175" spans="1:34" x14ac:dyDescent="0.2">
      <c r="A175" s="28">
        <v>36002</v>
      </c>
      <c r="B175">
        <v>4</v>
      </c>
      <c r="C175">
        <v>5</v>
      </c>
      <c r="D175">
        <v>5</v>
      </c>
      <c r="E175">
        <v>7</v>
      </c>
      <c r="F175">
        <v>7</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s="17">
        <v>0</v>
      </c>
    </row>
    <row r="176" spans="1:34" x14ac:dyDescent="0.2">
      <c r="A176" s="28">
        <v>36003</v>
      </c>
      <c r="B176">
        <v>5</v>
      </c>
      <c r="C176">
        <v>6</v>
      </c>
      <c r="D176">
        <v>6</v>
      </c>
      <c r="E176">
        <v>4</v>
      </c>
      <c r="F176">
        <v>5</v>
      </c>
      <c r="G176">
        <v>4</v>
      </c>
      <c r="H176">
        <v>1</v>
      </c>
      <c r="I176">
        <v>2</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s="17">
        <v>0</v>
      </c>
    </row>
    <row r="177" spans="1:34" x14ac:dyDescent="0.2">
      <c r="A177" s="28">
        <v>36004</v>
      </c>
      <c r="B177">
        <v>6</v>
      </c>
      <c r="C177">
        <v>6</v>
      </c>
      <c r="D177">
        <v>5</v>
      </c>
      <c r="E177">
        <v>6</v>
      </c>
      <c r="F177">
        <v>6</v>
      </c>
      <c r="G177">
        <v>3</v>
      </c>
      <c r="H177">
        <v>5</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s="17">
        <v>0</v>
      </c>
    </row>
    <row r="178" spans="1:34" x14ac:dyDescent="0.2">
      <c r="A178" s="28">
        <v>36005</v>
      </c>
      <c r="B178">
        <v>5</v>
      </c>
      <c r="C178">
        <v>7</v>
      </c>
      <c r="D178">
        <v>7</v>
      </c>
      <c r="E178">
        <v>7</v>
      </c>
      <c r="F178">
        <v>6</v>
      </c>
      <c r="G178">
        <v>7</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s="17">
        <v>0</v>
      </c>
    </row>
    <row r="179" spans="1:34" x14ac:dyDescent="0.2">
      <c r="A179" s="28">
        <v>36006</v>
      </c>
      <c r="B179">
        <v>4</v>
      </c>
      <c r="C179">
        <v>2</v>
      </c>
      <c r="D179">
        <v>1</v>
      </c>
      <c r="E179">
        <v>1</v>
      </c>
      <c r="F179">
        <v>4</v>
      </c>
      <c r="G179">
        <v>3</v>
      </c>
      <c r="H179">
        <v>0</v>
      </c>
      <c r="I179">
        <v>1</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s="17">
        <v>0</v>
      </c>
    </row>
    <row r="180" spans="1:34" x14ac:dyDescent="0.2">
      <c r="A180" s="28">
        <v>36007</v>
      </c>
      <c r="B180">
        <v>5</v>
      </c>
      <c r="C180">
        <v>6</v>
      </c>
      <c r="D180">
        <v>5</v>
      </c>
      <c r="E180">
        <v>4</v>
      </c>
      <c r="F180">
        <v>4</v>
      </c>
      <c r="G180">
        <v>4</v>
      </c>
      <c r="H180">
        <v>4</v>
      </c>
      <c r="I180">
        <v>4</v>
      </c>
      <c r="J180">
        <v>4</v>
      </c>
      <c r="K180">
        <v>4</v>
      </c>
      <c r="L180">
        <v>3</v>
      </c>
      <c r="M180">
        <v>4</v>
      </c>
      <c r="N180">
        <v>2</v>
      </c>
      <c r="O180">
        <v>3</v>
      </c>
      <c r="P180">
        <v>0</v>
      </c>
      <c r="Q180">
        <v>0</v>
      </c>
      <c r="R180">
        <v>0</v>
      </c>
      <c r="S180">
        <v>0</v>
      </c>
      <c r="T180">
        <v>0</v>
      </c>
      <c r="U180">
        <v>0</v>
      </c>
      <c r="V180">
        <v>0</v>
      </c>
      <c r="W180">
        <v>0</v>
      </c>
      <c r="X180">
        <v>0</v>
      </c>
      <c r="Y180">
        <v>0</v>
      </c>
      <c r="Z180">
        <v>0</v>
      </c>
      <c r="AA180">
        <v>0</v>
      </c>
      <c r="AB180">
        <v>0</v>
      </c>
      <c r="AC180">
        <v>0</v>
      </c>
      <c r="AD180">
        <v>0</v>
      </c>
      <c r="AE180">
        <v>0</v>
      </c>
      <c r="AF180">
        <v>0</v>
      </c>
      <c r="AG180">
        <v>0</v>
      </c>
      <c r="AH180" s="17">
        <v>0</v>
      </c>
    </row>
    <row r="181" spans="1:34" x14ac:dyDescent="0.2">
      <c r="A181" s="28">
        <v>36008</v>
      </c>
      <c r="B181">
        <v>4</v>
      </c>
      <c r="C181">
        <v>6</v>
      </c>
      <c r="D181">
        <v>2</v>
      </c>
      <c r="E181">
        <v>2</v>
      </c>
      <c r="F181">
        <v>1</v>
      </c>
      <c r="G181">
        <v>2</v>
      </c>
      <c r="H181">
        <v>3</v>
      </c>
      <c r="I181">
        <v>1</v>
      </c>
      <c r="J181">
        <v>3</v>
      </c>
      <c r="K181">
        <v>2</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s="17">
        <v>0</v>
      </c>
    </row>
    <row r="182" spans="1:34" x14ac:dyDescent="0.2">
      <c r="A182" s="28">
        <v>36009</v>
      </c>
      <c r="B182">
        <v>3</v>
      </c>
      <c r="C182">
        <v>3</v>
      </c>
      <c r="D182">
        <v>2</v>
      </c>
      <c r="E182">
        <v>2</v>
      </c>
      <c r="F182">
        <v>6</v>
      </c>
      <c r="G182">
        <v>6</v>
      </c>
      <c r="H182">
        <v>5</v>
      </c>
      <c r="I182">
        <v>5</v>
      </c>
      <c r="J182">
        <v>5</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s="17">
        <v>0</v>
      </c>
    </row>
    <row r="183" spans="1:34" x14ac:dyDescent="0.2">
      <c r="A183" s="28">
        <v>36010</v>
      </c>
      <c r="B183">
        <v>6</v>
      </c>
      <c r="C183">
        <v>3</v>
      </c>
      <c r="D183">
        <v>6</v>
      </c>
      <c r="E183">
        <v>4</v>
      </c>
      <c r="F183">
        <v>7</v>
      </c>
      <c r="G183">
        <v>7</v>
      </c>
      <c r="H183">
        <v>6</v>
      </c>
      <c r="I183">
        <v>6</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s="17">
        <v>0</v>
      </c>
    </row>
    <row r="184" spans="1:34" x14ac:dyDescent="0.2">
      <c r="A184" s="28">
        <v>36011</v>
      </c>
      <c r="B184">
        <v>4</v>
      </c>
      <c r="C184">
        <v>5</v>
      </c>
      <c r="D184">
        <v>5</v>
      </c>
      <c r="E184">
        <v>7</v>
      </c>
      <c r="F184">
        <v>7</v>
      </c>
      <c r="G184">
        <v>5</v>
      </c>
      <c r="H184">
        <v>5</v>
      </c>
      <c r="I184">
        <v>6</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s="17">
        <v>0</v>
      </c>
    </row>
    <row r="185" spans="1:34" x14ac:dyDescent="0.2">
      <c r="A185" s="28">
        <v>37001</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s="17">
        <v>0</v>
      </c>
    </row>
    <row r="186" spans="1:34" x14ac:dyDescent="0.2">
      <c r="A186" s="28">
        <v>37002</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s="17">
        <v>0</v>
      </c>
    </row>
    <row r="187" spans="1:34" x14ac:dyDescent="0.2">
      <c r="A187" s="28">
        <v>37003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s="17">
        <v>0</v>
      </c>
    </row>
    <row r="188" spans="1:34" x14ac:dyDescent="0.2">
      <c r="A188" s="28">
        <v>37004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s="17">
        <v>0</v>
      </c>
    </row>
    <row r="189" spans="1:34" x14ac:dyDescent="0.2">
      <c r="A189" s="28">
        <v>37005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s="17">
        <v>0</v>
      </c>
    </row>
    <row r="190" spans="1:34" x14ac:dyDescent="0.2">
      <c r="A190" s="28">
        <v>37006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s="17">
        <v>0</v>
      </c>
    </row>
    <row r="191" spans="1:34" x14ac:dyDescent="0.2">
      <c r="A191" s="28">
        <v>37007</v>
      </c>
      <c r="B191">
        <v>0</v>
      </c>
      <c r="C191">
        <v>0</v>
      </c>
      <c r="D191">
        <v>0</v>
      </c>
      <c r="E191">
        <v>0</v>
      </c>
      <c r="F191">
        <v>0</v>
      </c>
      <c r="G191">
        <v>0</v>
      </c>
      <c r="H191">
        <v>1</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s="17">
        <v>0</v>
      </c>
    </row>
    <row r="192" spans="1:34" x14ac:dyDescent="0.2">
      <c r="A192" s="28">
        <v>37008</v>
      </c>
      <c r="B192">
        <v>0</v>
      </c>
      <c r="C192">
        <v>0</v>
      </c>
      <c r="D192">
        <v>1</v>
      </c>
      <c r="E192">
        <v>1</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s="17">
        <v>0</v>
      </c>
    </row>
    <row r="193" spans="1:34" x14ac:dyDescent="0.2">
      <c r="A193" s="28">
        <v>38001</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s="17">
        <v>0</v>
      </c>
    </row>
    <row r="194" spans="1:34" x14ac:dyDescent="0.2">
      <c r="A194" s="28">
        <v>38002</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s="17">
        <v>0</v>
      </c>
    </row>
    <row r="195" spans="1:34" x14ac:dyDescent="0.2">
      <c r="A195" s="28">
        <v>38003</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s="17">
        <v>0</v>
      </c>
    </row>
    <row r="196" spans="1:34" x14ac:dyDescent="0.2">
      <c r="A196" s="28">
        <v>38004</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s="17">
        <v>0</v>
      </c>
    </row>
    <row r="197" spans="1:34" x14ac:dyDescent="0.2">
      <c r="A197" s="28">
        <v>38005</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s="17">
        <v>0</v>
      </c>
    </row>
    <row r="198" spans="1:34" x14ac:dyDescent="0.2">
      <c r="A198" s="28">
        <v>38006</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s="17">
        <v>0</v>
      </c>
    </row>
    <row r="199" spans="1:34" x14ac:dyDescent="0.2">
      <c r="A199" s="28">
        <v>38007</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s="17">
        <v>0</v>
      </c>
    </row>
    <row r="200" spans="1:34" x14ac:dyDescent="0.2">
      <c r="A200" s="28">
        <v>38008</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s="17">
        <v>0</v>
      </c>
    </row>
    <row r="201" spans="1:34" x14ac:dyDescent="0.2">
      <c r="A201" s="28">
        <v>38009</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s="17">
        <v>0</v>
      </c>
    </row>
    <row r="202" spans="1:34" x14ac:dyDescent="0.2">
      <c r="A202" s="28">
        <v>38010</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s="17">
        <v>0</v>
      </c>
    </row>
    <row r="203" spans="1:34" x14ac:dyDescent="0.2">
      <c r="A203" s="28">
        <v>39001</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s="17">
        <v>0</v>
      </c>
    </row>
    <row r="204" spans="1:34" x14ac:dyDescent="0.2">
      <c r="A204" s="28">
        <v>39002</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s="17">
        <v>0</v>
      </c>
    </row>
    <row r="205" spans="1:34" x14ac:dyDescent="0.2">
      <c r="A205" s="28">
        <v>39003</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s="17">
        <v>0</v>
      </c>
    </row>
    <row r="206" spans="1:34" x14ac:dyDescent="0.2">
      <c r="A206" s="28">
        <v>39004</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s="17">
        <v>0</v>
      </c>
    </row>
    <row r="207" spans="1:34" x14ac:dyDescent="0.2">
      <c r="A207" s="28">
        <v>39005</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s="17">
        <v>0</v>
      </c>
    </row>
    <row r="208" spans="1:34" x14ac:dyDescent="0.2">
      <c r="A208" s="28">
        <v>39006</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s="17">
        <v>0</v>
      </c>
    </row>
    <row r="209" spans="1:34" x14ac:dyDescent="0.2">
      <c r="A209" s="28">
        <v>39007</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s="17">
        <v>0</v>
      </c>
    </row>
    <row r="210" spans="1:34" x14ac:dyDescent="0.2">
      <c r="A210" s="28">
        <v>39008</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s="17">
        <v>0</v>
      </c>
    </row>
    <row r="211" spans="1:34" x14ac:dyDescent="0.2">
      <c r="A211" s="28">
        <v>39009</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s="17">
        <v>0</v>
      </c>
    </row>
    <row r="212" spans="1:34" x14ac:dyDescent="0.2">
      <c r="A212" s="28">
        <v>39010</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s="17">
        <v>0</v>
      </c>
    </row>
    <row r="213" spans="1:34" x14ac:dyDescent="0.2">
      <c r="A213" s="28">
        <v>39011</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s="17">
        <v>0</v>
      </c>
    </row>
    <row r="214" spans="1:34" x14ac:dyDescent="0.2">
      <c r="A214" s="28">
        <v>40001</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s="17">
        <v>0</v>
      </c>
    </row>
    <row r="215" spans="1:34" x14ac:dyDescent="0.2">
      <c r="A215" s="28">
        <v>40002</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s="17">
        <v>0</v>
      </c>
    </row>
    <row r="216" spans="1:34" x14ac:dyDescent="0.2">
      <c r="A216" s="28">
        <v>40003</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s="17">
        <v>0</v>
      </c>
    </row>
    <row r="217" spans="1:34" x14ac:dyDescent="0.2">
      <c r="A217" s="28">
        <v>40004</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s="28">
        <v>40005</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row>
    <row r="219" spans="1:34" x14ac:dyDescent="0.2">
      <c r="A219" s="28">
        <v>43001</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row>
    <row r="220" spans="1:34" x14ac:dyDescent="0.2">
      <c r="A220" s="28">
        <v>43002</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row>
    <row r="221" spans="1:34" x14ac:dyDescent="0.2">
      <c r="A221" s="28">
        <v>43003</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row>
    <row r="222" spans="1:34" x14ac:dyDescent="0.2">
      <c r="A222" s="28">
        <v>43004</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row>
    <row r="223" spans="1:34" x14ac:dyDescent="0.2">
      <c r="A223" s="28">
        <v>43005</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row>
    <row r="224" spans="1:34" x14ac:dyDescent="0.2">
      <c r="A224" s="28">
        <v>43006</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row>
    <row r="225" spans="1:34" x14ac:dyDescent="0.2">
      <c r="A225" s="28">
        <v>44001</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row>
    <row r="226" spans="1:34" x14ac:dyDescent="0.2">
      <c r="A226" s="28">
        <v>44002</v>
      </c>
      <c r="B226">
        <v>0</v>
      </c>
      <c r="C226">
        <v>0</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row>
    <row r="227" spans="1:34" x14ac:dyDescent="0.2">
      <c r="A227" s="28">
        <v>44003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row>
    <row r="228" spans="1:34" x14ac:dyDescent="0.2">
      <c r="A228" s="28">
        <v>44004</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
      <c r="A229" s="28">
        <v>44005</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row>
    <row r="230" spans="1:34" x14ac:dyDescent="0.2">
      <c r="A230" s="28">
        <v>44006</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row>
    <row r="231" spans="1:34" x14ac:dyDescent="0.2">
      <c r="A231" s="28">
        <v>44007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row>
    <row r="232" spans="1:34" x14ac:dyDescent="0.2">
      <c r="A232" s="28">
        <v>45001</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
      <c r="A233" s="28">
        <v>45002</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row>
    <row r="234" spans="1:34" x14ac:dyDescent="0.2">
      <c r="A234" s="28">
        <v>45003</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row>
    <row r="235" spans="1:34" x14ac:dyDescent="0.2">
      <c r="A235" s="28">
        <v>45004</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row>
    <row r="236" spans="1:34" x14ac:dyDescent="0.2">
      <c r="A236" s="28">
        <v>45005</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row>
    <row r="237" spans="1:34" x14ac:dyDescent="0.2">
      <c r="A237" s="28">
        <v>45006</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row>
    <row r="238" spans="1:34" x14ac:dyDescent="0.2">
      <c r="A238" s="28">
        <v>45007</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row>
    <row r="239" spans="1:34" x14ac:dyDescent="0.2">
      <c r="A239" s="28">
        <v>45008</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
      <c r="A240" s="28">
        <v>45009</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row>
    <row r="241" spans="1:34" x14ac:dyDescent="0.2">
      <c r="A241" s="28">
        <v>45010</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row>
    <row r="242" spans="1:34" x14ac:dyDescent="0.2">
      <c r="A242" s="28">
        <v>46001</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
      <c r="A243" s="28">
        <v>46002</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row>
    <row r="244" spans="1:34" x14ac:dyDescent="0.2">
      <c r="A244" s="28">
        <v>46003</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
      <c r="A245" s="28">
        <v>46004</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
      <c r="A246" s="28">
        <v>46005</v>
      </c>
      <c r="B246">
        <v>0</v>
      </c>
      <c r="C246">
        <v>0</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row>
    <row r="247" spans="1:34" x14ac:dyDescent="0.2">
      <c r="A247" s="28">
        <v>46006</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row>
    <row r="248" spans="1:34" x14ac:dyDescent="0.2">
      <c r="A248" s="28">
        <v>46007</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row>
    <row r="249" spans="1:34" x14ac:dyDescent="0.2">
      <c r="A249" s="28">
        <v>46008</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row>
    <row r="250" spans="1:34" x14ac:dyDescent="0.2">
      <c r="A250" s="28">
        <v>46009</v>
      </c>
      <c r="B250">
        <v>0</v>
      </c>
      <c r="C250">
        <v>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row>
    <row r="251" spans="1:34" x14ac:dyDescent="0.2">
      <c r="A251" s="28">
        <v>46010</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row>
    <row r="252" spans="1:34" x14ac:dyDescent="0.2">
      <c r="A252" s="28">
        <v>46011</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row>
    <row r="253" spans="1:34" x14ac:dyDescent="0.2">
      <c r="A253" s="28">
        <v>46012</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row>
    <row r="254" spans="1:34" x14ac:dyDescent="0.2">
      <c r="A254" s="28">
        <v>47001</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row>
    <row r="255" spans="1:34" x14ac:dyDescent="0.2">
      <c r="A255" s="28">
        <v>47002</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row>
    <row r="256" spans="1:34" x14ac:dyDescent="0.2">
      <c r="A256" s="28">
        <v>47003</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row>
    <row r="257" spans="1:34" x14ac:dyDescent="0.2">
      <c r="A257" s="28">
        <v>47004</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row>
    <row r="258" spans="1:34" x14ac:dyDescent="0.2">
      <c r="A258" s="28">
        <v>47005</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row>
    <row r="259" spans="1:34" x14ac:dyDescent="0.2">
      <c r="A259" s="28">
        <v>47006</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row>
    <row r="260" spans="1:34" x14ac:dyDescent="0.2">
      <c r="A260" s="28">
        <v>47007</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row>
    <row r="261" spans="1:34" x14ac:dyDescent="0.2">
      <c r="A261" s="28">
        <v>47008</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row>
    <row r="262" spans="1:34" x14ac:dyDescent="0.2">
      <c r="A262" s="28">
        <v>47009</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row>
    <row r="263" spans="1:34" x14ac:dyDescent="0.2">
      <c r="A263" s="28">
        <v>47010</v>
      </c>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
      <c r="A264" s="28">
        <v>48001</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row>
    <row r="265" spans="1:34" x14ac:dyDescent="0.2">
      <c r="A265" s="28">
        <v>48002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row>
    <row r="266" spans="1:34" x14ac:dyDescent="0.2">
      <c r="A266" s="28">
        <v>48003</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row>
    <row r="267" spans="1:34" x14ac:dyDescent="0.2">
      <c r="A267" s="28">
        <v>48004</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row>
    <row r="268" spans="1:34" x14ac:dyDescent="0.2">
      <c r="A268" s="28">
        <v>48005</v>
      </c>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row>
    <row r="269" spans="1:34" x14ac:dyDescent="0.2">
      <c r="A269" s="28">
        <v>48006</v>
      </c>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
      <c r="A270" s="28">
        <v>48007</v>
      </c>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row>
    <row r="271" spans="1:34" x14ac:dyDescent="0.2">
      <c r="A271" s="28">
        <v>48008</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row>
    <row r="272" spans="1:34" x14ac:dyDescent="0.2">
      <c r="A272" s="28">
        <v>48009</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row>
    <row r="273" spans="1:34" x14ac:dyDescent="0.2">
      <c r="A273" s="28">
        <v>48020</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
      <c r="A274" s="28">
        <v>48030</v>
      </c>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row>
    <row r="275" spans="1:34" x14ac:dyDescent="0.2">
      <c r="A275" s="28">
        <v>48012</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
      <c r="A276" s="28">
        <v>48050</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
      <c r="A277" s="28">
        <v>48060</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row>
    <row r="278" spans="1:34" x14ac:dyDescent="0.2">
      <c r="A278" s="28">
        <v>48070</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row>
    <row r="279" spans="1:34" x14ac:dyDescent="0.2">
      <c r="A279" s="28">
        <v>51001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row>
    <row r="280" spans="1:34" x14ac:dyDescent="0.2">
      <c r="A280" s="28">
        <v>51002</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row>
    <row r="281" spans="1:34" x14ac:dyDescent="0.2">
      <c r="A281" s="28">
        <v>51003</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row>
    <row r="282" spans="1:34" x14ac:dyDescent="0.2">
      <c r="A282" s="28">
        <v>51004</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row>
    <row r="283" spans="1:34" x14ac:dyDescent="0.2">
      <c r="A283" s="28">
        <v>51005</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row>
    <row r="284" spans="1:34" x14ac:dyDescent="0.2">
      <c r="A284" s="28">
        <v>51006</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0"/>
  <sheetViews>
    <sheetView tabSelected="1" topLeftCell="G1" zoomScale="92" workbookViewId="0">
      <pane ySplit="1" topLeftCell="A120" activePane="bottomLeft" state="frozen"/>
      <selection pane="bottomLeft" activeCell="G130" sqref="G130"/>
    </sheetView>
  </sheetViews>
  <sheetFormatPr baseColWidth="10" defaultColWidth="11" defaultRowHeight="24" x14ac:dyDescent="0.45"/>
  <cols>
    <col min="1" max="1" width="41.5" customWidth="1"/>
    <col min="2" max="2" width="67.1640625" hidden="1"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793</v>
      </c>
      <c r="B1" t="s">
        <v>389</v>
      </c>
      <c r="C1" t="s">
        <v>794</v>
      </c>
      <c r="D1" t="s">
        <v>795</v>
      </c>
      <c r="E1" t="s">
        <v>215</v>
      </c>
      <c r="F1" s="18" t="s">
        <v>796</v>
      </c>
      <c r="G1" s="23" t="s">
        <v>682</v>
      </c>
    </row>
    <row r="2" spans="1:9" x14ac:dyDescent="0.45">
      <c r="A2" s="1" t="s">
        <v>381</v>
      </c>
      <c r="C2" s="1" t="s">
        <v>382</v>
      </c>
      <c r="D2" s="1" t="s">
        <v>219</v>
      </c>
      <c r="E2" s="1" t="s">
        <v>214</v>
      </c>
      <c r="F2" s="19" t="s">
        <v>220</v>
      </c>
      <c r="G2" s="24" t="s">
        <v>221</v>
      </c>
      <c r="H2" s="1" t="s">
        <v>297</v>
      </c>
      <c r="I2" s="1" t="s">
        <v>318</v>
      </c>
    </row>
    <row r="3" spans="1:9" x14ac:dyDescent="0.45">
      <c r="A3" t="str">
        <f t="shared" ref="A3:A35" si="0">CONCATENATE("#",(LOWER(SUBSTITUTE(CONCATENATE(D3,"_",E3)," ","_"))))</f>
        <v>#header_title</v>
      </c>
      <c r="B3" t="str">
        <f>CONCATENATE("",(LOWER(SUBSTITUTE(CONCATENATE(D3,"_",E3)," ","_"))),"")</f>
        <v>header_title</v>
      </c>
      <c r="C3">
        <v>1</v>
      </c>
      <c r="D3" t="s">
        <v>222</v>
      </c>
      <c r="E3" t="s">
        <v>337</v>
      </c>
      <c r="F3" s="18" t="s">
        <v>223</v>
      </c>
      <c r="G3" s="23" t="s">
        <v>683</v>
      </c>
    </row>
    <row r="4" spans="1:9" x14ac:dyDescent="0.45">
      <c r="A4" t="str">
        <f t="shared" si="0"/>
        <v>#header_municipality</v>
      </c>
      <c r="B4" t="str">
        <f t="shared" ref="B4:B71" si="1">CONCATENATE("",(LOWER(SUBSTITUTE(CONCATENATE(D4,"_",E4)," ","_"))),"")</f>
        <v>header_municipality</v>
      </c>
      <c r="C4">
        <f t="shared" ref="C4:C68" si="2">C3+1</f>
        <v>2</v>
      </c>
      <c r="D4" t="s">
        <v>222</v>
      </c>
      <c r="E4" t="s">
        <v>224</v>
      </c>
      <c r="F4" s="18" t="s">
        <v>224</v>
      </c>
      <c r="G4" s="23" t="s">
        <v>684</v>
      </c>
    </row>
    <row r="5" spans="1:9" ht="39" x14ac:dyDescent="0.45">
      <c r="A5" t="str">
        <f t="shared" si="0"/>
        <v>#page_1_sources_footer</v>
      </c>
      <c r="B5" t="str">
        <f t="shared" si="1"/>
        <v>page_1_sources_footer</v>
      </c>
      <c r="C5">
        <f t="shared" si="2"/>
        <v>3</v>
      </c>
      <c r="D5" t="s">
        <v>311</v>
      </c>
      <c r="E5" t="s">
        <v>312</v>
      </c>
      <c r="F5" s="18" t="s">
        <v>313</v>
      </c>
      <c r="G5" s="23" t="s">
        <v>685</v>
      </c>
    </row>
    <row r="6" spans="1:9" x14ac:dyDescent="0.45">
      <c r="A6" t="str">
        <f t="shared" si="0"/>
        <v>#page_1_no_info_footer</v>
      </c>
      <c r="B6" t="str">
        <f t="shared" si="1"/>
        <v>page_1_no_info_footer</v>
      </c>
      <c r="C6">
        <f t="shared" si="2"/>
        <v>4</v>
      </c>
      <c r="D6" t="s">
        <v>311</v>
      </c>
      <c r="E6" t="s">
        <v>314</v>
      </c>
      <c r="F6" s="18" t="s">
        <v>315</v>
      </c>
      <c r="G6" s="23" t="s">
        <v>686</v>
      </c>
    </row>
    <row r="7" spans="1:9" x14ac:dyDescent="0.45">
      <c r="A7" t="str">
        <f t="shared" si="0"/>
        <v>#page_2_futher_information</v>
      </c>
      <c r="B7" t="str">
        <f t="shared" si="1"/>
        <v>page_2_futher_information</v>
      </c>
      <c r="C7">
        <f t="shared" si="2"/>
        <v>5</v>
      </c>
      <c r="D7" t="s">
        <v>376</v>
      </c>
      <c r="E7" t="s">
        <v>377</v>
      </c>
      <c r="F7" s="18" t="s">
        <v>378</v>
      </c>
      <c r="G7" s="23" t="s">
        <v>687</v>
      </c>
    </row>
    <row r="8" spans="1:9" ht="32" x14ac:dyDescent="0.6">
      <c r="A8" t="str">
        <f t="shared" si="0"/>
        <v>#page_2_info_1</v>
      </c>
      <c r="B8" t="str">
        <f t="shared" si="1"/>
        <v>page_2_info_1</v>
      </c>
      <c r="C8">
        <f t="shared" si="2"/>
        <v>6</v>
      </c>
      <c r="D8" t="s">
        <v>376</v>
      </c>
      <c r="E8" t="s">
        <v>379</v>
      </c>
      <c r="F8" s="20" t="s">
        <v>323</v>
      </c>
      <c r="G8" s="25" t="s">
        <v>476</v>
      </c>
    </row>
    <row r="9" spans="1:9" ht="32" x14ac:dyDescent="0.6">
      <c r="A9" t="str">
        <f t="shared" si="0"/>
        <v>#page_2_info_2</v>
      </c>
      <c r="B9" t="str">
        <f t="shared" si="1"/>
        <v>page_2_info_2</v>
      </c>
      <c r="C9">
        <f t="shared" si="2"/>
        <v>7</v>
      </c>
      <c r="D9" t="s">
        <v>376</v>
      </c>
      <c r="E9" t="s">
        <v>380</v>
      </c>
      <c r="F9" s="20" t="s">
        <v>324</v>
      </c>
      <c r="G9" s="25" t="s">
        <v>477</v>
      </c>
    </row>
    <row r="10" spans="1:9" x14ac:dyDescent="0.45">
      <c r="A10" t="str">
        <f t="shared" si="0"/>
        <v>#social_connect</v>
      </c>
      <c r="B10" t="str">
        <f t="shared" si="1"/>
        <v>social_connect</v>
      </c>
      <c r="C10">
        <f t="shared" si="2"/>
        <v>8</v>
      </c>
      <c r="D10" t="s">
        <v>325</v>
      </c>
      <c r="E10" t="s">
        <v>326</v>
      </c>
      <c r="F10" s="18" t="s">
        <v>327</v>
      </c>
      <c r="G10" s="23" t="s">
        <v>688</v>
      </c>
    </row>
    <row r="11" spans="1:9" x14ac:dyDescent="0.45">
      <c r="A11" t="str">
        <f t="shared" si="0"/>
        <v>#social_fb</v>
      </c>
      <c r="B11" t="str">
        <f t="shared" si="1"/>
        <v>social_fb</v>
      </c>
      <c r="C11">
        <f t="shared" si="2"/>
        <v>9</v>
      </c>
      <c r="D11" t="s">
        <v>325</v>
      </c>
      <c r="E11" t="s">
        <v>328</v>
      </c>
      <c r="F11" s="18" t="s">
        <v>332</v>
      </c>
      <c r="G11" s="23" t="s">
        <v>689</v>
      </c>
    </row>
    <row r="12" spans="1:9" ht="25" x14ac:dyDescent="0.45">
      <c r="A12" t="str">
        <f t="shared" si="0"/>
        <v>#social_twitter</v>
      </c>
      <c r="B12" t="str">
        <f t="shared" si="1"/>
        <v>social_twitter</v>
      </c>
      <c r="C12">
        <f t="shared" si="2"/>
        <v>10</v>
      </c>
      <c r="D12" t="s">
        <v>325</v>
      </c>
      <c r="E12" t="s">
        <v>329</v>
      </c>
      <c r="F12" s="18" t="s">
        <v>333</v>
      </c>
      <c r="G12" s="26" t="s">
        <v>333</v>
      </c>
    </row>
    <row r="13" spans="1:9" ht="25" x14ac:dyDescent="0.45">
      <c r="A13" t="str">
        <f t="shared" si="0"/>
        <v>#social_pinterest?</v>
      </c>
      <c r="B13" t="str">
        <f t="shared" si="1"/>
        <v>social_pinterest?</v>
      </c>
      <c r="C13">
        <f t="shared" si="2"/>
        <v>11</v>
      </c>
      <c r="D13" t="s">
        <v>325</v>
      </c>
      <c r="E13" t="s">
        <v>330</v>
      </c>
      <c r="F13" s="18" t="s">
        <v>334</v>
      </c>
      <c r="G13" s="26" t="s">
        <v>334</v>
      </c>
    </row>
    <row r="14" spans="1:9" ht="25" x14ac:dyDescent="0.45">
      <c r="A14" t="str">
        <f t="shared" si="0"/>
        <v>#social_flickr</v>
      </c>
      <c r="B14" t="str">
        <f t="shared" si="1"/>
        <v>social_flickr</v>
      </c>
      <c r="C14">
        <f t="shared" si="2"/>
        <v>12</v>
      </c>
      <c r="D14" t="s">
        <v>325</v>
      </c>
      <c r="E14" t="s">
        <v>331</v>
      </c>
      <c r="F14" s="18" t="s">
        <v>335</v>
      </c>
      <c r="G14" s="26" t="s">
        <v>335</v>
      </c>
    </row>
    <row r="15" spans="1:9" x14ac:dyDescent="0.45">
      <c r="A15" t="str">
        <f t="shared" si="0"/>
        <v>#facts_and_figures_panel_title</v>
      </c>
      <c r="B15" t="str">
        <f t="shared" si="1"/>
        <v>facts_and_figures_panel_title</v>
      </c>
      <c r="C15">
        <f t="shared" si="2"/>
        <v>13</v>
      </c>
      <c r="D15" t="s">
        <v>0</v>
      </c>
      <c r="E15" t="s">
        <v>261</v>
      </c>
      <c r="F15" s="18" t="s">
        <v>383</v>
      </c>
      <c r="G15" s="23" t="s">
        <v>690</v>
      </c>
    </row>
    <row r="16" spans="1:9" x14ac:dyDescent="0.45">
      <c r="A16" t="str">
        <f t="shared" si="0"/>
        <v>#facts_and_figures_damage_grade_(1-2)</v>
      </c>
      <c r="B16" t="str">
        <f t="shared" si="1"/>
        <v>facts_and_figures_damage_grade_(1-2)</v>
      </c>
      <c r="C16">
        <f t="shared" si="2"/>
        <v>14</v>
      </c>
      <c r="D16" t="s">
        <v>0</v>
      </c>
      <c r="E16" t="s">
        <v>225</v>
      </c>
      <c r="F16" s="18" t="s">
        <v>225</v>
      </c>
      <c r="G16" s="23" t="s">
        <v>691</v>
      </c>
    </row>
    <row r="17" spans="1:9" x14ac:dyDescent="0.45">
      <c r="A17" t="str">
        <f t="shared" si="0"/>
        <v>#facts_and_figures_damage_grade_(3-5)</v>
      </c>
      <c r="B17" t="str">
        <f t="shared" si="1"/>
        <v>facts_and_figures_damage_grade_(3-5)</v>
      </c>
      <c r="C17">
        <f t="shared" si="2"/>
        <v>15</v>
      </c>
      <c r="D17" t="s">
        <v>0</v>
      </c>
      <c r="E17" t="s">
        <v>226</v>
      </c>
      <c r="F17" s="18" t="s">
        <v>226</v>
      </c>
      <c r="G17" s="23" t="s">
        <v>692</v>
      </c>
    </row>
    <row r="18" spans="1:9" x14ac:dyDescent="0.45">
      <c r="A18" t="str">
        <f t="shared" si="0"/>
        <v>#facts_and_figures_total</v>
      </c>
      <c r="B18" t="str">
        <f t="shared" si="1"/>
        <v>facts_and_figures_total</v>
      </c>
      <c r="C18">
        <f t="shared" si="2"/>
        <v>16</v>
      </c>
      <c r="D18" t="s">
        <v>0</v>
      </c>
      <c r="E18" t="s">
        <v>227</v>
      </c>
      <c r="F18" s="18" t="s">
        <v>227</v>
      </c>
      <c r="G18" s="23" t="s">
        <v>693</v>
      </c>
    </row>
    <row r="19" spans="1:9" x14ac:dyDescent="0.45">
      <c r="A19" t="str">
        <f t="shared" si="0"/>
        <v>#facts_and_figures_status</v>
      </c>
      <c r="B19" t="str">
        <f t="shared" si="1"/>
        <v>facts_and_figures_status</v>
      </c>
      <c r="C19">
        <f t="shared" si="2"/>
        <v>17</v>
      </c>
      <c r="D19" t="s">
        <v>0</v>
      </c>
      <c r="E19" t="s">
        <v>390</v>
      </c>
      <c r="F19" s="18" t="s">
        <v>391</v>
      </c>
      <c r="G19" s="23" t="s">
        <v>694</v>
      </c>
    </row>
    <row r="20" spans="1:9" x14ac:dyDescent="0.45">
      <c r="A20" t="str">
        <f t="shared" si="0"/>
        <v>#partner_orgs_no_partner_orgs</v>
      </c>
      <c r="B20" t="str">
        <f t="shared" si="1"/>
        <v>partner_orgs_no_partner_orgs</v>
      </c>
      <c r="C20">
        <f t="shared" si="2"/>
        <v>18</v>
      </c>
      <c r="D20" t="s">
        <v>1531</v>
      </c>
      <c r="E20" t="s">
        <v>1532</v>
      </c>
      <c r="F20" s="18" t="s">
        <v>1533</v>
      </c>
      <c r="G20" s="23" t="s">
        <v>1534</v>
      </c>
    </row>
    <row r="21" spans="1:9" x14ac:dyDescent="0.45">
      <c r="A21" t="str">
        <f t="shared" si="0"/>
        <v>#typologies_panel_title</v>
      </c>
      <c r="B21" t="str">
        <f t="shared" si="1"/>
        <v>typologies_panel_title</v>
      </c>
      <c r="C21">
        <f t="shared" si="2"/>
        <v>19</v>
      </c>
      <c r="D21" t="s">
        <v>228</v>
      </c>
      <c r="E21" t="s">
        <v>261</v>
      </c>
      <c r="F21" s="18" t="s">
        <v>384</v>
      </c>
      <c r="G21" s="23" t="s">
        <v>695</v>
      </c>
    </row>
    <row r="22" spans="1:9" x14ac:dyDescent="0.45">
      <c r="A22" t="str">
        <f t="shared" si="0"/>
        <v>#typologies_typology</v>
      </c>
      <c r="B22" t="str">
        <f t="shared" si="1"/>
        <v>typologies_typology</v>
      </c>
      <c r="C22">
        <f t="shared" si="2"/>
        <v>20</v>
      </c>
      <c r="D22" t="s">
        <v>228</v>
      </c>
      <c r="E22" t="s">
        <v>229</v>
      </c>
      <c r="F22" s="18" t="s">
        <v>229</v>
      </c>
      <c r="G22" s="23" t="s">
        <v>696</v>
      </c>
    </row>
    <row r="23" spans="1:9" x14ac:dyDescent="0.45">
      <c r="A23" t="str">
        <f t="shared" si="0"/>
        <v>#typologies_municipal</v>
      </c>
      <c r="B23" t="str">
        <f t="shared" si="1"/>
        <v>typologies_municipal</v>
      </c>
      <c r="C23">
        <f t="shared" si="2"/>
        <v>21</v>
      </c>
      <c r="D23" t="s">
        <v>228</v>
      </c>
      <c r="E23" t="s">
        <v>230</v>
      </c>
      <c r="F23" s="18" t="s">
        <v>230</v>
      </c>
      <c r="G23" s="23" t="s">
        <v>697</v>
      </c>
    </row>
    <row r="24" spans="1:9" x14ac:dyDescent="0.45">
      <c r="A24" t="str">
        <f t="shared" si="0"/>
        <v>#typologies_district</v>
      </c>
      <c r="B24" t="str">
        <f t="shared" si="1"/>
        <v>typologies_district</v>
      </c>
      <c r="C24">
        <f t="shared" si="2"/>
        <v>22</v>
      </c>
      <c r="D24" t="s">
        <v>228</v>
      </c>
      <c r="E24" t="s">
        <v>231</v>
      </c>
      <c r="F24" s="18" t="s">
        <v>231</v>
      </c>
      <c r="G24" s="23" t="s">
        <v>698</v>
      </c>
    </row>
    <row r="25" spans="1:9" x14ac:dyDescent="0.45">
      <c r="A25" t="str">
        <f t="shared" si="0"/>
        <v>#typologies_source</v>
      </c>
      <c r="B25" t="str">
        <f t="shared" si="1"/>
        <v>typologies_source</v>
      </c>
      <c r="C25">
        <f t="shared" si="2"/>
        <v>23</v>
      </c>
      <c r="D25" t="s">
        <v>228</v>
      </c>
      <c r="E25" t="s">
        <v>316</v>
      </c>
      <c r="F25" s="18" t="s">
        <v>317</v>
      </c>
      <c r="G25" s="23" t="s">
        <v>699</v>
      </c>
      <c r="I25" t="s">
        <v>319</v>
      </c>
    </row>
    <row r="26" spans="1:9" x14ac:dyDescent="0.45">
      <c r="A26" t="str">
        <f t="shared" si="0"/>
        <v>#typologies_stone_and_cement_mortar_masonry_row_title</v>
      </c>
      <c r="B26" t="str">
        <f t="shared" si="1"/>
        <v>typologies_stone_and_cement_mortar_masonry_row_title</v>
      </c>
      <c r="C26">
        <f t="shared" si="2"/>
        <v>24</v>
      </c>
      <c r="D26" t="s">
        <v>228</v>
      </c>
      <c r="E26" t="s">
        <v>404</v>
      </c>
      <c r="F26" s="18" t="s">
        <v>392</v>
      </c>
      <c r="G26" s="23" t="s">
        <v>700</v>
      </c>
    </row>
    <row r="27" spans="1:9" x14ac:dyDescent="0.45">
      <c r="A27" t="str">
        <f t="shared" si="0"/>
        <v>#typologies_stone_and_mud_mortar_masonry_row_title</v>
      </c>
      <c r="B27" t="str">
        <f t="shared" si="1"/>
        <v>typologies_stone_and_mud_mortar_masonry_row_title</v>
      </c>
      <c r="C27">
        <f t="shared" si="2"/>
        <v>25</v>
      </c>
      <c r="D27" t="s">
        <v>228</v>
      </c>
      <c r="E27" t="s">
        <v>405</v>
      </c>
      <c r="F27" s="18" t="s">
        <v>393</v>
      </c>
      <c r="G27" s="23" t="s">
        <v>701</v>
      </c>
    </row>
    <row r="28" spans="1:9" x14ac:dyDescent="0.45">
      <c r="A28" t="str">
        <f t="shared" si="0"/>
        <v>#typologies_brick_and_cement_mortar_masonry_row_title</v>
      </c>
      <c r="B28" t="str">
        <f t="shared" si="1"/>
        <v>typologies_brick_and_cement_mortar_masonry_row_title</v>
      </c>
      <c r="C28">
        <f t="shared" si="2"/>
        <v>26</v>
      </c>
      <c r="D28" t="s">
        <v>228</v>
      </c>
      <c r="E28" t="s">
        <v>406</v>
      </c>
      <c r="F28" s="18" t="s">
        <v>394</v>
      </c>
      <c r="G28" s="23" t="s">
        <v>702</v>
      </c>
    </row>
    <row r="29" spans="1:9" x14ac:dyDescent="0.45">
      <c r="A29" t="str">
        <f t="shared" si="0"/>
        <v>#typologies_brick_and_mud_mortar_masonry_row_title</v>
      </c>
      <c r="B29" t="str">
        <f t="shared" si="1"/>
        <v>typologies_brick_and_mud_mortar_masonry_row_title</v>
      </c>
      <c r="C29">
        <f t="shared" si="2"/>
        <v>27</v>
      </c>
      <c r="D29" t="s">
        <v>228</v>
      </c>
      <c r="E29" t="s">
        <v>407</v>
      </c>
      <c r="F29" s="18" t="s">
        <v>395</v>
      </c>
      <c r="G29" s="23" t="s">
        <v>703</v>
      </c>
    </row>
    <row r="30" spans="1:9" x14ac:dyDescent="0.45">
      <c r="A30" t="str">
        <f t="shared" si="0"/>
        <v>#typologies_reinforced_cement_concrete_(rcc)_frame_row_title</v>
      </c>
      <c r="B30" t="str">
        <f t="shared" si="1"/>
        <v>typologies_reinforced_cement_concrete_(rcc)_frame_row_title</v>
      </c>
      <c r="C30">
        <f t="shared" si="2"/>
        <v>28</v>
      </c>
      <c r="D30" t="s">
        <v>228</v>
      </c>
      <c r="E30" t="s">
        <v>416</v>
      </c>
      <c r="F30" s="18" t="s">
        <v>417</v>
      </c>
      <c r="G30" s="23" t="s">
        <v>704</v>
      </c>
    </row>
    <row r="31" spans="1:9" x14ac:dyDescent="0.45">
      <c r="A31" t="str">
        <f t="shared" si="0"/>
        <v>#typologies_hybrid_structure_row_title</v>
      </c>
      <c r="B31" t="str">
        <f t="shared" si="1"/>
        <v>typologies_hybrid_structure_row_title</v>
      </c>
      <c r="C31">
        <f t="shared" si="2"/>
        <v>29</v>
      </c>
      <c r="D31" t="s">
        <v>228</v>
      </c>
      <c r="E31" t="s">
        <v>408</v>
      </c>
      <c r="F31" s="18" t="s">
        <v>396</v>
      </c>
      <c r="G31" s="23" t="s">
        <v>705</v>
      </c>
    </row>
    <row r="32" spans="1:9" x14ac:dyDescent="0.45">
      <c r="A32" t="str">
        <f t="shared" si="0"/>
        <v>#typologies_timber_frame_structure_row_title</v>
      </c>
      <c r="B32" t="str">
        <f t="shared" si="1"/>
        <v>typologies_timber_frame_structure_row_title</v>
      </c>
      <c r="C32">
        <f t="shared" si="2"/>
        <v>30</v>
      </c>
      <c r="D32" t="s">
        <v>228</v>
      </c>
      <c r="E32" t="s">
        <v>409</v>
      </c>
      <c r="F32" s="18" t="s">
        <v>397</v>
      </c>
      <c r="G32" s="23" t="s">
        <v>706</v>
      </c>
    </row>
    <row r="33" spans="1:7" x14ac:dyDescent="0.45">
      <c r="A33" t="str">
        <f t="shared" si="0"/>
        <v>#typologies_hollow_concrete_block_masonry_row_title</v>
      </c>
      <c r="B33" t="str">
        <f t="shared" si="1"/>
        <v>typologies_hollow_concrete_block_masonry_row_title</v>
      </c>
      <c r="C33">
        <f t="shared" si="2"/>
        <v>31</v>
      </c>
      <c r="D33" t="s">
        <v>228</v>
      </c>
      <c r="E33" t="s">
        <v>410</v>
      </c>
      <c r="F33" s="18" t="s">
        <v>398</v>
      </c>
      <c r="G33" s="23" t="s">
        <v>707</v>
      </c>
    </row>
    <row r="34" spans="1:7" x14ac:dyDescent="0.45">
      <c r="A34" t="str">
        <f t="shared" si="0"/>
        <v>#typologies_dry_stone_masonry_row_title</v>
      </c>
      <c r="B34" t="str">
        <f t="shared" si="1"/>
        <v>typologies_dry_stone_masonry_row_title</v>
      </c>
      <c r="C34">
        <f t="shared" si="2"/>
        <v>32</v>
      </c>
      <c r="D34" t="s">
        <v>228</v>
      </c>
      <c r="E34" t="s">
        <v>411</v>
      </c>
      <c r="F34" s="18" t="s">
        <v>399</v>
      </c>
      <c r="G34" s="23" t="s">
        <v>708</v>
      </c>
    </row>
    <row r="35" spans="1:7" x14ac:dyDescent="0.45">
      <c r="A35" t="str">
        <f t="shared" si="0"/>
        <v>#typologies_adobe_structures_row_title</v>
      </c>
      <c r="B35" t="str">
        <f t="shared" si="1"/>
        <v>typologies_adobe_structures_row_title</v>
      </c>
      <c r="C35">
        <f t="shared" si="2"/>
        <v>33</v>
      </c>
      <c r="D35" t="s">
        <v>228</v>
      </c>
      <c r="E35" t="s">
        <v>412</v>
      </c>
      <c r="F35" s="18" t="s">
        <v>400</v>
      </c>
      <c r="G35" s="23" t="s">
        <v>709</v>
      </c>
    </row>
    <row r="36" spans="1:7" x14ac:dyDescent="0.45">
      <c r="A36" t="str">
        <f t="shared" ref="A36:A70" si="3">CONCATENATE("#",(LOWER(SUBSTITUTE(CONCATENATE(D36,"_",E36)," ","_"))))</f>
        <v>#typologies_bamboo_row_title</v>
      </c>
      <c r="B36" t="str">
        <f t="shared" si="1"/>
        <v>typologies_bamboo_row_title</v>
      </c>
      <c r="C36">
        <f t="shared" si="2"/>
        <v>34</v>
      </c>
      <c r="D36" t="s">
        <v>228</v>
      </c>
      <c r="E36" t="s">
        <v>413</v>
      </c>
      <c r="F36" s="18" t="s">
        <v>401</v>
      </c>
      <c r="G36" s="23" t="s">
        <v>710</v>
      </c>
    </row>
    <row r="37" spans="1:7" x14ac:dyDescent="0.45">
      <c r="A37" t="str">
        <f t="shared" si="3"/>
        <v>#typologies_compressed_stabilized_earth_block_(sceb)_masonry_row_title</v>
      </c>
      <c r="B37" t="str">
        <f t="shared" si="1"/>
        <v>typologies_compressed_stabilized_earth_block_(sceb)_masonry_row_title</v>
      </c>
      <c r="C37">
        <f t="shared" si="2"/>
        <v>35</v>
      </c>
      <c r="D37" t="s">
        <v>228</v>
      </c>
      <c r="E37" t="s">
        <v>414</v>
      </c>
      <c r="F37" s="18" t="s">
        <v>402</v>
      </c>
      <c r="G37" s="23" t="s">
        <v>711</v>
      </c>
    </row>
    <row r="38" spans="1:7" x14ac:dyDescent="0.45">
      <c r="A38" t="str">
        <f t="shared" si="3"/>
        <v>#typologies_light_steel_frame_structures_row_title</v>
      </c>
      <c r="B38" t="str">
        <f t="shared" si="1"/>
        <v>typologies_light_steel_frame_structures_row_title</v>
      </c>
      <c r="C38">
        <f t="shared" si="2"/>
        <v>36</v>
      </c>
      <c r="D38" t="s">
        <v>228</v>
      </c>
      <c r="E38" t="s">
        <v>415</v>
      </c>
      <c r="F38" s="18" t="s">
        <v>403</v>
      </c>
      <c r="G38" s="23" t="s">
        <v>712</v>
      </c>
    </row>
    <row r="39" spans="1:7" x14ac:dyDescent="0.45">
      <c r="A39" t="str">
        <f t="shared" si="3"/>
        <v>#typologies_others</v>
      </c>
      <c r="B39" t="str">
        <f t="shared" si="1"/>
        <v>typologies_others</v>
      </c>
      <c r="C39">
        <f t="shared" si="2"/>
        <v>37</v>
      </c>
      <c r="D39" t="s">
        <v>228</v>
      </c>
      <c r="E39" t="s">
        <v>479</v>
      </c>
      <c r="F39" s="18" t="s">
        <v>479</v>
      </c>
      <c r="G39" s="23" t="s">
        <v>1534</v>
      </c>
    </row>
    <row r="40" spans="1:7" x14ac:dyDescent="0.45">
      <c r="A40" t="str">
        <f t="shared" si="3"/>
        <v>#typologies_cbs_footer</v>
      </c>
      <c r="B40" t="str">
        <f t="shared" si="1"/>
        <v>typologies_cbs_footer</v>
      </c>
      <c r="C40">
        <f t="shared" si="2"/>
        <v>38</v>
      </c>
      <c r="D40" t="s">
        <v>228</v>
      </c>
      <c r="E40" t="s">
        <v>867</v>
      </c>
      <c r="F40" s="18" t="s">
        <v>1517</v>
      </c>
      <c r="G40" s="23" t="s">
        <v>1534</v>
      </c>
    </row>
    <row r="41" spans="1:7" x14ac:dyDescent="0.45">
      <c r="A41" t="str">
        <f t="shared" si="3"/>
        <v>#recon_&amp;_retrofit_panel_title</v>
      </c>
      <c r="B41" t="str">
        <f t="shared" si="1"/>
        <v>recon_&amp;_retrofit_panel_title</v>
      </c>
      <c r="C41">
        <f t="shared" si="2"/>
        <v>39</v>
      </c>
      <c r="D41" t="s">
        <v>232</v>
      </c>
      <c r="E41" t="s">
        <v>261</v>
      </c>
      <c r="F41" s="18" t="s">
        <v>385</v>
      </c>
      <c r="G41" s="23" t="s">
        <v>713</v>
      </c>
    </row>
    <row r="42" spans="1:7" x14ac:dyDescent="0.45">
      <c r="A42" t="str">
        <f t="shared" si="3"/>
        <v>#recon_&amp;_retrofit_panel_footer</v>
      </c>
      <c r="B42" t="str">
        <f t="shared" si="1"/>
        <v>recon_&amp;_retrofit_panel_footer</v>
      </c>
      <c r="C42">
        <f t="shared" si="2"/>
        <v>40</v>
      </c>
      <c r="D42" t="s">
        <v>232</v>
      </c>
      <c r="E42" t="s">
        <v>1538</v>
      </c>
      <c r="F42" s="18" t="s">
        <v>1539</v>
      </c>
      <c r="G42" s="23" t="s">
        <v>1540</v>
      </c>
    </row>
    <row r="43" spans="1:7" x14ac:dyDescent="0.45">
      <c r="A43" t="str">
        <f t="shared" si="3"/>
        <v>#recon_&amp;_retrofit_reconstruction_status_title</v>
      </c>
      <c r="B43" t="str">
        <f t="shared" si="1"/>
        <v>recon_&amp;_retrofit_reconstruction_status_title</v>
      </c>
      <c r="C43">
        <f t="shared" si="2"/>
        <v>41</v>
      </c>
      <c r="D43" t="s">
        <v>232</v>
      </c>
      <c r="E43" t="s">
        <v>243</v>
      </c>
      <c r="F43" s="18" t="s">
        <v>233</v>
      </c>
      <c r="G43" s="23" t="s">
        <v>714</v>
      </c>
    </row>
    <row r="44" spans="1:7" x14ac:dyDescent="0.45">
      <c r="A44" t="str">
        <f t="shared" si="3"/>
        <v>#recon_&amp;_retrofit_retrofitting_status_title</v>
      </c>
      <c r="B44" t="str">
        <f t="shared" si="1"/>
        <v>recon_&amp;_retrofit_retrofitting_status_title</v>
      </c>
      <c r="C44">
        <f t="shared" si="2"/>
        <v>42</v>
      </c>
      <c r="D44" t="s">
        <v>232</v>
      </c>
      <c r="E44" t="s">
        <v>244</v>
      </c>
      <c r="F44" s="18" t="s">
        <v>234</v>
      </c>
      <c r="G44" s="23" t="s">
        <v>715</v>
      </c>
    </row>
    <row r="45" spans="1:7" x14ac:dyDescent="0.45">
      <c r="A45" t="str">
        <f t="shared" si="3"/>
        <v>#recon_&amp;_retrofit_total_eligible_hhs_(both)</v>
      </c>
      <c r="B45" t="str">
        <f t="shared" si="1"/>
        <v>recon_&amp;_retrofit_total_eligible_hhs_(both)</v>
      </c>
      <c r="C45">
        <f t="shared" si="2"/>
        <v>43</v>
      </c>
      <c r="D45" t="s">
        <v>232</v>
      </c>
      <c r="E45" t="s">
        <v>246</v>
      </c>
      <c r="F45" s="18" t="s">
        <v>235</v>
      </c>
      <c r="G45" s="23" t="s">
        <v>716</v>
      </c>
    </row>
    <row r="46" spans="1:7" x14ac:dyDescent="0.45">
      <c r="A46" t="str">
        <f t="shared" si="3"/>
        <v>#recon_&amp;_retrofit_pa_agreement_(both)</v>
      </c>
      <c r="B46" t="str">
        <f t="shared" si="1"/>
        <v>recon_&amp;_retrofit_pa_agreement_(both)</v>
      </c>
      <c r="C46">
        <f t="shared" si="2"/>
        <v>44</v>
      </c>
      <c r="D46" t="s">
        <v>232</v>
      </c>
      <c r="E46" t="s">
        <v>247</v>
      </c>
      <c r="F46" s="18" t="s">
        <v>236</v>
      </c>
      <c r="G46" s="23" t="s">
        <v>717</v>
      </c>
    </row>
    <row r="47" spans="1:7" x14ac:dyDescent="0.45">
      <c r="A47" t="str">
        <f t="shared" si="3"/>
        <v>#recon_&amp;_retrofit_ist_tranche_received_(both)</v>
      </c>
      <c r="B47" t="str">
        <f t="shared" si="1"/>
        <v>recon_&amp;_retrofit_ist_tranche_received_(both)</v>
      </c>
      <c r="C47">
        <f t="shared" si="2"/>
        <v>45</v>
      </c>
      <c r="D47" t="s">
        <v>232</v>
      </c>
      <c r="E47" t="s">
        <v>248</v>
      </c>
      <c r="F47" s="18" t="s">
        <v>237</v>
      </c>
      <c r="G47" s="23" t="s">
        <v>718</v>
      </c>
    </row>
    <row r="48" spans="1:7" x14ac:dyDescent="0.45">
      <c r="A48" t="str">
        <f t="shared" si="3"/>
        <v>#recon_&amp;_retrofit_iind_tranche_received_(both)</v>
      </c>
      <c r="B48" t="str">
        <f t="shared" si="1"/>
        <v>recon_&amp;_retrofit_iind_tranche_received_(both)</v>
      </c>
      <c r="C48">
        <f t="shared" si="2"/>
        <v>46</v>
      </c>
      <c r="D48" t="s">
        <v>232</v>
      </c>
      <c r="E48" t="s">
        <v>249</v>
      </c>
      <c r="F48" s="18" t="s">
        <v>238</v>
      </c>
      <c r="G48" s="23" t="s">
        <v>719</v>
      </c>
    </row>
    <row r="49" spans="1:9" x14ac:dyDescent="0.45">
      <c r="A49" t="str">
        <f t="shared" si="3"/>
        <v>#recon_&amp;_retrofit_iiird_tranche_received</v>
      </c>
      <c r="B49" t="str">
        <f t="shared" si="1"/>
        <v>recon_&amp;_retrofit_iiird_tranche_received</v>
      </c>
      <c r="C49">
        <f t="shared" si="2"/>
        <v>47</v>
      </c>
      <c r="D49" t="s">
        <v>232</v>
      </c>
      <c r="E49" t="s">
        <v>239</v>
      </c>
      <c r="F49" s="18" t="s">
        <v>239</v>
      </c>
      <c r="G49" s="23" t="s">
        <v>720</v>
      </c>
    </row>
    <row r="50" spans="1:9" x14ac:dyDescent="0.45">
      <c r="A50" t="str">
        <f t="shared" si="3"/>
        <v>#recon_&amp;_retrofit_houses_title</v>
      </c>
      <c r="B50" t="str">
        <f t="shared" si="1"/>
        <v>recon_&amp;_retrofit_houses_title</v>
      </c>
      <c r="C50">
        <f t="shared" si="2"/>
        <v>48</v>
      </c>
      <c r="D50" t="s">
        <v>232</v>
      </c>
      <c r="E50" t="s">
        <v>245</v>
      </c>
      <c r="F50" s="18" t="s">
        <v>240</v>
      </c>
      <c r="G50" s="23" t="s">
        <v>721</v>
      </c>
    </row>
    <row r="51" spans="1:9" x14ac:dyDescent="0.45">
      <c r="A51" t="str">
        <f t="shared" si="3"/>
        <v>#recon_&amp;_retrofit_under_construction</v>
      </c>
      <c r="B51" t="str">
        <f t="shared" si="1"/>
        <v>recon_&amp;_retrofit_under_construction</v>
      </c>
      <c r="C51">
        <f t="shared" si="2"/>
        <v>49</v>
      </c>
      <c r="D51" t="s">
        <v>232</v>
      </c>
      <c r="E51" t="s">
        <v>241</v>
      </c>
      <c r="F51" s="18" t="s">
        <v>241</v>
      </c>
      <c r="G51" s="23" t="s">
        <v>722</v>
      </c>
    </row>
    <row r="52" spans="1:9" x14ac:dyDescent="0.45">
      <c r="A52" t="str">
        <f t="shared" si="3"/>
        <v>#recon_&amp;_retrofit_completed</v>
      </c>
      <c r="B52" t="str">
        <f t="shared" si="1"/>
        <v>recon_&amp;_retrofit_completed</v>
      </c>
      <c r="C52">
        <f t="shared" si="2"/>
        <v>50</v>
      </c>
      <c r="D52" t="s">
        <v>232</v>
      </c>
      <c r="E52" t="s">
        <v>242</v>
      </c>
      <c r="F52" s="18" t="s">
        <v>242</v>
      </c>
      <c r="G52" s="23" t="s">
        <v>723</v>
      </c>
    </row>
    <row r="53" spans="1:9" x14ac:dyDescent="0.45">
      <c r="A53" t="str">
        <f t="shared" si="3"/>
        <v>#recon_&amp;_retrofit_grievances_title</v>
      </c>
      <c r="B53" t="str">
        <f t="shared" si="1"/>
        <v>recon_&amp;_retrofit_grievances_title</v>
      </c>
      <c r="C53">
        <f t="shared" si="2"/>
        <v>51</v>
      </c>
      <c r="D53" t="s">
        <v>232</v>
      </c>
      <c r="E53" t="s">
        <v>250</v>
      </c>
      <c r="F53" s="18" t="s">
        <v>251</v>
      </c>
      <c r="G53" s="23" t="s">
        <v>724</v>
      </c>
    </row>
    <row r="54" spans="1:9" x14ac:dyDescent="0.45">
      <c r="A54" t="str">
        <f t="shared" si="3"/>
        <v>#recon_&amp;_retrofit_non-compliances_title</v>
      </c>
      <c r="B54" t="str">
        <f t="shared" si="1"/>
        <v>recon_&amp;_retrofit_non-compliances_title</v>
      </c>
      <c r="C54">
        <f t="shared" si="2"/>
        <v>52</v>
      </c>
      <c r="D54" t="s">
        <v>232</v>
      </c>
      <c r="E54" t="s">
        <v>252</v>
      </c>
      <c r="F54" s="18" t="s">
        <v>444</v>
      </c>
      <c r="G54" s="23" t="s">
        <v>725</v>
      </c>
    </row>
    <row r="55" spans="1:9" x14ac:dyDescent="0.45">
      <c r="A55" t="str">
        <f t="shared" si="3"/>
        <v>#recon_&amp;_retrofit_registered_(both)</v>
      </c>
      <c r="B55" t="str">
        <f t="shared" si="1"/>
        <v>recon_&amp;_retrofit_registered_(both)</v>
      </c>
      <c r="C55">
        <f t="shared" si="2"/>
        <v>53</v>
      </c>
      <c r="D55" t="s">
        <v>232</v>
      </c>
      <c r="E55" t="s">
        <v>253</v>
      </c>
      <c r="F55" s="18" t="s">
        <v>255</v>
      </c>
      <c r="G55" s="23" t="s">
        <v>726</v>
      </c>
    </row>
    <row r="56" spans="1:9" x14ac:dyDescent="0.45">
      <c r="A56" t="str">
        <f t="shared" si="3"/>
        <v>#recon_&amp;_retrofit_addressed_(both)</v>
      </c>
      <c r="B56" t="str">
        <f t="shared" si="1"/>
        <v>recon_&amp;_retrofit_addressed_(both)</v>
      </c>
      <c r="C56">
        <f t="shared" si="2"/>
        <v>54</v>
      </c>
      <c r="D56" t="s">
        <v>232</v>
      </c>
      <c r="E56" t="s">
        <v>254</v>
      </c>
      <c r="F56" s="18" t="s">
        <v>256</v>
      </c>
      <c r="G56" s="23" t="s">
        <v>727</v>
      </c>
    </row>
    <row r="57" spans="1:9" x14ac:dyDescent="0.45">
      <c r="A57" t="str">
        <f t="shared" si="3"/>
        <v>#po_presence_pos_presence_title</v>
      </c>
      <c r="B57" t="str">
        <f t="shared" si="1"/>
        <v>po_presence_pos_presence_title</v>
      </c>
      <c r="C57">
        <f t="shared" si="2"/>
        <v>55</v>
      </c>
      <c r="D57" t="s">
        <v>17</v>
      </c>
      <c r="E57" t="s">
        <v>257</v>
      </c>
      <c r="F57" s="18" t="s">
        <v>17</v>
      </c>
      <c r="G57" s="23" t="s">
        <v>728</v>
      </c>
    </row>
    <row r="58" spans="1:9" x14ac:dyDescent="0.45">
      <c r="A58" t="str">
        <f t="shared" si="3"/>
        <v>#po_presence_active</v>
      </c>
      <c r="B58" t="str">
        <f t="shared" si="1"/>
        <v>po_presence_active</v>
      </c>
      <c r="C58">
        <f t="shared" si="2"/>
        <v>56</v>
      </c>
      <c r="D58" t="s">
        <v>17</v>
      </c>
      <c r="E58" t="s">
        <v>258</v>
      </c>
      <c r="F58" s="18" t="s">
        <v>258</v>
      </c>
      <c r="G58" s="23" t="s">
        <v>729</v>
      </c>
    </row>
    <row r="59" spans="1:9" x14ac:dyDescent="0.45">
      <c r="A59" t="str">
        <f t="shared" si="3"/>
        <v>#po_presence_phased_out</v>
      </c>
      <c r="B59" t="str">
        <f t="shared" si="1"/>
        <v>po_presence_phased_out</v>
      </c>
      <c r="C59">
        <f t="shared" si="2"/>
        <v>57</v>
      </c>
      <c r="D59" t="s">
        <v>17</v>
      </c>
      <c r="E59" t="s">
        <v>259</v>
      </c>
      <c r="F59" s="18" t="s">
        <v>259</v>
      </c>
      <c r="G59" s="23" t="s">
        <v>730</v>
      </c>
    </row>
    <row r="60" spans="1:9" x14ac:dyDescent="0.45">
      <c r="A60" t="str">
        <f t="shared" si="3"/>
        <v>#status_of_cm_panel_title</v>
      </c>
      <c r="B60" t="str">
        <f t="shared" si="1"/>
        <v>status_of_cm_panel_title</v>
      </c>
      <c r="C60">
        <f t="shared" si="2"/>
        <v>58</v>
      </c>
      <c r="D60" t="s">
        <v>260</v>
      </c>
      <c r="E60" t="s">
        <v>261</v>
      </c>
      <c r="F60" s="18" t="s">
        <v>386</v>
      </c>
      <c r="G60" s="23" t="s">
        <v>731</v>
      </c>
    </row>
    <row r="61" spans="1:9" x14ac:dyDescent="0.45">
      <c r="A61" t="str">
        <f t="shared" si="3"/>
        <v>#status_of_cm_materials_header</v>
      </c>
      <c r="B61" t="str">
        <f t="shared" si="1"/>
        <v>status_of_cm_materials_header</v>
      </c>
      <c r="C61">
        <f t="shared" si="2"/>
        <v>59</v>
      </c>
      <c r="D61" t="s">
        <v>260</v>
      </c>
      <c r="E61" t="s">
        <v>262</v>
      </c>
      <c r="F61" s="18" t="s">
        <v>267</v>
      </c>
      <c r="G61" s="23" t="s">
        <v>732</v>
      </c>
    </row>
    <row r="62" spans="1:9" x14ac:dyDescent="0.45">
      <c r="A62" t="str">
        <f t="shared" si="3"/>
        <v>#status_of_cm_unit_header</v>
      </c>
      <c r="B62" t="str">
        <f t="shared" si="1"/>
        <v>status_of_cm_unit_header</v>
      </c>
      <c r="C62">
        <f t="shared" si="2"/>
        <v>60</v>
      </c>
      <c r="D62" t="s">
        <v>260</v>
      </c>
      <c r="E62" t="s">
        <v>263</v>
      </c>
      <c r="F62" s="18" t="s">
        <v>268</v>
      </c>
      <c r="G62" s="23" t="s">
        <v>733</v>
      </c>
    </row>
    <row r="63" spans="1:9" x14ac:dyDescent="0.45">
      <c r="A63" t="str">
        <f t="shared" si="3"/>
        <v>#status_of_cm_req._quantity*_header</v>
      </c>
      <c r="B63" t="str">
        <f t="shared" si="1"/>
        <v>status_of_cm_req._quantity*_header</v>
      </c>
      <c r="C63">
        <f t="shared" si="2"/>
        <v>61</v>
      </c>
      <c r="D63" t="s">
        <v>260</v>
      </c>
      <c r="E63" t="s">
        <v>264</v>
      </c>
      <c r="F63" s="18" t="s">
        <v>269</v>
      </c>
      <c r="G63" s="23" t="s">
        <v>734</v>
      </c>
      <c r="I63" t="s">
        <v>320</v>
      </c>
    </row>
    <row r="64" spans="1:9" x14ac:dyDescent="0.45">
      <c r="A64" t="str">
        <f t="shared" si="3"/>
        <v>#status_of_cm_ava._header</v>
      </c>
      <c r="B64" t="str">
        <f t="shared" si="1"/>
        <v>status_of_cm_ava._header</v>
      </c>
      <c r="C64">
        <f t="shared" si="2"/>
        <v>62</v>
      </c>
      <c r="D64" t="s">
        <v>260</v>
      </c>
      <c r="E64" t="s">
        <v>265</v>
      </c>
      <c r="F64" s="18" t="s">
        <v>270</v>
      </c>
      <c r="G64" s="23" t="s">
        <v>735</v>
      </c>
    </row>
    <row r="65" spans="1:9" x14ac:dyDescent="0.45">
      <c r="A65" t="str">
        <f t="shared" si="3"/>
        <v>#status_of_cm_cost_(nrs.)**_header</v>
      </c>
      <c r="B65" t="str">
        <f t="shared" si="1"/>
        <v>status_of_cm_cost_(nrs.)**_header</v>
      </c>
      <c r="C65">
        <f t="shared" si="2"/>
        <v>63</v>
      </c>
      <c r="D65" t="s">
        <v>260</v>
      </c>
      <c r="E65" t="s">
        <v>266</v>
      </c>
      <c r="F65" s="18" t="s">
        <v>271</v>
      </c>
      <c r="G65" s="23" t="s">
        <v>736</v>
      </c>
      <c r="I65" t="s">
        <v>320</v>
      </c>
    </row>
    <row r="66" spans="1:9" x14ac:dyDescent="0.45">
      <c r="A66" t="str">
        <f t="shared" si="3"/>
        <v>#status_of_cm_stone</v>
      </c>
      <c r="B66" t="str">
        <f t="shared" si="1"/>
        <v>status_of_cm_stone</v>
      </c>
      <c r="C66">
        <f t="shared" si="2"/>
        <v>64</v>
      </c>
      <c r="D66" t="s">
        <v>260</v>
      </c>
      <c r="E66" t="s">
        <v>272</v>
      </c>
      <c r="F66" s="18" t="s">
        <v>272</v>
      </c>
      <c r="G66" s="23" t="s">
        <v>737</v>
      </c>
    </row>
    <row r="67" spans="1:9" x14ac:dyDescent="0.45">
      <c r="A67" t="str">
        <f t="shared" si="3"/>
        <v>#status_of_cm_aggregate</v>
      </c>
      <c r="B67" t="str">
        <f t="shared" si="1"/>
        <v>status_of_cm_aggregate</v>
      </c>
      <c r="C67">
        <f t="shared" si="2"/>
        <v>65</v>
      </c>
      <c r="D67" t="s">
        <v>260</v>
      </c>
      <c r="E67" t="s">
        <v>273</v>
      </c>
      <c r="F67" s="18" t="s">
        <v>273</v>
      </c>
      <c r="G67" s="23" t="s">
        <v>738</v>
      </c>
    </row>
    <row r="68" spans="1:9" x14ac:dyDescent="0.45">
      <c r="A68" t="str">
        <f t="shared" si="3"/>
        <v>#status_of_cm_sand</v>
      </c>
      <c r="B68" t="str">
        <f t="shared" si="1"/>
        <v>status_of_cm_sand</v>
      </c>
      <c r="C68">
        <f t="shared" si="2"/>
        <v>66</v>
      </c>
      <c r="D68" t="s">
        <v>260</v>
      </c>
      <c r="E68" t="s">
        <v>274</v>
      </c>
      <c r="F68" s="18" t="s">
        <v>274</v>
      </c>
      <c r="G68" s="23" t="s">
        <v>739</v>
      </c>
    </row>
    <row r="69" spans="1:9" x14ac:dyDescent="0.45">
      <c r="A69" t="str">
        <f t="shared" si="3"/>
        <v>#status_of_cm_timber</v>
      </c>
      <c r="B69" t="str">
        <f t="shared" si="1"/>
        <v>status_of_cm_timber</v>
      </c>
      <c r="C69">
        <f t="shared" ref="C69:C130" si="4">C68+1</f>
        <v>67</v>
      </c>
      <c r="D69" t="s">
        <v>260</v>
      </c>
      <c r="E69" t="s">
        <v>275</v>
      </c>
      <c r="F69" s="18" t="s">
        <v>275</v>
      </c>
      <c r="G69" s="23" t="s">
        <v>740</v>
      </c>
    </row>
    <row r="70" spans="1:9" x14ac:dyDescent="0.45">
      <c r="A70" t="str">
        <f t="shared" si="3"/>
        <v>#status_of_cm_cement_(ppc)</v>
      </c>
      <c r="B70" t="str">
        <f t="shared" si="1"/>
        <v>status_of_cm_cement_(ppc)</v>
      </c>
      <c r="C70">
        <f t="shared" si="4"/>
        <v>68</v>
      </c>
      <c r="D70" t="s">
        <v>260</v>
      </c>
      <c r="E70" t="s">
        <v>276</v>
      </c>
      <c r="F70" s="18" t="s">
        <v>276</v>
      </c>
      <c r="G70" s="23" t="s">
        <v>741</v>
      </c>
    </row>
    <row r="71" spans="1:9" x14ac:dyDescent="0.45">
      <c r="A71" t="str">
        <f t="shared" ref="A71:A100" si="5">CONCATENATE("#",(LOWER(SUBSTITUTE(CONCATENATE(D71,"_",E71)," ","_"))))</f>
        <v>#status_of_cm_cement_(opc)</v>
      </c>
      <c r="B71" t="str">
        <f t="shared" si="1"/>
        <v>status_of_cm_cement_(opc)</v>
      </c>
      <c r="C71">
        <f t="shared" si="4"/>
        <v>69</v>
      </c>
      <c r="D71" t="s">
        <v>260</v>
      </c>
      <c r="E71" t="s">
        <v>277</v>
      </c>
      <c r="F71" s="18" t="s">
        <v>277</v>
      </c>
      <c r="G71" s="23" t="s">
        <v>742</v>
      </c>
    </row>
    <row r="72" spans="1:9" x14ac:dyDescent="0.45">
      <c r="A72" t="str">
        <f t="shared" si="5"/>
        <v>#status_of_cm_rebars</v>
      </c>
      <c r="B72" t="str">
        <f t="shared" ref="B72:B130" si="6">CONCATENATE("",(LOWER(SUBSTITUTE(CONCATENATE(D72,"_",E72)," ","_"))),"")</f>
        <v>status_of_cm_rebars</v>
      </c>
      <c r="C72">
        <f t="shared" si="4"/>
        <v>70</v>
      </c>
      <c r="D72" t="s">
        <v>260</v>
      </c>
      <c r="E72" t="s">
        <v>278</v>
      </c>
      <c r="F72" s="18" t="s">
        <v>278</v>
      </c>
      <c r="G72" s="23" t="s">
        <v>743</v>
      </c>
    </row>
    <row r="73" spans="1:9" x14ac:dyDescent="0.45">
      <c r="A73" t="str">
        <f t="shared" si="5"/>
        <v>#status_of_cm_tin</v>
      </c>
      <c r="B73" t="str">
        <f t="shared" si="6"/>
        <v>status_of_cm_tin</v>
      </c>
      <c r="C73">
        <f t="shared" si="4"/>
        <v>71</v>
      </c>
      <c r="D73" t="s">
        <v>260</v>
      </c>
      <c r="E73" t="s">
        <v>279</v>
      </c>
      <c r="F73" s="18" t="s">
        <v>279</v>
      </c>
      <c r="G73" s="23" t="s">
        <v>744</v>
      </c>
    </row>
    <row r="74" spans="1:9" x14ac:dyDescent="0.45">
      <c r="A74" t="str">
        <f t="shared" si="5"/>
        <v>#status_of_cm_bricks</v>
      </c>
      <c r="B74" t="str">
        <f t="shared" si="6"/>
        <v>status_of_cm_bricks</v>
      </c>
      <c r="C74">
        <f t="shared" si="4"/>
        <v>72</v>
      </c>
      <c r="D74" t="s">
        <v>260</v>
      </c>
      <c r="E74" t="s">
        <v>280</v>
      </c>
      <c r="F74" s="18" t="s">
        <v>280</v>
      </c>
      <c r="G74" s="23" t="s">
        <v>745</v>
      </c>
    </row>
    <row r="75" spans="1:9" x14ac:dyDescent="0.45">
      <c r="A75" t="str">
        <f t="shared" si="5"/>
        <v>#status_of_cm_cubic_metre_measurement</v>
      </c>
      <c r="B75" t="str">
        <f t="shared" si="6"/>
        <v>status_of_cm_cubic_metre_measurement</v>
      </c>
      <c r="C75">
        <f t="shared" si="4"/>
        <v>73</v>
      </c>
      <c r="D75" t="s">
        <v>260</v>
      </c>
      <c r="E75" t="s">
        <v>281</v>
      </c>
      <c r="F75" s="18" t="s">
        <v>282</v>
      </c>
      <c r="G75" s="23" t="s">
        <v>746</v>
      </c>
    </row>
    <row r="76" spans="1:9" x14ac:dyDescent="0.45">
      <c r="A76" t="str">
        <f t="shared" si="5"/>
        <v>#status_of_cm_cubic_feet_measurement</v>
      </c>
      <c r="B76" t="str">
        <f t="shared" si="6"/>
        <v>status_of_cm_cubic_feet_measurement</v>
      </c>
      <c r="C76">
        <f t="shared" si="4"/>
        <v>74</v>
      </c>
      <c r="D76" t="s">
        <v>260</v>
      </c>
      <c r="E76" t="s">
        <v>283</v>
      </c>
      <c r="F76" s="18" t="s">
        <v>284</v>
      </c>
      <c r="G76" s="23" t="s">
        <v>747</v>
      </c>
    </row>
    <row r="77" spans="1:9" x14ac:dyDescent="0.45">
      <c r="A77" t="str">
        <f t="shared" si="5"/>
        <v>#status_of_cm_sack_measurement</v>
      </c>
      <c r="B77" t="str">
        <f t="shared" si="6"/>
        <v>status_of_cm_sack_measurement</v>
      </c>
      <c r="C77">
        <f t="shared" si="4"/>
        <v>75</v>
      </c>
      <c r="D77" t="s">
        <v>260</v>
      </c>
      <c r="E77" t="s">
        <v>285</v>
      </c>
      <c r="F77" s="18" t="s">
        <v>286</v>
      </c>
      <c r="G77" s="23" t="s">
        <v>748</v>
      </c>
    </row>
    <row r="78" spans="1:9" x14ac:dyDescent="0.45">
      <c r="A78" t="str">
        <f t="shared" si="5"/>
        <v>#status_of_cm_kg_plural_measurement</v>
      </c>
      <c r="B78" t="str">
        <f t="shared" si="6"/>
        <v>status_of_cm_kg_plural_measurement</v>
      </c>
      <c r="C78">
        <f t="shared" si="4"/>
        <v>76</v>
      </c>
      <c r="D78" t="s">
        <v>260</v>
      </c>
      <c r="E78" t="s">
        <v>287</v>
      </c>
      <c r="F78" s="18" t="s">
        <v>288</v>
      </c>
      <c r="G78" s="23" t="s">
        <v>749</v>
      </c>
    </row>
    <row r="79" spans="1:9" x14ac:dyDescent="0.45">
      <c r="A79" t="str">
        <f t="shared" si="5"/>
        <v>#status_of_cm_bundle_measurement</v>
      </c>
      <c r="B79" t="str">
        <f t="shared" si="6"/>
        <v>status_of_cm_bundle_measurement</v>
      </c>
      <c r="C79">
        <f t="shared" si="4"/>
        <v>77</v>
      </c>
      <c r="D79" t="s">
        <v>260</v>
      </c>
      <c r="E79" t="s">
        <v>289</v>
      </c>
      <c r="F79" s="18" t="s">
        <v>290</v>
      </c>
      <c r="G79" s="23" t="s">
        <v>750</v>
      </c>
    </row>
    <row r="80" spans="1:9" x14ac:dyDescent="0.45">
      <c r="A80" t="str">
        <f t="shared" si="5"/>
        <v>#status_of_cm_pieces_measurement</v>
      </c>
      <c r="B80" t="str">
        <f t="shared" si="6"/>
        <v>status_of_cm_pieces_measurement</v>
      </c>
      <c r="C80">
        <f t="shared" si="4"/>
        <v>78</v>
      </c>
      <c r="D80" t="s">
        <v>260</v>
      </c>
      <c r="E80" t="s">
        <v>291</v>
      </c>
      <c r="F80" s="18" t="s">
        <v>292</v>
      </c>
      <c r="G80" s="23" t="s">
        <v>751</v>
      </c>
    </row>
    <row r="81" spans="1:7" x14ac:dyDescent="0.45">
      <c r="A81" t="str">
        <f t="shared" si="5"/>
        <v>#status_of_cm_types_of_workers</v>
      </c>
      <c r="B81" t="str">
        <f t="shared" si="6"/>
        <v>status_of_cm_types_of_workers</v>
      </c>
      <c r="C81">
        <f t="shared" si="4"/>
        <v>79</v>
      </c>
      <c r="D81" t="s">
        <v>260</v>
      </c>
      <c r="E81" t="s">
        <v>295</v>
      </c>
      <c r="F81" s="18" t="s">
        <v>295</v>
      </c>
      <c r="G81" s="23" t="s">
        <v>752</v>
      </c>
    </row>
    <row r="82" spans="1:7" x14ac:dyDescent="0.45">
      <c r="A82" t="str">
        <f t="shared" si="5"/>
        <v>#status_of_cm_avg._daily_wage_(nrs.)</v>
      </c>
      <c r="B82" t="str">
        <f t="shared" si="6"/>
        <v>status_of_cm_avg._daily_wage_(nrs.)</v>
      </c>
      <c r="C82">
        <f t="shared" si="4"/>
        <v>80</v>
      </c>
      <c r="D82" t="s">
        <v>260</v>
      </c>
      <c r="E82" t="s">
        <v>296</v>
      </c>
      <c r="F82" t="s">
        <v>296</v>
      </c>
      <c r="G82" s="23" t="s">
        <v>753</v>
      </c>
    </row>
    <row r="83" spans="1:7" x14ac:dyDescent="0.45">
      <c r="A83" t="str">
        <f t="shared" si="5"/>
        <v>#status_of_cm_skilled_mason</v>
      </c>
      <c r="B83" t="str">
        <f t="shared" si="6"/>
        <v>status_of_cm_skilled_mason</v>
      </c>
      <c r="C83">
        <f t="shared" si="4"/>
        <v>81</v>
      </c>
      <c r="D83" t="s">
        <v>260</v>
      </c>
      <c r="E83" t="s">
        <v>293</v>
      </c>
      <c r="F83" s="18" t="s">
        <v>293</v>
      </c>
      <c r="G83" s="23" t="s">
        <v>754</v>
      </c>
    </row>
    <row r="84" spans="1:7" x14ac:dyDescent="0.45">
      <c r="A84" t="str">
        <f t="shared" si="5"/>
        <v>#status_of_cm_labourer</v>
      </c>
      <c r="B84" t="str">
        <f t="shared" si="6"/>
        <v>status_of_cm_labourer</v>
      </c>
      <c r="C84">
        <f t="shared" si="4"/>
        <v>82</v>
      </c>
      <c r="D84" t="s">
        <v>260</v>
      </c>
      <c r="E84" t="s">
        <v>294</v>
      </c>
      <c r="F84" s="18" t="s">
        <v>294</v>
      </c>
      <c r="G84" s="23" t="s">
        <v>755</v>
      </c>
    </row>
    <row r="85" spans="1:7" ht="32" x14ac:dyDescent="0.6">
      <c r="A85" t="str">
        <f t="shared" si="5"/>
        <v>#status_of_cm_list_1</v>
      </c>
      <c r="B85" t="str">
        <f t="shared" si="6"/>
        <v>status_of_cm_list_1</v>
      </c>
      <c r="C85">
        <f t="shared" si="4"/>
        <v>83</v>
      </c>
      <c r="D85" t="s">
        <v>260</v>
      </c>
      <c r="E85" t="s">
        <v>321</v>
      </c>
      <c r="F85" s="20" t="s">
        <v>323</v>
      </c>
      <c r="G85" s="25" t="s">
        <v>476</v>
      </c>
    </row>
    <row r="86" spans="1:7" ht="32" x14ac:dyDescent="0.6">
      <c r="A86" t="str">
        <f t="shared" si="5"/>
        <v>#status_of_cm_list_2</v>
      </c>
      <c r="B86" t="str">
        <f t="shared" si="6"/>
        <v>status_of_cm_list_2</v>
      </c>
      <c r="C86">
        <f t="shared" si="4"/>
        <v>84</v>
      </c>
      <c r="D86" t="s">
        <v>260</v>
      </c>
      <c r="E86" t="s">
        <v>322</v>
      </c>
      <c r="F86" s="20" t="s">
        <v>324</v>
      </c>
      <c r="G86" s="25" t="s">
        <v>477</v>
      </c>
    </row>
    <row r="87" spans="1:7" x14ac:dyDescent="0.45">
      <c r="A87" t="str">
        <f t="shared" si="5"/>
        <v>#other_sectors_panel_title</v>
      </c>
      <c r="B87" t="str">
        <f t="shared" si="6"/>
        <v>other_sectors_panel_title</v>
      </c>
      <c r="C87">
        <f t="shared" si="4"/>
        <v>85</v>
      </c>
      <c r="D87" t="s">
        <v>23</v>
      </c>
      <c r="E87" t="s">
        <v>261</v>
      </c>
      <c r="F87" s="18" t="s">
        <v>387</v>
      </c>
      <c r="G87" s="23" t="s">
        <v>756</v>
      </c>
    </row>
    <row r="88" spans="1:7" x14ac:dyDescent="0.45">
      <c r="A88" t="str">
        <f t="shared" si="5"/>
        <v>#other_sectors_schools_title</v>
      </c>
      <c r="B88" t="str">
        <f t="shared" si="6"/>
        <v>other_sectors_schools_title</v>
      </c>
      <c r="C88">
        <f t="shared" si="4"/>
        <v>86</v>
      </c>
      <c r="D88" t="s">
        <v>23</v>
      </c>
      <c r="E88" t="s">
        <v>299</v>
      </c>
      <c r="F88" s="18" t="s">
        <v>304</v>
      </c>
      <c r="G88" s="23" t="s">
        <v>757</v>
      </c>
    </row>
    <row r="89" spans="1:7" x14ac:dyDescent="0.45">
      <c r="A89" t="str">
        <f t="shared" si="5"/>
        <v>#other_sectors_health_posts_title</v>
      </c>
      <c r="B89" t="str">
        <f t="shared" si="6"/>
        <v>other_sectors_health_posts_title</v>
      </c>
      <c r="C89">
        <f t="shared" si="4"/>
        <v>87</v>
      </c>
      <c r="D89" t="s">
        <v>23</v>
      </c>
      <c r="E89" t="s">
        <v>300</v>
      </c>
      <c r="F89" s="18" t="s">
        <v>305</v>
      </c>
      <c r="G89" s="23" t="s">
        <v>758</v>
      </c>
    </row>
    <row r="90" spans="1:7" x14ac:dyDescent="0.45">
      <c r="A90" t="str">
        <f t="shared" si="5"/>
        <v>#other_sectors_damaged</v>
      </c>
      <c r="B90" t="str">
        <f t="shared" si="6"/>
        <v>other_sectors_damaged</v>
      </c>
      <c r="C90">
        <f t="shared" si="4"/>
        <v>88</v>
      </c>
      <c r="D90" t="s">
        <v>23</v>
      </c>
      <c r="E90" t="s">
        <v>301</v>
      </c>
      <c r="F90" s="18" t="s">
        <v>301</v>
      </c>
      <c r="G90" s="23" t="s">
        <v>759</v>
      </c>
    </row>
    <row r="91" spans="1:7" x14ac:dyDescent="0.45">
      <c r="A91" t="str">
        <f t="shared" si="5"/>
        <v>#other_sectors_under-construction</v>
      </c>
      <c r="B91" t="str">
        <f t="shared" si="6"/>
        <v>other_sectors_under-construction</v>
      </c>
      <c r="C91">
        <f t="shared" si="4"/>
        <v>89</v>
      </c>
      <c r="D91" t="s">
        <v>23</v>
      </c>
      <c r="E91" t="s">
        <v>302</v>
      </c>
      <c r="F91" s="18" t="s">
        <v>241</v>
      </c>
      <c r="G91" s="23" t="s">
        <v>722</v>
      </c>
    </row>
    <row r="92" spans="1:7" x14ac:dyDescent="0.45">
      <c r="A92" t="str">
        <f t="shared" si="5"/>
        <v>#other_sectors_const._completed</v>
      </c>
      <c r="B92" t="str">
        <f t="shared" si="6"/>
        <v>other_sectors_const._completed</v>
      </c>
      <c r="C92">
        <f t="shared" si="4"/>
        <v>90</v>
      </c>
      <c r="D92" t="s">
        <v>23</v>
      </c>
      <c r="E92" t="s">
        <v>303</v>
      </c>
      <c r="F92" t="s">
        <v>446</v>
      </c>
      <c r="G92" s="23" t="s">
        <v>723</v>
      </c>
    </row>
    <row r="93" spans="1:7" x14ac:dyDescent="0.45">
      <c r="A93" t="str">
        <f t="shared" si="5"/>
        <v>#key_contacts_panel_title</v>
      </c>
      <c r="B93" t="str">
        <f t="shared" si="6"/>
        <v>key_contacts_panel_title</v>
      </c>
      <c r="C93">
        <f t="shared" si="4"/>
        <v>91</v>
      </c>
      <c r="D93" t="s">
        <v>28</v>
      </c>
      <c r="E93" t="s">
        <v>261</v>
      </c>
      <c r="F93" t="s">
        <v>388</v>
      </c>
      <c r="G93" s="23" t="s">
        <v>760</v>
      </c>
    </row>
    <row r="94" spans="1:7" x14ac:dyDescent="0.45">
      <c r="A94" t="str">
        <f t="shared" ref="A94" si="7">CONCATENATE("#",(LOWER(SUBSTITUTE(CONCATENATE(D94,"_",E94)," ","_"))))</f>
        <v>#key_contacts_municipal_office_title</v>
      </c>
      <c r="B94" t="str">
        <f t="shared" ref="B94" si="8">CONCATENATE("",(LOWER(SUBSTITUTE(CONCATENATE(D94,"_",E94)," ","_"))),"")</f>
        <v>key_contacts_municipal_office_title</v>
      </c>
      <c r="C94">
        <f t="shared" si="4"/>
        <v>92</v>
      </c>
      <c r="D94" t="s">
        <v>28</v>
      </c>
      <c r="E94" t="s">
        <v>307</v>
      </c>
      <c r="F94" t="s">
        <v>119</v>
      </c>
      <c r="G94" s="23" t="s">
        <v>761</v>
      </c>
    </row>
    <row r="95" spans="1:7" x14ac:dyDescent="0.45">
      <c r="A95" t="str">
        <f t="shared" si="5"/>
        <v>#key_contacts_gmali/nra_title</v>
      </c>
      <c r="B95" t="str">
        <f t="shared" si="6"/>
        <v>key_contacts_gmali/nra_title</v>
      </c>
      <c r="C95">
        <f t="shared" si="4"/>
        <v>93</v>
      </c>
      <c r="D95" t="s">
        <v>28</v>
      </c>
      <c r="E95" t="s">
        <v>308</v>
      </c>
      <c r="F95" s="18" t="s">
        <v>306</v>
      </c>
      <c r="G95" s="23" t="s">
        <v>481</v>
      </c>
    </row>
    <row r="96" spans="1:7" x14ac:dyDescent="0.45">
      <c r="A96" t="str">
        <f t="shared" si="5"/>
        <v>#key_contacts_dlpiu-building_title</v>
      </c>
      <c r="B96" t="str">
        <f t="shared" si="6"/>
        <v>key_contacts_dlpiu-building_title</v>
      </c>
      <c r="C96">
        <f t="shared" si="4"/>
        <v>94</v>
      </c>
      <c r="D96" t="s">
        <v>28</v>
      </c>
      <c r="E96" t="s">
        <v>309</v>
      </c>
      <c r="F96" s="18" t="s">
        <v>128</v>
      </c>
      <c r="G96" s="23" t="s">
        <v>762</v>
      </c>
    </row>
    <row r="97" spans="1:7" x14ac:dyDescent="0.45">
      <c r="A97" t="str">
        <f t="shared" si="5"/>
        <v>#key_contacts_contact</v>
      </c>
      <c r="B97" t="str">
        <f t="shared" si="6"/>
        <v>key_contacts_contact</v>
      </c>
      <c r="C97">
        <f t="shared" si="4"/>
        <v>95</v>
      </c>
      <c r="D97" t="s">
        <v>28</v>
      </c>
      <c r="E97" t="s">
        <v>310</v>
      </c>
      <c r="F97" s="18" t="s">
        <v>310</v>
      </c>
      <c r="G97" s="23" t="s">
        <v>763</v>
      </c>
    </row>
    <row r="98" spans="1:7" x14ac:dyDescent="0.45">
      <c r="A98" t="str">
        <f t="shared" si="5"/>
        <v>#land_issues_panel_title</v>
      </c>
      <c r="B98" t="str">
        <f t="shared" si="6"/>
        <v>land_issues_panel_title</v>
      </c>
      <c r="C98">
        <f t="shared" si="4"/>
        <v>96</v>
      </c>
      <c r="D98" t="s">
        <v>336</v>
      </c>
      <c r="E98" t="s">
        <v>261</v>
      </c>
      <c r="F98" s="18" t="s">
        <v>338</v>
      </c>
      <c r="G98" s="23" t="s">
        <v>764</v>
      </c>
    </row>
    <row r="99" spans="1:7" x14ac:dyDescent="0.45">
      <c r="A99" t="str">
        <f t="shared" si="5"/>
        <v>#land_issues_landless</v>
      </c>
      <c r="B99" t="str">
        <f t="shared" si="6"/>
        <v>land_issues_landless</v>
      </c>
      <c r="C99">
        <f t="shared" si="4"/>
        <v>97</v>
      </c>
      <c r="D99" t="s">
        <v>336</v>
      </c>
      <c r="E99" t="s">
        <v>339</v>
      </c>
      <c r="F99" s="18" t="s">
        <v>339</v>
      </c>
      <c r="G99" s="23" t="s">
        <v>765</v>
      </c>
    </row>
    <row r="100" spans="1:7" x14ac:dyDescent="0.45">
      <c r="A100" t="str">
        <f t="shared" si="5"/>
        <v>#land_issues_no_land_certificates</v>
      </c>
      <c r="B100" t="str">
        <f t="shared" si="6"/>
        <v>land_issues_no_land_certificates</v>
      </c>
      <c r="C100">
        <f t="shared" si="4"/>
        <v>98</v>
      </c>
      <c r="D100" t="s">
        <v>336</v>
      </c>
      <c r="E100" t="s">
        <v>340</v>
      </c>
      <c r="F100" s="18" t="s">
        <v>340</v>
      </c>
      <c r="G100" s="23" t="s">
        <v>766</v>
      </c>
    </row>
    <row r="101" spans="1:7" x14ac:dyDescent="0.45">
      <c r="A101" t="str">
        <f t="shared" ref="A101:A130" si="9">CONCATENATE("#",(LOWER(SUBSTITUTE(CONCATENATE(D101,"_",E101)," ","_"))))</f>
        <v>#land_issues_right_of_way</v>
      </c>
      <c r="B101" t="str">
        <f t="shared" si="6"/>
        <v>land_issues_right_of_way</v>
      </c>
      <c r="C101">
        <f t="shared" si="4"/>
        <v>99</v>
      </c>
      <c r="D101" t="s">
        <v>336</v>
      </c>
      <c r="E101" t="s">
        <v>341</v>
      </c>
      <c r="F101" s="18" t="s">
        <v>341</v>
      </c>
      <c r="G101" s="23" t="s">
        <v>767</v>
      </c>
    </row>
    <row r="102" spans="1:7" x14ac:dyDescent="0.45">
      <c r="A102" t="str">
        <f t="shared" si="9"/>
        <v>#land_issues_affected_by_hep</v>
      </c>
      <c r="B102" t="str">
        <f t="shared" si="6"/>
        <v>land_issues_affected_by_hep</v>
      </c>
      <c r="C102">
        <f t="shared" si="4"/>
        <v>100</v>
      </c>
      <c r="D102" t="s">
        <v>336</v>
      </c>
      <c r="E102" t="s">
        <v>478</v>
      </c>
      <c r="F102" s="18" t="s">
        <v>342</v>
      </c>
    </row>
    <row r="103" spans="1:7" x14ac:dyDescent="0.45">
      <c r="A103" t="str">
        <f t="shared" si="9"/>
        <v>#land_issues_small_plots</v>
      </c>
      <c r="B103" t="str">
        <f t="shared" si="6"/>
        <v>land_issues_small_plots</v>
      </c>
      <c r="C103">
        <f t="shared" si="4"/>
        <v>101</v>
      </c>
      <c r="D103" t="s">
        <v>336</v>
      </c>
      <c r="E103" t="s">
        <v>343</v>
      </c>
      <c r="F103" s="18" t="s">
        <v>343</v>
      </c>
      <c r="G103" s="23" t="s">
        <v>768</v>
      </c>
    </row>
    <row r="104" spans="1:7" x14ac:dyDescent="0.45">
      <c r="A104" t="str">
        <f t="shared" si="9"/>
        <v>#land_issues_guthi_land</v>
      </c>
      <c r="B104" t="str">
        <f t="shared" si="6"/>
        <v>land_issues_guthi_land</v>
      </c>
      <c r="C104">
        <f t="shared" si="4"/>
        <v>102</v>
      </c>
      <c r="D104" t="s">
        <v>336</v>
      </c>
      <c r="E104" t="s">
        <v>344</v>
      </c>
      <c r="F104" s="18" t="s">
        <v>344</v>
      </c>
      <c r="G104" s="23" t="s">
        <v>769</v>
      </c>
    </row>
    <row r="105" spans="1:7" x14ac:dyDescent="0.45">
      <c r="A105" t="str">
        <f t="shared" si="9"/>
        <v>#land_issues_no_information</v>
      </c>
      <c r="B105" t="str">
        <f t="shared" si="6"/>
        <v>land_issues_no_information</v>
      </c>
      <c r="C105">
        <f t="shared" si="4"/>
        <v>103</v>
      </c>
      <c r="D105" t="s">
        <v>336</v>
      </c>
      <c r="E105" t="s">
        <v>345</v>
      </c>
      <c r="F105" s="18" t="s">
        <v>480</v>
      </c>
      <c r="G105" s="23" t="s">
        <v>770</v>
      </c>
    </row>
    <row r="106" spans="1:7" x14ac:dyDescent="0.45">
      <c r="A106" t="str">
        <f t="shared" si="9"/>
        <v>#tech_staff_panel_title</v>
      </c>
      <c r="B106" t="str">
        <f t="shared" si="6"/>
        <v>tech_staff_panel_title</v>
      </c>
      <c r="C106">
        <f t="shared" si="4"/>
        <v>104</v>
      </c>
      <c r="D106" t="s">
        <v>346</v>
      </c>
      <c r="E106" t="s">
        <v>261</v>
      </c>
      <c r="F106" s="18" t="s">
        <v>347</v>
      </c>
      <c r="G106" s="23" t="s">
        <v>771</v>
      </c>
    </row>
    <row r="107" spans="1:7" x14ac:dyDescent="0.45">
      <c r="A107" t="str">
        <f t="shared" si="9"/>
        <v>#tech_staff_staff_title</v>
      </c>
      <c r="B107" t="str">
        <f t="shared" si="6"/>
        <v>tech_staff_staff_title</v>
      </c>
      <c r="C107">
        <f t="shared" si="4"/>
        <v>105</v>
      </c>
      <c r="D107" t="s">
        <v>346</v>
      </c>
      <c r="E107" t="s">
        <v>348</v>
      </c>
      <c r="F107" s="18" t="s">
        <v>357</v>
      </c>
      <c r="G107" s="23" t="s">
        <v>772</v>
      </c>
    </row>
    <row r="108" spans="1:7" x14ac:dyDescent="0.45">
      <c r="A108" t="str">
        <f t="shared" si="9"/>
        <v>#tech_staff_available_title</v>
      </c>
      <c r="B108" t="str">
        <f t="shared" si="6"/>
        <v>tech_staff_available_title</v>
      </c>
      <c r="C108">
        <f t="shared" si="4"/>
        <v>106</v>
      </c>
      <c r="D108" t="s">
        <v>346</v>
      </c>
      <c r="E108" t="s">
        <v>349</v>
      </c>
      <c r="F108" s="18" t="s">
        <v>358</v>
      </c>
      <c r="G108" s="23" t="s">
        <v>773</v>
      </c>
    </row>
    <row r="109" spans="1:7" x14ac:dyDescent="0.45">
      <c r="A109" t="str">
        <f t="shared" si="9"/>
        <v>#tech_staff_addl_req_title</v>
      </c>
      <c r="B109" t="str">
        <f t="shared" si="6"/>
        <v>tech_staff_addl_req_title</v>
      </c>
      <c r="C109">
        <f t="shared" si="4"/>
        <v>107</v>
      </c>
      <c r="D109" t="s">
        <v>346</v>
      </c>
      <c r="E109" t="s">
        <v>350</v>
      </c>
      <c r="F109" s="18" t="s">
        <v>359</v>
      </c>
      <c r="G109" s="23" t="s">
        <v>774</v>
      </c>
    </row>
    <row r="110" spans="1:7" x14ac:dyDescent="0.45">
      <c r="A110" t="str">
        <f t="shared" si="9"/>
        <v>#tech_staff_engineers</v>
      </c>
      <c r="B110" t="str">
        <f t="shared" si="6"/>
        <v>tech_staff_engineers</v>
      </c>
      <c r="C110">
        <f t="shared" si="4"/>
        <v>108</v>
      </c>
      <c r="D110" t="s">
        <v>346</v>
      </c>
      <c r="E110" t="s">
        <v>352</v>
      </c>
      <c r="F110" s="18" t="s">
        <v>352</v>
      </c>
      <c r="G110" s="23" t="s">
        <v>775</v>
      </c>
    </row>
    <row r="111" spans="1:7" x14ac:dyDescent="0.45">
      <c r="A111" t="str">
        <f t="shared" si="9"/>
        <v>#tech_staff_sub-engineers</v>
      </c>
      <c r="B111" t="str">
        <f t="shared" si="6"/>
        <v>tech_staff_sub-engineers</v>
      </c>
      <c r="C111">
        <f t="shared" si="4"/>
        <v>109</v>
      </c>
      <c r="D111" t="s">
        <v>346</v>
      </c>
      <c r="E111" t="s">
        <v>353</v>
      </c>
      <c r="F111" s="18" t="s">
        <v>353</v>
      </c>
      <c r="G111" s="23" t="s">
        <v>776</v>
      </c>
    </row>
    <row r="112" spans="1:7" x14ac:dyDescent="0.45">
      <c r="A112" t="str">
        <f t="shared" si="9"/>
        <v>#tech_staff_asst._sub-engineers</v>
      </c>
      <c r="B112" t="str">
        <f t="shared" si="6"/>
        <v>tech_staff_asst._sub-engineers</v>
      </c>
      <c r="C112">
        <f t="shared" si="4"/>
        <v>110</v>
      </c>
      <c r="D112" t="s">
        <v>346</v>
      </c>
      <c r="E112" t="s">
        <v>354</v>
      </c>
      <c r="F112" s="18" t="s">
        <v>354</v>
      </c>
      <c r="G112" s="23" t="s">
        <v>777</v>
      </c>
    </row>
    <row r="113" spans="1:7" x14ac:dyDescent="0.45">
      <c r="A113" t="str">
        <f t="shared" si="9"/>
        <v>#tech_staff_masons</v>
      </c>
      <c r="B113" t="str">
        <f t="shared" si="6"/>
        <v>tech_staff_masons</v>
      </c>
      <c r="C113">
        <f t="shared" si="4"/>
        <v>111</v>
      </c>
      <c r="D113" t="s">
        <v>346</v>
      </c>
      <c r="E113" t="s">
        <v>351</v>
      </c>
      <c r="F113" s="18" t="s">
        <v>351</v>
      </c>
      <c r="G113" s="23" t="s">
        <v>778</v>
      </c>
    </row>
    <row r="114" spans="1:7" x14ac:dyDescent="0.45">
      <c r="A114" t="str">
        <f t="shared" si="9"/>
        <v>#tech_staff_days</v>
      </c>
      <c r="B114" t="str">
        <f t="shared" si="6"/>
        <v>tech_staff_days</v>
      </c>
      <c r="C114">
        <f t="shared" si="4"/>
        <v>112</v>
      </c>
      <c r="D114" t="s">
        <v>346</v>
      </c>
      <c r="E114" t="s">
        <v>355</v>
      </c>
      <c r="F114" s="18" t="s">
        <v>356</v>
      </c>
      <c r="G114" s="23" t="s">
        <v>779</v>
      </c>
    </row>
    <row r="115" spans="1:7" x14ac:dyDescent="0.45">
      <c r="A115" t="str">
        <f t="shared" si="9"/>
        <v>#tech_staff_footer</v>
      </c>
      <c r="B115" t="str">
        <f t="shared" si="6"/>
        <v>tech_staff_footer</v>
      </c>
      <c r="C115">
        <f t="shared" si="4"/>
        <v>113</v>
      </c>
      <c r="D115" t="s">
        <v>346</v>
      </c>
      <c r="E115" t="s">
        <v>298</v>
      </c>
      <c r="F115" s="18" t="s">
        <v>369</v>
      </c>
      <c r="G115" s="23" t="s">
        <v>780</v>
      </c>
    </row>
    <row r="116" spans="1:7" x14ac:dyDescent="0.45">
      <c r="A116" t="str">
        <f t="shared" si="9"/>
        <v>#training_panel_title</v>
      </c>
      <c r="B116" t="str">
        <f t="shared" si="6"/>
        <v>training_panel_title</v>
      </c>
      <c r="C116">
        <f t="shared" si="4"/>
        <v>114</v>
      </c>
      <c r="D116" t="s">
        <v>360</v>
      </c>
      <c r="E116" t="s">
        <v>261</v>
      </c>
      <c r="F116" s="18" t="s">
        <v>361</v>
      </c>
      <c r="G116" s="23" t="s">
        <v>781</v>
      </c>
    </row>
    <row r="117" spans="1:7" x14ac:dyDescent="0.45">
      <c r="A117" t="str">
        <f t="shared" si="9"/>
        <v>#training_sub_title</v>
      </c>
      <c r="B117" t="str">
        <f t="shared" si="6"/>
        <v>training_sub_title</v>
      </c>
      <c r="C117">
        <f t="shared" si="4"/>
        <v>115</v>
      </c>
      <c r="D117" t="s">
        <v>360</v>
      </c>
      <c r="E117" t="s">
        <v>362</v>
      </c>
      <c r="F117" s="18" t="s">
        <v>363</v>
      </c>
      <c r="G117" s="23" t="s">
        <v>782</v>
      </c>
    </row>
    <row r="118" spans="1:7" x14ac:dyDescent="0.45">
      <c r="A118" t="str">
        <f t="shared" si="9"/>
        <v>#training_short_training</v>
      </c>
      <c r="B118" t="str">
        <f t="shared" si="6"/>
        <v>training_short_training</v>
      </c>
      <c r="C118">
        <f t="shared" si="4"/>
        <v>116</v>
      </c>
      <c r="D118" t="s">
        <v>360</v>
      </c>
      <c r="E118" t="s">
        <v>364</v>
      </c>
      <c r="F118" s="18" t="s">
        <v>364</v>
      </c>
      <c r="G118" s="23" t="s">
        <v>783</v>
      </c>
    </row>
    <row r="119" spans="1:7" x14ac:dyDescent="0.45">
      <c r="A119" t="str">
        <f t="shared" si="9"/>
        <v>#training_vocational_training</v>
      </c>
      <c r="B119" t="str">
        <f t="shared" si="6"/>
        <v>training_vocational_training</v>
      </c>
      <c r="C119">
        <f t="shared" si="4"/>
        <v>117</v>
      </c>
      <c r="D119" t="s">
        <v>360</v>
      </c>
      <c r="E119" t="s">
        <v>365</v>
      </c>
      <c r="F119" s="18" t="s">
        <v>365</v>
      </c>
      <c r="G119" s="23" t="s">
        <v>784</v>
      </c>
    </row>
    <row r="120" spans="1:7" x14ac:dyDescent="0.45">
      <c r="A120" t="str">
        <f t="shared" si="9"/>
        <v>#training_reached</v>
      </c>
      <c r="B120" t="str">
        <f t="shared" si="6"/>
        <v>training_reached</v>
      </c>
      <c r="C120">
        <f t="shared" si="4"/>
        <v>118</v>
      </c>
      <c r="D120" t="s">
        <v>360</v>
      </c>
      <c r="E120" t="s">
        <v>366</v>
      </c>
      <c r="F120" s="18" t="s">
        <v>366</v>
      </c>
      <c r="G120" s="23" t="s">
        <v>785</v>
      </c>
    </row>
    <row r="121" spans="1:7" x14ac:dyDescent="0.45">
      <c r="A121" t="str">
        <f t="shared" si="9"/>
        <v>#training_remaining</v>
      </c>
      <c r="B121" t="str">
        <f t="shared" si="6"/>
        <v>training_remaining</v>
      </c>
      <c r="C121">
        <f t="shared" si="4"/>
        <v>119</v>
      </c>
      <c r="D121" t="s">
        <v>360</v>
      </c>
      <c r="E121" t="s">
        <v>367</v>
      </c>
      <c r="F121" s="18" t="s">
        <v>367</v>
      </c>
      <c r="G121" s="23" t="s">
        <v>786</v>
      </c>
    </row>
    <row r="122" spans="1:7" x14ac:dyDescent="0.45">
      <c r="A122" t="str">
        <f t="shared" si="9"/>
        <v>#training_footer</v>
      </c>
      <c r="B122" t="str">
        <f t="shared" si="6"/>
        <v>training_footer</v>
      </c>
      <c r="C122">
        <f t="shared" si="4"/>
        <v>120</v>
      </c>
      <c r="D122" t="s">
        <v>360</v>
      </c>
      <c r="E122" t="s">
        <v>298</v>
      </c>
      <c r="F122" s="18" t="s">
        <v>368</v>
      </c>
      <c r="G122" s="23" t="s">
        <v>787</v>
      </c>
    </row>
    <row r="123" spans="1:7" x14ac:dyDescent="0.45">
      <c r="A123" t="str">
        <f t="shared" si="9"/>
        <v>#map_panel_title</v>
      </c>
      <c r="B123" t="str">
        <f t="shared" si="6"/>
        <v>map_panel_title</v>
      </c>
      <c r="C123">
        <f t="shared" si="4"/>
        <v>121</v>
      </c>
      <c r="D123" t="s">
        <v>370</v>
      </c>
      <c r="E123" t="s">
        <v>261</v>
      </c>
      <c r="F123" s="18" t="s">
        <v>371</v>
      </c>
      <c r="G123" s="23" t="s">
        <v>788</v>
      </c>
    </row>
    <row r="124" spans="1:7" ht="107" x14ac:dyDescent="0.45">
      <c r="A124" t="str">
        <f t="shared" si="9"/>
        <v>#map_footer</v>
      </c>
      <c r="B124" t="str">
        <f t="shared" si="6"/>
        <v>map_footer</v>
      </c>
      <c r="C124">
        <f t="shared" si="4"/>
        <v>122</v>
      </c>
      <c r="D124" t="s">
        <v>370</v>
      </c>
      <c r="E124" t="s">
        <v>298</v>
      </c>
      <c r="F124" s="18" t="s">
        <v>372</v>
      </c>
      <c r="G124" s="23" t="s">
        <v>789</v>
      </c>
    </row>
    <row r="125" spans="1:7" x14ac:dyDescent="0.45">
      <c r="A125" t="str">
        <f t="shared" si="9"/>
        <v>#faq_panel_title</v>
      </c>
      <c r="B125" t="str">
        <f t="shared" si="6"/>
        <v>faq_panel_title</v>
      </c>
      <c r="C125">
        <f t="shared" si="4"/>
        <v>123</v>
      </c>
      <c r="D125" t="s">
        <v>46</v>
      </c>
      <c r="E125" t="s">
        <v>261</v>
      </c>
      <c r="F125" s="18" t="s">
        <v>373</v>
      </c>
      <c r="G125" s="23" t="s">
        <v>790</v>
      </c>
    </row>
    <row r="126" spans="1:7" x14ac:dyDescent="0.45">
      <c r="A126" t="str">
        <f t="shared" si="9"/>
        <v>#faq_q</v>
      </c>
      <c r="B126" t="str">
        <f t="shared" si="6"/>
        <v>faq_q</v>
      </c>
      <c r="C126">
        <f t="shared" si="4"/>
        <v>124</v>
      </c>
      <c r="D126" t="s">
        <v>46</v>
      </c>
      <c r="E126" t="s">
        <v>374</v>
      </c>
      <c r="F126" s="18" t="s">
        <v>374</v>
      </c>
      <c r="G126" s="23" t="s">
        <v>791</v>
      </c>
    </row>
    <row r="127" spans="1:7" x14ac:dyDescent="0.45">
      <c r="A127" t="str">
        <f t="shared" si="9"/>
        <v>#faq_a</v>
      </c>
      <c r="B127" t="str">
        <f t="shared" si="6"/>
        <v>faq_a</v>
      </c>
      <c r="C127">
        <f t="shared" si="4"/>
        <v>125</v>
      </c>
      <c r="D127" t="s">
        <v>46</v>
      </c>
      <c r="E127" t="s">
        <v>375</v>
      </c>
      <c r="F127" s="18" t="s">
        <v>375</v>
      </c>
      <c r="G127" s="23" t="s">
        <v>792</v>
      </c>
    </row>
    <row r="128" spans="1:7" x14ac:dyDescent="0.45">
      <c r="A128" t="str">
        <f>CONCATENATE("#",(LOWER(SUBSTITUTE(CONCATENATE(D128,"_",E128)," ","_"))))</f>
        <v>#faq_num</v>
      </c>
      <c r="B128" t="str">
        <f>CONCATENATE("",(LOWER(SUBSTITUTE(CONCATENATE(D128,"_",E128)," ","_"))),"")</f>
        <v>faq_num</v>
      </c>
      <c r="C128">
        <f t="shared" si="4"/>
        <v>126</v>
      </c>
      <c r="D128" t="s">
        <v>46</v>
      </c>
      <c r="E128" t="s">
        <v>1523</v>
      </c>
      <c r="F128" s="18">
        <v>1</v>
      </c>
      <c r="G128" s="23">
        <v>3</v>
      </c>
    </row>
    <row r="129" spans="1:7" x14ac:dyDescent="0.45">
      <c r="A129" t="str">
        <f t="shared" si="9"/>
        <v>#header_month</v>
      </c>
      <c r="B129" t="str">
        <f t="shared" si="6"/>
        <v>header_month</v>
      </c>
      <c r="C129">
        <f t="shared" si="4"/>
        <v>127</v>
      </c>
      <c r="D129" t="s">
        <v>222</v>
      </c>
      <c r="E129" t="s">
        <v>1519</v>
      </c>
      <c r="F129" s="18" t="s">
        <v>1521</v>
      </c>
      <c r="G129" s="23" t="s">
        <v>1522</v>
      </c>
    </row>
    <row r="130" spans="1:7" x14ac:dyDescent="0.45">
      <c r="A130" t="str">
        <f t="shared" si="9"/>
        <v>#header_year</v>
      </c>
      <c r="B130" t="str">
        <f t="shared" si="6"/>
        <v>header_year</v>
      </c>
      <c r="C130">
        <f t="shared" si="4"/>
        <v>128</v>
      </c>
      <c r="D130" t="s">
        <v>222</v>
      </c>
      <c r="E130" t="s">
        <v>1520</v>
      </c>
      <c r="F130" s="18">
        <v>2019</v>
      </c>
      <c r="G130" s="43">
        <v>2076</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topLeftCell="C1" workbookViewId="0">
      <selection activeCell="E6" sqref="E6"/>
    </sheetView>
  </sheetViews>
  <sheetFormatPr baseColWidth="10" defaultColWidth="11" defaultRowHeight="16" x14ac:dyDescent="0.2"/>
  <cols>
    <col min="2" max="2" width="24.6640625" bestFit="1" customWidth="1"/>
    <col min="3" max="3" width="24.6640625" customWidth="1"/>
    <col min="4" max="4" width="165.6640625" customWidth="1"/>
    <col min="5" max="5" width="44.6640625" customWidth="1"/>
  </cols>
  <sheetData>
    <row r="1" spans="1:5" x14ac:dyDescent="0.2">
      <c r="A1" t="s">
        <v>208</v>
      </c>
      <c r="B1" t="s">
        <v>216</v>
      </c>
      <c r="C1" t="s">
        <v>515</v>
      </c>
      <c r="D1" t="s">
        <v>217</v>
      </c>
      <c r="E1" t="s">
        <v>516</v>
      </c>
    </row>
    <row r="2" spans="1:5" ht="97" customHeight="1" x14ac:dyDescent="0.2">
      <c r="A2" s="1" t="s">
        <v>47</v>
      </c>
      <c r="B2" s="1" t="s">
        <v>210</v>
      </c>
      <c r="C2" s="1" t="s">
        <v>513</v>
      </c>
      <c r="D2" s="1" t="s">
        <v>211</v>
      </c>
      <c r="E2" s="1" t="s">
        <v>514</v>
      </c>
    </row>
    <row r="3" spans="1:5" ht="20" customHeight="1" x14ac:dyDescent="0.2">
      <c r="A3">
        <v>1</v>
      </c>
      <c r="B3" s="18" t="s">
        <v>1509</v>
      </c>
      <c r="C3" s="18" t="s">
        <v>1510</v>
      </c>
      <c r="D3" s="18" t="s">
        <v>1511</v>
      </c>
      <c r="E3" s="18" t="s">
        <v>1512</v>
      </c>
    </row>
    <row r="4" spans="1:5" ht="221" x14ac:dyDescent="0.2">
      <c r="A4">
        <v>2</v>
      </c>
      <c r="B4" s="18" t="s">
        <v>1513</v>
      </c>
      <c r="C4" s="18" t="s">
        <v>1514</v>
      </c>
      <c r="D4" s="18" t="s">
        <v>1515</v>
      </c>
      <c r="E4" s="18" t="s">
        <v>1516</v>
      </c>
    </row>
    <row r="5" spans="1:5" x14ac:dyDescent="0.2">
      <c r="A5">
        <v>3</v>
      </c>
      <c r="B5" t="s">
        <v>212</v>
      </c>
      <c r="C5" t="s">
        <v>1529</v>
      </c>
      <c r="D5" t="s">
        <v>213</v>
      </c>
      <c r="E5" t="s">
        <v>1530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E173"/>
  <sheetViews>
    <sheetView workbookViewId="0">
      <selection activeCell="A4" sqref="A4"/>
    </sheetView>
  </sheetViews>
  <sheetFormatPr baseColWidth="10" defaultRowHeight="16" x14ac:dyDescent="0.2"/>
  <cols>
    <col min="1" max="1" width="31.6640625" bestFit="1" customWidth="1"/>
  </cols>
  <sheetData>
    <row r="1" spans="1:2" x14ac:dyDescent="0.2">
      <c r="A1" s="1" t="s">
        <v>844</v>
      </c>
      <c r="B1" s="1" t="s">
        <v>845</v>
      </c>
    </row>
    <row r="2" spans="1:2" hidden="1" x14ac:dyDescent="0.2">
      <c r="A2" t="s">
        <v>517</v>
      </c>
      <c r="B2" t="s">
        <v>836</v>
      </c>
    </row>
    <row r="3" spans="1:2" hidden="1" x14ac:dyDescent="0.2">
      <c r="A3" t="s">
        <v>518</v>
      </c>
      <c r="B3" t="s">
        <v>835</v>
      </c>
    </row>
    <row r="4" spans="1:2" x14ac:dyDescent="0.2">
      <c r="A4" t="s">
        <v>519</v>
      </c>
      <c r="B4" t="s">
        <v>835</v>
      </c>
    </row>
    <row r="5" spans="1:2" hidden="1" x14ac:dyDescent="0.2">
      <c r="A5" t="s">
        <v>520</v>
      </c>
      <c r="B5" t="s">
        <v>835</v>
      </c>
    </row>
    <row r="6" spans="1:2" hidden="1" x14ac:dyDescent="0.2">
      <c r="A6" t="s">
        <v>521</v>
      </c>
      <c r="B6" t="s">
        <v>837</v>
      </c>
    </row>
    <row r="7" spans="1:2" hidden="1" x14ac:dyDescent="0.2">
      <c r="A7" t="s">
        <v>522</v>
      </c>
      <c r="B7" t="s">
        <v>837</v>
      </c>
    </row>
    <row r="8" spans="1:2" hidden="1" x14ac:dyDescent="0.2">
      <c r="A8" t="s">
        <v>523</v>
      </c>
      <c r="B8" t="s">
        <v>837</v>
      </c>
    </row>
    <row r="9" spans="1:2" hidden="1" x14ac:dyDescent="0.2">
      <c r="A9" t="s">
        <v>524</v>
      </c>
      <c r="B9" t="s">
        <v>839</v>
      </c>
    </row>
    <row r="10" spans="1:2" hidden="1" x14ac:dyDescent="0.2">
      <c r="A10" t="s">
        <v>525</v>
      </c>
      <c r="B10" t="s">
        <v>839</v>
      </c>
    </row>
    <row r="11" spans="1:2" hidden="1" x14ac:dyDescent="0.2">
      <c r="A11" t="s">
        <v>526</v>
      </c>
      <c r="B11" t="s">
        <v>839</v>
      </c>
    </row>
    <row r="12" spans="1:2" hidden="1" x14ac:dyDescent="0.2">
      <c r="A12" t="s">
        <v>527</v>
      </c>
      <c r="B12" t="s">
        <v>839</v>
      </c>
    </row>
    <row r="13" spans="1:2" hidden="1" x14ac:dyDescent="0.2">
      <c r="A13" t="s">
        <v>528</v>
      </c>
      <c r="B13" t="s">
        <v>839</v>
      </c>
    </row>
    <row r="14" spans="1:2" hidden="1" x14ac:dyDescent="0.2">
      <c r="A14" t="s">
        <v>529</v>
      </c>
      <c r="B14" t="s">
        <v>839</v>
      </c>
    </row>
    <row r="15" spans="1:2" hidden="1" x14ac:dyDescent="0.2">
      <c r="A15" t="s">
        <v>530</v>
      </c>
      <c r="B15" t="s">
        <v>839</v>
      </c>
    </row>
    <row r="16" spans="1:2" hidden="1" x14ac:dyDescent="0.2">
      <c r="A16" t="s">
        <v>531</v>
      </c>
      <c r="B16" t="s">
        <v>839</v>
      </c>
    </row>
    <row r="17" spans="1:2" hidden="1" x14ac:dyDescent="0.2">
      <c r="A17" t="s">
        <v>532</v>
      </c>
      <c r="B17" t="s">
        <v>839</v>
      </c>
    </row>
    <row r="18" spans="1:2" hidden="1" x14ac:dyDescent="0.2">
      <c r="A18" t="s">
        <v>533</v>
      </c>
      <c r="B18" t="s">
        <v>839</v>
      </c>
    </row>
    <row r="19" spans="1:2" hidden="1" x14ac:dyDescent="0.2">
      <c r="A19" t="s">
        <v>534</v>
      </c>
      <c r="B19" t="s">
        <v>839</v>
      </c>
    </row>
    <row r="20" spans="1:2" hidden="1" x14ac:dyDescent="0.2">
      <c r="A20" t="s">
        <v>535</v>
      </c>
      <c r="B20" t="s">
        <v>839</v>
      </c>
    </row>
    <row r="21" spans="1:2" hidden="1" x14ac:dyDescent="0.2">
      <c r="A21" t="s">
        <v>536</v>
      </c>
      <c r="B21" t="s">
        <v>839</v>
      </c>
    </row>
    <row r="22" spans="1:2" hidden="1" x14ac:dyDescent="0.2">
      <c r="A22" t="s">
        <v>537</v>
      </c>
      <c r="B22" t="s">
        <v>839</v>
      </c>
    </row>
    <row r="23" spans="1:2" hidden="1" x14ac:dyDescent="0.2">
      <c r="A23" t="s">
        <v>538</v>
      </c>
      <c r="B23" t="s">
        <v>839</v>
      </c>
    </row>
    <row r="24" spans="1:2" hidden="1" x14ac:dyDescent="0.2">
      <c r="A24" t="s">
        <v>539</v>
      </c>
      <c r="B24" t="s">
        <v>839</v>
      </c>
    </row>
    <row r="25" spans="1:2" hidden="1" x14ac:dyDescent="0.2">
      <c r="A25" t="s">
        <v>540</v>
      </c>
      <c r="B25" t="s">
        <v>839</v>
      </c>
    </row>
    <row r="26" spans="1:2" hidden="1" x14ac:dyDescent="0.2">
      <c r="A26" t="s">
        <v>541</v>
      </c>
      <c r="B26" t="s">
        <v>839</v>
      </c>
    </row>
    <row r="27" spans="1:2" hidden="1" x14ac:dyDescent="0.2">
      <c r="A27" t="s">
        <v>542</v>
      </c>
      <c r="B27" t="s">
        <v>839</v>
      </c>
    </row>
    <row r="28" spans="1:2" hidden="1" x14ac:dyDescent="0.2">
      <c r="A28" t="s">
        <v>543</v>
      </c>
      <c r="B28" t="s">
        <v>839</v>
      </c>
    </row>
    <row r="29" spans="1:2" hidden="1" x14ac:dyDescent="0.2">
      <c r="A29" t="s">
        <v>544</v>
      </c>
      <c r="B29" t="s">
        <v>839</v>
      </c>
    </row>
    <row r="30" spans="1:2" hidden="1" x14ac:dyDescent="0.2">
      <c r="A30" t="s">
        <v>545</v>
      </c>
      <c r="B30" t="s">
        <v>839</v>
      </c>
    </row>
    <row r="31" spans="1:2" hidden="1" x14ac:dyDescent="0.2">
      <c r="A31" t="s">
        <v>546</v>
      </c>
      <c r="B31" t="s">
        <v>839</v>
      </c>
    </row>
    <row r="32" spans="1:2" hidden="1" x14ac:dyDescent="0.2">
      <c r="A32" t="s">
        <v>547</v>
      </c>
      <c r="B32" t="s">
        <v>839</v>
      </c>
    </row>
    <row r="33" spans="1:2" hidden="1" x14ac:dyDescent="0.2">
      <c r="A33" t="s">
        <v>548</v>
      </c>
      <c r="B33" t="s">
        <v>839</v>
      </c>
    </row>
    <row r="34" spans="1:2" hidden="1" x14ac:dyDescent="0.2">
      <c r="A34" t="s">
        <v>549</v>
      </c>
      <c r="B34" t="s">
        <v>839</v>
      </c>
    </row>
    <row r="35" spans="1:2" hidden="1" x14ac:dyDescent="0.2">
      <c r="A35" t="s">
        <v>550</v>
      </c>
      <c r="B35" t="s">
        <v>837</v>
      </c>
    </row>
    <row r="36" spans="1:2" hidden="1" x14ac:dyDescent="0.2">
      <c r="A36" t="s">
        <v>551</v>
      </c>
      <c r="B36" t="s">
        <v>837</v>
      </c>
    </row>
    <row r="37" spans="1:2" hidden="1" x14ac:dyDescent="0.2">
      <c r="A37" t="s">
        <v>552</v>
      </c>
      <c r="B37" t="s">
        <v>837</v>
      </c>
    </row>
    <row r="38" spans="1:2" hidden="1" x14ac:dyDescent="0.2">
      <c r="A38" t="s">
        <v>553</v>
      </c>
      <c r="B38" t="s">
        <v>837</v>
      </c>
    </row>
    <row r="39" spans="1:2" hidden="1" x14ac:dyDescent="0.2">
      <c r="A39" t="s">
        <v>554</v>
      </c>
      <c r="B39" t="s">
        <v>837</v>
      </c>
    </row>
    <row r="40" spans="1:2" hidden="1" x14ac:dyDescent="0.2">
      <c r="A40" t="s">
        <v>555</v>
      </c>
      <c r="B40" t="s">
        <v>837</v>
      </c>
    </row>
    <row r="41" spans="1:2" hidden="1" x14ac:dyDescent="0.2">
      <c r="A41" t="s">
        <v>556</v>
      </c>
      <c r="B41" t="s">
        <v>837</v>
      </c>
    </row>
    <row r="42" spans="1:2" hidden="1" x14ac:dyDescent="0.2">
      <c r="A42" t="s">
        <v>557</v>
      </c>
      <c r="B42" t="s">
        <v>837</v>
      </c>
    </row>
    <row r="43" spans="1:2" hidden="1" x14ac:dyDescent="0.2">
      <c r="A43" t="s">
        <v>558</v>
      </c>
      <c r="B43" t="s">
        <v>837</v>
      </c>
    </row>
    <row r="44" spans="1:2" hidden="1" x14ac:dyDescent="0.2">
      <c r="A44" t="s">
        <v>559</v>
      </c>
      <c r="B44" t="s">
        <v>837</v>
      </c>
    </row>
    <row r="45" spans="1:2" hidden="1" x14ac:dyDescent="0.2">
      <c r="A45" t="s">
        <v>560</v>
      </c>
      <c r="B45" t="s">
        <v>837</v>
      </c>
    </row>
    <row r="46" spans="1:2" hidden="1" x14ac:dyDescent="0.2">
      <c r="A46" t="s">
        <v>561</v>
      </c>
      <c r="B46" t="s">
        <v>837</v>
      </c>
    </row>
    <row r="47" spans="1:2" hidden="1" x14ac:dyDescent="0.2">
      <c r="A47" t="s">
        <v>562</v>
      </c>
      <c r="B47" t="s">
        <v>837</v>
      </c>
    </row>
    <row r="48" spans="1:2" hidden="1" x14ac:dyDescent="0.2">
      <c r="A48" t="s">
        <v>563</v>
      </c>
      <c r="B48" t="s">
        <v>837</v>
      </c>
    </row>
    <row r="49" spans="1:2" hidden="1" x14ac:dyDescent="0.2">
      <c r="A49" t="s">
        <v>564</v>
      </c>
      <c r="B49" t="s">
        <v>837</v>
      </c>
    </row>
    <row r="50" spans="1:2" hidden="1" x14ac:dyDescent="0.2">
      <c r="A50" s="27" t="s">
        <v>565</v>
      </c>
      <c r="B50" s="27" t="s">
        <v>835</v>
      </c>
    </row>
    <row r="51" spans="1:2" x14ac:dyDescent="0.2">
      <c r="A51" t="s">
        <v>566</v>
      </c>
      <c r="B51" s="27" t="s">
        <v>835</v>
      </c>
    </row>
    <row r="52" spans="1:2" hidden="1" x14ac:dyDescent="0.2">
      <c r="A52" t="s">
        <v>567</v>
      </c>
      <c r="B52" s="27" t="s">
        <v>835</v>
      </c>
    </row>
    <row r="53" spans="1:2" x14ac:dyDescent="0.2">
      <c r="A53" t="s">
        <v>568</v>
      </c>
      <c r="B53" s="27" t="s">
        <v>835</v>
      </c>
    </row>
    <row r="54" spans="1:2" hidden="1" x14ac:dyDescent="0.2">
      <c r="A54" t="s">
        <v>569</v>
      </c>
      <c r="B54" s="27" t="s">
        <v>837</v>
      </c>
    </row>
    <row r="55" spans="1:2" hidden="1" x14ac:dyDescent="0.2">
      <c r="A55" t="s">
        <v>570</v>
      </c>
      <c r="B55" s="27" t="s">
        <v>835</v>
      </c>
    </row>
    <row r="56" spans="1:2" x14ac:dyDescent="0.2">
      <c r="A56" t="s">
        <v>571</v>
      </c>
      <c r="B56" s="27" t="s">
        <v>835</v>
      </c>
    </row>
    <row r="57" spans="1:2" hidden="1" x14ac:dyDescent="0.2">
      <c r="A57" t="s">
        <v>572</v>
      </c>
      <c r="B57" s="27" t="s">
        <v>838</v>
      </c>
    </row>
    <row r="58" spans="1:2" hidden="1" x14ac:dyDescent="0.2">
      <c r="A58" t="s">
        <v>573</v>
      </c>
      <c r="B58" s="27" t="s">
        <v>837</v>
      </c>
    </row>
    <row r="59" spans="1:2" hidden="1" x14ac:dyDescent="0.2">
      <c r="A59" t="s">
        <v>574</v>
      </c>
      <c r="B59" s="27" t="s">
        <v>835</v>
      </c>
    </row>
    <row r="60" spans="1:2" x14ac:dyDescent="0.2">
      <c r="A60" t="s">
        <v>575</v>
      </c>
      <c r="B60" s="27" t="s">
        <v>835</v>
      </c>
    </row>
    <row r="61" spans="1:2" hidden="1" x14ac:dyDescent="0.2">
      <c r="A61" t="s">
        <v>576</v>
      </c>
      <c r="B61" s="27" t="s">
        <v>838</v>
      </c>
    </row>
    <row r="62" spans="1:2" hidden="1" x14ac:dyDescent="0.2">
      <c r="A62" t="s">
        <v>577</v>
      </c>
      <c r="B62" s="27" t="s">
        <v>837</v>
      </c>
    </row>
    <row r="63" spans="1:2" hidden="1" x14ac:dyDescent="0.2">
      <c r="A63" t="s">
        <v>578</v>
      </c>
      <c r="B63" s="27" t="s">
        <v>835</v>
      </c>
    </row>
    <row r="64" spans="1:2" x14ac:dyDescent="0.2">
      <c r="A64" t="s">
        <v>579</v>
      </c>
      <c r="B64" s="27" t="s">
        <v>835</v>
      </c>
    </row>
    <row r="65" spans="1:2" hidden="1" x14ac:dyDescent="0.2">
      <c r="A65" t="s">
        <v>580</v>
      </c>
      <c r="B65" s="27" t="s">
        <v>838</v>
      </c>
    </row>
    <row r="66" spans="1:2" hidden="1" x14ac:dyDescent="0.2">
      <c r="A66" t="s">
        <v>581</v>
      </c>
      <c r="B66" s="27" t="s">
        <v>837</v>
      </c>
    </row>
    <row r="67" spans="1:2" hidden="1" x14ac:dyDescent="0.2">
      <c r="A67" t="s">
        <v>582</v>
      </c>
      <c r="B67" s="27" t="s">
        <v>835</v>
      </c>
    </row>
    <row r="68" spans="1:2" x14ac:dyDescent="0.2">
      <c r="A68" t="s">
        <v>583</v>
      </c>
      <c r="B68" s="27" t="s">
        <v>835</v>
      </c>
    </row>
    <row r="69" spans="1:2" hidden="1" x14ac:dyDescent="0.2">
      <c r="A69" t="s">
        <v>584</v>
      </c>
      <c r="B69" s="27" t="s">
        <v>838</v>
      </c>
    </row>
    <row r="70" spans="1:2" hidden="1" x14ac:dyDescent="0.2">
      <c r="A70" t="s">
        <v>585</v>
      </c>
      <c r="B70" s="27" t="s">
        <v>837</v>
      </c>
    </row>
    <row r="71" spans="1:2" hidden="1" x14ac:dyDescent="0.2">
      <c r="A71" t="s">
        <v>586</v>
      </c>
      <c r="B71" s="27" t="s">
        <v>835</v>
      </c>
    </row>
    <row r="72" spans="1:2" x14ac:dyDescent="0.2">
      <c r="A72" t="s">
        <v>587</v>
      </c>
      <c r="B72" s="27" t="s">
        <v>835</v>
      </c>
    </row>
    <row r="73" spans="1:2" hidden="1" x14ac:dyDescent="0.2">
      <c r="A73" t="s">
        <v>588</v>
      </c>
      <c r="B73" s="27" t="s">
        <v>838</v>
      </c>
    </row>
    <row r="74" spans="1:2" hidden="1" x14ac:dyDescent="0.2">
      <c r="A74" t="s">
        <v>589</v>
      </c>
      <c r="B74" s="27" t="s">
        <v>837</v>
      </c>
    </row>
    <row r="75" spans="1:2" hidden="1" x14ac:dyDescent="0.2">
      <c r="A75" t="s">
        <v>590</v>
      </c>
      <c r="B75" s="27" t="s">
        <v>835</v>
      </c>
    </row>
    <row r="76" spans="1:2" x14ac:dyDescent="0.2">
      <c r="A76" t="s">
        <v>591</v>
      </c>
      <c r="B76" s="27" t="s">
        <v>835</v>
      </c>
    </row>
    <row r="77" spans="1:2" hidden="1" x14ac:dyDescent="0.2">
      <c r="A77" t="s">
        <v>592</v>
      </c>
      <c r="B77" s="27" t="s">
        <v>838</v>
      </c>
    </row>
    <row r="78" spans="1:2" hidden="1" x14ac:dyDescent="0.2">
      <c r="A78" t="s">
        <v>593</v>
      </c>
      <c r="B78" s="27" t="s">
        <v>837</v>
      </c>
    </row>
    <row r="79" spans="1:2" hidden="1" x14ac:dyDescent="0.2">
      <c r="A79" t="s">
        <v>594</v>
      </c>
      <c r="B79" s="27" t="s">
        <v>835</v>
      </c>
    </row>
    <row r="80" spans="1:2" x14ac:dyDescent="0.2">
      <c r="A80" t="s">
        <v>595</v>
      </c>
      <c r="B80" s="27" t="s">
        <v>835</v>
      </c>
    </row>
    <row r="81" spans="1:2" hidden="1" x14ac:dyDescent="0.2">
      <c r="A81" t="s">
        <v>596</v>
      </c>
      <c r="B81" s="27" t="s">
        <v>838</v>
      </c>
    </row>
    <row r="82" spans="1:2" hidden="1" x14ac:dyDescent="0.2">
      <c r="A82" t="s">
        <v>597</v>
      </c>
      <c r="B82" s="27" t="s">
        <v>837</v>
      </c>
    </row>
    <row r="83" spans="1:2" hidden="1" x14ac:dyDescent="0.2">
      <c r="A83" t="s">
        <v>599</v>
      </c>
      <c r="B83" s="27" t="s">
        <v>835</v>
      </c>
    </row>
    <row r="84" spans="1:2" x14ac:dyDescent="0.2">
      <c r="A84" t="s">
        <v>600</v>
      </c>
      <c r="B84" s="27" t="s">
        <v>835</v>
      </c>
    </row>
    <row r="85" spans="1:2" hidden="1" x14ac:dyDescent="0.2">
      <c r="A85" t="s">
        <v>601</v>
      </c>
      <c r="B85" s="27" t="s">
        <v>838</v>
      </c>
    </row>
    <row r="86" spans="1:2" hidden="1" x14ac:dyDescent="0.2">
      <c r="A86" t="s">
        <v>602</v>
      </c>
      <c r="B86" s="27" t="s">
        <v>837</v>
      </c>
    </row>
    <row r="87" spans="1:2" hidden="1" x14ac:dyDescent="0.2">
      <c r="A87" t="s">
        <v>603</v>
      </c>
      <c r="B87" s="27" t="s">
        <v>835</v>
      </c>
    </row>
    <row r="88" spans="1:2" x14ac:dyDescent="0.2">
      <c r="A88" t="s">
        <v>604</v>
      </c>
      <c r="B88" s="27" t="s">
        <v>835</v>
      </c>
    </row>
    <row r="89" spans="1:2" hidden="1" x14ac:dyDescent="0.2">
      <c r="A89" t="s">
        <v>605</v>
      </c>
      <c r="B89" s="27" t="s">
        <v>838</v>
      </c>
    </row>
    <row r="90" spans="1:2" hidden="1" x14ac:dyDescent="0.2">
      <c r="A90" t="s">
        <v>606</v>
      </c>
      <c r="B90" s="27" t="s">
        <v>838</v>
      </c>
    </row>
    <row r="91" spans="1:2" hidden="1" x14ac:dyDescent="0.2">
      <c r="A91" t="s">
        <v>607</v>
      </c>
      <c r="B91" s="27" t="s">
        <v>838</v>
      </c>
    </row>
    <row r="92" spans="1:2" hidden="1" x14ac:dyDescent="0.2">
      <c r="A92" t="s">
        <v>608</v>
      </c>
      <c r="B92" s="27" t="s">
        <v>837</v>
      </c>
    </row>
    <row r="93" spans="1:2" hidden="1" x14ac:dyDescent="0.2">
      <c r="A93" s="27" t="s">
        <v>609</v>
      </c>
      <c r="B93" s="27" t="s">
        <v>837</v>
      </c>
    </row>
    <row r="94" spans="1:2" hidden="1" x14ac:dyDescent="0.2">
      <c r="A94" t="s">
        <v>610</v>
      </c>
      <c r="B94" s="27" t="s">
        <v>837</v>
      </c>
    </row>
    <row r="95" spans="1:2" hidden="1" x14ac:dyDescent="0.2">
      <c r="A95" t="s">
        <v>611</v>
      </c>
      <c r="B95" s="27" t="s">
        <v>837</v>
      </c>
    </row>
    <row r="96" spans="1:2" hidden="1" x14ac:dyDescent="0.2">
      <c r="A96" t="s">
        <v>612</v>
      </c>
      <c r="B96" s="27" t="s">
        <v>837</v>
      </c>
    </row>
    <row r="97" spans="1:2" hidden="1" x14ac:dyDescent="0.2">
      <c r="A97" t="s">
        <v>613</v>
      </c>
      <c r="B97" s="27" t="s">
        <v>837</v>
      </c>
    </row>
    <row r="98" spans="1:2" hidden="1" x14ac:dyDescent="0.2">
      <c r="A98" t="s">
        <v>614</v>
      </c>
      <c r="B98" s="27" t="s">
        <v>835</v>
      </c>
    </row>
    <row r="99" spans="1:2" x14ac:dyDescent="0.2">
      <c r="A99" t="s">
        <v>615</v>
      </c>
      <c r="B99" s="27" t="s">
        <v>835</v>
      </c>
    </row>
    <row r="100" spans="1:2" hidden="1" x14ac:dyDescent="0.2">
      <c r="A100" t="s">
        <v>616</v>
      </c>
      <c r="B100" s="27" t="s">
        <v>835</v>
      </c>
    </row>
    <row r="101" spans="1:2" x14ac:dyDescent="0.2">
      <c r="A101" t="s">
        <v>617</v>
      </c>
      <c r="B101" s="27" t="s">
        <v>835</v>
      </c>
    </row>
    <row r="102" spans="1:2" hidden="1" x14ac:dyDescent="0.2">
      <c r="A102" t="s">
        <v>618</v>
      </c>
      <c r="B102" s="27" t="s">
        <v>835</v>
      </c>
    </row>
    <row r="103" spans="1:2" hidden="1" x14ac:dyDescent="0.2">
      <c r="A103" t="s">
        <v>619</v>
      </c>
      <c r="B103" s="27" t="s">
        <v>835</v>
      </c>
    </row>
    <row r="104" spans="1:2" x14ac:dyDescent="0.2">
      <c r="A104" t="s">
        <v>620</v>
      </c>
      <c r="B104" s="27" t="s">
        <v>835</v>
      </c>
    </row>
    <row r="105" spans="1:2" hidden="1" x14ac:dyDescent="0.2">
      <c r="A105" t="s">
        <v>621</v>
      </c>
      <c r="B105" s="27" t="s">
        <v>835</v>
      </c>
    </row>
    <row r="106" spans="1:2" x14ac:dyDescent="0.2">
      <c r="A106" t="s">
        <v>622</v>
      </c>
      <c r="B106" s="27" t="s">
        <v>835</v>
      </c>
    </row>
    <row r="107" spans="1:2" hidden="1" x14ac:dyDescent="0.2">
      <c r="A107" t="s">
        <v>623</v>
      </c>
      <c r="B107" s="27" t="s">
        <v>835</v>
      </c>
    </row>
    <row r="108" spans="1:2" hidden="1" x14ac:dyDescent="0.2">
      <c r="A108" t="s">
        <v>624</v>
      </c>
      <c r="B108" s="27" t="s">
        <v>835</v>
      </c>
    </row>
    <row r="109" spans="1:2" x14ac:dyDescent="0.2">
      <c r="A109" t="s">
        <v>625</v>
      </c>
      <c r="B109" s="27" t="s">
        <v>835</v>
      </c>
    </row>
    <row r="110" spans="1:2" hidden="1" x14ac:dyDescent="0.2">
      <c r="A110" t="s">
        <v>626</v>
      </c>
      <c r="B110" s="27" t="s">
        <v>835</v>
      </c>
    </row>
    <row r="111" spans="1:2" x14ac:dyDescent="0.2">
      <c r="A111" t="s">
        <v>627</v>
      </c>
      <c r="B111" s="27" t="s">
        <v>835</v>
      </c>
    </row>
    <row r="112" spans="1:2" hidden="1" x14ac:dyDescent="0.2">
      <c r="A112" t="s">
        <v>628</v>
      </c>
      <c r="B112" s="27" t="s">
        <v>835</v>
      </c>
    </row>
    <row r="113" spans="1:5" hidden="1" x14ac:dyDescent="0.2">
      <c r="A113" t="s">
        <v>629</v>
      </c>
      <c r="B113" s="27" t="s">
        <v>835</v>
      </c>
    </row>
    <row r="114" spans="1:5" x14ac:dyDescent="0.2">
      <c r="A114" t="s">
        <v>630</v>
      </c>
      <c r="B114" s="27" t="s">
        <v>835</v>
      </c>
    </row>
    <row r="115" spans="1:5" hidden="1" x14ac:dyDescent="0.2">
      <c r="A115" t="s">
        <v>631</v>
      </c>
      <c r="B115" s="27" t="s">
        <v>835</v>
      </c>
    </row>
    <row r="116" spans="1:5" x14ac:dyDescent="0.2">
      <c r="A116" t="s">
        <v>632</v>
      </c>
      <c r="B116" s="27" t="s">
        <v>835</v>
      </c>
    </row>
    <row r="117" spans="1:5" hidden="1" x14ac:dyDescent="0.2">
      <c r="A117" t="s">
        <v>633</v>
      </c>
      <c r="B117" s="27" t="s">
        <v>835</v>
      </c>
    </row>
    <row r="118" spans="1:5" hidden="1" x14ac:dyDescent="0.2">
      <c r="A118" t="s">
        <v>634</v>
      </c>
      <c r="B118" s="27" t="s">
        <v>835</v>
      </c>
    </row>
    <row r="119" spans="1:5" x14ac:dyDescent="0.2">
      <c r="A119" t="s">
        <v>635</v>
      </c>
      <c r="B119" s="27" t="s">
        <v>835</v>
      </c>
    </row>
    <row r="120" spans="1:5" hidden="1" x14ac:dyDescent="0.2">
      <c r="A120" t="s">
        <v>636</v>
      </c>
      <c r="B120" s="27" t="s">
        <v>835</v>
      </c>
    </row>
    <row r="121" spans="1:5" x14ac:dyDescent="0.2">
      <c r="A121" t="s">
        <v>637</v>
      </c>
      <c r="B121" s="27" t="s">
        <v>835</v>
      </c>
    </row>
    <row r="122" spans="1:5" hidden="1" x14ac:dyDescent="0.2">
      <c r="A122" t="s">
        <v>638</v>
      </c>
      <c r="B122" s="27" t="s">
        <v>835</v>
      </c>
    </row>
    <row r="123" spans="1:5" hidden="1" x14ac:dyDescent="0.2">
      <c r="A123" t="s">
        <v>639</v>
      </c>
      <c r="B123" s="27" t="s">
        <v>835</v>
      </c>
    </row>
    <row r="124" spans="1:5" x14ac:dyDescent="0.2">
      <c r="A124" t="s">
        <v>640</v>
      </c>
      <c r="B124" s="27" t="s">
        <v>835</v>
      </c>
    </row>
    <row r="125" spans="1:5" hidden="1" x14ac:dyDescent="0.2">
      <c r="A125" t="s">
        <v>641</v>
      </c>
      <c r="B125" s="27" t="s">
        <v>835</v>
      </c>
    </row>
    <row r="126" spans="1:5" x14ac:dyDescent="0.2">
      <c r="A126" t="s">
        <v>642</v>
      </c>
      <c r="B126" s="27" t="s">
        <v>835</v>
      </c>
    </row>
    <row r="127" spans="1:5" hidden="1" x14ac:dyDescent="0.2">
      <c r="A127" t="s">
        <v>643</v>
      </c>
      <c r="B127" s="27" t="s">
        <v>835</v>
      </c>
      <c r="E127" s="27"/>
    </row>
    <row r="128" spans="1:5" hidden="1" x14ac:dyDescent="0.2">
      <c r="A128" t="s">
        <v>848</v>
      </c>
      <c r="B128" s="27" t="s">
        <v>835</v>
      </c>
      <c r="E128" s="27"/>
    </row>
    <row r="129" spans="1:5" hidden="1" x14ac:dyDescent="0.2">
      <c r="A129" t="s">
        <v>644</v>
      </c>
      <c r="B129" s="27" t="s">
        <v>837</v>
      </c>
      <c r="E129" s="27"/>
    </row>
    <row r="130" spans="1:5" hidden="1" x14ac:dyDescent="0.2">
      <c r="A130" t="s">
        <v>849</v>
      </c>
      <c r="B130" s="27" t="s">
        <v>835</v>
      </c>
      <c r="E130" s="27"/>
    </row>
    <row r="131" spans="1:5" hidden="1" x14ac:dyDescent="0.2">
      <c r="A131" t="s">
        <v>645</v>
      </c>
      <c r="B131" s="27" t="s">
        <v>837</v>
      </c>
      <c r="E131" s="27"/>
    </row>
    <row r="132" spans="1:5" hidden="1" x14ac:dyDescent="0.2">
      <c r="A132" t="s">
        <v>850</v>
      </c>
      <c r="B132" s="27" t="s">
        <v>835</v>
      </c>
      <c r="E132" s="27"/>
    </row>
    <row r="133" spans="1:5" hidden="1" x14ac:dyDescent="0.2">
      <c r="A133" t="s">
        <v>646</v>
      </c>
      <c r="B133" s="27" t="s">
        <v>837</v>
      </c>
      <c r="E133" s="27"/>
    </row>
    <row r="134" spans="1:5" hidden="1" x14ac:dyDescent="0.2">
      <c r="A134" t="s">
        <v>851</v>
      </c>
      <c r="B134" s="27" t="s">
        <v>835</v>
      </c>
      <c r="E134" s="27"/>
    </row>
    <row r="135" spans="1:5" hidden="1" x14ac:dyDescent="0.2">
      <c r="A135" t="s">
        <v>647</v>
      </c>
      <c r="B135" s="27" t="s">
        <v>837</v>
      </c>
      <c r="E135" s="27"/>
    </row>
    <row r="136" spans="1:5" hidden="1" x14ac:dyDescent="0.2">
      <c r="A136" t="s">
        <v>852</v>
      </c>
      <c r="B136" s="27" t="s">
        <v>835</v>
      </c>
      <c r="E136" s="27"/>
    </row>
    <row r="137" spans="1:5" hidden="1" x14ac:dyDescent="0.2">
      <c r="A137" t="s">
        <v>648</v>
      </c>
      <c r="B137" s="27" t="s">
        <v>837</v>
      </c>
      <c r="E137" s="27"/>
    </row>
    <row r="138" spans="1:5" hidden="1" x14ac:dyDescent="0.2">
      <c r="A138" t="s">
        <v>853</v>
      </c>
      <c r="B138" s="27" t="s">
        <v>835</v>
      </c>
      <c r="E138" s="27"/>
    </row>
    <row r="139" spans="1:5" hidden="1" x14ac:dyDescent="0.2">
      <c r="A139" t="s">
        <v>649</v>
      </c>
      <c r="B139" s="27" t="s">
        <v>837</v>
      </c>
      <c r="E139" s="27"/>
    </row>
    <row r="140" spans="1:5" hidden="1" x14ac:dyDescent="0.2">
      <c r="A140" t="s">
        <v>854</v>
      </c>
      <c r="B140" s="27" t="s">
        <v>835</v>
      </c>
      <c r="E140" s="27"/>
    </row>
    <row r="141" spans="1:5" hidden="1" x14ac:dyDescent="0.2">
      <c r="A141" t="s">
        <v>855</v>
      </c>
      <c r="B141" s="27" t="s">
        <v>837</v>
      </c>
      <c r="E141" s="30"/>
    </row>
    <row r="142" spans="1:5" hidden="1" x14ac:dyDescent="0.2">
      <c r="A142" t="s">
        <v>864</v>
      </c>
      <c r="B142" s="30" t="s">
        <v>835</v>
      </c>
    </row>
    <row r="143" spans="1:5" hidden="1" x14ac:dyDescent="0.2">
      <c r="A143" t="s">
        <v>650</v>
      </c>
      <c r="B143" s="27" t="s">
        <v>837</v>
      </c>
    </row>
    <row r="144" spans="1:5" hidden="1" x14ac:dyDescent="0.2">
      <c r="A144" t="s">
        <v>651</v>
      </c>
      <c r="B144" s="27" t="s">
        <v>837</v>
      </c>
    </row>
    <row r="145" spans="1:2" hidden="1" x14ac:dyDescent="0.2">
      <c r="A145" t="s">
        <v>652</v>
      </c>
      <c r="B145" s="27" t="s">
        <v>837</v>
      </c>
    </row>
    <row r="146" spans="1:2" hidden="1" x14ac:dyDescent="0.2">
      <c r="A146" t="s">
        <v>653</v>
      </c>
      <c r="B146" s="27" t="s">
        <v>837</v>
      </c>
    </row>
    <row r="147" spans="1:2" hidden="1" x14ac:dyDescent="0.2">
      <c r="A147" t="s">
        <v>654</v>
      </c>
      <c r="B147" s="27" t="s">
        <v>837</v>
      </c>
    </row>
    <row r="148" spans="1:2" hidden="1" x14ac:dyDescent="0.2">
      <c r="A148" t="s">
        <v>655</v>
      </c>
      <c r="B148" s="27" t="s">
        <v>837</v>
      </c>
    </row>
    <row r="149" spans="1:2" hidden="1" x14ac:dyDescent="0.2">
      <c r="A149" t="s">
        <v>656</v>
      </c>
      <c r="B149" s="27" t="s">
        <v>837</v>
      </c>
    </row>
    <row r="150" spans="1:2" hidden="1" x14ac:dyDescent="0.2">
      <c r="A150" t="s">
        <v>657</v>
      </c>
      <c r="B150" s="27" t="s">
        <v>837</v>
      </c>
    </row>
    <row r="151" spans="1:2" hidden="1" x14ac:dyDescent="0.2">
      <c r="A151" t="s">
        <v>658</v>
      </c>
      <c r="B151" s="27" t="s">
        <v>837</v>
      </c>
    </row>
    <row r="152" spans="1:2" hidden="1" x14ac:dyDescent="0.2">
      <c r="A152" t="s">
        <v>659</v>
      </c>
      <c r="B152" s="27" t="s">
        <v>837</v>
      </c>
    </row>
    <row r="153" spans="1:2" hidden="1" x14ac:dyDescent="0.2">
      <c r="A153" t="s">
        <v>660</v>
      </c>
      <c r="B153" s="27" t="s">
        <v>837</v>
      </c>
    </row>
    <row r="154" spans="1:2" hidden="1" x14ac:dyDescent="0.2">
      <c r="A154" t="s">
        <v>661</v>
      </c>
      <c r="B154" s="27" t="s">
        <v>837</v>
      </c>
    </row>
    <row r="155" spans="1:2" hidden="1" x14ac:dyDescent="0.2">
      <c r="A155" t="s">
        <v>663</v>
      </c>
      <c r="B155" s="27" t="s">
        <v>837</v>
      </c>
    </row>
    <row r="156" spans="1:2" hidden="1" x14ac:dyDescent="0.2">
      <c r="A156" t="s">
        <v>664</v>
      </c>
      <c r="B156" s="27" t="s">
        <v>837</v>
      </c>
    </row>
    <row r="157" spans="1:2" hidden="1" x14ac:dyDescent="0.2">
      <c r="A157" t="s">
        <v>842</v>
      </c>
      <c r="B157" s="27" t="s">
        <v>837</v>
      </c>
    </row>
    <row r="158" spans="1:2" hidden="1" x14ac:dyDescent="0.2">
      <c r="A158" t="s">
        <v>843</v>
      </c>
      <c r="B158" s="27" t="s">
        <v>837</v>
      </c>
    </row>
    <row r="159" spans="1:2" hidden="1" x14ac:dyDescent="0.2">
      <c r="A159" t="s">
        <v>667</v>
      </c>
      <c r="B159" s="27" t="s">
        <v>835</v>
      </c>
    </row>
    <row r="160" spans="1:2" x14ac:dyDescent="0.2">
      <c r="A160" t="s">
        <v>668</v>
      </c>
      <c r="B160" s="27" t="s">
        <v>835</v>
      </c>
    </row>
    <row r="161" spans="1:2" hidden="1" x14ac:dyDescent="0.2">
      <c r="A161" t="s">
        <v>669</v>
      </c>
      <c r="B161" s="27" t="s">
        <v>835</v>
      </c>
    </row>
    <row r="162" spans="1:2" x14ac:dyDescent="0.2">
      <c r="A162" t="s">
        <v>670</v>
      </c>
      <c r="B162" s="27" t="s">
        <v>835</v>
      </c>
    </row>
    <row r="163" spans="1:2" hidden="1" x14ac:dyDescent="0.2">
      <c r="A163" t="s">
        <v>671</v>
      </c>
      <c r="B163" s="27" t="s">
        <v>835</v>
      </c>
    </row>
    <row r="164" spans="1:2" hidden="1" x14ac:dyDescent="0.2">
      <c r="A164" t="s">
        <v>672</v>
      </c>
      <c r="B164" s="27" t="s">
        <v>835</v>
      </c>
    </row>
    <row r="165" spans="1:2" x14ac:dyDescent="0.2">
      <c r="A165" t="s">
        <v>673</v>
      </c>
      <c r="B165" s="27" t="s">
        <v>835</v>
      </c>
    </row>
    <row r="166" spans="1:2" hidden="1" x14ac:dyDescent="0.2">
      <c r="A166" t="s">
        <v>674</v>
      </c>
      <c r="B166" s="27" t="s">
        <v>835</v>
      </c>
    </row>
    <row r="167" spans="1:2" x14ac:dyDescent="0.2">
      <c r="A167" t="s">
        <v>675</v>
      </c>
      <c r="B167" s="27" t="s">
        <v>835</v>
      </c>
    </row>
    <row r="168" spans="1:2" hidden="1" x14ac:dyDescent="0.2">
      <c r="A168" t="s">
        <v>676</v>
      </c>
      <c r="B168" s="27" t="s">
        <v>835</v>
      </c>
    </row>
    <row r="169" spans="1:2" hidden="1" x14ac:dyDescent="0.2">
      <c r="A169" t="s">
        <v>677</v>
      </c>
      <c r="B169" s="27" t="s">
        <v>835</v>
      </c>
    </row>
    <row r="170" spans="1:2" x14ac:dyDescent="0.2">
      <c r="A170" t="s">
        <v>678</v>
      </c>
      <c r="B170" s="27" t="s">
        <v>835</v>
      </c>
    </row>
    <row r="171" spans="1:2" hidden="1" x14ac:dyDescent="0.2">
      <c r="A171" t="s">
        <v>679</v>
      </c>
      <c r="B171" s="27" t="s">
        <v>835</v>
      </c>
    </row>
    <row r="172" spans="1:2" x14ac:dyDescent="0.2">
      <c r="A172" t="s">
        <v>680</v>
      </c>
      <c r="B172" s="27" t="s">
        <v>835</v>
      </c>
    </row>
    <row r="173" spans="1:2" hidden="1" x14ac:dyDescent="0.2">
      <c r="A173" t="s">
        <v>681</v>
      </c>
      <c r="B173" s="27" t="s">
        <v>835</v>
      </c>
    </row>
  </sheetData>
  <autoFilter ref="A1:B173" xr:uid="{5E35A995-843B-2542-9A4A-AC9B64BD785B}">
    <filterColumn colId="0">
      <customFilters>
        <customFilter val="*_np*"/>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changelog</vt:lpstr>
      <vt:lpstr>Profile Data_old</vt:lpstr>
      <vt:lpstr>Profile Data</vt:lpstr>
      <vt:lpstr>Map Data</vt:lpstr>
      <vt:lpstr>titles</vt:lpstr>
      <vt:lpstr>FAQs</vt:lpstr>
      <vt:lpstr>data_types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2019-04-19T06:31:10Z</dcterms:modified>
</cp:coreProperties>
</file>